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ml.chart+xml" PartName="/xl/charts/chart2.xml"/>
  <Override ContentType="application/vnd.openxmlformats-officedocument.spreadsheetml.comments+xml" PartName="/xl/comments1.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bookViews>
    <workbookView xWindow="0" yWindow="735" windowWidth="19050" windowHeight="7410" tabRatio="808"/>
  </bookViews>
  <sheets>
    <sheet name="ImportantDisclosures" sheetId="81" r:id="rId1"/>
    <sheet name="Earnings" sheetId="62" r:id="rId2"/>
    <sheet name="BullBaseBear" sheetId="61" r:id="rId3"/>
    <sheet name="sumry" sheetId="20" r:id="rId4"/>
    <sheet name="segSales" sheetId="30" r:id="rId5"/>
    <sheet name="qtrSales" sheetId="9" r:id="rId6"/>
    <sheet name="qtrP&amp;L" sheetId="1" r:id="rId7"/>
    <sheet name="yrSales" sheetId="5" r:id="rId8"/>
    <sheet name="yrP&amp;L" sheetId="15" r:id="rId9"/>
    <sheet name="bal" sheetId="2" r:id="rId10"/>
    <sheet name="flow" sheetId="3" r:id="rId11"/>
    <sheet name="turn" sheetId="10" r:id="rId12"/>
    <sheet name="dtc" sheetId="23" r:id="rId13"/>
    <sheet name="work" sheetId="11" r:id="rId14"/>
    <sheet name="MW-Cache" sheetId="59" state="veryHidden" r:id="rId15"/>
    <sheet name="DCF" sheetId="76" r:id="rId16"/>
    <sheet name="MWA Lease" sheetId="71" r:id="rId17"/>
    <sheet name="inv vs. fwd sales" sheetId="77" r:id="rId18"/>
    <sheet name="IndexInformation" sheetId="82" r:id="rId19"/>
    <sheet name="ModPubIndex" sheetId="83" r:id="rId20"/>
  </sheets>
  <externalReferences>
    <externalReference r:id="rId21"/>
    <externalReference r:id="rId22"/>
    <externalReference r:id="rId23"/>
    <externalReference r:id="rId24"/>
    <externalReference r:id="rId25"/>
  </externalReferences>
  <definedNames>
    <definedName name="__FDS_HYPERLINK_TOGGLE_STATE__" hidden="1">"ON"</definedName>
    <definedName name="__FDS_UNIQUE_RANGE_ID_GENERATOR_COUNTER" hidden="1">1</definedName>
    <definedName name="_1__FDSAUDITLINK__" localSheetId="1" hidden="1">{"fdsup://Directions/FactSet Auditing Viewer?action=AUDIT_VALUE&amp;DB=129&amp;ID1=87416110&amp;VALUEID=02101&amp;SDATE=201001&amp;PERIODTYPE=QTR_STD&amp;window=popup_no_bar&amp;width=385&amp;height=120&amp;START_MAXIMIZED=FALSE&amp;creator=factset&amp;display_string=Audit"}</definedName>
    <definedName name="_1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10__FDSAUDITLINK__" localSheetId="1" hidden="1">{"fdsup://Directions/FactSet Auditing Viewer?action=AUDIT_VALUE&amp;DB=129&amp;ID1=03611510&amp;VALUEID=02101&amp;SDATE=201001&amp;PERIODTYPE=QTR_STD&amp;window=popup_no_bar&amp;width=385&amp;height=120&amp;START_MAXIMIZED=FALSE&amp;creator=factset&amp;display_string=Audit"}</definedName>
    <definedName name="_10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100__FDSAUDITLINK__" localSheetId="1" hidden="1">{"fdsup://Directions/FactSet Auditing Viewer?action=AUDIT_VALUE&amp;DB=129&amp;ID1=00786510&amp;VALUEID=13040&amp;SDATE=200901&amp;PERIODTYPE=QTR_STD&amp;window=popup_no_bar&amp;width=385&amp;height=120&amp;START_MAXIMIZED=FALSE&amp;creator=factset&amp;display_string=Audit"}</definedName>
    <definedName name="_100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1000__FDSAUDITLINK__" localSheetId="1" hidden="1">{"fdsup://Directions/FactSet Auditing Viewer?action=AUDIT_VALUE&amp;DB=129&amp;ID1=00289620&amp;VALUEID=02101&amp;SDATE=201001&amp;PERIODTYPE=QTR_STD&amp;window=popup_no_bar&amp;width=385&amp;height=120&amp;START_MAXIMIZED=FALSE&amp;creator=factset&amp;display_string=Audit"}</definedName>
    <definedName name="_1000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1001__FDSAUDITLINK__" localSheetId="1" hidden="1">{"fdsup://Directions/FactSet Auditing Viewer?action=AUDIT_VALUE&amp;DB=129&amp;ID1=00289620&amp;VALUEID=13040&amp;SDATE=201001&amp;PERIODTYPE=QTR_STD&amp;window=popup_no_bar&amp;width=385&amp;height=120&amp;START_MAXIMIZED=FALSE&amp;creator=factset&amp;display_string=Audit"}</definedName>
    <definedName name="_1001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1002__FDSAUDITLINK__" localSheetId="1" hidden="1">{"fdsup://Directions/FactSet Auditing Viewer?action=AUDIT_VALUE&amp;DB=129&amp;ID1=87416110&amp;VALUEID=01001&amp;SDATE=200904&amp;PERIODTYPE=QTR_STD&amp;window=popup_no_bar&amp;width=385&amp;height=120&amp;START_MAXIMIZED=FALSE&amp;creator=factset&amp;display_string=Audit"}</definedName>
    <definedName name="_1002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1003__FDSAUDITLINK__" localSheetId="1"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1003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1004__FDSAUDITLINK__" localSheetId="1" hidden="1">{"fdsup://Directions/FactSet Auditing Viewer?action=AUDIT_VALUE&amp;DB=129&amp;ID1=46612H40&amp;VALUEID=01001&amp;SDATE=200904&amp;PERIODTYPE=QTR_STD&amp;window=popup_no_bar&amp;width=385&amp;height=120&amp;START_MAXIMIZED=FALSE&amp;creator=factset&amp;display_string=Audit"}</definedName>
    <definedName name="_1004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1005__FDSAUDITLINK__" localSheetId="1" hidden="1">{"fdsup://Directions/FactSet Auditing Viewer?action=AUDIT_VALUE&amp;DB=129&amp;ID1=36476010&amp;VALUEID=01001&amp;SDATE=200904&amp;PERIODTYPE=QTR_STD&amp;window=popup_no_bar&amp;width=385&amp;height=120&amp;START_MAXIMIZED=FALSE&amp;creator=factset&amp;display_string=Audit"}</definedName>
    <definedName name="_1005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1006__FDSAUDITLINK__" localSheetId="1" hidden="1">{"fdsup://Directions/FactSet Auditing Viewer?action=AUDIT_VALUE&amp;DB=129&amp;ID1=03611510&amp;VALUEID=01001&amp;SDATE=200904&amp;PERIODTYPE=QTR_STD&amp;window=popup_no_bar&amp;width=385&amp;height=120&amp;START_MAXIMIZED=FALSE&amp;creator=factset&amp;display_string=Audit"}</definedName>
    <definedName name="_1006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1007__FDSAUDITLINK__" localSheetId="1" hidden="1">{"fdsup://Directions/FactSet Auditing Viewer?action=AUDIT_VALUE&amp;DB=129&amp;ID1=16890510&amp;VALUEID=01001&amp;SDATE=200904&amp;PERIODTYPE=QTR_STD&amp;window=popup_no_bar&amp;width=385&amp;height=120&amp;START_MAXIMIZED=FALSE&amp;creator=factset&amp;display_string=Audit"}</definedName>
    <definedName name="_1007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1008__FDSAUDITLINK__" localSheetId="1" hidden="1">{"fdsup://Directions/FactSet Auditing Viewer?action=AUDIT_VALUE&amp;DB=129&amp;ID1=91704710&amp;VALUEID=01001&amp;SDATE=200904&amp;PERIODTYPE=QTR_STD&amp;window=popup_no_bar&amp;width=385&amp;height=120&amp;START_MAXIMIZED=FALSE&amp;creator=factset&amp;display_string=Audit"}</definedName>
    <definedName name="_1008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1009__FDSAUDITLINK__" localSheetId="1" hidden="1">{"fdsup://Directions/FactSet Auditing Viewer?action=AUDIT_VALUE&amp;DB=129&amp;ID1=02553E10&amp;VALUEID=01001&amp;SDATE=200904&amp;PERIODTYPE=QTR_STD&amp;window=popup_no_bar&amp;width=385&amp;height=120&amp;START_MAXIMIZED=FALSE&amp;creator=factset&amp;display_string=Audit"}</definedName>
    <definedName name="_1009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101__FDSAUDITLINK__" localSheetId="1" hidden="1">{"fdsup://Directions/FactSet Auditing Viewer?action=AUDIT_VALUE&amp;DB=129&amp;ID1=00289620&amp;VALUEID=13040&amp;SDATE=200901&amp;PERIODTYPE=QTR_STD&amp;window=popup_no_bar&amp;width=385&amp;height=120&amp;START_MAXIMIZED=FALSE&amp;creator=factset&amp;display_string=Audit"}</definedName>
    <definedName name="_101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1010__FDSAUDITLINK__" localSheetId="1" hidden="1">{"fdsup://Directions/FactSet Auditing Viewer?action=AUDIT_VALUE&amp;DB=129&amp;ID1=00786510&amp;VALUEID=01001&amp;SDATE=200904&amp;PERIODTYPE=QTR_STD&amp;window=popup_no_bar&amp;width=385&amp;height=120&amp;START_MAXIMIZED=FALSE&amp;creator=factset&amp;display_string=Audit"}</definedName>
    <definedName name="_1010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1011__FDSAUDITLINK__" localSheetId="1" hidden="1">{"fdsup://Directions/FactSet Auditing Viewer?action=AUDIT_VALUE&amp;DB=129&amp;ID1=87416110&amp;VALUEID=02101&amp;SDATE=200903&amp;PERIODTYPE=QTR_STD&amp;window=popup_no_bar&amp;width=385&amp;height=120&amp;START_MAXIMIZED=FALSE&amp;creator=factset&amp;display_string=Audit"}</definedName>
    <definedName name="_1011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1012__FDSAUDITLINK__" localSheetId="1" hidden="1">{"fdsup://Directions/FactSet Auditing Viewer?action=AUDIT_VALUE&amp;DB=129&amp;ID1=87416110&amp;VALUEID=01001&amp;SDATE=200903&amp;PERIODTYPE=QTR_STD&amp;window=popup_no_bar&amp;width=385&amp;height=120&amp;START_MAXIMIZED=FALSE&amp;creator=factset&amp;display_string=Audit"}</definedName>
    <definedName name="_1012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1013__FDSAUDITLINK__" localSheetId="1" hidden="1">{"fdsup://Directions/FactSet Auditing Viewer?action=AUDIT_VALUE&amp;DB=129&amp;ID1=87416110&amp;VALUEID=13040&amp;SDATE=200903&amp;PERIODTYPE=QTR_STD&amp;window=popup_no_bar&amp;width=385&amp;height=120&amp;START_MAXIMIZED=FALSE&amp;creator=factset&amp;display_string=Audit"}</definedName>
    <definedName name="_1013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1014__FDSAUDITLINK__" localSheetId="1"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1014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1015__FDSAUDITLINK__" localSheetId="1" hidden="1">{"fdsup://Directions/FactSet Auditing Viewer?action=AUDIT_VALUE&amp;DB=129&amp;ID1=53271610&amp;VALUEID=02101&amp;SDATE=200903&amp;PERIODTYPE=QTR_STD&amp;window=popup_no_bar&amp;width=385&amp;height=120&amp;START_MAXIMIZED=FALSE&amp;creator=factset&amp;display_string=Audit"}</definedName>
    <definedName name="_1015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1016__FDSAUDITLINK__" localSheetId="1" hidden="1">{"fdsup://Directions/FactSet Auditing Viewer?action=AUDIT_VALUE&amp;DB=129&amp;ID1=53271610&amp;VALUEID=01001&amp;SDATE=200903&amp;PERIODTYPE=QTR_STD&amp;window=popup_no_bar&amp;width=385&amp;height=120&amp;START_MAXIMIZED=FALSE&amp;creator=factset&amp;display_string=Audit"}</definedName>
    <definedName name="_1016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1017__FDSAUDITLINK__" localSheetId="1" hidden="1">{"fdsup://Directions/FactSet Auditing Viewer?action=AUDIT_VALUE&amp;DB=129&amp;ID1=53271610&amp;VALUEID=13040&amp;SDATE=200903&amp;PERIODTYPE=QTR_STD&amp;window=popup_no_bar&amp;width=385&amp;height=120&amp;START_MAXIMIZED=FALSE&amp;creator=factset&amp;display_string=Audit"}</definedName>
    <definedName name="_1017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1018__FDSAUDITLINK__" localSheetId="1" hidden="1">{"fdsup://Directions/FactSet Auditing Viewer?action=AUDIT_VALUE&amp;DB=129&amp;ID1=46612H40&amp;VALUEID=02101&amp;SDATE=200903&amp;PERIODTYPE=QTR_STD&amp;window=popup_no_bar&amp;width=385&amp;height=120&amp;START_MAXIMIZED=FALSE&amp;creator=factset&amp;display_string=Audit"}</definedName>
    <definedName name="_1018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1019__FDSAUDITLINK__" localSheetId="1" hidden="1">{"fdsup://Directions/FactSet Auditing Viewer?action=AUDIT_VALUE&amp;DB=129&amp;ID1=46612H40&amp;VALUEID=01001&amp;SDATE=200903&amp;PERIODTYPE=QTR_STD&amp;window=popup_no_bar&amp;width=385&amp;height=120&amp;START_MAXIMIZED=FALSE&amp;creator=factset&amp;display_string=Audit"}</definedName>
    <definedName name="_1019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102__FDSAUDITLINK__" localSheetId="1" hidden="1">{"fdsup://Directions/FactSet Auditing Viewer?action=AUDIT_VALUE&amp;DB=129&amp;ID1=87416110&amp;VALUEID=01001&amp;SDATE=200804&amp;PERIODTYPE=QTR_STD&amp;window=popup_no_bar&amp;width=385&amp;height=120&amp;START_MAXIMIZED=FALSE&amp;creator=factset&amp;display_string=Audit"}</definedName>
    <definedName name="_102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1020__FDSAUDITLINK__" localSheetId="1" hidden="1">{"fdsup://Directions/FactSet Auditing Viewer?action=AUDIT_VALUE&amp;DB=129&amp;ID1=46612H40&amp;VALUEID=13040&amp;SDATE=200903&amp;PERIODTYPE=QTR_STD&amp;window=popup_no_bar&amp;width=385&amp;height=120&amp;START_MAXIMIZED=FALSE&amp;creator=factset&amp;display_string=Audit"}</definedName>
    <definedName name="_1020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1021__FDSAUDITLINK__" localSheetId="1" hidden="1">{"fdsup://Directions/FactSet Auditing Viewer?action=AUDIT_VALUE&amp;DB=129&amp;ID1=36476010&amp;VALUEID=02101&amp;SDATE=200903&amp;PERIODTYPE=QTR_STD&amp;window=popup_no_bar&amp;width=385&amp;height=120&amp;START_MAXIMIZED=FALSE&amp;creator=factset&amp;display_string=Audit"}</definedName>
    <definedName name="_1021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1022__FDSAUDITLINK__" localSheetId="1" hidden="1">{"fdsup://Directions/FactSet Auditing Viewer?action=AUDIT_VALUE&amp;DB=129&amp;ID1=36476010&amp;VALUEID=01001&amp;SDATE=200903&amp;PERIODTYPE=QTR_STD&amp;window=popup_no_bar&amp;width=385&amp;height=120&amp;START_MAXIMIZED=FALSE&amp;creator=factset&amp;display_string=Audit"}</definedName>
    <definedName name="_1022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1023__FDSAUDITLINK__" localSheetId="1" hidden="1">{"fdsup://Directions/FactSet Auditing Viewer?action=AUDIT_VALUE&amp;DB=129&amp;ID1=36476010&amp;VALUEID=13040&amp;SDATE=200903&amp;PERIODTYPE=QTR_STD&amp;window=popup_no_bar&amp;width=385&amp;height=120&amp;START_MAXIMIZED=FALSE&amp;creator=factset&amp;display_string=Audit"}</definedName>
    <definedName name="_1023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1024__FDSAUDITLINK__" localSheetId="1" hidden="1">{"fdsup://Directions/FactSet Auditing Viewer?action=AUDIT_VALUE&amp;DB=129&amp;ID1=03611510&amp;VALUEID=02101&amp;SDATE=200903&amp;PERIODTYPE=QTR_STD&amp;window=popup_no_bar&amp;width=385&amp;height=120&amp;START_MAXIMIZED=FALSE&amp;creator=factset&amp;display_string=Audit"}</definedName>
    <definedName name="_1024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1025__FDSAUDITLINK__" localSheetId="1" hidden="1">{"fdsup://Directions/FactSet Auditing Viewer?action=AUDIT_VALUE&amp;DB=129&amp;ID1=03611510&amp;VALUEID=01001&amp;SDATE=200903&amp;PERIODTYPE=QTR_STD&amp;window=popup_no_bar&amp;width=385&amp;height=120&amp;START_MAXIMIZED=FALSE&amp;creator=factset&amp;display_string=Audit"}</definedName>
    <definedName name="_1025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1026__FDSAUDITLINK__" localSheetId="1" hidden="1">{"fdsup://Directions/FactSet Auditing Viewer?action=AUDIT_VALUE&amp;DB=129&amp;ID1=03611510&amp;VALUEID=13040&amp;SDATE=200903&amp;PERIODTYPE=QTR_STD&amp;window=popup_no_bar&amp;width=385&amp;height=120&amp;START_MAXIMIZED=FALSE&amp;creator=factset&amp;display_string=Audit"}</definedName>
    <definedName name="_1026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1027__FDSAUDITLINK__" localSheetId="1" hidden="1">{"fdsup://Directions/FactSet Auditing Viewer?action=AUDIT_VALUE&amp;DB=129&amp;ID1=16890510&amp;VALUEID=02101&amp;SDATE=200903&amp;PERIODTYPE=QTR_STD&amp;window=popup_no_bar&amp;width=385&amp;height=120&amp;START_MAXIMIZED=FALSE&amp;creator=factset&amp;display_string=Audit"}</definedName>
    <definedName name="_1027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1028__FDSAUDITLINK__" localSheetId="1" hidden="1">{"fdsup://Directions/FactSet Auditing Viewer?action=AUDIT_VALUE&amp;DB=129&amp;ID1=16890510&amp;VALUEID=01001&amp;SDATE=200903&amp;PERIODTYPE=QTR_STD&amp;window=popup_no_bar&amp;width=385&amp;height=120&amp;START_MAXIMIZED=FALSE&amp;creator=factset&amp;display_string=Audit"}</definedName>
    <definedName name="_1028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1029__FDSAUDITLINK__" localSheetId="1" hidden="1">{"fdsup://Directions/FactSet Auditing Viewer?action=AUDIT_VALUE&amp;DB=129&amp;ID1=91704710&amp;VALUEID=02101&amp;SDATE=200903&amp;PERIODTYPE=QTR_STD&amp;window=popup_no_bar&amp;width=385&amp;height=120&amp;START_MAXIMIZED=FALSE&amp;creator=factset&amp;display_string=Audit"}</definedName>
    <definedName name="_1029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103__FDSAUDITLINK__" localSheetId="1"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03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030__FDSAUDITLINK__" localSheetId="1" hidden="1">{"fdsup://Directions/FactSet Auditing Viewer?action=AUDIT_VALUE&amp;DB=129&amp;ID1=91704710&amp;VALUEID=01001&amp;SDATE=200903&amp;PERIODTYPE=QTR_STD&amp;window=popup_no_bar&amp;width=385&amp;height=120&amp;START_MAXIMIZED=FALSE&amp;creator=factset&amp;display_string=Audit"}</definedName>
    <definedName name="_1030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1031__FDSAUDITLINK__" localSheetId="1" hidden="1">{"fdsup://Directions/FactSet Auditing Viewer?action=AUDIT_VALUE&amp;DB=129&amp;ID1=91704710&amp;VALUEID=13040&amp;SDATE=200903&amp;PERIODTYPE=QTR_STD&amp;window=popup_no_bar&amp;width=385&amp;height=120&amp;START_MAXIMIZED=FALSE&amp;creator=factset&amp;display_string=Audit"}</definedName>
    <definedName name="_1031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1032__FDSAUDITLINK__" localSheetId="1" hidden="1">{"fdsup://Directions/FactSet Auditing Viewer?action=AUDIT_VALUE&amp;DB=129&amp;ID1=02553E10&amp;VALUEID=02101&amp;SDATE=200903&amp;PERIODTYPE=QTR_STD&amp;window=popup_no_bar&amp;width=385&amp;height=120&amp;START_MAXIMIZED=FALSE&amp;creator=factset&amp;display_string=Audit"}</definedName>
    <definedName name="_1032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1033__FDSAUDITLINK__" localSheetId="1" hidden="1">{"fdsup://Directions/FactSet Auditing Viewer?action=AUDIT_VALUE&amp;DB=129&amp;ID1=02553E10&amp;VALUEID=01001&amp;SDATE=200903&amp;PERIODTYPE=QTR_STD&amp;window=popup_no_bar&amp;width=385&amp;height=120&amp;START_MAXIMIZED=FALSE&amp;creator=factset&amp;display_string=Audit"}</definedName>
    <definedName name="_1033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1034__FDSAUDITLINK__" localSheetId="1" hidden="1">{"fdsup://Directions/FactSet Auditing Viewer?action=AUDIT_VALUE&amp;DB=129&amp;ID1=00786510&amp;VALUEID=02101&amp;SDATE=200903&amp;PERIODTYPE=QTR_STD&amp;window=popup_no_bar&amp;width=385&amp;height=120&amp;START_MAXIMIZED=FALSE&amp;creator=factset&amp;display_string=Audit"}</definedName>
    <definedName name="_1034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1035__FDSAUDITLINK__" localSheetId="1" hidden="1">{"fdsup://Directions/FactSet Auditing Viewer?action=AUDIT_VALUE&amp;DB=129&amp;ID1=00786510&amp;VALUEID=01001&amp;SDATE=200903&amp;PERIODTYPE=QTR_STD&amp;window=popup_no_bar&amp;width=385&amp;height=120&amp;START_MAXIMIZED=FALSE&amp;creator=factset&amp;display_string=Audit"}</definedName>
    <definedName name="_1035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1036__FDSAUDITLINK__" localSheetId="1" hidden="1">{"fdsup://Directions/FactSet Auditing Viewer?action=AUDIT_VALUE&amp;DB=129&amp;ID1=00786510&amp;VALUEID=13040&amp;SDATE=200903&amp;PERIODTYPE=QTR_STD&amp;window=popup_no_bar&amp;width=385&amp;height=120&amp;START_MAXIMIZED=FALSE&amp;creator=factset&amp;display_string=Audit"}</definedName>
    <definedName name="_1036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1037__FDSAUDITLINK__" localSheetId="1" hidden="1">{"fdsup://Directions/FactSet Auditing Viewer?action=AUDIT_VALUE&amp;DB=129&amp;ID1=00289620&amp;VALUEID=02101&amp;SDATE=200903&amp;PERIODTYPE=QTR_STD&amp;window=popup_no_bar&amp;width=385&amp;height=120&amp;START_MAXIMIZED=FALSE&amp;creator=factset&amp;display_string=Audit"}</definedName>
    <definedName name="_1037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1038__FDSAUDITLINK__" localSheetId="1" hidden="1">{"fdsup://Directions/FactSet Auditing Viewer?action=AUDIT_VALUE&amp;DB=129&amp;ID1=00289620&amp;VALUEID=01001&amp;SDATE=200903&amp;PERIODTYPE=QTR_STD&amp;window=popup_no_bar&amp;width=385&amp;height=120&amp;START_MAXIMIZED=FALSE&amp;creator=factset&amp;display_string=Audit"}</definedName>
    <definedName name="_1038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1039__FDSAUDITLINK__" localSheetId="1" hidden="1">{"fdsup://Directions/FactSet Auditing Viewer?action=AUDIT_VALUE&amp;DB=129&amp;ID1=00289620&amp;VALUEID=13040&amp;SDATE=200903&amp;PERIODTYPE=QTR_STD&amp;window=popup_no_bar&amp;width=385&amp;height=120&amp;START_MAXIMIZED=FALSE&amp;creator=factset&amp;display_string=Audit"}</definedName>
    <definedName name="_1039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104__FDSAUDITLINK__" localSheetId="1" hidden="1">{"fdsup://Directions/FactSet Auditing Viewer?action=AUDIT_VALUE&amp;DB=129&amp;ID1=46612H40&amp;VALUEID=01001&amp;SDATE=200804&amp;PERIODTYPE=QTR_STD&amp;window=popup_no_bar&amp;width=385&amp;height=120&amp;START_MAXIMIZED=FALSE&amp;creator=factset&amp;display_string=Audit"}</definedName>
    <definedName name="_104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1040__FDSAUDITLINK__" localSheetId="1" hidden="1">{"fdsup://Directions/FactSet Auditing Viewer?action=AUDIT_VALUE&amp;DB=129&amp;ID1=87416110&amp;VALUEID=02101&amp;SDATE=200902&amp;PERIODTYPE=QTR_STD&amp;window=popup_no_bar&amp;width=385&amp;height=120&amp;START_MAXIMIZED=FALSE&amp;creator=factset&amp;display_string=Audit"}</definedName>
    <definedName name="_1040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1041__FDSAUDITLINK__" localSheetId="1" hidden="1">{"fdsup://Directions/FactSet Auditing Viewer?action=AUDIT_VALUE&amp;DB=129&amp;ID1=87416110&amp;VALUEID=01001&amp;SDATE=200902&amp;PERIODTYPE=QTR_STD&amp;window=popup_no_bar&amp;width=385&amp;height=120&amp;START_MAXIMIZED=FALSE&amp;creator=factset&amp;display_string=Audit"}</definedName>
    <definedName name="_1041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1042__FDSAUDITLINK__" localSheetId="1" hidden="1">{"fdsup://Directions/FactSet Auditing Viewer?action=AUDIT_VALUE&amp;DB=129&amp;ID1=53271610&amp;VALUEID=02101&amp;SDATE=200902&amp;PERIODTYPE=QTR_STD&amp;window=popup_no_bar&amp;width=385&amp;height=120&amp;START_MAXIMIZED=FALSE&amp;creator=factset&amp;display_string=Audit"}</definedName>
    <definedName name="_1042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1043__FDSAUDITLINK__" localSheetId="1" hidden="1">{"fdsup://Directions/FactSet Auditing Viewer?action=AUDIT_VALUE&amp;DB=129&amp;ID1=53271610&amp;VALUEID=01001&amp;SDATE=200902&amp;PERIODTYPE=QTR_STD&amp;window=popup_no_bar&amp;width=385&amp;height=120&amp;START_MAXIMIZED=FALSE&amp;creator=factset&amp;display_string=Audit"}</definedName>
    <definedName name="_1043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1044__FDSAUDITLINK__" localSheetId="1" hidden="1">{"fdsup://Directions/FactSet Auditing Viewer?action=AUDIT_VALUE&amp;DB=129&amp;ID1=53271610&amp;VALUEID=13040&amp;SDATE=200902&amp;PERIODTYPE=QTR_STD&amp;window=popup_no_bar&amp;width=385&amp;height=120&amp;START_MAXIMIZED=FALSE&amp;creator=factset&amp;display_string=Audit"}</definedName>
    <definedName name="_1044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1045__FDSAUDITLINK__" localSheetId="1" hidden="1">{"fdsup://Directions/FactSet Auditing Viewer?action=AUDIT_VALUE&amp;DB=129&amp;ID1=46612H40&amp;VALUEID=02101&amp;SDATE=200902&amp;PERIODTYPE=QTR_STD&amp;window=popup_no_bar&amp;width=385&amp;height=120&amp;START_MAXIMIZED=FALSE&amp;creator=factset&amp;display_string=Audit"}</definedName>
    <definedName name="_1045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1046__FDSAUDITLINK__" localSheetId="1" hidden="1">{"fdsup://Directions/FactSet Auditing Viewer?action=AUDIT_VALUE&amp;DB=129&amp;ID1=46612H40&amp;VALUEID=01001&amp;SDATE=200902&amp;PERIODTYPE=QTR_STD&amp;window=popup_no_bar&amp;width=385&amp;height=120&amp;START_MAXIMIZED=FALSE&amp;creator=factset&amp;display_string=Audit"}</definedName>
    <definedName name="_1046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1047__FDSAUDITLINK__" localSheetId="1" hidden="1">{"fdsup://Directions/FactSet Auditing Viewer?action=AUDIT_VALUE&amp;DB=129&amp;ID1=46612H40&amp;VALUEID=13040&amp;SDATE=200902&amp;PERIODTYPE=QTR_STD&amp;window=popup_no_bar&amp;width=385&amp;height=120&amp;START_MAXIMIZED=FALSE&amp;creator=factset&amp;display_string=Audit"}</definedName>
    <definedName name="_1047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1048__FDSAUDITLINK__" localSheetId="1" hidden="1">{"fdsup://Directions/FactSet Auditing Viewer?action=AUDIT_VALUE&amp;DB=129&amp;ID1=36476010&amp;VALUEID=02101&amp;SDATE=200902&amp;PERIODTYPE=QTR_STD&amp;window=popup_no_bar&amp;width=385&amp;height=120&amp;START_MAXIMIZED=FALSE&amp;creator=factset&amp;display_string=Audit"}</definedName>
    <definedName name="_1048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1049__FDSAUDITLINK__" localSheetId="1" hidden="1">{"fdsup://Directions/FactSet Auditing Viewer?action=AUDIT_VALUE&amp;DB=129&amp;ID1=36476010&amp;VALUEID=01001&amp;SDATE=200902&amp;PERIODTYPE=QTR_STD&amp;window=popup_no_bar&amp;width=385&amp;height=120&amp;START_MAXIMIZED=FALSE&amp;creator=factset&amp;display_string=Audit"}</definedName>
    <definedName name="_1049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105__FDSAUDITLINK__" localSheetId="1" hidden="1">{"fdsup://Directions/FactSet Auditing Viewer?action=AUDIT_VALUE&amp;DB=129&amp;ID1=46612H40&amp;VALUEID=13040&amp;SDATE=200804&amp;PERIODTYPE=QTR_STD&amp;window=popup_no_bar&amp;width=385&amp;height=120&amp;START_MAXIMIZED=FALSE&amp;creator=factset&amp;display_string=Audit"}</definedName>
    <definedName name="_105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1050__FDSAUDITLINK__" localSheetId="1" hidden="1">{"fdsup://Directions/FactSet Auditing Viewer?action=AUDIT_VALUE&amp;DB=129&amp;ID1=36476010&amp;VALUEID=13040&amp;SDATE=200902&amp;PERIODTYPE=QTR_STD&amp;window=popup_no_bar&amp;width=385&amp;height=120&amp;START_MAXIMIZED=FALSE&amp;creator=factset&amp;display_string=Audit"}</definedName>
    <definedName name="_1050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1051__FDSAUDITLINK__" localSheetId="1" hidden="1">{"fdsup://Directions/FactSet Auditing Viewer?action=AUDIT_VALUE&amp;DB=129&amp;ID1=03611510&amp;VALUEID=02101&amp;SDATE=200902&amp;PERIODTYPE=QTR_STD&amp;window=popup_no_bar&amp;width=385&amp;height=120&amp;START_MAXIMIZED=FALSE&amp;creator=factset&amp;display_string=Audit"}</definedName>
    <definedName name="_1051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1052__FDSAUDITLINK__" localSheetId="1" hidden="1">{"fdsup://Directions/FactSet Auditing Viewer?action=AUDIT_VALUE&amp;DB=129&amp;ID1=03611510&amp;VALUEID=01001&amp;SDATE=200902&amp;PERIODTYPE=QTR_STD&amp;window=popup_no_bar&amp;width=385&amp;height=120&amp;START_MAXIMIZED=FALSE&amp;creator=factset&amp;display_string=Audit"}</definedName>
    <definedName name="_1052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1053__FDSAUDITLINK__" localSheetId="1" hidden="1">{"fdsup://Directions/FactSet Auditing Viewer?action=AUDIT_VALUE&amp;DB=129&amp;ID1=03611510&amp;VALUEID=13040&amp;SDATE=200902&amp;PERIODTYPE=QTR_STD&amp;window=popup_no_bar&amp;width=385&amp;height=120&amp;START_MAXIMIZED=FALSE&amp;creator=factset&amp;display_string=Audit"}</definedName>
    <definedName name="_1053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1054__FDSAUDITLINK__" localSheetId="1" hidden="1">{"fdsup://Directions/FactSet Auditing Viewer?action=AUDIT_VALUE&amp;DB=129&amp;ID1=16890510&amp;VALUEID=02101&amp;SDATE=200902&amp;PERIODTYPE=QTR_STD&amp;window=popup_no_bar&amp;width=385&amp;height=120&amp;START_MAXIMIZED=FALSE&amp;creator=factset&amp;display_string=Audit"}</definedName>
    <definedName name="_1054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1055__FDSAUDITLINK__" localSheetId="1" hidden="1">{"fdsup://Directions/FactSet Auditing Viewer?action=AUDIT_VALUE&amp;DB=129&amp;ID1=16890510&amp;VALUEID=01001&amp;SDATE=200902&amp;PERIODTYPE=QTR_STD&amp;window=popup_no_bar&amp;width=385&amp;height=120&amp;START_MAXIMIZED=FALSE&amp;creator=factset&amp;display_string=Audit"}</definedName>
    <definedName name="_1055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1056__FDSAUDITLINK__" localSheetId="1" hidden="1">{"fdsup://Directions/FactSet Auditing Viewer?action=AUDIT_VALUE&amp;DB=129&amp;ID1=91704710&amp;VALUEID=02101&amp;SDATE=200902&amp;PERIODTYPE=QTR_STD&amp;window=popup_no_bar&amp;width=385&amp;height=120&amp;START_MAXIMIZED=FALSE&amp;creator=factset&amp;display_string=Audit"}</definedName>
    <definedName name="_1056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1057__FDSAUDITLINK__" localSheetId="1" hidden="1">{"fdsup://Directions/FactSet Auditing Viewer?action=AUDIT_VALUE&amp;DB=129&amp;ID1=91704710&amp;VALUEID=01001&amp;SDATE=200902&amp;PERIODTYPE=QTR_STD&amp;window=popup_no_bar&amp;width=385&amp;height=120&amp;START_MAXIMIZED=FALSE&amp;creator=factset&amp;display_string=Audit"}</definedName>
    <definedName name="_1057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1058__FDSAUDITLINK__" localSheetId="1" hidden="1">{"fdsup://Directions/FactSet Auditing Viewer?action=AUDIT_VALUE&amp;DB=129&amp;ID1=02553E10&amp;VALUEID=02101&amp;SDATE=200902&amp;PERIODTYPE=QTR_STD&amp;window=popup_no_bar&amp;width=385&amp;height=120&amp;START_MAXIMIZED=FALSE&amp;creator=factset&amp;display_string=Audit"}</definedName>
    <definedName name="_1058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1059__FDSAUDITLINK__" localSheetId="1" hidden="1">{"fdsup://Directions/FactSet Auditing Viewer?action=AUDIT_VALUE&amp;DB=129&amp;ID1=02553E10&amp;VALUEID=01001&amp;SDATE=200902&amp;PERIODTYPE=QTR_STD&amp;window=popup_no_bar&amp;width=385&amp;height=120&amp;START_MAXIMIZED=FALSE&amp;creator=factset&amp;display_string=Audit"}</definedName>
    <definedName name="_1059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106__FDSAUDITLINK__" localSheetId="1" hidden="1">{"fdsup://Directions/FactSet Auditing Viewer?action=AUDIT_VALUE&amp;DB=129&amp;ID1=36476010&amp;VALUEID=01001&amp;SDATE=200804&amp;PERIODTYPE=QTR_STD&amp;window=popup_no_bar&amp;width=385&amp;height=120&amp;START_MAXIMIZED=FALSE&amp;creator=factset&amp;display_string=Audit"}</definedName>
    <definedName name="_106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1060__FDSAUDITLINK__" localSheetId="1" hidden="1">{"fdsup://Directions/FactSet Auditing Viewer?action=AUDIT_VALUE&amp;DB=129&amp;ID1=02553E10&amp;VALUEID=13040&amp;SDATE=200902&amp;PERIODTYPE=QTR_STD&amp;window=popup_no_bar&amp;width=385&amp;height=120&amp;START_MAXIMIZED=FALSE&amp;creator=factset&amp;display_string=Audit"}</definedName>
    <definedName name="_1060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1061__FDSAUDITLINK__" localSheetId="1" hidden="1">{"fdsup://Directions/FactSet Auditing Viewer?action=AUDIT_VALUE&amp;DB=129&amp;ID1=00786510&amp;VALUEID=02101&amp;SDATE=200902&amp;PERIODTYPE=QTR_STD&amp;window=popup_no_bar&amp;width=385&amp;height=120&amp;START_MAXIMIZED=FALSE&amp;creator=factset&amp;display_string=Audit"}</definedName>
    <definedName name="_1061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1062__FDSAUDITLINK__" localSheetId="1" hidden="1">{"fdsup://Directions/FactSet Auditing Viewer?action=AUDIT_VALUE&amp;DB=129&amp;ID1=00786510&amp;VALUEID=01001&amp;SDATE=200902&amp;PERIODTYPE=QTR_STD&amp;window=popup_no_bar&amp;width=385&amp;height=120&amp;START_MAXIMIZED=FALSE&amp;creator=factset&amp;display_string=Audit"}</definedName>
    <definedName name="_1062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1063__FDSAUDITLINK__" localSheetId="1" hidden="1">{"fdsup://Directions/FactSet Auditing Viewer?action=AUDIT_VALUE&amp;DB=129&amp;ID1=00786510&amp;VALUEID=13040&amp;SDATE=200902&amp;PERIODTYPE=QTR_STD&amp;window=popup_no_bar&amp;width=385&amp;height=120&amp;START_MAXIMIZED=FALSE&amp;creator=factset&amp;display_string=Audit"}</definedName>
    <definedName name="_1063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1064__FDSAUDITLINK__" localSheetId="1" hidden="1">{"fdsup://Directions/FactSet Auditing Viewer?action=AUDIT_VALUE&amp;DB=129&amp;ID1=00289620&amp;VALUEID=02101&amp;SDATE=200902&amp;PERIODTYPE=QTR_STD&amp;window=popup_no_bar&amp;width=385&amp;height=120&amp;START_MAXIMIZED=FALSE&amp;creator=factset&amp;display_string=Audit"}</definedName>
    <definedName name="_1064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1065__FDSAUDITLINK__" localSheetId="1" hidden="1">{"fdsup://Directions/FactSet Auditing Viewer?action=AUDIT_VALUE&amp;DB=129&amp;ID1=00289620&amp;VALUEID=01001&amp;SDATE=200902&amp;PERIODTYPE=QTR_STD&amp;window=popup_no_bar&amp;width=385&amp;height=120&amp;START_MAXIMIZED=FALSE&amp;creator=factset&amp;display_string=Audit"}</definedName>
    <definedName name="_1065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1066__FDSAUDITLINK__" localSheetId="1" hidden="1">{"fdsup://Directions/FactSet Auditing Viewer?action=AUDIT_VALUE&amp;DB=129&amp;ID1=00289620&amp;VALUEID=13040&amp;SDATE=200902&amp;PERIODTYPE=QTR_STD&amp;window=popup_no_bar&amp;width=385&amp;height=120&amp;START_MAXIMIZED=FALSE&amp;creator=factset&amp;display_string=Audit"}</definedName>
    <definedName name="_1066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1067__FDSAUDITLINK__" localSheetId="1" hidden="1">{"fdsup://Directions/FactSet Auditing Viewer?action=AUDIT_VALUE&amp;DB=129&amp;ID1=87416110&amp;VALUEID=02101&amp;SDATE=200901&amp;PERIODTYPE=QTR_STD&amp;window=popup_no_bar&amp;width=385&amp;height=120&amp;START_MAXIMIZED=FALSE&amp;creator=factset&amp;display_string=Audit"}</definedName>
    <definedName name="_1067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1068__FDSAUDITLINK__" localSheetId="1" hidden="1">{"fdsup://Directions/FactSet Auditing Viewer?action=AUDIT_VALUE&amp;DB=129&amp;ID1=87416110&amp;VALUEID=01001&amp;SDATE=200901&amp;PERIODTYPE=QTR_STD&amp;window=popup_no_bar&amp;width=385&amp;height=120&amp;START_MAXIMIZED=FALSE&amp;creator=factset&amp;display_string=Audit"}</definedName>
    <definedName name="_1068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1069__FDSAUDITLINK__" localSheetId="1" hidden="1">{"fdsup://Directions/FactSet Auditing Viewer?action=AUDIT_VALUE&amp;DB=129&amp;ID1=87416110&amp;VALUEID=13040&amp;SDATE=200901&amp;PERIODTYPE=QTR_STD&amp;window=popup_no_bar&amp;width=385&amp;height=120&amp;START_MAXIMIZED=FALSE&amp;creator=factset&amp;display_string=Audit"}</definedName>
    <definedName name="_1069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107__FDSAUDITLINK__" localSheetId="1" hidden="1">{"fdsup://Directions/FactSet Auditing Viewer?action=AUDIT_VALUE&amp;DB=129&amp;ID1=03611510&amp;VALUEID=01001&amp;SDATE=200804&amp;PERIODTYPE=QTR_STD&amp;window=popup_no_bar&amp;width=385&amp;height=120&amp;START_MAXIMIZED=FALSE&amp;creator=factset&amp;display_string=Audit"}</definedName>
    <definedName name="_107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1070__FDSAUDITLINK__" localSheetId="1"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1070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1071__FDSAUDITLINK__" localSheetId="1" hidden="1">{"fdsup://Directions/FactSet Auditing Viewer?action=AUDIT_VALUE&amp;DB=129&amp;ID1=53271610&amp;VALUEID=13040&amp;SDATE=200901&amp;PERIODTYPE=QTR_STD&amp;window=popup_no_bar&amp;width=385&amp;height=120&amp;START_MAXIMIZED=FALSE&amp;creator=factset&amp;display_string=Audit"}</definedName>
    <definedName name="_1071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1072__FDSAUDITLINK__" localSheetId="1" hidden="1">{"fdsup://Directions/FactSet Auditing Viewer?action=AUDIT_VALUE&amp;DB=129&amp;ID1=46612H40&amp;VALUEID=02101&amp;SDATE=200901&amp;PERIODTYPE=QTR_STD&amp;window=popup_no_bar&amp;width=385&amp;height=120&amp;START_MAXIMIZED=FALSE&amp;creator=factset&amp;display_string=Audit"}</definedName>
    <definedName name="_1072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1073__FDSAUDITLINK__" localSheetId="1" hidden="1">{"fdsup://Directions/FactSet Auditing Viewer?action=AUDIT_VALUE&amp;DB=129&amp;ID1=46612H40&amp;VALUEID=01001&amp;SDATE=200901&amp;PERIODTYPE=QTR_STD&amp;window=popup_no_bar&amp;width=385&amp;height=120&amp;START_MAXIMIZED=FALSE&amp;creator=factset&amp;display_string=Audit"}</definedName>
    <definedName name="_1073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1074__FDSAUDITLINK__" localSheetId="1" hidden="1">{"fdsup://Directions/FactSet Auditing Viewer?action=AUDIT_VALUE&amp;DB=129&amp;ID1=46612H40&amp;VALUEID=13040&amp;SDATE=200901&amp;PERIODTYPE=QTR_STD&amp;window=popup_no_bar&amp;width=385&amp;height=120&amp;START_MAXIMIZED=FALSE&amp;creator=factset&amp;display_string=Audit"}</definedName>
    <definedName name="_1074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1075__FDSAUDITLINK__" localSheetId="1" hidden="1">{"fdsup://Directions/FactSet Auditing Viewer?action=AUDIT_VALUE&amp;DB=129&amp;ID1=03611510&amp;VALUEID=02101&amp;SDATE=200901&amp;PERIODTYPE=QTR_STD&amp;window=popup_no_bar&amp;width=385&amp;height=120&amp;START_MAXIMIZED=FALSE&amp;creator=factset&amp;display_string=Audit"}</definedName>
    <definedName name="_1075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1076__FDSAUDITLINK__" localSheetId="1" hidden="1">{"fdsup://Directions/FactSet Auditing Viewer?action=AUDIT_VALUE&amp;DB=129&amp;ID1=03611510&amp;VALUEID=01001&amp;SDATE=200901&amp;PERIODTYPE=QTR_STD&amp;window=popup_no_bar&amp;width=385&amp;height=120&amp;START_MAXIMIZED=FALSE&amp;creator=factset&amp;display_string=Audit"}</definedName>
    <definedName name="_1076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1077__FDSAUDITLINK__" localSheetId="1" hidden="1">{"fdsup://Directions/FactSet Auditing Viewer?action=AUDIT_VALUE&amp;DB=129&amp;ID1=16890510&amp;VALUEID=02101&amp;SDATE=200901&amp;PERIODTYPE=QTR_STD&amp;window=popup_no_bar&amp;width=385&amp;height=120&amp;START_MAXIMIZED=FALSE&amp;creator=factset&amp;display_string=Audit"}</definedName>
    <definedName name="_1077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1078__FDSAUDITLINK__" localSheetId="1" hidden="1">{"fdsup://Directions/FactSet Auditing Viewer?action=AUDIT_VALUE&amp;DB=129&amp;ID1=16890510&amp;VALUEID=01001&amp;SDATE=200901&amp;PERIODTYPE=QTR_STD&amp;window=popup_no_bar&amp;width=385&amp;height=120&amp;START_MAXIMIZED=FALSE&amp;creator=factset&amp;display_string=Audit"}</definedName>
    <definedName name="_1078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1079__FDSAUDITLINK__" localSheetId="1" hidden="1">{"fdsup://Directions/FactSet Auditing Viewer?action=AUDIT_VALUE&amp;DB=129&amp;ID1=00786510&amp;VALUEID=02101&amp;SDATE=200901&amp;PERIODTYPE=QTR_STD&amp;window=popup_no_bar&amp;width=385&amp;height=120&amp;START_MAXIMIZED=FALSE&amp;creator=factset&amp;display_string=Audit"}</definedName>
    <definedName name="_1079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108__FDSAUDITLINK__" localSheetId="1" hidden="1">{"fdsup://Directions/FactSet Auditing Viewer?action=AUDIT_VALUE&amp;DB=129&amp;ID1=16890510&amp;VALUEID=01001&amp;SDATE=200804&amp;PERIODTYPE=QTR_STD&amp;window=popup_no_bar&amp;width=385&amp;height=120&amp;START_MAXIMIZED=FALSE&amp;creator=factset&amp;display_string=Audit"}</definedName>
    <definedName name="_108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1080__FDSAUDITLINK__" localSheetId="1" hidden="1">{"fdsup://Directions/FactSet Auditing Viewer?action=AUDIT_VALUE&amp;DB=129&amp;ID1=00786510&amp;VALUEID=01001&amp;SDATE=200901&amp;PERIODTYPE=QTR_STD&amp;window=popup_no_bar&amp;width=385&amp;height=120&amp;START_MAXIMIZED=FALSE&amp;creator=factset&amp;display_string=Audit"}</definedName>
    <definedName name="_1080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1081__FDSAUDITLINK__" localSheetId="1" hidden="1">{"fdsup://Directions/FactSet Auditing Viewer?action=AUDIT_VALUE&amp;DB=129&amp;ID1=00786510&amp;VALUEID=13040&amp;SDATE=200901&amp;PERIODTYPE=QTR_STD&amp;window=popup_no_bar&amp;width=385&amp;height=120&amp;START_MAXIMIZED=FALSE&amp;creator=factset&amp;display_string=Audit"}</definedName>
    <definedName name="_1081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1082__FDSAUDITLINK__" localSheetId="1" hidden="1">{"fdsup://Directions/FactSet Auditing Viewer?action=AUDIT_VALUE&amp;DB=129&amp;ID1=00289620&amp;VALUEID=13040&amp;SDATE=200901&amp;PERIODTYPE=QTR_STD&amp;window=popup_no_bar&amp;width=385&amp;height=120&amp;START_MAXIMIZED=FALSE&amp;creator=factset&amp;display_string=Audit"}</definedName>
    <definedName name="_1082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1083__FDSAUDITLINK__" localSheetId="1" hidden="1">{"fdsup://Directions/FactSet Auditing Viewer?action=AUDIT_VALUE&amp;DB=129&amp;ID1=87416110&amp;VALUEID=01001&amp;SDATE=200804&amp;PERIODTYPE=QTR_STD&amp;window=popup_no_bar&amp;width=385&amp;height=120&amp;START_MAXIMIZED=FALSE&amp;creator=factset&amp;display_string=Audit"}</definedName>
    <definedName name="_1083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1084__FDSAUDITLINK__" localSheetId="1"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084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085__FDSAUDITLINK__" localSheetId="1" hidden="1">{"fdsup://Directions/FactSet Auditing Viewer?action=AUDIT_VALUE&amp;DB=129&amp;ID1=46612H40&amp;VALUEID=01001&amp;SDATE=200804&amp;PERIODTYPE=QTR_STD&amp;window=popup_no_bar&amp;width=385&amp;height=120&amp;START_MAXIMIZED=FALSE&amp;creator=factset&amp;display_string=Audit"}</definedName>
    <definedName name="_1085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1086__FDSAUDITLINK__" localSheetId="1" hidden="1">{"fdsup://Directions/FactSet Auditing Viewer?action=AUDIT_VALUE&amp;DB=129&amp;ID1=46612H40&amp;VALUEID=13040&amp;SDATE=200804&amp;PERIODTYPE=QTR_STD&amp;window=popup_no_bar&amp;width=385&amp;height=120&amp;START_MAXIMIZED=FALSE&amp;creator=factset&amp;display_string=Audit"}</definedName>
    <definedName name="_1086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1087__FDSAUDITLINK__" localSheetId="1" hidden="1">{"fdsup://Directions/FactSet Auditing Viewer?action=AUDIT_VALUE&amp;DB=129&amp;ID1=36476010&amp;VALUEID=01001&amp;SDATE=200804&amp;PERIODTYPE=QTR_STD&amp;window=popup_no_bar&amp;width=385&amp;height=120&amp;START_MAXIMIZED=FALSE&amp;creator=factset&amp;display_string=Audit"}</definedName>
    <definedName name="_1087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1088__FDSAUDITLINK__" localSheetId="1" hidden="1">{"fdsup://Directions/FactSet Auditing Viewer?action=AUDIT_VALUE&amp;DB=129&amp;ID1=03611510&amp;VALUEID=01001&amp;SDATE=200804&amp;PERIODTYPE=QTR_STD&amp;window=popup_no_bar&amp;width=385&amp;height=120&amp;START_MAXIMIZED=FALSE&amp;creator=factset&amp;display_string=Audit"}</definedName>
    <definedName name="_1088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1089__FDSAUDITLINK__" localSheetId="1" hidden="1">{"fdsup://Directions/FactSet Auditing Viewer?action=AUDIT_VALUE&amp;DB=129&amp;ID1=16890510&amp;VALUEID=01001&amp;SDATE=200804&amp;PERIODTYPE=QTR_STD&amp;window=popup_no_bar&amp;width=385&amp;height=120&amp;START_MAXIMIZED=FALSE&amp;creator=factset&amp;display_string=Audit"}</definedName>
    <definedName name="_1089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109__FDSAUDITLINK__" localSheetId="1" hidden="1">{"fdsup://Directions/FactSet Auditing Viewer?action=AUDIT_VALUE&amp;DB=129&amp;ID1=00786510&amp;VALUEID=01001&amp;SDATE=200804&amp;PERIODTYPE=QTR_STD&amp;window=popup_no_bar&amp;width=385&amp;height=120&amp;START_MAXIMIZED=FALSE&amp;creator=factset&amp;display_string=Audit"}</definedName>
    <definedName name="_109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1090__FDSAUDITLINK__" localSheetId="1" hidden="1">{"fdsup://Directions/FactSet Auditing Viewer?action=AUDIT_VALUE&amp;DB=129&amp;ID1=00786510&amp;VALUEID=01001&amp;SDATE=200804&amp;PERIODTYPE=QTR_STD&amp;window=popup_no_bar&amp;width=385&amp;height=120&amp;START_MAXIMIZED=FALSE&amp;creator=factset&amp;display_string=Audit"}</definedName>
    <definedName name="_1090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1091__FDSAUDITLINK__" localSheetId="1" hidden="1">{"fdsup://Directions/FactSet Auditing Viewer?action=AUDIT_VALUE&amp;DB=129&amp;ID1=87416110&amp;VALUEID=02101&amp;SDATE=200803&amp;PERIODTYPE=QTR_STD&amp;window=popup_no_bar&amp;width=385&amp;height=120&amp;START_MAXIMIZED=FALSE&amp;creator=factset&amp;display_string=Audit"}</definedName>
    <definedName name="_1091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1092__FDSAUDITLINK__" localSheetId="1" hidden="1">{"fdsup://Directions/FactSet Auditing Viewer?action=AUDIT_VALUE&amp;DB=129&amp;ID1=87416110&amp;VALUEID=01001&amp;SDATE=200803&amp;PERIODTYPE=QTR_STD&amp;window=popup_no_bar&amp;width=385&amp;height=120&amp;START_MAXIMIZED=FALSE&amp;creator=factset&amp;display_string=Audit"}</definedName>
    <definedName name="_1092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1093__FDSAUDITLINK__" localSheetId="1" hidden="1">{"fdsup://Directions/FactSet Auditing Viewer?action=AUDIT_VALUE&amp;DB=129&amp;ID1=87416110&amp;VALUEID=13040&amp;SDATE=200803&amp;PERIODTYPE=QTR_STD&amp;window=popup_no_bar&amp;width=385&amp;height=120&amp;START_MAXIMIZED=FALSE&amp;creator=factset&amp;display_string=Audit"}</definedName>
    <definedName name="_1093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1094__FDSAUDITLINK__" localSheetId="1"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094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095__FDSAUDITLINK__" localSheetId="1" hidden="1">{"fdsup://Directions/FactSet Auditing Viewer?action=AUDIT_VALUE&amp;DB=129&amp;ID1=46612H40&amp;VALUEID=02101&amp;SDATE=200803&amp;PERIODTYPE=QTR_STD&amp;window=popup_no_bar&amp;width=385&amp;height=120&amp;START_MAXIMIZED=FALSE&amp;creator=factset&amp;display_string=Audit"}</definedName>
    <definedName name="_1095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1096__FDSAUDITLINK__" localSheetId="1" hidden="1">{"fdsup://Directions/FactSet Auditing Viewer?action=AUDIT_VALUE&amp;DB=129&amp;ID1=46612H40&amp;VALUEID=01001&amp;SDATE=200803&amp;PERIODTYPE=QTR_STD&amp;window=popup_no_bar&amp;width=385&amp;height=120&amp;START_MAXIMIZED=FALSE&amp;creator=factset&amp;display_string=Audit"}</definedName>
    <definedName name="_1096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1097__FDSAUDITLINK__" localSheetId="1" hidden="1">{"fdsup://Directions/FactSet Auditing Viewer?action=AUDIT_VALUE&amp;DB=129&amp;ID1=46612H40&amp;VALUEID=13040&amp;SDATE=200803&amp;PERIODTYPE=QTR_STD&amp;window=popup_no_bar&amp;width=385&amp;height=120&amp;START_MAXIMIZED=FALSE&amp;creator=factset&amp;display_string=Audit"}</definedName>
    <definedName name="_1097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1098__FDSAUDITLINK__" localSheetId="1" hidden="1">{"fdsup://Directions/FactSet Auditing Viewer?action=AUDIT_VALUE&amp;DB=129&amp;ID1=36476010&amp;VALUEID=02101&amp;SDATE=200803&amp;PERIODTYPE=QTR_STD&amp;window=popup_no_bar&amp;width=385&amp;height=120&amp;START_MAXIMIZED=FALSE&amp;creator=factset&amp;display_string=Audit"}</definedName>
    <definedName name="_1098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1099__FDSAUDITLINK__" localSheetId="1" hidden="1">{"fdsup://Directions/FactSet Auditing Viewer?action=AUDIT_VALUE&amp;DB=129&amp;ID1=36476010&amp;VALUEID=01001&amp;SDATE=200803&amp;PERIODTYPE=QTR_STD&amp;window=popup_no_bar&amp;width=385&amp;height=120&amp;START_MAXIMIZED=FALSE&amp;creator=factset&amp;display_string=Audit"}</definedName>
    <definedName name="_1099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11__123Graph_XLIQUIDS" hidden="1">[1]P!$R$29:$AK$29</definedName>
    <definedName name="_11__FDSAUDITLINK__" localSheetId="1" hidden="1">{"fdsup://Directions/FactSet Auditing Viewer?action=AUDIT_VALUE&amp;DB=129&amp;ID1=03611510&amp;VALUEID=13040&amp;SDATE=201001&amp;PERIODTYPE=QTR_STD&amp;window=popup_no_bar&amp;width=385&amp;height=120&amp;START_MAXIMIZED=FALSE&amp;creator=factset&amp;display_string=Audit"}</definedName>
    <definedName name="_11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110__FDSAUDITLINK__" localSheetId="1" hidden="1">{"fdsup://Directions/FactSet Auditing Viewer?action=AUDIT_VALUE&amp;DB=129&amp;ID1=87416110&amp;VALUEID=02101&amp;SDATE=200803&amp;PERIODTYPE=QTR_STD&amp;window=popup_no_bar&amp;width=385&amp;height=120&amp;START_MAXIMIZED=FALSE&amp;creator=factset&amp;display_string=Audit"}</definedName>
    <definedName name="_110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1100__FDSAUDITLINK__" localSheetId="1" hidden="1">{"fdsup://Directions/FactSet Auditing Viewer?action=AUDIT_VALUE&amp;DB=129&amp;ID1=36476010&amp;VALUEID=13040&amp;SDATE=200803&amp;PERIODTYPE=QTR_STD&amp;window=popup_no_bar&amp;width=385&amp;height=120&amp;START_MAXIMIZED=FALSE&amp;creator=factset&amp;display_string=Audit"}</definedName>
    <definedName name="_1100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1101__FDSAUDITLINK__" localSheetId="1" hidden="1">{"fdsup://Directions/FactSet Auditing Viewer?action=AUDIT_VALUE&amp;DB=129&amp;ID1=03611510&amp;VALUEID=02101&amp;SDATE=200803&amp;PERIODTYPE=QTR_STD&amp;window=popup_no_bar&amp;width=385&amp;height=120&amp;START_MAXIMIZED=FALSE&amp;creator=factset&amp;display_string=Audit"}</definedName>
    <definedName name="_1101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1102__FDSAUDITLINK__" localSheetId="1" hidden="1">{"fdsup://Directions/FactSet Auditing Viewer?action=AUDIT_VALUE&amp;DB=129&amp;ID1=03611510&amp;VALUEID=01001&amp;SDATE=200803&amp;PERIODTYPE=QTR_STD&amp;window=popup_no_bar&amp;width=385&amp;height=120&amp;START_MAXIMIZED=FALSE&amp;creator=factset&amp;display_string=Audit"}</definedName>
    <definedName name="_1102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1103__FDSAUDITLINK__" localSheetId="1" hidden="1">{"fdsup://Directions/FactSet Auditing Viewer?action=AUDIT_VALUE&amp;DB=129&amp;ID1=16890510&amp;VALUEID=02101&amp;SDATE=200803&amp;PERIODTYPE=QTR_STD&amp;window=popup_no_bar&amp;width=385&amp;height=120&amp;START_MAXIMIZED=FALSE&amp;creator=factset&amp;display_string=Audit"}</definedName>
    <definedName name="_1103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1104__FDSAUDITLINK__" localSheetId="1" hidden="1">{"fdsup://Directions/FactSet Auditing Viewer?action=AUDIT_VALUE&amp;DB=129&amp;ID1=16890510&amp;VALUEID=01001&amp;SDATE=200803&amp;PERIODTYPE=QTR_STD&amp;window=popup_no_bar&amp;width=385&amp;height=120&amp;START_MAXIMIZED=FALSE&amp;creator=factset&amp;display_string=Audit"}</definedName>
    <definedName name="_1104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1105__FDSAUDITLINK__" localSheetId="1" hidden="1">{"fdsup://Directions/FactSet Auditing Viewer?action=AUDIT_VALUE&amp;DB=129&amp;ID1=91704710&amp;VALUEID=02101&amp;SDATE=200803&amp;PERIODTYPE=QTR_STD&amp;window=popup_no_bar&amp;width=385&amp;height=120&amp;START_MAXIMIZED=FALSE&amp;creator=factset&amp;display_string=Audit"}</definedName>
    <definedName name="_1105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1106__FDSAUDITLINK__" localSheetId="1" hidden="1">{"fdsup://Directions/FactSet Auditing Viewer?action=AUDIT_VALUE&amp;DB=129&amp;ID1=91704710&amp;VALUEID=01001&amp;SDATE=200803&amp;PERIODTYPE=QTR_STD&amp;window=popup_no_bar&amp;width=385&amp;height=120&amp;START_MAXIMIZED=FALSE&amp;creator=factset&amp;display_string=Audit"}</definedName>
    <definedName name="_1106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1107__FDSAUDITLINK__" localSheetId="1" hidden="1">{"fdsup://Directions/FactSet Auditing Viewer?action=AUDIT_VALUE&amp;DB=129&amp;ID1=91704710&amp;VALUEID=13040&amp;SDATE=200803&amp;PERIODTYPE=QTR_STD&amp;window=popup_no_bar&amp;width=385&amp;height=120&amp;START_MAXIMIZED=FALSE&amp;creator=factset&amp;display_string=Audit"}</definedName>
    <definedName name="_1107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1108__FDSAUDITLINK__" localSheetId="1" hidden="1">{"fdsup://Directions/FactSet Auditing Viewer?action=AUDIT_VALUE&amp;DB=129&amp;ID1=02553E10&amp;VALUEID=02101&amp;SDATE=200803&amp;PERIODTYPE=QTR_STD&amp;window=popup_no_bar&amp;width=385&amp;height=120&amp;START_MAXIMIZED=FALSE&amp;creator=factset&amp;display_string=Audit"}</definedName>
    <definedName name="_1108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1109__FDSAUDITLINK__" localSheetId="1" hidden="1">{"fdsup://Directions/FactSet Auditing Viewer?action=AUDIT_VALUE&amp;DB=129&amp;ID1=02553E10&amp;VALUEID=01001&amp;SDATE=200803&amp;PERIODTYPE=QTR_STD&amp;window=popup_no_bar&amp;width=385&amp;height=120&amp;START_MAXIMIZED=FALSE&amp;creator=factset&amp;display_string=Audit"}</definedName>
    <definedName name="_1109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111__FDSAUDITLINK__" localSheetId="1" hidden="1">{"fdsup://Directions/FactSet Auditing Viewer?action=AUDIT_VALUE&amp;DB=129&amp;ID1=87416110&amp;VALUEID=01001&amp;SDATE=200803&amp;PERIODTYPE=QTR_STD&amp;window=popup_no_bar&amp;width=385&amp;height=120&amp;START_MAXIMIZED=FALSE&amp;creator=factset&amp;display_string=Audit"}</definedName>
    <definedName name="_111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1110__FDSAUDITLINK__" localSheetId="1" hidden="1">{"fdsup://Directions/FactSet Auditing Viewer?action=AUDIT_VALUE&amp;DB=129&amp;ID1=02553E10&amp;VALUEID=13040&amp;SDATE=200803&amp;PERIODTYPE=QTR_STD&amp;window=popup_no_bar&amp;width=385&amp;height=120&amp;START_MAXIMIZED=FALSE&amp;creator=factset&amp;display_string=Audit"}</definedName>
    <definedName name="_1110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1111__FDSAUDITLINK__" localSheetId="1" hidden="1">{"fdsup://Directions/FactSet Auditing Viewer?action=AUDIT_VALUE&amp;DB=129&amp;ID1=00786510&amp;VALUEID=02101&amp;SDATE=200803&amp;PERIODTYPE=QTR_STD&amp;window=popup_no_bar&amp;width=385&amp;height=120&amp;START_MAXIMIZED=FALSE&amp;creator=factset&amp;display_string=Audit"}</definedName>
    <definedName name="_1111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1112__FDSAUDITLINK__" localSheetId="1" hidden="1">{"fdsup://Directions/FactSet Auditing Viewer?action=AUDIT_VALUE&amp;DB=129&amp;ID1=00786510&amp;VALUEID=01001&amp;SDATE=200803&amp;PERIODTYPE=QTR_STD&amp;window=popup_no_bar&amp;width=385&amp;height=120&amp;START_MAXIMIZED=FALSE&amp;creator=factset&amp;display_string=Audit"}</definedName>
    <definedName name="_1112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1113__FDSAUDITLINK__" localSheetId="1" hidden="1">{"fdsup://Directions/FactSet Auditing Viewer?action=AUDIT_VALUE&amp;DB=129&amp;ID1=00786510&amp;VALUEID=13040&amp;SDATE=200803&amp;PERIODTYPE=QTR_STD&amp;window=popup_no_bar&amp;width=385&amp;height=120&amp;START_MAXIMIZED=FALSE&amp;creator=factset&amp;display_string=Audit"}</definedName>
    <definedName name="_1113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1114__FDSAUDITLINK__" localSheetId="1" hidden="1">{"fdsup://Directions/FactSet Auditing Viewer?action=AUDIT_VALUE&amp;DB=129&amp;ID1=00289620&amp;VALUEID=02101&amp;SDATE=200803&amp;PERIODTYPE=QTR_STD&amp;window=popup_no_bar&amp;width=385&amp;height=120&amp;START_MAXIMIZED=FALSE&amp;creator=factset&amp;display_string=Audit"}</definedName>
    <definedName name="_1114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1115__FDSAUDITLINK__" localSheetId="1" hidden="1">{"fdsup://Directions/FactSet Auditing Viewer?action=AUDIT_VALUE&amp;DB=129&amp;ID1=00289620&amp;VALUEID=01001&amp;SDATE=200803&amp;PERIODTYPE=QTR_STD&amp;window=popup_no_bar&amp;width=385&amp;height=120&amp;START_MAXIMIZED=FALSE&amp;creator=factset&amp;display_string=Audit"}</definedName>
    <definedName name="_1115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1116__FDSAUDITLINK__" localSheetId="1" hidden="1">{"fdsup://Directions/FactSet Auditing Viewer?action=AUDIT_VALUE&amp;DB=129&amp;ID1=00289620&amp;VALUEID=13040&amp;SDATE=200803&amp;PERIODTYPE=QTR_STD&amp;window=popup_no_bar&amp;width=385&amp;height=120&amp;START_MAXIMIZED=FALSE&amp;creator=factset&amp;display_string=Audit"}</definedName>
    <definedName name="_1116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1117__FDSAUDITLINK__" localSheetId="1" hidden="1">{"fdsup://Directions/FactSet Auditing Viewer?action=AUDIT_VALUE&amp;DB=129&amp;ID1=87416110&amp;VALUEID=02101&amp;SDATE=200802&amp;PERIODTYPE=QTR_STD&amp;window=popup_no_bar&amp;width=385&amp;height=120&amp;START_MAXIMIZED=FALSE&amp;creator=factset&amp;display_string=Audit"}</definedName>
    <definedName name="_1117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1118__FDSAUDITLINK__" localSheetId="1" hidden="1">{"fdsup://Directions/FactSet Auditing Viewer?action=AUDIT_VALUE&amp;DB=129&amp;ID1=87416110&amp;VALUEID=01001&amp;SDATE=200802&amp;PERIODTYPE=QTR_STD&amp;window=popup_no_bar&amp;width=385&amp;height=120&amp;START_MAXIMIZED=FALSE&amp;creator=factset&amp;display_string=Audit"}</definedName>
    <definedName name="_1118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1119__FDSAUDITLINK__" localSheetId="1" hidden="1">{"fdsup://Directions/FactSet Auditing Viewer?action=AUDIT_VALUE&amp;DB=129&amp;ID1=53271610&amp;VALUEID=02101&amp;SDATE=200802&amp;PERIODTYPE=QTR_STD&amp;window=popup_no_bar&amp;width=385&amp;height=120&amp;START_MAXIMIZED=FALSE&amp;creator=factset&amp;display_string=Audit"}</definedName>
    <definedName name="_1119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112__FDSAUDITLINK__" localSheetId="1" hidden="1">{"fdsup://Directions/FactSet Auditing Viewer?action=AUDIT_VALUE&amp;DB=129&amp;ID1=87416110&amp;VALUEID=13040&amp;SDATE=200803&amp;PERIODTYPE=QTR_STD&amp;window=popup_no_bar&amp;width=385&amp;height=120&amp;START_MAXIMIZED=FALSE&amp;creator=factset&amp;display_string=Audit"}</definedName>
    <definedName name="_112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1120__FDSAUDITLINK__" localSheetId="1" hidden="1">{"fdsup://Directions/FactSet Auditing Viewer?action=AUDIT_VALUE&amp;DB=129&amp;ID1=53271610&amp;VALUEID=01001&amp;SDATE=200802&amp;PERIODTYPE=QTR_STD&amp;window=popup_no_bar&amp;width=385&amp;height=120&amp;START_MAXIMIZED=FALSE&amp;creator=factset&amp;display_string=Audit"}</definedName>
    <definedName name="_1120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1121__FDSAUDITLINK__" localSheetId="1" hidden="1">{"fdsup://Directions/FactSet Auditing Viewer?action=AUDIT_VALUE&amp;DB=129&amp;ID1=53271610&amp;VALUEID=13040&amp;SDATE=200802&amp;PERIODTYPE=QTR_STD&amp;window=popup_no_bar&amp;width=385&amp;height=120&amp;START_MAXIMIZED=FALSE&amp;creator=factset&amp;display_string=Audit"}</definedName>
    <definedName name="_1121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1122__FDSAUDITLINK__" localSheetId="1" hidden="1">{"fdsup://Directions/FactSet Auditing Viewer?action=AUDIT_VALUE&amp;DB=129&amp;ID1=46612H40&amp;VALUEID=02101&amp;SDATE=200802&amp;PERIODTYPE=QTR_STD&amp;window=popup_no_bar&amp;width=385&amp;height=120&amp;START_MAXIMIZED=FALSE&amp;creator=factset&amp;display_string=Audit"}</definedName>
    <definedName name="_1122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1123__FDSAUDITLINK__" localSheetId="1" hidden="1">{"fdsup://Directions/FactSet Auditing Viewer?action=AUDIT_VALUE&amp;DB=129&amp;ID1=46612H40&amp;VALUEID=01001&amp;SDATE=200802&amp;PERIODTYPE=QTR_STD&amp;window=popup_no_bar&amp;width=385&amp;height=120&amp;START_MAXIMIZED=FALSE&amp;creator=factset&amp;display_string=Audit"}</definedName>
    <definedName name="_1123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1124__FDSAUDITLINK__" localSheetId="1" hidden="1">{"fdsup://Directions/FactSet Auditing Viewer?action=AUDIT_VALUE&amp;DB=129&amp;ID1=46612H40&amp;VALUEID=13040&amp;SDATE=200802&amp;PERIODTYPE=QTR_STD&amp;window=popup_no_bar&amp;width=385&amp;height=120&amp;START_MAXIMIZED=FALSE&amp;creator=factset&amp;display_string=Audit"}</definedName>
    <definedName name="_1124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1125__FDSAUDITLINK__" localSheetId="1" hidden="1">{"fdsup://Directions/FactSet Auditing Viewer?action=AUDIT_VALUE&amp;DB=129&amp;ID1=36476010&amp;VALUEID=02101&amp;SDATE=200802&amp;PERIODTYPE=QTR_STD&amp;window=popup_no_bar&amp;width=385&amp;height=120&amp;START_MAXIMIZED=FALSE&amp;creator=factset&amp;display_string=Audit"}</definedName>
    <definedName name="_1125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1126__FDSAUDITLINK__" localSheetId="1" hidden="1">{"fdsup://Directions/FactSet Auditing Viewer?action=AUDIT_VALUE&amp;DB=129&amp;ID1=36476010&amp;VALUEID=01001&amp;SDATE=200802&amp;PERIODTYPE=QTR_STD&amp;window=popup_no_bar&amp;width=385&amp;height=120&amp;START_MAXIMIZED=FALSE&amp;creator=factset&amp;display_string=Audit"}</definedName>
    <definedName name="_1126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1127__FDSAUDITLINK__" localSheetId="1" hidden="1">{"fdsup://Directions/FactSet Auditing Viewer?action=AUDIT_VALUE&amp;DB=129&amp;ID1=36476010&amp;VALUEID=13040&amp;SDATE=200802&amp;PERIODTYPE=QTR_STD&amp;window=popup_no_bar&amp;width=385&amp;height=120&amp;START_MAXIMIZED=FALSE&amp;creator=factset&amp;display_string=Audit"}</definedName>
    <definedName name="_1127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1128__FDSAUDITLINK__" localSheetId="1" hidden="1">{"fdsup://Directions/FactSet Auditing Viewer?action=AUDIT_VALUE&amp;DB=129&amp;ID1=03611510&amp;VALUEID=02101&amp;SDATE=200802&amp;PERIODTYPE=QTR_STD&amp;window=popup_no_bar&amp;width=385&amp;height=120&amp;START_MAXIMIZED=FALSE&amp;creator=factset&amp;display_string=Audit"}</definedName>
    <definedName name="_1128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1129__FDSAUDITLINK__" localSheetId="1" hidden="1">{"fdsup://Directions/FactSet Auditing Viewer?action=AUDIT_VALUE&amp;DB=129&amp;ID1=03611510&amp;VALUEID=01001&amp;SDATE=200802&amp;PERIODTYPE=QTR_STD&amp;window=popup_no_bar&amp;width=385&amp;height=120&amp;START_MAXIMIZED=FALSE&amp;creator=factset&amp;display_string=Audit"}</definedName>
    <definedName name="_1129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113__FDSAUDITLINK__" localSheetId="1"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13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130__FDSAUDITLINK__" localSheetId="1" hidden="1">{"fdsup://Directions/FactSet Auditing Viewer?action=AUDIT_VALUE&amp;DB=129&amp;ID1=16890510&amp;VALUEID=02101&amp;SDATE=200802&amp;PERIODTYPE=QTR_STD&amp;window=popup_no_bar&amp;width=385&amp;height=120&amp;START_MAXIMIZED=FALSE&amp;creator=factset&amp;display_string=Audit"}</definedName>
    <definedName name="_1130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1131__FDSAUDITLINK__" localSheetId="1" hidden="1">{"fdsup://Directions/FactSet Auditing Viewer?action=AUDIT_VALUE&amp;DB=129&amp;ID1=16890510&amp;VALUEID=01001&amp;SDATE=200802&amp;PERIODTYPE=QTR_STD&amp;window=popup_no_bar&amp;width=385&amp;height=120&amp;START_MAXIMIZED=FALSE&amp;creator=factset&amp;display_string=Audit"}</definedName>
    <definedName name="_1131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1132__FDSAUDITLINK__" localSheetId="1" hidden="1">{"fdsup://Directions/FactSet Auditing Viewer?action=AUDIT_VALUE&amp;DB=129&amp;ID1=91704710&amp;VALUEID=02101&amp;SDATE=200802&amp;PERIODTYPE=QTR_STD&amp;window=popup_no_bar&amp;width=385&amp;height=120&amp;START_MAXIMIZED=FALSE&amp;creator=factset&amp;display_string=Audit"}</definedName>
    <definedName name="_1132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1133__FDSAUDITLINK__" localSheetId="1" hidden="1">{"fdsup://Directions/FactSet Auditing Viewer?action=AUDIT_VALUE&amp;DB=129&amp;ID1=91704710&amp;VALUEID=01001&amp;SDATE=200802&amp;PERIODTYPE=QTR_STD&amp;window=popup_no_bar&amp;width=385&amp;height=120&amp;START_MAXIMIZED=FALSE&amp;creator=factset&amp;display_string=Audit"}</definedName>
    <definedName name="_1133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1134__FDSAUDITLINK__" localSheetId="1" hidden="1">{"fdsup://Directions/FactSet Auditing Viewer?action=AUDIT_VALUE&amp;DB=129&amp;ID1=91704710&amp;VALUEID=13040&amp;SDATE=200802&amp;PERIODTYPE=QTR_STD&amp;window=popup_no_bar&amp;width=385&amp;height=120&amp;START_MAXIMIZED=FALSE&amp;creator=factset&amp;display_string=Audit"}</definedName>
    <definedName name="_1134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1135__FDSAUDITLINK__" localSheetId="1" hidden="1">{"fdsup://Directions/FactSet Auditing Viewer?action=AUDIT_VALUE&amp;DB=129&amp;ID1=02553E10&amp;VALUEID=02101&amp;SDATE=200802&amp;PERIODTYPE=QTR_STD&amp;window=popup_no_bar&amp;width=385&amp;height=120&amp;START_MAXIMIZED=FALSE&amp;creator=factset&amp;display_string=Audit"}</definedName>
    <definedName name="_1135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1136__FDSAUDITLINK__" localSheetId="1" hidden="1">{"fdsup://Directions/FactSet Auditing Viewer?action=AUDIT_VALUE&amp;DB=129&amp;ID1=02553E10&amp;VALUEID=01001&amp;SDATE=200802&amp;PERIODTYPE=QTR_STD&amp;window=popup_no_bar&amp;width=385&amp;height=120&amp;START_MAXIMIZED=FALSE&amp;creator=factset&amp;display_string=Audit"}</definedName>
    <definedName name="_1136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1137__FDSAUDITLINK__" localSheetId="1" hidden="1">{"fdsup://Directions/FactSet Auditing Viewer?action=AUDIT_VALUE&amp;DB=129&amp;ID1=02553E10&amp;VALUEID=13040&amp;SDATE=200802&amp;PERIODTYPE=QTR_STD&amp;window=popup_no_bar&amp;width=385&amp;height=120&amp;START_MAXIMIZED=FALSE&amp;creator=factset&amp;display_string=Audit"}</definedName>
    <definedName name="_1137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1138__FDSAUDITLINK__" localSheetId="1" hidden="1">{"fdsup://Directions/FactSet Auditing Viewer?action=AUDIT_VALUE&amp;DB=129&amp;ID1=00786510&amp;VALUEID=02101&amp;SDATE=200802&amp;PERIODTYPE=QTR_STD&amp;window=popup_no_bar&amp;width=385&amp;height=120&amp;START_MAXIMIZED=FALSE&amp;creator=factset&amp;display_string=Audit"}</definedName>
    <definedName name="_1138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1139__FDSAUDITLINK__" localSheetId="1" hidden="1">{"fdsup://Directions/FactSet Auditing Viewer?action=AUDIT_VALUE&amp;DB=129&amp;ID1=00786510&amp;VALUEID=01001&amp;SDATE=200802&amp;PERIODTYPE=QTR_STD&amp;window=popup_no_bar&amp;width=385&amp;height=120&amp;START_MAXIMIZED=FALSE&amp;creator=factset&amp;display_string=Audit"}</definedName>
    <definedName name="_1139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114__FDSAUDITLINK__" localSheetId="1" hidden="1">{"fdsup://Directions/FactSet Auditing Viewer?action=AUDIT_VALUE&amp;DB=129&amp;ID1=46612H40&amp;VALUEID=02101&amp;SDATE=200803&amp;PERIODTYPE=QTR_STD&amp;window=popup_no_bar&amp;width=385&amp;height=120&amp;START_MAXIMIZED=FALSE&amp;creator=factset&amp;display_string=Audit"}</definedName>
    <definedName name="_114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1140__FDSAUDITLINK__" localSheetId="1" hidden="1">{"fdsup://Directions/FactSet Auditing Viewer?action=AUDIT_VALUE&amp;DB=129&amp;ID1=00786510&amp;VALUEID=13040&amp;SDATE=200802&amp;PERIODTYPE=QTR_STD&amp;window=popup_no_bar&amp;width=385&amp;height=120&amp;START_MAXIMIZED=FALSE&amp;creator=factset&amp;display_string=Audit"}</definedName>
    <definedName name="_1140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1141__FDSAUDITLINK__" localSheetId="1" hidden="1">{"fdsup://Directions/FactSet Auditing Viewer?action=AUDIT_VALUE&amp;DB=129&amp;ID1=00289620&amp;VALUEID=02101&amp;SDATE=200802&amp;PERIODTYPE=QTR_STD&amp;window=popup_no_bar&amp;width=385&amp;height=120&amp;START_MAXIMIZED=FALSE&amp;creator=factset&amp;display_string=Audit"}</definedName>
    <definedName name="_1141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1142__FDSAUDITLINK__" localSheetId="1" hidden="1">{"fdsup://Directions/FactSet Auditing Viewer?action=AUDIT_VALUE&amp;DB=129&amp;ID1=00289620&amp;VALUEID=01001&amp;SDATE=200802&amp;PERIODTYPE=QTR_STD&amp;window=popup_no_bar&amp;width=385&amp;height=120&amp;START_MAXIMIZED=FALSE&amp;creator=factset&amp;display_string=Audit"}</definedName>
    <definedName name="_1142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1143__FDSAUDITLINK__" localSheetId="1" hidden="1">{"fdsup://Directions/FactSet Auditing Viewer?action=AUDIT_VALUE&amp;DB=129&amp;ID1=00289620&amp;VALUEID=13040&amp;SDATE=200802&amp;PERIODTYPE=QTR_STD&amp;window=popup_no_bar&amp;width=385&amp;height=120&amp;START_MAXIMIZED=FALSE&amp;creator=factset&amp;display_string=Audit"}</definedName>
    <definedName name="_1143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1144__FDSAUDITLINK__" localSheetId="1" hidden="1">{"fdsup://Directions/FactSet Auditing Viewer?action=AUDIT_VALUE&amp;DB=129&amp;ID1=87416110&amp;VALUEID=02101&amp;SDATE=200801&amp;PERIODTYPE=QTR_STD&amp;window=popup_no_bar&amp;width=385&amp;height=120&amp;START_MAXIMIZED=FALSE&amp;creator=factset&amp;display_string=Audit"}</definedName>
    <definedName name="_1144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1145__FDSAUDITLINK__" localSheetId="1" hidden="1">{"fdsup://Directions/FactSet Auditing Viewer?action=AUDIT_VALUE&amp;DB=129&amp;ID1=87416110&amp;VALUEID=01001&amp;SDATE=200801&amp;PERIODTYPE=QTR_STD&amp;window=popup_no_bar&amp;width=385&amp;height=120&amp;START_MAXIMIZED=FALSE&amp;creator=factset&amp;display_string=Audit"}</definedName>
    <definedName name="_1145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1146__FDSAUDITLINK__" localSheetId="1" hidden="1">{"fdsup://Directions/FactSet Auditing Viewer?action=AUDIT_VALUE&amp;DB=129&amp;ID1=53271610&amp;VALUEID=02101&amp;SDATE=200801&amp;PERIODTYPE=QTR_STD&amp;window=popup_no_bar&amp;width=385&amp;height=120&amp;START_MAXIMIZED=FALSE&amp;creator=factset&amp;display_string=Audit"}</definedName>
    <definedName name="_1146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1147__FDSAUDITLINK__" localSheetId="1" hidden="1">{"fdsup://Directions/FactSet Auditing Viewer?action=AUDIT_VALUE&amp;DB=129&amp;ID1=53271610&amp;VALUEID=01001&amp;SDATE=200801&amp;PERIODTYPE=QTR_STD&amp;window=popup_no_bar&amp;width=385&amp;height=120&amp;START_MAXIMIZED=FALSE&amp;creator=factset&amp;display_string=Audit"}</definedName>
    <definedName name="_1147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1148__FDSAUDITLINK__" localSheetId="1" hidden="1">{"fdsup://Directions/FactSet Auditing Viewer?action=AUDIT_VALUE&amp;DB=129&amp;ID1=53271610&amp;VALUEID=13040&amp;SDATE=200801&amp;PERIODTYPE=QTR_STD&amp;window=popup_no_bar&amp;width=385&amp;height=120&amp;START_MAXIMIZED=FALSE&amp;creator=factset&amp;display_string=Audit"}</definedName>
    <definedName name="_1148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1149__FDSAUDITLINK__" localSheetId="1" hidden="1">{"fdsup://Directions/FactSet Auditing Viewer?action=AUDIT_VALUE&amp;DB=129&amp;ID1=46612H40&amp;VALUEID=02101&amp;SDATE=200801&amp;PERIODTYPE=QTR_STD&amp;window=popup_no_bar&amp;width=385&amp;height=120&amp;START_MAXIMIZED=FALSE&amp;creator=factset&amp;display_string=Audit"}</definedName>
    <definedName name="_1149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115__FDSAUDITLINK__" localSheetId="1" hidden="1">{"fdsup://Directions/FactSet Auditing Viewer?action=AUDIT_VALUE&amp;DB=129&amp;ID1=46612H40&amp;VALUEID=01001&amp;SDATE=200803&amp;PERIODTYPE=QTR_STD&amp;window=popup_no_bar&amp;width=385&amp;height=120&amp;START_MAXIMIZED=FALSE&amp;creator=factset&amp;display_string=Audit"}</definedName>
    <definedName name="_115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1150__FDSAUDITLINK__" localSheetId="1" hidden="1">{"fdsup://Directions/FactSet Auditing Viewer?action=AUDIT_VALUE&amp;DB=129&amp;ID1=46612H40&amp;VALUEID=01001&amp;SDATE=200801&amp;PERIODTYPE=QTR_STD&amp;window=popup_no_bar&amp;width=385&amp;height=120&amp;START_MAXIMIZED=FALSE&amp;creator=factset&amp;display_string=Audit"}</definedName>
    <definedName name="_1150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1151__FDSAUDITLINK__" localSheetId="1" hidden="1">{"fdsup://Directions/FactSet Auditing Viewer?action=AUDIT_VALUE&amp;DB=129&amp;ID1=46612H40&amp;VALUEID=13040&amp;SDATE=200801&amp;PERIODTYPE=QTR_STD&amp;window=popup_no_bar&amp;width=385&amp;height=120&amp;START_MAXIMIZED=FALSE&amp;creator=factset&amp;display_string=Audit"}</definedName>
    <definedName name="_1151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1152__FDSAUDITLINK__" localSheetId="1" hidden="1">{"fdsup://Directions/FactSet Auditing Viewer?action=AUDIT_VALUE&amp;DB=129&amp;ID1=36476010&amp;VALUEID=02101&amp;SDATE=200801&amp;PERIODTYPE=QTR_STD&amp;window=popup_no_bar&amp;width=385&amp;height=120&amp;START_MAXIMIZED=FALSE&amp;creator=factset&amp;display_string=Audit"}</definedName>
    <definedName name="_1152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1153__FDSAUDITLINK__" localSheetId="1" hidden="1">{"fdsup://Directions/FactSet Auditing Viewer?action=AUDIT_VALUE&amp;DB=129&amp;ID1=36476010&amp;VALUEID=01001&amp;SDATE=200801&amp;PERIODTYPE=QTR_STD&amp;window=popup_no_bar&amp;width=385&amp;height=120&amp;START_MAXIMIZED=FALSE&amp;creator=factset&amp;display_string=Audit"}</definedName>
    <definedName name="_1153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1154__FDSAUDITLINK__" localSheetId="1" hidden="1">{"fdsup://Directions/FactSet Auditing Viewer?action=AUDIT_VALUE&amp;DB=129&amp;ID1=36476010&amp;VALUEID=13040&amp;SDATE=200801&amp;PERIODTYPE=QTR_STD&amp;window=popup_no_bar&amp;width=385&amp;height=120&amp;START_MAXIMIZED=FALSE&amp;creator=factset&amp;display_string=Audit"}</definedName>
    <definedName name="_1154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1155__FDSAUDITLINK__" localSheetId="1" hidden="1">{"fdsup://Directions/FactSet Auditing Viewer?action=AUDIT_VALUE&amp;DB=129&amp;ID1=03611510&amp;VALUEID=02101&amp;SDATE=200801&amp;PERIODTYPE=QTR_STD&amp;window=popup_no_bar&amp;width=385&amp;height=120&amp;START_MAXIMIZED=FALSE&amp;creator=factset&amp;display_string=Audit"}</definedName>
    <definedName name="_1155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1156__FDSAUDITLINK__" localSheetId="1" hidden="1">{"fdsup://Directions/FactSet Auditing Viewer?action=AUDIT_VALUE&amp;DB=129&amp;ID1=03611510&amp;VALUEID=01001&amp;SDATE=200801&amp;PERIODTYPE=QTR_STD&amp;window=popup_no_bar&amp;width=385&amp;height=120&amp;START_MAXIMIZED=FALSE&amp;creator=factset&amp;display_string=Audit"}</definedName>
    <definedName name="_1156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1157__FDSAUDITLINK__" localSheetId="1" hidden="1">{"fdsup://Directions/FactSet Auditing Viewer?action=AUDIT_VALUE&amp;DB=129&amp;ID1=03611510&amp;VALUEID=13040&amp;SDATE=200801&amp;PERIODTYPE=QTR_STD&amp;window=popup_no_bar&amp;width=385&amp;height=120&amp;START_MAXIMIZED=FALSE&amp;creator=factset&amp;display_string=Audit"}</definedName>
    <definedName name="_1157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1158__FDSAUDITLINK__" localSheetId="1" hidden="1">{"fdsup://Directions/FactSet Auditing Viewer?action=AUDIT_VALUE&amp;DB=129&amp;ID1=16890510&amp;VALUEID=02101&amp;SDATE=200801&amp;PERIODTYPE=QTR_STD&amp;window=popup_no_bar&amp;width=385&amp;height=120&amp;START_MAXIMIZED=FALSE&amp;creator=factset&amp;display_string=Audit"}</definedName>
    <definedName name="_1158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1159__FDSAUDITLINK__" localSheetId="1" hidden="1">{"fdsup://Directions/FactSet Auditing Viewer?action=AUDIT_VALUE&amp;DB=129&amp;ID1=16890510&amp;VALUEID=01001&amp;SDATE=200801&amp;PERIODTYPE=QTR_STD&amp;window=popup_no_bar&amp;width=385&amp;height=120&amp;START_MAXIMIZED=FALSE&amp;creator=factset&amp;display_string=Audit"}</definedName>
    <definedName name="_1159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116__FDSAUDITLINK__" localSheetId="1" hidden="1">{"fdsup://Directions/FactSet Auditing Viewer?action=AUDIT_VALUE&amp;DB=129&amp;ID1=46612H40&amp;VALUEID=13040&amp;SDATE=200803&amp;PERIODTYPE=QTR_STD&amp;window=popup_no_bar&amp;width=385&amp;height=120&amp;START_MAXIMIZED=FALSE&amp;creator=factset&amp;display_string=Audit"}</definedName>
    <definedName name="_116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1160__FDSAUDITLINK__" localSheetId="1" hidden="1">{"fdsup://Directions/FactSet Auditing Viewer?action=AUDIT_VALUE&amp;DB=129&amp;ID1=91704710&amp;VALUEID=02101&amp;SDATE=200801&amp;PERIODTYPE=QTR_STD&amp;window=popup_no_bar&amp;width=385&amp;height=120&amp;START_MAXIMIZED=FALSE&amp;creator=factset&amp;display_string=Audit"}</definedName>
    <definedName name="_1160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1161__FDSAUDITLINK__" localSheetId="1" hidden="1">{"fdsup://Directions/FactSet Auditing Viewer?action=AUDIT_VALUE&amp;DB=129&amp;ID1=91704710&amp;VALUEID=01001&amp;SDATE=200801&amp;PERIODTYPE=QTR_STD&amp;window=popup_no_bar&amp;width=385&amp;height=120&amp;START_MAXIMIZED=FALSE&amp;creator=factset&amp;display_string=Audit"}</definedName>
    <definedName name="_1161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1162__FDSAUDITLINK__" localSheetId="1" hidden="1">{"fdsup://Directions/FactSet Auditing Viewer?action=AUDIT_VALUE&amp;DB=129&amp;ID1=91704710&amp;VALUEID=13040&amp;SDATE=200801&amp;PERIODTYPE=QTR_STD&amp;window=popup_no_bar&amp;width=385&amp;height=120&amp;START_MAXIMIZED=FALSE&amp;creator=factset&amp;display_string=Audit"}</definedName>
    <definedName name="_1162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1163__FDSAUDITLINK__" localSheetId="1" hidden="1">{"fdsup://Directions/FactSet Auditing Viewer?action=AUDIT_VALUE&amp;DB=129&amp;ID1=02553E10&amp;VALUEID=02101&amp;SDATE=200801&amp;PERIODTYPE=QTR_STD&amp;window=popup_no_bar&amp;width=385&amp;height=120&amp;START_MAXIMIZED=FALSE&amp;creator=factset&amp;display_string=Audit"}</definedName>
    <definedName name="_1163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1164__FDSAUDITLINK__" localSheetId="1" hidden="1">{"fdsup://Directions/FactSet Auditing Viewer?action=AUDIT_VALUE&amp;DB=129&amp;ID1=02553E10&amp;VALUEID=01001&amp;SDATE=200801&amp;PERIODTYPE=QTR_STD&amp;window=popup_no_bar&amp;width=385&amp;height=120&amp;START_MAXIMIZED=FALSE&amp;creator=factset&amp;display_string=Audit"}</definedName>
    <definedName name="_1164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1165__FDSAUDITLINK__" localSheetId="1" hidden="1">{"fdsup://Directions/FactSet Auditing Viewer?action=AUDIT_VALUE&amp;DB=129&amp;ID1=02553E10&amp;VALUEID=13040&amp;SDATE=200801&amp;PERIODTYPE=QTR_STD&amp;window=popup_no_bar&amp;width=385&amp;height=120&amp;START_MAXIMIZED=FALSE&amp;creator=factset&amp;display_string=Audit"}</definedName>
    <definedName name="_1165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1166__FDSAUDITLINK__" localSheetId="1" hidden="1">{"fdsup://Directions/FactSet Auditing Viewer?action=AUDIT_VALUE&amp;DB=129&amp;ID1=00786510&amp;VALUEID=02101&amp;SDATE=200801&amp;PERIODTYPE=QTR_STD&amp;window=popup_no_bar&amp;width=385&amp;height=120&amp;START_MAXIMIZED=FALSE&amp;creator=factset&amp;display_string=Audit"}</definedName>
    <definedName name="_1166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1167__FDSAUDITLINK__" localSheetId="1" hidden="1">{"fdsup://Directions/FactSet Auditing Viewer?action=AUDIT_VALUE&amp;DB=129&amp;ID1=00786510&amp;VALUEID=01001&amp;SDATE=200801&amp;PERIODTYPE=QTR_STD&amp;window=popup_no_bar&amp;width=385&amp;height=120&amp;START_MAXIMIZED=FALSE&amp;creator=factset&amp;display_string=Audit"}</definedName>
    <definedName name="_1167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1168__FDSAUDITLINK__" localSheetId="1" hidden="1">{"fdsup://Directions/FactSet Auditing Viewer?action=AUDIT_VALUE&amp;DB=129&amp;ID1=00786510&amp;VALUEID=13040&amp;SDATE=200801&amp;PERIODTYPE=QTR_STD&amp;window=popup_no_bar&amp;width=385&amp;height=120&amp;START_MAXIMIZED=FALSE&amp;creator=factset&amp;display_string=Audit"}</definedName>
    <definedName name="_1168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1169__FDSAUDITLINK__" localSheetId="1" hidden="1">{"fdsup://Directions/FactSet Auditing Viewer?action=AUDIT_VALUE&amp;DB=129&amp;ID1=00289620&amp;VALUEID=02101&amp;SDATE=200801&amp;PERIODTYPE=QTR_STD&amp;window=popup_no_bar&amp;width=385&amp;height=120&amp;START_MAXIMIZED=FALSE&amp;creator=factset&amp;display_string=Audit"}</definedName>
    <definedName name="_1169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117__FDSAUDITLINK__" localSheetId="1" hidden="1">{"fdsup://Directions/FactSet Auditing Viewer?action=AUDIT_VALUE&amp;DB=129&amp;ID1=36476010&amp;VALUEID=02101&amp;SDATE=200803&amp;PERIODTYPE=QTR_STD&amp;window=popup_no_bar&amp;width=385&amp;height=120&amp;START_MAXIMIZED=FALSE&amp;creator=factset&amp;display_string=Audit"}</definedName>
    <definedName name="_117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1170__FDSAUDITLINK__" localSheetId="1" hidden="1">{"fdsup://Directions/FactSet Auditing Viewer?action=AUDIT_VALUE&amp;DB=129&amp;ID1=00289620&amp;VALUEID=01001&amp;SDATE=200801&amp;PERIODTYPE=QTR_STD&amp;window=popup_no_bar&amp;width=385&amp;height=120&amp;START_MAXIMIZED=FALSE&amp;creator=factset&amp;display_string=Audit"}</definedName>
    <definedName name="_1170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1171__FDSAUDITLINK__" localSheetId="1" hidden="1">{"fdsup://Directions/FactSet Auditing Viewer?action=AUDIT_VALUE&amp;DB=129&amp;ID1=00289620&amp;VALUEID=13040&amp;SDATE=200801&amp;PERIODTYPE=QTR_STD&amp;window=popup_no_bar&amp;width=385&amp;height=120&amp;START_MAXIMIZED=FALSE&amp;creator=factset&amp;display_string=Audit"}</definedName>
    <definedName name="_1171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1172__FDSAUDITLINK__" localSheetId="1" hidden="1">{"fdsup://Directions/FactSet Auditing Viewer?action=AUDIT_VALUE&amp;DB=129&amp;ID1=87416110&amp;VALUEID=01001&amp;SDATE=200704&amp;PERIODTYPE=QTR_STD&amp;window=popup_no_bar&amp;width=385&amp;height=120&amp;START_MAXIMIZED=FALSE&amp;creator=factset&amp;display_string=Audit"}</definedName>
    <definedName name="_1172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1173__FDSAUDITLINK__" localSheetId="1" hidden="1">{"fdsup://Directions/FactSet Auditing Viewer?action=AUDIT_VALUE&amp;DB=129&amp;ID1=46612H40&amp;VALUEID=01001&amp;SDATE=200704&amp;PERIODTYPE=QTR_STD&amp;window=popup_no_bar&amp;width=385&amp;height=120&amp;START_MAXIMIZED=FALSE&amp;creator=factset&amp;display_string=Audit"}</definedName>
    <definedName name="_1173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1174__FDSAUDITLINK__" localSheetId="1" hidden="1">{"fdsup://Directions/FactSet Auditing Viewer?action=AUDIT_VALUE&amp;DB=129&amp;ID1=46612H40&amp;VALUEID=13040&amp;SDATE=200704&amp;PERIODTYPE=QTR_STD&amp;window=popup_no_bar&amp;width=385&amp;height=120&amp;START_MAXIMIZED=FALSE&amp;creator=factset&amp;display_string=Audit"}</definedName>
    <definedName name="_1174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1175__FDSAUDITLINK__" localSheetId="1" hidden="1">{"fdsup://Directions/FactSet Auditing Viewer?action=AUDIT_VALUE&amp;DB=129&amp;ID1=36476010&amp;VALUEID=01001&amp;SDATE=200704&amp;PERIODTYPE=QTR_STD&amp;window=popup_no_bar&amp;width=385&amp;height=120&amp;START_MAXIMIZED=FALSE&amp;creator=factset&amp;display_string=Audit"}</definedName>
    <definedName name="_1175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1176__FDSAUDITLINK__" localSheetId="1" hidden="1">{"fdsup://Directions/FactSet Auditing Viewer?action=AUDIT_VALUE&amp;DB=129&amp;ID1=03611510&amp;VALUEID=01001&amp;SDATE=200704&amp;PERIODTYPE=QTR_STD&amp;window=popup_no_bar&amp;width=385&amp;height=120&amp;START_MAXIMIZED=FALSE&amp;creator=factset&amp;display_string=Audit"}</definedName>
    <definedName name="_1176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1177__FDSAUDITLINK__" localSheetId="1" hidden="1">{"fdsup://Directions/FactSet Auditing Viewer?action=AUDIT_VALUE&amp;DB=129&amp;ID1=03611510&amp;VALUEID=13040&amp;SDATE=200704&amp;PERIODTYPE=QTR_STD&amp;window=popup_no_bar&amp;width=385&amp;height=120&amp;START_MAXIMIZED=FALSE&amp;creator=factset&amp;display_string=Audit"}</definedName>
    <definedName name="_1177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1178__FDSAUDITLINK__" localSheetId="1" hidden="1">{"fdsup://Directions/FactSet Auditing Viewer?action=AUDIT_VALUE&amp;DB=129&amp;ID1=16890510&amp;VALUEID=01001&amp;SDATE=200704&amp;PERIODTYPE=QTR_STD&amp;window=popup_no_bar&amp;width=385&amp;height=120&amp;START_MAXIMIZED=FALSE&amp;creator=factset&amp;display_string=Audit"}</definedName>
    <definedName name="_1178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1179__FDSAUDITLINK__" localSheetId="1" hidden="1">{"fdsup://Directions/FactSet Auditing Viewer?action=AUDIT_VALUE&amp;DB=129&amp;ID1=00786510&amp;VALUEID=01001&amp;SDATE=200704&amp;PERIODTYPE=QTR_STD&amp;window=popup_no_bar&amp;width=385&amp;height=120&amp;START_MAXIMIZED=FALSE&amp;creator=factset&amp;display_string=Audit"}</definedName>
    <definedName name="_1179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118__FDSAUDITLINK__" localSheetId="1" hidden="1">{"fdsup://Directions/FactSet Auditing Viewer?action=AUDIT_VALUE&amp;DB=129&amp;ID1=36476010&amp;VALUEID=01001&amp;SDATE=200803&amp;PERIODTYPE=QTR_STD&amp;window=popup_no_bar&amp;width=385&amp;height=120&amp;START_MAXIMIZED=FALSE&amp;creator=factset&amp;display_string=Audit"}</definedName>
    <definedName name="_118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1180__FDSAUDITLINK__" localSheetId="1" hidden="1">{"fdsup://Directions/FactSet Auditing Viewer?action=AUDIT_VALUE&amp;DB=129&amp;ID1=87416110&amp;VALUEID=02101&amp;SDATE=200703&amp;PERIODTYPE=QTR_STD&amp;window=popup_no_bar&amp;width=385&amp;height=120&amp;START_MAXIMIZED=FALSE&amp;creator=factset&amp;display_string=Audit"}</definedName>
    <definedName name="_1180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1181__FDSAUDITLINK__" localSheetId="1" hidden="1">{"fdsup://Directions/FactSet Auditing Viewer?action=AUDIT_VALUE&amp;DB=129&amp;ID1=87416110&amp;VALUEID=01001&amp;SDATE=200703&amp;PERIODTYPE=QTR_STD&amp;window=popup_no_bar&amp;width=385&amp;height=120&amp;START_MAXIMIZED=FALSE&amp;creator=factset&amp;display_string=Audit"}</definedName>
    <definedName name="_1181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1182__FDSAUDITLINK__" localSheetId="1" hidden="1">{"fdsup://Directions/FactSet Auditing Viewer?action=AUDIT_VALUE&amp;DB=129&amp;ID1=53271610&amp;VALUEID=02101&amp;SDATE=200703&amp;PERIODTYPE=QTR_STD&amp;window=popup_no_bar&amp;width=385&amp;height=120&amp;START_MAXIMIZED=FALSE&amp;creator=factset&amp;display_string=Audit"}</definedName>
    <definedName name="_1182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1183__FDSAUDITLINK__" localSheetId="1" hidden="1">{"fdsup://Directions/FactSet Auditing Viewer?action=AUDIT_VALUE&amp;DB=129&amp;ID1=53271610&amp;VALUEID=01001&amp;SDATE=200703&amp;PERIODTYPE=QTR_STD&amp;window=popup_no_bar&amp;width=385&amp;height=120&amp;START_MAXIMIZED=FALSE&amp;creator=factset&amp;display_string=Audit"}</definedName>
    <definedName name="_1183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1184__FDSAUDITLINK__" localSheetId="1" hidden="1">{"fdsup://Directions/FactSet Auditing Viewer?action=AUDIT_VALUE&amp;DB=129&amp;ID1=53271610&amp;VALUEID=13040&amp;SDATE=200703&amp;PERIODTYPE=QTR_STD&amp;window=popup_no_bar&amp;width=385&amp;height=120&amp;START_MAXIMIZED=FALSE&amp;creator=factset&amp;display_string=Audit"}</definedName>
    <definedName name="_1184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1185__FDSAUDITLINK__" localSheetId="1" hidden="1">{"fdsup://Directions/FactSet Auditing Viewer?action=AUDIT_VALUE&amp;DB=129&amp;ID1=46612H40&amp;VALUEID=02101&amp;SDATE=200703&amp;PERIODTYPE=QTR_STD&amp;window=popup_no_bar&amp;width=385&amp;height=120&amp;START_MAXIMIZED=FALSE&amp;creator=factset&amp;display_string=Audit"}</definedName>
    <definedName name="_1185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1186__FDSAUDITLINK__" localSheetId="1" hidden="1">{"fdsup://Directions/FactSet Auditing Viewer?action=AUDIT_VALUE&amp;DB=129&amp;ID1=46612H40&amp;VALUEID=01001&amp;SDATE=200703&amp;PERIODTYPE=QTR_STD&amp;window=popup_no_bar&amp;width=385&amp;height=120&amp;START_MAXIMIZED=FALSE&amp;creator=factset&amp;display_string=Audit"}</definedName>
    <definedName name="_1186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1187__FDSAUDITLINK__" localSheetId="1" hidden="1">{"fdsup://Directions/FactSet Auditing Viewer?action=AUDIT_VALUE&amp;DB=129&amp;ID1=46612H40&amp;VALUEID=13040&amp;SDATE=200703&amp;PERIODTYPE=QTR_STD&amp;window=popup_no_bar&amp;width=385&amp;height=120&amp;START_MAXIMIZED=FALSE&amp;creator=factset&amp;display_string=Audit"}</definedName>
    <definedName name="_1187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1188__FDSAUDITLINK__" localSheetId="1" hidden="1">{"fdsup://Directions/FactSet Auditing Viewer?action=AUDIT_VALUE&amp;DB=129&amp;ID1=36476010&amp;VALUEID=02101&amp;SDATE=200703&amp;PERIODTYPE=QTR_STD&amp;window=popup_no_bar&amp;width=385&amp;height=120&amp;START_MAXIMIZED=FALSE&amp;creator=factset&amp;display_string=Audit"}</definedName>
    <definedName name="_1188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1189__FDSAUDITLINK__" localSheetId="1" hidden="1">{"fdsup://Directions/FactSet Auditing Viewer?action=AUDIT_VALUE&amp;DB=129&amp;ID1=36476010&amp;VALUEID=01001&amp;SDATE=200703&amp;PERIODTYPE=QTR_STD&amp;window=popup_no_bar&amp;width=385&amp;height=120&amp;START_MAXIMIZED=FALSE&amp;creator=factset&amp;display_string=Audit"}</definedName>
    <definedName name="_1189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119__FDSAUDITLINK__" localSheetId="1" hidden="1">{"fdsup://Directions/FactSet Auditing Viewer?action=AUDIT_VALUE&amp;DB=129&amp;ID1=36476010&amp;VALUEID=13040&amp;SDATE=200803&amp;PERIODTYPE=QTR_STD&amp;window=popup_no_bar&amp;width=385&amp;height=120&amp;START_MAXIMIZED=FALSE&amp;creator=factset&amp;display_string=Audit"}</definedName>
    <definedName name="_119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1190__FDSAUDITLINK__" localSheetId="1" hidden="1">{"fdsup://Directions/FactSet Auditing Viewer?action=AUDIT_VALUE&amp;DB=129&amp;ID1=36476010&amp;VALUEID=13040&amp;SDATE=200703&amp;PERIODTYPE=QTR_STD&amp;window=popup_no_bar&amp;width=385&amp;height=120&amp;START_MAXIMIZED=FALSE&amp;creator=factset&amp;display_string=Audit"}</definedName>
    <definedName name="_1190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1191__FDSAUDITLINK__" localSheetId="1" hidden="1">{"fdsup://Directions/FactSet Auditing Viewer?action=AUDIT_VALUE&amp;DB=129&amp;ID1=03611510&amp;VALUEID=02101&amp;SDATE=200703&amp;PERIODTYPE=QTR_STD&amp;window=popup_no_bar&amp;width=385&amp;height=120&amp;START_MAXIMIZED=FALSE&amp;creator=factset&amp;display_string=Audit"}</definedName>
    <definedName name="_1191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1192__FDSAUDITLINK__" localSheetId="1" hidden="1">{"fdsup://Directions/FactSet Auditing Viewer?action=AUDIT_VALUE&amp;DB=129&amp;ID1=03611510&amp;VALUEID=01001&amp;SDATE=200703&amp;PERIODTYPE=QTR_STD&amp;window=popup_no_bar&amp;width=385&amp;height=120&amp;START_MAXIMIZED=FALSE&amp;creator=factset&amp;display_string=Audit"}</definedName>
    <definedName name="_1192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1193__FDSAUDITLINK__" localSheetId="1" hidden="1">{"fdsup://Directions/FactSet Auditing Viewer?action=AUDIT_VALUE&amp;DB=129&amp;ID1=03611510&amp;VALUEID=13040&amp;SDATE=200703&amp;PERIODTYPE=QTR_STD&amp;window=popup_no_bar&amp;width=385&amp;height=120&amp;START_MAXIMIZED=FALSE&amp;creator=factset&amp;display_string=Audit"}</definedName>
    <definedName name="_1193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1194__FDSAUDITLINK__" localSheetId="1" hidden="1">{"fdsup://Directions/FactSet Auditing Viewer?action=AUDIT_VALUE&amp;DB=129&amp;ID1=16890510&amp;VALUEID=02101&amp;SDATE=200703&amp;PERIODTYPE=QTR_STD&amp;window=popup_no_bar&amp;width=385&amp;height=120&amp;START_MAXIMIZED=FALSE&amp;creator=factset&amp;display_string=Audit"}</definedName>
    <definedName name="_1194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1195__FDSAUDITLINK__" localSheetId="1" hidden="1">{"fdsup://Directions/FactSet Auditing Viewer?action=AUDIT_VALUE&amp;DB=129&amp;ID1=16890510&amp;VALUEID=01001&amp;SDATE=200703&amp;PERIODTYPE=QTR_STD&amp;window=popup_no_bar&amp;width=385&amp;height=120&amp;START_MAXIMIZED=FALSE&amp;creator=factset&amp;display_string=Audit"}</definedName>
    <definedName name="_1195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1196__FDSAUDITLINK__" localSheetId="1" hidden="1">{"fdsup://Directions/FactSet Auditing Viewer?action=AUDIT_VALUE&amp;DB=129&amp;ID1=91704710&amp;VALUEID=02101&amp;SDATE=200703&amp;PERIODTYPE=QTR_STD&amp;window=popup_no_bar&amp;width=385&amp;height=120&amp;START_MAXIMIZED=FALSE&amp;creator=factset&amp;display_string=Audit"}</definedName>
    <definedName name="_1196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1197__FDSAUDITLINK__" localSheetId="1" hidden="1">{"fdsup://Directions/FactSet Auditing Viewer?action=AUDIT_VALUE&amp;DB=129&amp;ID1=91704710&amp;VALUEID=01001&amp;SDATE=200703&amp;PERIODTYPE=QTR_STD&amp;window=popup_no_bar&amp;width=385&amp;height=120&amp;START_MAXIMIZED=FALSE&amp;creator=factset&amp;display_string=Audit"}</definedName>
    <definedName name="_1197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1198__FDSAUDITLINK__" localSheetId="1" hidden="1">{"fdsup://Directions/FactSet Auditing Viewer?action=AUDIT_VALUE&amp;DB=129&amp;ID1=91704710&amp;VALUEID=13040&amp;SDATE=200703&amp;PERIODTYPE=QTR_STD&amp;window=popup_no_bar&amp;width=385&amp;height=120&amp;START_MAXIMIZED=FALSE&amp;creator=factset&amp;display_string=Audit"}</definedName>
    <definedName name="_1198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1199__FDSAUDITLINK__" localSheetId="1" hidden="1">{"fdsup://Directions/FactSet Auditing Viewer?action=AUDIT_VALUE&amp;DB=129&amp;ID1=02553E10&amp;VALUEID=02101&amp;SDATE=200703&amp;PERIODTYPE=QTR_STD&amp;window=popup_no_bar&amp;width=385&amp;height=120&amp;START_MAXIMIZED=FALSE&amp;creator=factset&amp;display_string=Audit"}</definedName>
    <definedName name="_1199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12__FDSAUDITLINK__" localSheetId="1" hidden="1">{"fdsup://Directions/FactSet Auditing Viewer?action=AUDIT_VALUE&amp;DB=129&amp;ID1=16890510&amp;VALUEID=02101&amp;SDATE=201001&amp;PERIODTYPE=QTR_STD&amp;window=popup_no_bar&amp;width=385&amp;height=120&amp;START_MAXIMIZED=FALSE&amp;creator=factset&amp;display_string=Audit"}</definedName>
    <definedName name="_12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120__FDSAUDITLINK__" localSheetId="1" hidden="1">{"fdsup://Directions/FactSet Auditing Viewer?action=AUDIT_VALUE&amp;DB=129&amp;ID1=03611510&amp;VALUEID=02101&amp;SDATE=200803&amp;PERIODTYPE=QTR_STD&amp;window=popup_no_bar&amp;width=385&amp;height=120&amp;START_MAXIMIZED=FALSE&amp;creator=factset&amp;display_string=Audit"}</definedName>
    <definedName name="_120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1200__FDSAUDITLINK__" localSheetId="1" hidden="1">{"fdsup://Directions/FactSet Auditing Viewer?action=AUDIT_VALUE&amp;DB=129&amp;ID1=02553E10&amp;VALUEID=01001&amp;SDATE=200703&amp;PERIODTYPE=QTR_STD&amp;window=popup_no_bar&amp;width=385&amp;height=120&amp;START_MAXIMIZED=FALSE&amp;creator=factset&amp;display_string=Audit"}</definedName>
    <definedName name="_1200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1201__FDSAUDITLINK__" localSheetId="1" hidden="1">{"fdsup://Directions/FactSet Auditing Viewer?action=AUDIT_VALUE&amp;DB=129&amp;ID1=00786510&amp;VALUEID=02101&amp;SDATE=200703&amp;PERIODTYPE=QTR_STD&amp;window=popup_no_bar&amp;width=385&amp;height=120&amp;START_MAXIMIZED=FALSE&amp;creator=factset&amp;display_string=Audit"}</definedName>
    <definedName name="_1201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1202__FDSAUDITLINK__" localSheetId="1" hidden="1">{"fdsup://Directions/FactSet Auditing Viewer?action=AUDIT_VALUE&amp;DB=129&amp;ID1=00786510&amp;VALUEID=01001&amp;SDATE=200703&amp;PERIODTYPE=QTR_STD&amp;window=popup_no_bar&amp;width=385&amp;height=120&amp;START_MAXIMIZED=FALSE&amp;creator=factset&amp;display_string=Audit"}</definedName>
    <definedName name="_1202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1203__FDSAUDITLINK__" localSheetId="1" hidden="1">{"fdsup://Directions/FactSet Auditing Viewer?action=AUDIT_VALUE&amp;DB=129&amp;ID1=00786510&amp;VALUEID=13040&amp;SDATE=200703&amp;PERIODTYPE=QTR_STD&amp;window=popup_no_bar&amp;width=385&amp;height=120&amp;START_MAXIMIZED=FALSE&amp;creator=factset&amp;display_string=Audit"}</definedName>
    <definedName name="_1203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1204__FDSAUDITLINK__" localSheetId="1" hidden="1">{"fdsup://Directions/FactSet Auditing Viewer?action=AUDIT_VALUE&amp;DB=129&amp;ID1=00289620&amp;VALUEID=02101&amp;SDATE=200703&amp;PERIODTYPE=QTR_STD&amp;window=popup_no_bar&amp;width=385&amp;height=120&amp;START_MAXIMIZED=FALSE&amp;creator=factset&amp;display_string=Audit"}</definedName>
    <definedName name="_1204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1205__FDSAUDITLINK__" localSheetId="1" hidden="1">{"fdsup://Directions/FactSet Auditing Viewer?action=AUDIT_VALUE&amp;DB=129&amp;ID1=00289620&amp;VALUEID=01001&amp;SDATE=200703&amp;PERIODTYPE=QTR_STD&amp;window=popup_no_bar&amp;width=385&amp;height=120&amp;START_MAXIMIZED=FALSE&amp;creator=factset&amp;display_string=Audit"}</definedName>
    <definedName name="_1205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1206__FDSAUDITLINK__" localSheetId="1" hidden="1">{"fdsup://Directions/FactSet Auditing Viewer?action=AUDIT_VALUE&amp;DB=129&amp;ID1=00289620&amp;VALUEID=13040&amp;SDATE=200703&amp;PERIODTYPE=QTR_STD&amp;window=popup_no_bar&amp;width=385&amp;height=120&amp;START_MAXIMIZED=FALSE&amp;creator=factset&amp;display_string=Audit"}</definedName>
    <definedName name="_1206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1207__FDSAUDITLINK__" localSheetId="1" hidden="1">{"fdsup://Directions/FactSet Auditing Viewer?action=AUDIT_VALUE&amp;DB=129&amp;ID1=87416110&amp;VALUEID=02101&amp;SDATE=200702&amp;PERIODTYPE=QTR_STD&amp;window=popup_no_bar&amp;width=385&amp;height=120&amp;START_MAXIMIZED=FALSE&amp;creator=factset&amp;display_string=Audit"}</definedName>
    <definedName name="_1207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1208__FDSAUDITLINK__" localSheetId="1" hidden="1">{"fdsup://Directions/FactSet Auditing Viewer?action=AUDIT_VALUE&amp;DB=129&amp;ID1=87416110&amp;VALUEID=01001&amp;SDATE=200702&amp;PERIODTYPE=QTR_STD&amp;window=popup_no_bar&amp;width=385&amp;height=120&amp;START_MAXIMIZED=FALSE&amp;creator=factset&amp;display_string=Audit"}</definedName>
    <definedName name="_1208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1209__FDSAUDITLINK__" localSheetId="1" hidden="1">{"fdsup://Directions/FactSet Auditing Viewer?action=AUDIT_VALUE&amp;DB=129&amp;ID1=53271610&amp;VALUEID=02101&amp;SDATE=200702&amp;PERIODTYPE=QTR_STD&amp;window=popup_no_bar&amp;width=385&amp;height=120&amp;START_MAXIMIZED=FALSE&amp;creator=factset&amp;display_string=Audit"}</definedName>
    <definedName name="_1209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121__FDSAUDITLINK__" localSheetId="1" hidden="1">{"fdsup://Directions/FactSet Auditing Viewer?action=AUDIT_VALUE&amp;DB=129&amp;ID1=03611510&amp;VALUEID=01001&amp;SDATE=200803&amp;PERIODTYPE=QTR_STD&amp;window=popup_no_bar&amp;width=385&amp;height=120&amp;START_MAXIMIZED=FALSE&amp;creator=factset&amp;display_string=Audit"}</definedName>
    <definedName name="_121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1210__FDSAUDITLINK__" localSheetId="1" hidden="1">{"fdsup://Directions/FactSet Auditing Viewer?action=AUDIT_VALUE&amp;DB=129&amp;ID1=53271610&amp;VALUEID=01001&amp;SDATE=200702&amp;PERIODTYPE=QTR_STD&amp;window=popup_no_bar&amp;width=385&amp;height=120&amp;START_MAXIMIZED=FALSE&amp;creator=factset&amp;display_string=Audit"}</definedName>
    <definedName name="_1210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1211__FDSAUDITLINK__" localSheetId="1" hidden="1">{"fdsup://Directions/FactSet Auditing Viewer?action=AUDIT_VALUE&amp;DB=129&amp;ID1=53271610&amp;VALUEID=13040&amp;SDATE=200702&amp;PERIODTYPE=QTR_STD&amp;window=popup_no_bar&amp;width=385&amp;height=120&amp;START_MAXIMIZED=FALSE&amp;creator=factset&amp;display_string=Audit"}</definedName>
    <definedName name="_1211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1212__FDSAUDITLINK__" localSheetId="1" hidden="1">{"fdsup://Directions/FactSet Auditing Viewer?action=AUDIT_VALUE&amp;DB=129&amp;ID1=46612H40&amp;VALUEID=02101&amp;SDATE=200702&amp;PERIODTYPE=QTR_STD&amp;window=popup_no_bar&amp;width=385&amp;height=120&amp;START_MAXIMIZED=FALSE&amp;creator=factset&amp;display_string=Audit"}</definedName>
    <definedName name="_1212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1213__FDSAUDITLINK__" localSheetId="1" hidden="1">{"fdsup://Directions/FactSet Auditing Viewer?action=AUDIT_VALUE&amp;DB=129&amp;ID1=46612H40&amp;VALUEID=01001&amp;SDATE=200702&amp;PERIODTYPE=QTR_STD&amp;window=popup_no_bar&amp;width=385&amp;height=120&amp;START_MAXIMIZED=FALSE&amp;creator=factset&amp;display_string=Audit"}</definedName>
    <definedName name="_1213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1214__FDSAUDITLINK__" localSheetId="1" hidden="1">{"fdsup://Directions/FactSet Auditing Viewer?action=AUDIT_VALUE&amp;DB=129&amp;ID1=46612H40&amp;VALUEID=13040&amp;SDATE=200702&amp;PERIODTYPE=QTR_STD&amp;window=popup_no_bar&amp;width=385&amp;height=120&amp;START_MAXIMIZED=FALSE&amp;creator=factset&amp;display_string=Audit"}</definedName>
    <definedName name="_1214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1215__FDSAUDITLINK__" localSheetId="1" hidden="1">{"fdsup://Directions/FactSet Auditing Viewer?action=AUDIT_VALUE&amp;DB=129&amp;ID1=36476010&amp;VALUEID=02101&amp;SDATE=200702&amp;PERIODTYPE=QTR_STD&amp;window=popup_no_bar&amp;width=385&amp;height=120&amp;START_MAXIMIZED=FALSE&amp;creator=factset&amp;display_string=Audit"}</definedName>
    <definedName name="_1215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1216__FDSAUDITLINK__" localSheetId="1" hidden="1">{"fdsup://Directions/FactSet Auditing Viewer?action=AUDIT_VALUE&amp;DB=129&amp;ID1=36476010&amp;VALUEID=01001&amp;SDATE=200702&amp;PERIODTYPE=QTR_STD&amp;window=popup_no_bar&amp;width=385&amp;height=120&amp;START_MAXIMIZED=FALSE&amp;creator=factset&amp;display_string=Audit"}</definedName>
    <definedName name="_1216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1217__FDSAUDITLINK__" localSheetId="1" hidden="1">{"fdsup://Directions/FactSet Auditing Viewer?action=AUDIT_VALUE&amp;DB=129&amp;ID1=03611510&amp;VALUEID=02101&amp;SDATE=200702&amp;PERIODTYPE=QTR_STD&amp;window=popup_no_bar&amp;width=385&amp;height=120&amp;START_MAXIMIZED=FALSE&amp;creator=factset&amp;display_string=Audit"}</definedName>
    <definedName name="_1217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1218__FDSAUDITLINK__" localSheetId="1" hidden="1">{"fdsup://Directions/FactSet Auditing Viewer?action=AUDIT_VALUE&amp;DB=129&amp;ID1=03611510&amp;VALUEID=01001&amp;SDATE=200702&amp;PERIODTYPE=QTR_STD&amp;window=popup_no_bar&amp;width=385&amp;height=120&amp;START_MAXIMIZED=FALSE&amp;creator=factset&amp;display_string=Audit"}</definedName>
    <definedName name="_1218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1219__FDSAUDITLINK__" localSheetId="1" hidden="1">{"fdsup://Directions/FactSet Auditing Viewer?action=AUDIT_VALUE&amp;DB=129&amp;ID1=03611510&amp;VALUEID=13040&amp;SDATE=200702&amp;PERIODTYPE=QTR_STD&amp;window=popup_no_bar&amp;width=385&amp;height=120&amp;START_MAXIMIZED=FALSE&amp;creator=factset&amp;display_string=Audit"}</definedName>
    <definedName name="_1219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122__FDSAUDITLINK__" localSheetId="1" hidden="1">{"fdsup://Directions/FactSet Auditing Viewer?action=AUDIT_VALUE&amp;DB=129&amp;ID1=16890510&amp;VALUEID=02101&amp;SDATE=200803&amp;PERIODTYPE=QTR_STD&amp;window=popup_no_bar&amp;width=385&amp;height=120&amp;START_MAXIMIZED=FALSE&amp;creator=factset&amp;display_string=Audit"}</definedName>
    <definedName name="_122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1220__FDSAUDITLINK__" localSheetId="1" hidden="1">{"fdsup://Directions/FactSet Auditing Viewer?action=AUDIT_VALUE&amp;DB=129&amp;ID1=16890510&amp;VALUEID=02101&amp;SDATE=200702&amp;PERIODTYPE=QTR_STD&amp;window=popup_no_bar&amp;width=385&amp;height=120&amp;START_MAXIMIZED=FALSE&amp;creator=factset&amp;display_string=Audit"}</definedName>
    <definedName name="_1220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1221__FDSAUDITLINK__" localSheetId="1" hidden="1">{"fdsup://Directions/FactSet Auditing Viewer?action=AUDIT_VALUE&amp;DB=129&amp;ID1=16890510&amp;VALUEID=01001&amp;SDATE=200702&amp;PERIODTYPE=QTR_STD&amp;window=popup_no_bar&amp;width=385&amp;height=120&amp;START_MAXIMIZED=FALSE&amp;creator=factset&amp;display_string=Audit"}</definedName>
    <definedName name="_1221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1222__FDSAUDITLINK__" localSheetId="1" hidden="1">{"fdsup://Directions/FactSet Auditing Viewer?action=AUDIT_VALUE&amp;DB=129&amp;ID1=91704710&amp;VALUEID=02101&amp;SDATE=200702&amp;PERIODTYPE=QTR_STD&amp;window=popup_no_bar&amp;width=385&amp;height=120&amp;START_MAXIMIZED=FALSE&amp;creator=factset&amp;display_string=Audit"}</definedName>
    <definedName name="_1222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1223__FDSAUDITLINK__" localSheetId="1" hidden="1">{"fdsup://Directions/FactSet Auditing Viewer?action=AUDIT_VALUE&amp;DB=129&amp;ID1=91704710&amp;VALUEID=01001&amp;SDATE=200702&amp;PERIODTYPE=QTR_STD&amp;window=popup_no_bar&amp;width=385&amp;height=120&amp;START_MAXIMIZED=FALSE&amp;creator=factset&amp;display_string=Audit"}</definedName>
    <definedName name="_1223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1224__FDSAUDITLINK__" localSheetId="1" hidden="1">{"fdsup://Directions/FactSet Auditing Viewer?action=AUDIT_VALUE&amp;DB=129&amp;ID1=91704710&amp;VALUEID=13040&amp;SDATE=200702&amp;PERIODTYPE=QTR_STD&amp;window=popup_no_bar&amp;width=385&amp;height=120&amp;START_MAXIMIZED=FALSE&amp;creator=factset&amp;display_string=Audit"}</definedName>
    <definedName name="_1224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1225__FDSAUDITLINK__" localSheetId="1" hidden="1">{"fdsup://Directions/FactSet Auditing Viewer?action=AUDIT_VALUE&amp;DB=129&amp;ID1=02553E10&amp;VALUEID=02101&amp;SDATE=200702&amp;PERIODTYPE=QTR_STD&amp;window=popup_no_bar&amp;width=385&amp;height=120&amp;START_MAXIMIZED=FALSE&amp;creator=factset&amp;display_string=Audit"}</definedName>
    <definedName name="_1225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1226__FDSAUDITLINK__" localSheetId="1" hidden="1">{"fdsup://Directions/FactSet Auditing Viewer?action=AUDIT_VALUE&amp;DB=129&amp;ID1=02553E10&amp;VALUEID=01001&amp;SDATE=200702&amp;PERIODTYPE=QTR_STD&amp;window=popup_no_bar&amp;width=385&amp;height=120&amp;START_MAXIMIZED=FALSE&amp;creator=factset&amp;display_string=Audit"}</definedName>
    <definedName name="_1226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1227__FDSAUDITLINK__" localSheetId="1" hidden="1">{"fdsup://Directions/FactSet Auditing Viewer?action=AUDIT_VALUE&amp;DB=129&amp;ID1=02553E10&amp;VALUEID=13040&amp;SDATE=200702&amp;PERIODTYPE=QTR_STD&amp;window=popup_no_bar&amp;width=385&amp;height=120&amp;START_MAXIMIZED=FALSE&amp;creator=factset&amp;display_string=Audit"}</definedName>
    <definedName name="_1227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1228__FDSAUDITLINK__" localSheetId="1" hidden="1">{"fdsup://Directions/FactSet Auditing Viewer?action=AUDIT_VALUE&amp;DB=129&amp;ID1=00786510&amp;VALUEID=02101&amp;SDATE=200702&amp;PERIODTYPE=QTR_STD&amp;window=popup_no_bar&amp;width=385&amp;height=120&amp;START_MAXIMIZED=FALSE&amp;creator=factset&amp;display_string=Audit"}</definedName>
    <definedName name="_1228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1229__FDSAUDITLINK__" localSheetId="1" hidden="1">{"fdsup://Directions/FactSet Auditing Viewer?action=AUDIT_VALUE&amp;DB=129&amp;ID1=00786510&amp;VALUEID=01001&amp;SDATE=200702&amp;PERIODTYPE=QTR_STD&amp;window=popup_no_bar&amp;width=385&amp;height=120&amp;START_MAXIMIZED=FALSE&amp;creator=factset&amp;display_string=Audit"}</definedName>
    <definedName name="_1229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123__FDSAUDITLINK__" localSheetId="1" hidden="1">{"fdsup://Directions/FactSet Auditing Viewer?action=AUDIT_VALUE&amp;DB=129&amp;ID1=16890510&amp;VALUEID=01001&amp;SDATE=200803&amp;PERIODTYPE=QTR_STD&amp;window=popup_no_bar&amp;width=385&amp;height=120&amp;START_MAXIMIZED=FALSE&amp;creator=factset&amp;display_string=Audit"}</definedName>
    <definedName name="_123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1230__FDSAUDITLINK__" localSheetId="1" hidden="1">{"fdsup://Directions/FactSet Auditing Viewer?action=AUDIT_VALUE&amp;DB=129&amp;ID1=00786510&amp;VALUEID=13040&amp;SDATE=200702&amp;PERIODTYPE=QTR_STD&amp;window=popup_no_bar&amp;width=385&amp;height=120&amp;START_MAXIMIZED=FALSE&amp;creator=factset&amp;display_string=Audit"}</definedName>
    <definedName name="_1230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1231__FDSAUDITLINK__" localSheetId="1" hidden="1">{"fdsup://Directions/FactSet Auditing Viewer?action=AUDIT_VALUE&amp;DB=129&amp;ID1=00289620&amp;VALUEID=02101&amp;SDATE=200702&amp;PERIODTYPE=QTR_STD&amp;window=popup_no_bar&amp;width=385&amp;height=120&amp;START_MAXIMIZED=FALSE&amp;creator=factset&amp;display_string=Audit"}</definedName>
    <definedName name="_1231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1232__FDSAUDITLINK__" localSheetId="1" hidden="1">{"fdsup://Directions/FactSet Auditing Viewer?action=AUDIT_VALUE&amp;DB=129&amp;ID1=00289620&amp;VALUEID=01001&amp;SDATE=200702&amp;PERIODTYPE=QTR_STD&amp;window=popup_no_bar&amp;width=385&amp;height=120&amp;START_MAXIMIZED=FALSE&amp;creator=factset&amp;display_string=Audit"}</definedName>
    <definedName name="_1232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1233__FDSAUDITLINK__" localSheetId="1" hidden="1">{"fdsup://Directions/FactSet Auditing Viewer?action=AUDIT_VALUE&amp;DB=129&amp;ID1=87416110&amp;VALUEID=02101&amp;SDATE=200701&amp;PERIODTYPE=QTR_STD&amp;window=popup_no_bar&amp;width=385&amp;height=120&amp;START_MAXIMIZED=FALSE&amp;creator=factset&amp;display_string=Audit"}</definedName>
    <definedName name="_1233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1234__FDSAUDITLINK__" localSheetId="1" hidden="1">{"fdsup://Directions/FactSet Auditing Viewer?action=AUDIT_VALUE&amp;DB=129&amp;ID1=87416110&amp;VALUEID=01001&amp;SDATE=200701&amp;PERIODTYPE=QTR_STD&amp;window=popup_no_bar&amp;width=385&amp;height=120&amp;START_MAXIMIZED=FALSE&amp;creator=factset&amp;display_string=Audit"}</definedName>
    <definedName name="_1234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1235__FDSAUDITLINK__" localSheetId="1" hidden="1">{"fdsup://Directions/FactSet Auditing Viewer?action=AUDIT_VALUE&amp;DB=129&amp;ID1=53271610&amp;VALUEID=02101&amp;SDATE=200701&amp;PERIODTYPE=QTR_STD&amp;window=popup_no_bar&amp;width=385&amp;height=120&amp;START_MAXIMIZED=FALSE&amp;creator=factset&amp;display_string=Audit"}</definedName>
    <definedName name="_1235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1236__FDSAUDITLINK__" localSheetId="1" hidden="1">{"fdsup://Directions/FactSet Auditing Viewer?action=AUDIT_VALUE&amp;DB=129&amp;ID1=53271610&amp;VALUEID=01001&amp;SDATE=200701&amp;PERIODTYPE=QTR_STD&amp;window=popup_no_bar&amp;width=385&amp;height=120&amp;START_MAXIMIZED=FALSE&amp;creator=factset&amp;display_string=Audit"}</definedName>
    <definedName name="_1236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1237__FDSAUDITLINK__" localSheetId="1" hidden="1">{"fdsup://Directions/FactSet Auditing Viewer?action=AUDIT_VALUE&amp;DB=129&amp;ID1=53271610&amp;VALUEID=13040&amp;SDATE=200701&amp;PERIODTYPE=QTR_STD&amp;window=popup_no_bar&amp;width=385&amp;height=120&amp;START_MAXIMIZED=FALSE&amp;creator=factset&amp;display_string=Audit"}</definedName>
    <definedName name="_1237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1238__FDSAUDITLINK__" localSheetId="1" hidden="1">{"fdsup://Directions/FactSet Auditing Viewer?action=AUDIT_VALUE&amp;DB=129&amp;ID1=46612H40&amp;VALUEID=02101&amp;SDATE=200701&amp;PERIODTYPE=QTR_STD&amp;window=popup_no_bar&amp;width=385&amp;height=120&amp;START_MAXIMIZED=FALSE&amp;creator=factset&amp;display_string=Audit"}</definedName>
    <definedName name="_1238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1239__FDSAUDITLINK__" localSheetId="1" hidden="1">{"fdsup://Directions/FactSet Auditing Viewer?action=AUDIT_VALUE&amp;DB=129&amp;ID1=46612H40&amp;VALUEID=01001&amp;SDATE=200701&amp;PERIODTYPE=QTR_STD&amp;window=popup_no_bar&amp;width=385&amp;height=120&amp;START_MAXIMIZED=FALSE&amp;creator=factset&amp;display_string=Audit"}</definedName>
    <definedName name="_1239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124__FDSAUDITLINK__" localSheetId="1" hidden="1">{"fdsup://Directions/FactSet Auditing Viewer?action=AUDIT_VALUE&amp;DB=129&amp;ID1=91704710&amp;VALUEID=02101&amp;SDATE=200803&amp;PERIODTYPE=QTR_STD&amp;window=popup_no_bar&amp;width=385&amp;height=120&amp;START_MAXIMIZED=FALSE&amp;creator=factset&amp;display_string=Audit"}</definedName>
    <definedName name="_124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1240__FDSAUDITLINK__" localSheetId="1" hidden="1">{"fdsup://Directions/FactSet Auditing Viewer?action=AUDIT_VALUE&amp;DB=129&amp;ID1=46612H40&amp;VALUEID=13040&amp;SDATE=200701&amp;PERIODTYPE=QTR_STD&amp;window=popup_no_bar&amp;width=385&amp;height=120&amp;START_MAXIMIZED=FALSE&amp;creator=factset&amp;display_string=Audit"}</definedName>
    <definedName name="_1240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1241__FDSAUDITLINK__" localSheetId="1" hidden="1">{"fdsup://Directions/FactSet Auditing Viewer?action=AUDIT_VALUE&amp;DB=129&amp;ID1=36476010&amp;VALUEID=02101&amp;SDATE=200701&amp;PERIODTYPE=QTR_STD&amp;window=popup_no_bar&amp;width=385&amp;height=120&amp;START_MAXIMIZED=FALSE&amp;creator=factset&amp;display_string=Audit"}</definedName>
    <definedName name="_1241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1242__FDSAUDITLINK__" localSheetId="1" hidden="1">{"fdsup://Directions/FactSet Auditing Viewer?action=AUDIT_VALUE&amp;DB=129&amp;ID1=36476010&amp;VALUEID=01001&amp;SDATE=200701&amp;PERIODTYPE=QTR_STD&amp;window=popup_no_bar&amp;width=385&amp;height=120&amp;START_MAXIMIZED=FALSE&amp;creator=factset&amp;display_string=Audit"}</definedName>
    <definedName name="_1242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1243__FDSAUDITLINK__" localSheetId="1" hidden="1">{"fdsup://Directions/FactSet Auditing Viewer?action=AUDIT_VALUE&amp;DB=129&amp;ID1=36476010&amp;VALUEID=13040&amp;SDATE=200701&amp;PERIODTYPE=QTR_STD&amp;window=popup_no_bar&amp;width=385&amp;height=120&amp;START_MAXIMIZED=FALSE&amp;creator=factset&amp;display_string=Audit"}</definedName>
    <definedName name="_1243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1244__FDSAUDITLINK__" localSheetId="1" hidden="1">{"fdsup://Directions/FactSet Auditing Viewer?action=AUDIT_VALUE&amp;DB=129&amp;ID1=03611510&amp;VALUEID=02101&amp;SDATE=200701&amp;PERIODTYPE=QTR_STD&amp;window=popup_no_bar&amp;width=385&amp;height=120&amp;START_MAXIMIZED=FALSE&amp;creator=factset&amp;display_string=Audit"}</definedName>
    <definedName name="_1244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1245__FDSAUDITLINK__" localSheetId="1" hidden="1">{"fdsup://Directions/FactSet Auditing Viewer?action=AUDIT_VALUE&amp;DB=129&amp;ID1=03611510&amp;VALUEID=01001&amp;SDATE=200701&amp;PERIODTYPE=QTR_STD&amp;window=popup_no_bar&amp;width=385&amp;height=120&amp;START_MAXIMIZED=FALSE&amp;creator=factset&amp;display_string=Audit"}</definedName>
    <definedName name="_1245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1246__FDSAUDITLINK__" localSheetId="1" hidden="1">{"fdsup://Directions/FactSet Auditing Viewer?action=AUDIT_VALUE&amp;DB=129&amp;ID1=03611510&amp;VALUEID=13040&amp;SDATE=200701&amp;PERIODTYPE=QTR_STD&amp;window=popup_no_bar&amp;width=385&amp;height=120&amp;START_MAXIMIZED=FALSE&amp;creator=factset&amp;display_string=Audit"}</definedName>
    <definedName name="_1246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1247__FDSAUDITLINK__" localSheetId="1" hidden="1">{"fdsup://Directions/FactSet Auditing Viewer?action=AUDIT_VALUE&amp;DB=129&amp;ID1=16890510&amp;VALUEID=02101&amp;SDATE=200701&amp;PERIODTYPE=QTR_STD&amp;window=popup_no_bar&amp;width=385&amp;height=120&amp;START_MAXIMIZED=FALSE&amp;creator=factset&amp;display_string=Audit"}</definedName>
    <definedName name="_1247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1248__FDSAUDITLINK__" localSheetId="1" hidden="1">{"fdsup://Directions/FactSet Auditing Viewer?action=AUDIT_VALUE&amp;DB=129&amp;ID1=16890510&amp;VALUEID=01001&amp;SDATE=200701&amp;PERIODTYPE=QTR_STD&amp;window=popup_no_bar&amp;width=385&amp;height=120&amp;START_MAXIMIZED=FALSE&amp;creator=factset&amp;display_string=Audit"}</definedName>
    <definedName name="_1248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1249__FDSAUDITLINK__" localSheetId="1" hidden="1">{"fdsup://Directions/FactSet Auditing Viewer?action=AUDIT_VALUE&amp;DB=129&amp;ID1=91704710&amp;VALUEID=02101&amp;SDATE=200701&amp;PERIODTYPE=QTR_STD&amp;window=popup_no_bar&amp;width=385&amp;height=120&amp;START_MAXIMIZED=FALSE&amp;creator=factset&amp;display_string=Audit"}</definedName>
    <definedName name="_1249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125__FDSAUDITLINK__" localSheetId="1" hidden="1">{"fdsup://Directions/FactSet Auditing Viewer?action=AUDIT_VALUE&amp;DB=129&amp;ID1=91704710&amp;VALUEID=01001&amp;SDATE=200803&amp;PERIODTYPE=QTR_STD&amp;window=popup_no_bar&amp;width=385&amp;height=120&amp;START_MAXIMIZED=FALSE&amp;creator=factset&amp;display_string=Audit"}</definedName>
    <definedName name="_125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1250__FDSAUDITLINK__" localSheetId="1" hidden="1">{"fdsup://Directions/FactSet Auditing Viewer?action=AUDIT_VALUE&amp;DB=129&amp;ID1=91704710&amp;VALUEID=01001&amp;SDATE=200701&amp;PERIODTYPE=QTR_STD&amp;window=popup_no_bar&amp;width=385&amp;height=120&amp;START_MAXIMIZED=FALSE&amp;creator=factset&amp;display_string=Audit"}</definedName>
    <definedName name="_1250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1251__FDSAUDITLINK__" localSheetId="1" hidden="1">{"fdsup://Directions/FactSet Auditing Viewer?action=AUDIT_VALUE&amp;DB=129&amp;ID1=91704710&amp;VALUEID=13040&amp;SDATE=200701&amp;PERIODTYPE=QTR_STD&amp;window=popup_no_bar&amp;width=385&amp;height=120&amp;START_MAXIMIZED=FALSE&amp;creator=factset&amp;display_string=Audit"}</definedName>
    <definedName name="_1251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1252__FDSAUDITLINK__" localSheetId="1" hidden="1">{"fdsup://Directions/FactSet Auditing Viewer?action=AUDIT_VALUE&amp;DB=129&amp;ID1=02553E10&amp;VALUEID=02101&amp;SDATE=200701&amp;PERIODTYPE=QTR_STD&amp;window=popup_no_bar&amp;width=385&amp;height=120&amp;START_MAXIMIZED=FALSE&amp;creator=factset&amp;display_string=Audit"}</definedName>
    <definedName name="_1252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1253__FDSAUDITLINK__" localSheetId="1" hidden="1">{"fdsup://Directions/FactSet Auditing Viewer?action=AUDIT_VALUE&amp;DB=129&amp;ID1=02553E10&amp;VALUEID=01001&amp;SDATE=200701&amp;PERIODTYPE=QTR_STD&amp;window=popup_no_bar&amp;width=385&amp;height=120&amp;START_MAXIMIZED=FALSE&amp;creator=factset&amp;display_string=Audit"}</definedName>
    <definedName name="_1253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1254__FDSAUDITLINK__" localSheetId="1" hidden="1">{"fdsup://Directions/FactSet Auditing Viewer?action=AUDIT_VALUE&amp;DB=129&amp;ID1=02553E10&amp;VALUEID=13040&amp;SDATE=200701&amp;PERIODTYPE=QTR_STD&amp;window=popup_no_bar&amp;width=385&amp;height=120&amp;START_MAXIMIZED=FALSE&amp;creator=factset&amp;display_string=Audit"}</definedName>
    <definedName name="_1254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1255__FDSAUDITLINK__" localSheetId="1" hidden="1">{"fdsup://Directions/FactSet Auditing Viewer?action=AUDIT_VALUE&amp;DB=129&amp;ID1=00786510&amp;VALUEID=02101&amp;SDATE=200701&amp;PERIODTYPE=QTR_STD&amp;window=popup_no_bar&amp;width=385&amp;height=120&amp;START_MAXIMIZED=FALSE&amp;creator=factset&amp;display_string=Audit"}</definedName>
    <definedName name="_1255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1256__FDSAUDITLINK__" localSheetId="1" hidden="1">{"fdsup://Directions/FactSet Auditing Viewer?action=AUDIT_VALUE&amp;DB=129&amp;ID1=00786510&amp;VALUEID=01001&amp;SDATE=200701&amp;PERIODTYPE=QTR_STD&amp;window=popup_no_bar&amp;width=385&amp;height=120&amp;START_MAXIMIZED=FALSE&amp;creator=factset&amp;display_string=Audit"}</definedName>
    <definedName name="_1256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1257__FDSAUDITLINK__" localSheetId="1" hidden="1">{"fdsup://Directions/FactSet Auditing Viewer?action=AUDIT_VALUE&amp;DB=129&amp;ID1=00786510&amp;VALUEID=13040&amp;SDATE=200701&amp;PERIODTYPE=QTR_STD&amp;window=popup_no_bar&amp;width=385&amp;height=120&amp;START_MAXIMIZED=FALSE&amp;creator=factset&amp;display_string=Audit"}</definedName>
    <definedName name="_1257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1258__FDSAUDITLINK__" localSheetId="1" hidden="1">{"fdsup://Directions/FactSet Auditing Viewer?action=AUDIT_VALUE&amp;DB=129&amp;ID1=00289620&amp;VALUEID=02101&amp;SDATE=200701&amp;PERIODTYPE=QTR_STD&amp;window=popup_no_bar&amp;width=385&amp;height=120&amp;START_MAXIMIZED=FALSE&amp;creator=factset&amp;display_string=Audit"}</definedName>
    <definedName name="_1258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1259__FDSAUDITLINK__" localSheetId="1" hidden="1">{"fdsup://Directions/FactSet Auditing Viewer?action=AUDIT_VALUE&amp;DB=129&amp;ID1=00289620&amp;VALUEID=01001&amp;SDATE=200701&amp;PERIODTYPE=QTR_STD&amp;window=popup_no_bar&amp;width=385&amp;height=120&amp;START_MAXIMIZED=FALSE&amp;creator=factset&amp;display_string=Audit"}</definedName>
    <definedName name="_1259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126__FDSAUDITLINK__" localSheetId="1" hidden="1">{"fdsup://Directions/FactSet Auditing Viewer?action=AUDIT_VALUE&amp;DB=129&amp;ID1=91704710&amp;VALUEID=13040&amp;SDATE=200803&amp;PERIODTYPE=QTR_STD&amp;window=popup_no_bar&amp;width=385&amp;height=120&amp;START_MAXIMIZED=FALSE&amp;creator=factset&amp;display_string=Audit"}</definedName>
    <definedName name="_126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1260__FDSAUDITLINK__" localSheetId="1" hidden="1">{"fdsup://Directions/FactSet Auditing Viewer?action=AUDIT_VALUE&amp;DB=129&amp;ID1=00289620&amp;VALUEID=13040&amp;SDATE=200701&amp;PERIODTYPE=QTR_STD&amp;window=popup_no_bar&amp;width=385&amp;height=120&amp;START_MAXIMIZED=FALSE&amp;creator=factset&amp;display_string=Audit"}</definedName>
    <definedName name="_1260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1261__FDSAUDITLINK__" localSheetId="1" hidden="1">{"fdsup://Directions/FactSet Auditing Viewer?action=AUDIT_VALUE&amp;DB=129&amp;ID1=87416110&amp;VALUEID=01001&amp;SDATE=200604&amp;PERIODTYPE=QTR_STD&amp;window=popup_no_bar&amp;width=385&amp;height=120&amp;START_MAXIMIZED=FALSE&amp;creator=factset&amp;display_string=Audit"}</definedName>
    <definedName name="_1261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1262__FDSAUDITLINK__" localSheetId="1" hidden="1">{"fdsup://Directions/FactSet Auditing Viewer?action=AUDIT_VALUE&amp;DB=129&amp;ID1=46612H40&amp;VALUEID=01001&amp;SDATE=200604&amp;PERIODTYPE=QTR_STD&amp;window=popup_no_bar&amp;width=385&amp;height=120&amp;START_MAXIMIZED=FALSE&amp;creator=factset&amp;display_string=Audit"}</definedName>
    <definedName name="_1262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1263__FDSAUDITLINK__" localSheetId="1" hidden="1">{"fdsup://Directions/FactSet Auditing Viewer?action=AUDIT_VALUE&amp;DB=129&amp;ID1=36476010&amp;VALUEID=01001&amp;SDATE=200604&amp;PERIODTYPE=QTR_STD&amp;window=popup_no_bar&amp;width=385&amp;height=120&amp;START_MAXIMIZED=FALSE&amp;creator=factset&amp;display_string=Audit"}</definedName>
    <definedName name="_1263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1264__FDSAUDITLINK__" localSheetId="1" hidden="1">{"fdsup://Directions/FactSet Auditing Viewer?action=AUDIT_VALUE&amp;DB=129&amp;ID1=03611510&amp;VALUEID=01001&amp;SDATE=200604&amp;PERIODTYPE=QTR_STD&amp;window=popup_no_bar&amp;width=385&amp;height=120&amp;START_MAXIMIZED=FALSE&amp;creator=factset&amp;display_string=Audit"}</definedName>
    <definedName name="_1264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1265__FDSAUDITLINK__" localSheetId="1" hidden="1">{"fdsup://Directions/FactSet Auditing Viewer?action=AUDIT_VALUE&amp;DB=129&amp;ID1=16890510&amp;VALUEID=01001&amp;SDATE=200604&amp;PERIODTYPE=QTR_STD&amp;window=popup_no_bar&amp;width=385&amp;height=120&amp;START_MAXIMIZED=FALSE&amp;creator=factset&amp;display_string=Audit"}</definedName>
    <definedName name="_1265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1266__FDSAUDITLINK__" localSheetId="1"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1266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1267__FDSAUDITLINK__" localSheetId="1" hidden="1">{"fdsup://Directions/FactSet Auditing Viewer?action=AUDIT_VALUE&amp;DB=129&amp;ID1=00786510&amp;VALUEID=01001&amp;SDATE=200604&amp;PERIODTYPE=QTR_STD&amp;window=popup_no_bar&amp;width=385&amp;height=120&amp;START_MAXIMIZED=FALSE&amp;creator=factset&amp;display_string=Audit"}</definedName>
    <definedName name="_1267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1268__FDSAUDITLINK__" localSheetId="1" hidden="1">{"fdsup://Directions/FactSet Auditing Viewer?action=AUDIT_VALUE&amp;DB=129&amp;ID1=87416110&amp;VALUEID=02101&amp;SDATE=200603&amp;PERIODTYPE=QTR_STD&amp;window=popup_no_bar&amp;width=385&amp;height=120&amp;START_MAXIMIZED=FALSE&amp;creator=factset&amp;display_string=Audit"}</definedName>
    <definedName name="_1268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1269__FDSAUDITLINK__" localSheetId="1" hidden="1">{"fdsup://Directions/FactSet Auditing Viewer?action=AUDIT_VALUE&amp;DB=129&amp;ID1=87416110&amp;VALUEID=01001&amp;SDATE=200603&amp;PERIODTYPE=QTR_STD&amp;window=popup_no_bar&amp;width=385&amp;height=120&amp;START_MAXIMIZED=FALSE&amp;creator=factset&amp;display_string=Audit"}</definedName>
    <definedName name="_1269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127__FDSAUDITLINK__" localSheetId="1" hidden="1">{"fdsup://Directions/FactSet Auditing Viewer?action=AUDIT_VALUE&amp;DB=129&amp;ID1=02553E10&amp;VALUEID=02101&amp;SDATE=200803&amp;PERIODTYPE=QTR_STD&amp;window=popup_no_bar&amp;width=385&amp;height=120&amp;START_MAXIMIZED=FALSE&amp;creator=factset&amp;display_string=Audit"}</definedName>
    <definedName name="_127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1270__FDSAUDITLINK__" localSheetId="1" hidden="1">{"fdsup://Directions/FactSet Auditing Viewer?action=AUDIT_VALUE&amp;DB=129&amp;ID1=53271610&amp;VALUEID=02101&amp;SDATE=200603&amp;PERIODTYPE=QTR_STD&amp;window=popup_no_bar&amp;width=385&amp;height=120&amp;START_MAXIMIZED=FALSE&amp;creator=factset&amp;display_string=Audit"}</definedName>
    <definedName name="_1270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1271__FDSAUDITLINK__" localSheetId="1" hidden="1">{"fdsup://Directions/FactSet Auditing Viewer?action=AUDIT_VALUE&amp;DB=129&amp;ID1=53271610&amp;VALUEID=01001&amp;SDATE=200603&amp;PERIODTYPE=QTR_STD&amp;window=popup_no_bar&amp;width=385&amp;height=120&amp;START_MAXIMIZED=FALSE&amp;creator=factset&amp;display_string=Audit"}</definedName>
    <definedName name="_1271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1272__FDSAUDITLINK__" localSheetId="1" hidden="1">{"fdsup://Directions/FactSet Auditing Viewer?action=AUDIT_VALUE&amp;DB=129&amp;ID1=53271610&amp;VALUEID=13040&amp;SDATE=200603&amp;PERIODTYPE=QTR_STD&amp;window=popup_no_bar&amp;width=385&amp;height=120&amp;START_MAXIMIZED=FALSE&amp;creator=factset&amp;display_string=Audit"}</definedName>
    <definedName name="_1272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1273__FDSAUDITLINK__" localSheetId="1" hidden="1">{"fdsup://Directions/FactSet Auditing Viewer?action=AUDIT_VALUE&amp;DB=129&amp;ID1=46612H40&amp;VALUEID=02101&amp;SDATE=200603&amp;PERIODTYPE=QTR_STD&amp;window=popup_no_bar&amp;width=385&amp;height=120&amp;START_MAXIMIZED=FALSE&amp;creator=factset&amp;display_string=Audit"}</definedName>
    <definedName name="_1273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1274__FDSAUDITLINK__" localSheetId="1" hidden="1">{"fdsup://Directions/FactSet Auditing Viewer?action=AUDIT_VALUE&amp;DB=129&amp;ID1=46612H40&amp;VALUEID=01001&amp;SDATE=200603&amp;PERIODTYPE=QTR_STD&amp;window=popup_no_bar&amp;width=385&amp;height=120&amp;START_MAXIMIZED=FALSE&amp;creator=factset&amp;display_string=Audit"}</definedName>
    <definedName name="_1274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1275__FDSAUDITLINK__" localSheetId="1" hidden="1">{"fdsup://Directions/FactSet Auditing Viewer?action=AUDIT_VALUE&amp;DB=129&amp;ID1=46612H40&amp;VALUEID=13040&amp;SDATE=200603&amp;PERIODTYPE=QTR_STD&amp;window=popup_no_bar&amp;width=385&amp;height=120&amp;START_MAXIMIZED=FALSE&amp;creator=factset&amp;display_string=Audit"}</definedName>
    <definedName name="_1275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1276__FDSAUDITLINK__" localSheetId="1" hidden="1">{"fdsup://Directions/FactSet Auditing Viewer?action=AUDIT_VALUE&amp;DB=129&amp;ID1=36476010&amp;VALUEID=02101&amp;SDATE=200603&amp;PERIODTYPE=QTR_STD&amp;window=popup_no_bar&amp;width=385&amp;height=120&amp;START_MAXIMIZED=FALSE&amp;creator=factset&amp;display_string=Audit"}</definedName>
    <definedName name="_1276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1277__FDSAUDITLINK__" localSheetId="1" hidden="1">{"fdsup://Directions/FactSet Auditing Viewer?action=AUDIT_VALUE&amp;DB=129&amp;ID1=36476010&amp;VALUEID=01001&amp;SDATE=200603&amp;PERIODTYPE=QTR_STD&amp;window=popup_no_bar&amp;width=385&amp;height=120&amp;START_MAXIMIZED=FALSE&amp;creator=factset&amp;display_string=Audit"}</definedName>
    <definedName name="_1277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1278__FDSAUDITLINK__" localSheetId="1" hidden="1">{"fdsup://Directions/FactSet Auditing Viewer?action=AUDIT_VALUE&amp;DB=129&amp;ID1=36476010&amp;VALUEID=13040&amp;SDATE=200603&amp;PERIODTYPE=QTR_STD&amp;window=popup_no_bar&amp;width=385&amp;height=120&amp;START_MAXIMIZED=FALSE&amp;creator=factset&amp;display_string=Audit"}</definedName>
    <definedName name="_1278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1279__FDSAUDITLINK__" localSheetId="1" hidden="1">{"fdsup://Directions/FactSet Auditing Viewer?action=AUDIT_VALUE&amp;DB=129&amp;ID1=03611510&amp;VALUEID=02101&amp;SDATE=200603&amp;PERIODTYPE=QTR_STD&amp;window=popup_no_bar&amp;width=385&amp;height=120&amp;START_MAXIMIZED=FALSE&amp;creator=factset&amp;display_string=Audit"}</definedName>
    <definedName name="_1279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128__FDSAUDITLINK__" localSheetId="1" hidden="1">{"fdsup://Directions/FactSet Auditing Viewer?action=AUDIT_VALUE&amp;DB=129&amp;ID1=02553E10&amp;VALUEID=01001&amp;SDATE=200803&amp;PERIODTYPE=QTR_STD&amp;window=popup_no_bar&amp;width=385&amp;height=120&amp;START_MAXIMIZED=FALSE&amp;creator=factset&amp;display_string=Audit"}</definedName>
    <definedName name="_128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1280__FDSAUDITLINK__" localSheetId="1" hidden="1">{"fdsup://Directions/FactSet Auditing Viewer?action=AUDIT_VALUE&amp;DB=129&amp;ID1=03611510&amp;VALUEID=01001&amp;SDATE=200603&amp;PERIODTYPE=QTR_STD&amp;window=popup_no_bar&amp;width=385&amp;height=120&amp;START_MAXIMIZED=FALSE&amp;creator=factset&amp;display_string=Audit"}</definedName>
    <definedName name="_1280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1281__FDSAUDITLINK__" localSheetId="1" hidden="1">{"fdsup://Directions/FactSet Auditing Viewer?action=AUDIT_VALUE&amp;DB=129&amp;ID1=03611510&amp;VALUEID=13040&amp;SDATE=200603&amp;PERIODTYPE=QTR_STD&amp;window=popup_no_bar&amp;width=385&amp;height=120&amp;START_MAXIMIZED=FALSE&amp;creator=factset&amp;display_string=Audit"}</definedName>
    <definedName name="_1281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1282__FDSAUDITLINK__" localSheetId="1" hidden="1">{"fdsup://Directions/FactSet Auditing Viewer?action=AUDIT_VALUE&amp;DB=129&amp;ID1=16890510&amp;VALUEID=02101&amp;SDATE=200603&amp;PERIODTYPE=QTR_STD&amp;window=popup_no_bar&amp;width=385&amp;height=120&amp;START_MAXIMIZED=FALSE&amp;creator=factset&amp;display_string=Audit"}</definedName>
    <definedName name="_1282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1283__FDSAUDITLINK__" localSheetId="1" hidden="1">{"fdsup://Directions/FactSet Auditing Viewer?action=AUDIT_VALUE&amp;DB=129&amp;ID1=16890510&amp;VALUEID=01001&amp;SDATE=200603&amp;PERIODTYPE=QTR_STD&amp;window=popup_no_bar&amp;width=385&amp;height=120&amp;START_MAXIMIZED=FALSE&amp;creator=factset&amp;display_string=Audit"}</definedName>
    <definedName name="_1283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1284__FDSAUDITLINK__" localSheetId="1" hidden="1">{"fdsup://Directions/FactSet Auditing Viewer?action=AUDIT_VALUE&amp;DB=129&amp;ID1=91704710&amp;VALUEID=02101&amp;SDATE=200603&amp;PERIODTYPE=QTR_STD&amp;window=popup_no_bar&amp;width=385&amp;height=120&amp;START_MAXIMIZED=FALSE&amp;creator=factset&amp;display_string=Audit"}</definedName>
    <definedName name="_1284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1285__FDSAUDITLINK__" localSheetId="1" hidden="1">{"fdsup://Directions/FactSet Auditing Viewer?action=AUDIT_VALUE&amp;DB=129&amp;ID1=91704710&amp;VALUEID=01001&amp;SDATE=200603&amp;PERIODTYPE=QTR_STD&amp;window=popup_no_bar&amp;width=385&amp;height=120&amp;START_MAXIMIZED=FALSE&amp;creator=factset&amp;display_string=Audit"}</definedName>
    <definedName name="_1285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1286__FDSAUDITLINK__" localSheetId="1" hidden="1">{"fdsup://Directions/FactSet Auditing Viewer?action=AUDIT_VALUE&amp;DB=129&amp;ID1=91704710&amp;VALUEID=13040&amp;SDATE=200603&amp;PERIODTYPE=QTR_STD&amp;window=popup_no_bar&amp;width=385&amp;height=120&amp;START_MAXIMIZED=FALSE&amp;creator=factset&amp;display_string=Audit"}</definedName>
    <definedName name="_1286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1287__FDSAUDITLINK__" localSheetId="1"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1287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1288__FDSAUDITLINK__" localSheetId="1" hidden="1">{"fdsup://Directions/FactSet Auditing Viewer?action=AUDIT_VALUE&amp;DB=129&amp;ID1=00786510&amp;VALUEID=02101&amp;SDATE=200603&amp;PERIODTYPE=QTR_STD&amp;window=popup_no_bar&amp;width=385&amp;height=120&amp;START_MAXIMIZED=FALSE&amp;creator=factset&amp;display_string=Audit"}</definedName>
    <definedName name="_1288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1289__FDSAUDITLINK__" localSheetId="1" hidden="1">{"fdsup://Directions/FactSet Auditing Viewer?action=AUDIT_VALUE&amp;DB=129&amp;ID1=00786510&amp;VALUEID=01001&amp;SDATE=200603&amp;PERIODTYPE=QTR_STD&amp;window=popup_no_bar&amp;width=385&amp;height=120&amp;START_MAXIMIZED=FALSE&amp;creator=factset&amp;display_string=Audit"}</definedName>
    <definedName name="_1289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129__FDSAUDITLINK__" localSheetId="1" hidden="1">{"fdsup://Directions/FactSet Auditing Viewer?action=AUDIT_VALUE&amp;DB=129&amp;ID1=02553E10&amp;VALUEID=13040&amp;SDATE=200803&amp;PERIODTYPE=QTR_STD&amp;window=popup_no_bar&amp;width=385&amp;height=120&amp;START_MAXIMIZED=FALSE&amp;creator=factset&amp;display_string=Audit"}</definedName>
    <definedName name="_129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1290__FDSAUDITLINK__" localSheetId="1" hidden="1">{"fdsup://Directions/FactSet Auditing Viewer?action=AUDIT_VALUE&amp;DB=129&amp;ID1=00786510&amp;VALUEID=13040&amp;SDATE=200603&amp;PERIODTYPE=QTR_STD&amp;window=popup_no_bar&amp;width=385&amp;height=120&amp;START_MAXIMIZED=FALSE&amp;creator=factset&amp;display_string=Audit"}</definedName>
    <definedName name="_1290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1291__FDSAUDITLINK__" localSheetId="1" hidden="1">{"fdsup://Directions/FactSet Auditing Viewer?action=AUDIT_VALUE&amp;DB=129&amp;ID1=00289620&amp;VALUEID=02101&amp;SDATE=200603&amp;PERIODTYPE=QTR_STD&amp;window=popup_no_bar&amp;width=385&amp;height=120&amp;START_MAXIMIZED=FALSE&amp;creator=factset&amp;display_string=Audit"}</definedName>
    <definedName name="_1291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1292__FDSAUDITLINK__" localSheetId="1" hidden="1">{"fdsup://Directions/FactSet Auditing Viewer?action=AUDIT_VALUE&amp;DB=129&amp;ID1=00289620&amp;VALUEID=01001&amp;SDATE=200603&amp;PERIODTYPE=QTR_STD&amp;window=popup_no_bar&amp;width=385&amp;height=120&amp;START_MAXIMIZED=FALSE&amp;creator=factset&amp;display_string=Audit"}</definedName>
    <definedName name="_1292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1293__FDSAUDITLINK__" localSheetId="1" hidden="1">{"fdsup://Directions/FactSet Auditing Viewer?action=AUDIT_VALUE&amp;DB=129&amp;ID1=00289620&amp;VALUEID=13040&amp;SDATE=200603&amp;PERIODTYPE=QTR_STD&amp;window=popup_no_bar&amp;width=385&amp;height=120&amp;START_MAXIMIZED=FALSE&amp;creator=factset&amp;display_string=Audit"}</definedName>
    <definedName name="_1293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1294__FDSAUDITLINK__" localSheetId="1" hidden="1">{"fdsup://Directions/FactSet Auditing Viewer?action=AUDIT_VALUE&amp;DB=129&amp;ID1=87416110&amp;VALUEID=02101&amp;SDATE=200602&amp;PERIODTYPE=QTR_STD&amp;window=popup_no_bar&amp;width=385&amp;height=120&amp;START_MAXIMIZED=FALSE&amp;creator=factset&amp;display_string=Audit"}</definedName>
    <definedName name="_1294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1295__FDSAUDITLINK__" localSheetId="1" hidden="1">{"fdsup://Directions/FactSet Auditing Viewer?action=AUDIT_VALUE&amp;DB=129&amp;ID1=87416110&amp;VALUEID=01001&amp;SDATE=200602&amp;PERIODTYPE=QTR_STD&amp;window=popup_no_bar&amp;width=385&amp;height=120&amp;START_MAXIMIZED=FALSE&amp;creator=factset&amp;display_string=Audit"}</definedName>
    <definedName name="_1295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1296__FDSAUDITLINK__" localSheetId="1" hidden="1">{"fdsup://Directions/FactSet Auditing Viewer?action=AUDIT_VALUE&amp;DB=129&amp;ID1=53271610&amp;VALUEID=02101&amp;SDATE=200602&amp;PERIODTYPE=QTR_STD&amp;window=popup_no_bar&amp;width=385&amp;height=120&amp;START_MAXIMIZED=FALSE&amp;creator=factset&amp;display_string=Audit"}</definedName>
    <definedName name="_1296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1297__FDSAUDITLINK__" localSheetId="1" hidden="1">{"fdsup://Directions/FactSet Auditing Viewer?action=AUDIT_VALUE&amp;DB=129&amp;ID1=53271610&amp;VALUEID=01001&amp;SDATE=200602&amp;PERIODTYPE=QTR_STD&amp;window=popup_no_bar&amp;width=385&amp;height=120&amp;START_MAXIMIZED=FALSE&amp;creator=factset&amp;display_string=Audit"}</definedName>
    <definedName name="_1297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1298__FDSAUDITLINK__" localSheetId="1" hidden="1">{"fdsup://Directions/FactSet Auditing Viewer?action=AUDIT_VALUE&amp;DB=129&amp;ID1=53271610&amp;VALUEID=13040&amp;SDATE=200602&amp;PERIODTYPE=QTR_STD&amp;window=popup_no_bar&amp;width=385&amp;height=120&amp;START_MAXIMIZED=FALSE&amp;creator=factset&amp;display_string=Audit"}</definedName>
    <definedName name="_1298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1299__FDSAUDITLINK__" localSheetId="1" hidden="1">{"fdsup://Directions/FactSet Auditing Viewer?action=AUDIT_VALUE&amp;DB=129&amp;ID1=46612H40&amp;VALUEID=02101&amp;SDATE=200602&amp;PERIODTYPE=QTR_STD&amp;window=popup_no_bar&amp;width=385&amp;height=120&amp;START_MAXIMIZED=FALSE&amp;creator=factset&amp;display_string=Audit"}</definedName>
    <definedName name="_1299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13__123Graph_XR_M_MARG" hidden="1">[1]P!$R$29:$AK$29</definedName>
    <definedName name="_13__FDSAUDITLINK__" localSheetId="1" hidden="1">{"fdsup://Directions/FactSet Auditing Viewer?action=AUDIT_VALUE&amp;DB=129&amp;ID1=91704710&amp;VALUEID=02101&amp;SDATE=201001&amp;PERIODTYPE=QTR_STD&amp;window=popup_no_bar&amp;width=385&amp;height=120&amp;START_MAXIMIZED=FALSE&amp;creator=factset&amp;display_string=Audit"}</definedName>
    <definedName name="_13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130__FDSAUDITLINK__" localSheetId="1" hidden="1">{"fdsup://Directions/FactSet Auditing Viewer?action=AUDIT_VALUE&amp;DB=129&amp;ID1=00786510&amp;VALUEID=02101&amp;SDATE=200803&amp;PERIODTYPE=QTR_STD&amp;window=popup_no_bar&amp;width=385&amp;height=120&amp;START_MAXIMIZED=FALSE&amp;creator=factset&amp;display_string=Audit"}</definedName>
    <definedName name="_130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1300__FDSAUDITLINK__" localSheetId="1" hidden="1">{"fdsup://Directions/FactSet Auditing Viewer?action=AUDIT_VALUE&amp;DB=129&amp;ID1=46612H40&amp;VALUEID=01001&amp;SDATE=200602&amp;PERIODTYPE=QTR_STD&amp;window=popup_no_bar&amp;width=385&amp;height=120&amp;START_MAXIMIZED=FALSE&amp;creator=factset&amp;display_string=Audit"}</definedName>
    <definedName name="_1300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1301__FDSAUDITLINK__" localSheetId="1" hidden="1">{"fdsup://Directions/FactSet Auditing Viewer?action=AUDIT_VALUE&amp;DB=129&amp;ID1=46612H40&amp;VALUEID=13040&amp;SDATE=200602&amp;PERIODTYPE=QTR_STD&amp;window=popup_no_bar&amp;width=385&amp;height=120&amp;START_MAXIMIZED=FALSE&amp;creator=factset&amp;display_string=Audit"}</definedName>
    <definedName name="_1301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1302__FDSAUDITLINK__" localSheetId="1" hidden="1">{"fdsup://Directions/FactSet Auditing Viewer?action=AUDIT_VALUE&amp;DB=129&amp;ID1=36476010&amp;VALUEID=02101&amp;SDATE=200602&amp;PERIODTYPE=QTR_STD&amp;window=popup_no_bar&amp;width=385&amp;height=120&amp;START_MAXIMIZED=FALSE&amp;creator=factset&amp;display_string=Audit"}</definedName>
    <definedName name="_1302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1303__FDSAUDITLINK__" localSheetId="1" hidden="1">{"fdsup://Directions/FactSet Auditing Viewer?action=AUDIT_VALUE&amp;DB=129&amp;ID1=36476010&amp;VALUEID=01001&amp;SDATE=200602&amp;PERIODTYPE=QTR_STD&amp;window=popup_no_bar&amp;width=385&amp;height=120&amp;START_MAXIMIZED=FALSE&amp;creator=factset&amp;display_string=Audit"}</definedName>
    <definedName name="_1303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1304__FDSAUDITLINK__" localSheetId="1" hidden="1">{"fdsup://Directions/FactSet Auditing Viewer?action=AUDIT_VALUE&amp;DB=129&amp;ID1=36476010&amp;VALUEID=13040&amp;SDATE=200602&amp;PERIODTYPE=QTR_STD&amp;window=popup_no_bar&amp;width=385&amp;height=120&amp;START_MAXIMIZED=FALSE&amp;creator=factset&amp;display_string=Audit"}</definedName>
    <definedName name="_1304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1305__FDSAUDITLINK__" localSheetId="1" hidden="1">{"fdsup://Directions/FactSet Auditing Viewer?action=AUDIT_VALUE&amp;DB=129&amp;ID1=03611510&amp;VALUEID=02101&amp;SDATE=200602&amp;PERIODTYPE=QTR_STD&amp;window=popup_no_bar&amp;width=385&amp;height=120&amp;START_MAXIMIZED=FALSE&amp;creator=factset&amp;display_string=Audit"}</definedName>
    <definedName name="_1305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1306__FDSAUDITLINK__" localSheetId="1" hidden="1">{"fdsup://Directions/FactSet Auditing Viewer?action=AUDIT_VALUE&amp;DB=129&amp;ID1=03611510&amp;VALUEID=01001&amp;SDATE=200602&amp;PERIODTYPE=QTR_STD&amp;window=popup_no_bar&amp;width=385&amp;height=120&amp;START_MAXIMIZED=FALSE&amp;creator=factset&amp;display_string=Audit"}</definedName>
    <definedName name="_1306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1307__FDSAUDITLINK__" localSheetId="1" hidden="1">{"fdsup://Directions/FactSet Auditing Viewer?action=AUDIT_VALUE&amp;DB=129&amp;ID1=03611510&amp;VALUEID=13040&amp;SDATE=200602&amp;PERIODTYPE=QTR_STD&amp;window=popup_no_bar&amp;width=385&amp;height=120&amp;START_MAXIMIZED=FALSE&amp;creator=factset&amp;display_string=Audit"}</definedName>
    <definedName name="_1307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1308__FDSAUDITLINK__" localSheetId="1" hidden="1">{"fdsup://Directions/FactSet Auditing Viewer?action=AUDIT_VALUE&amp;DB=129&amp;ID1=16890510&amp;VALUEID=02101&amp;SDATE=200602&amp;PERIODTYPE=QTR_STD&amp;window=popup_no_bar&amp;width=385&amp;height=120&amp;START_MAXIMIZED=FALSE&amp;creator=factset&amp;display_string=Audit"}</definedName>
    <definedName name="_1308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1309__FDSAUDITLINK__" localSheetId="1" hidden="1">{"fdsup://Directions/FactSet Auditing Viewer?action=AUDIT_VALUE&amp;DB=129&amp;ID1=16890510&amp;VALUEID=01001&amp;SDATE=200602&amp;PERIODTYPE=QTR_STD&amp;window=popup_no_bar&amp;width=385&amp;height=120&amp;START_MAXIMIZED=FALSE&amp;creator=factset&amp;display_string=Audit"}</definedName>
    <definedName name="_1309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131__FDSAUDITLINK__" localSheetId="1" hidden="1">{"fdsup://Directions/FactSet Auditing Viewer?action=AUDIT_VALUE&amp;DB=129&amp;ID1=00786510&amp;VALUEID=01001&amp;SDATE=200803&amp;PERIODTYPE=QTR_STD&amp;window=popup_no_bar&amp;width=385&amp;height=120&amp;START_MAXIMIZED=FALSE&amp;creator=factset&amp;display_string=Audit"}</definedName>
    <definedName name="_131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1310__FDSAUDITLINK__" localSheetId="1" hidden="1">{"fdsup://Directions/FactSet Auditing Viewer?action=AUDIT_VALUE&amp;DB=129&amp;ID1=91704710&amp;VALUEID=02101&amp;SDATE=200602&amp;PERIODTYPE=QTR_STD&amp;window=popup_no_bar&amp;width=385&amp;height=120&amp;START_MAXIMIZED=FALSE&amp;creator=factset&amp;display_string=Audit"}</definedName>
    <definedName name="_1310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1311__FDSAUDITLINK__" localSheetId="1" hidden="1">{"fdsup://Directions/FactSet Auditing Viewer?action=AUDIT_VALUE&amp;DB=129&amp;ID1=91704710&amp;VALUEID=01001&amp;SDATE=200602&amp;PERIODTYPE=QTR_STD&amp;window=popup_no_bar&amp;width=385&amp;height=120&amp;START_MAXIMIZED=FALSE&amp;creator=factset&amp;display_string=Audit"}</definedName>
    <definedName name="_1311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1312__FDSAUDITLINK__" localSheetId="1" hidden="1">{"fdsup://Directions/FactSet Auditing Viewer?action=AUDIT_VALUE&amp;DB=129&amp;ID1=91704710&amp;VALUEID=13040&amp;SDATE=200602&amp;PERIODTYPE=QTR_STD&amp;window=popup_no_bar&amp;width=385&amp;height=120&amp;START_MAXIMIZED=FALSE&amp;creator=factset&amp;display_string=Audit"}</definedName>
    <definedName name="_1312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1313__FDSAUDITLINK__" localSheetId="1"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1313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1314__FDSAUDITLINK__" localSheetId="1" hidden="1">{"fdsup://Directions/FactSet Auditing Viewer?action=AUDIT_VALUE&amp;DB=129&amp;ID1=00786510&amp;VALUEID=02101&amp;SDATE=200602&amp;PERIODTYPE=QTR_STD&amp;window=popup_no_bar&amp;width=385&amp;height=120&amp;START_MAXIMIZED=FALSE&amp;creator=factset&amp;display_string=Audit"}</definedName>
    <definedName name="_1314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1315__FDSAUDITLINK__" localSheetId="1" hidden="1">{"fdsup://Directions/FactSet Auditing Viewer?action=AUDIT_VALUE&amp;DB=129&amp;ID1=00786510&amp;VALUEID=01001&amp;SDATE=200602&amp;PERIODTYPE=QTR_STD&amp;window=popup_no_bar&amp;width=385&amp;height=120&amp;START_MAXIMIZED=FALSE&amp;creator=factset&amp;display_string=Audit"}</definedName>
    <definedName name="_1315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1316__FDSAUDITLINK__" localSheetId="1" hidden="1">{"fdsup://Directions/FactSet Auditing Viewer?action=AUDIT_VALUE&amp;DB=129&amp;ID1=00786510&amp;VALUEID=13040&amp;SDATE=200602&amp;PERIODTYPE=QTR_STD&amp;window=popup_no_bar&amp;width=385&amp;height=120&amp;START_MAXIMIZED=FALSE&amp;creator=factset&amp;display_string=Audit"}</definedName>
    <definedName name="_1316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1317__FDSAUDITLINK__" localSheetId="1" hidden="1">{"fdsup://Directions/FactSet Auditing Viewer?action=AUDIT_VALUE&amp;DB=129&amp;ID1=00289620&amp;VALUEID=02101&amp;SDATE=200602&amp;PERIODTYPE=QTR_STD&amp;window=popup_no_bar&amp;width=385&amp;height=120&amp;START_MAXIMIZED=FALSE&amp;creator=factset&amp;display_string=Audit"}</definedName>
    <definedName name="_1317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1318__FDSAUDITLINK__" localSheetId="1" hidden="1">{"fdsup://Directions/FactSet Auditing Viewer?action=AUDIT_VALUE&amp;DB=129&amp;ID1=00289620&amp;VALUEID=01001&amp;SDATE=200602&amp;PERIODTYPE=QTR_STD&amp;window=popup_no_bar&amp;width=385&amp;height=120&amp;START_MAXIMIZED=FALSE&amp;creator=factset&amp;display_string=Audit"}</definedName>
    <definedName name="_1318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1319__FDSAUDITLINK__" localSheetId="1" hidden="1">{"fdsup://Directions/FactSet Auditing Viewer?action=AUDIT_VALUE&amp;DB=129&amp;ID1=00289620&amp;VALUEID=13040&amp;SDATE=200602&amp;PERIODTYPE=QTR_STD&amp;window=popup_no_bar&amp;width=385&amp;height=120&amp;START_MAXIMIZED=FALSE&amp;creator=factset&amp;display_string=Audit"}</definedName>
    <definedName name="_1319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132__FDSAUDITLINK__" localSheetId="1" hidden="1">{"fdsup://Directions/FactSet Auditing Viewer?action=AUDIT_VALUE&amp;DB=129&amp;ID1=00786510&amp;VALUEID=13040&amp;SDATE=200803&amp;PERIODTYPE=QTR_STD&amp;window=popup_no_bar&amp;width=385&amp;height=120&amp;START_MAXIMIZED=FALSE&amp;creator=factset&amp;display_string=Audit"}</definedName>
    <definedName name="_132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1320__FDSAUDITLINK__" localSheetId="1" hidden="1">{"fdsup://Directions/FactSet Auditing Viewer?action=AUDIT_VALUE&amp;DB=129&amp;ID1=87416110&amp;VALUEID=02101&amp;SDATE=200601&amp;PERIODTYPE=QTR_STD&amp;window=popup_no_bar&amp;width=385&amp;height=120&amp;START_MAXIMIZED=FALSE&amp;creator=factset&amp;display_string=Audit"}</definedName>
    <definedName name="_1320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1321__FDSAUDITLINK__" localSheetId="1" hidden="1">{"fdsup://Directions/FactSet Auditing Viewer?action=AUDIT_VALUE&amp;DB=129&amp;ID1=87416110&amp;VALUEID=01001&amp;SDATE=200601&amp;PERIODTYPE=QTR_STD&amp;window=popup_no_bar&amp;width=385&amp;height=120&amp;START_MAXIMIZED=FALSE&amp;creator=factset&amp;display_string=Audit"}</definedName>
    <definedName name="_1321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1322__FDSAUDITLINK__" localSheetId="1" hidden="1">{"fdsup://Directions/FactSet Auditing Viewer?action=AUDIT_VALUE&amp;DB=129&amp;ID1=87416110&amp;VALUEID=13040&amp;SDATE=200601&amp;PERIODTYPE=QTR_STD&amp;window=popup_no_bar&amp;width=385&amp;height=120&amp;START_MAXIMIZED=FALSE&amp;creator=factset&amp;display_string=Audit"}</definedName>
    <definedName name="_1322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1323__FDSAUDITLINK__" localSheetId="1"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1323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1324__FDSAUDITLINK__" localSheetId="1" hidden="1">{"fdsup://Directions/FactSet Auditing Viewer?action=AUDIT_VALUE&amp;DB=129&amp;ID1=53271610&amp;VALUEID=02101&amp;SDATE=200601&amp;PERIODTYPE=QTR_STD&amp;window=popup_no_bar&amp;width=385&amp;height=120&amp;START_MAXIMIZED=FALSE&amp;creator=factset&amp;display_string=Audit"}</definedName>
    <definedName name="_1324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1325__FDSAUDITLINK__" localSheetId="1" hidden="1">{"fdsup://Directions/FactSet Auditing Viewer?action=AUDIT_VALUE&amp;DB=129&amp;ID1=53271610&amp;VALUEID=01001&amp;SDATE=200601&amp;PERIODTYPE=QTR_STD&amp;window=popup_no_bar&amp;width=385&amp;height=120&amp;START_MAXIMIZED=FALSE&amp;creator=factset&amp;display_string=Audit"}</definedName>
    <definedName name="_1325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1326__FDSAUDITLINK__" localSheetId="1" hidden="1">{"fdsup://Directions/FactSet Auditing Viewer?action=AUDIT_VALUE&amp;DB=129&amp;ID1=53271610&amp;VALUEID=13040&amp;SDATE=200601&amp;PERIODTYPE=QTR_STD&amp;window=popup_no_bar&amp;width=385&amp;height=120&amp;START_MAXIMIZED=FALSE&amp;creator=factset&amp;display_string=Audit"}</definedName>
    <definedName name="_1326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1327__FDSAUDITLINK__" localSheetId="1" hidden="1">{"fdsup://Directions/FactSet Auditing Viewer?action=AUDIT_VALUE&amp;DB=129&amp;ID1=46612H40&amp;VALUEID=02101&amp;SDATE=200601&amp;PERIODTYPE=QTR_STD&amp;window=popup_no_bar&amp;width=385&amp;height=120&amp;START_MAXIMIZED=FALSE&amp;creator=factset&amp;display_string=Audit"}</definedName>
    <definedName name="_1327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1328__FDSAUDITLINK__" localSheetId="1" hidden="1">{"fdsup://Directions/FactSet Auditing Viewer?action=AUDIT_VALUE&amp;DB=129&amp;ID1=46612H40&amp;VALUEID=01001&amp;SDATE=200601&amp;PERIODTYPE=QTR_STD&amp;window=popup_no_bar&amp;width=385&amp;height=120&amp;START_MAXIMIZED=FALSE&amp;creator=factset&amp;display_string=Audit"}</definedName>
    <definedName name="_1328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1329__FDSAUDITLINK__" localSheetId="1" hidden="1">{"fdsup://Directions/FactSet Auditing Viewer?action=AUDIT_VALUE&amp;DB=129&amp;ID1=46612H40&amp;VALUEID=13040&amp;SDATE=200601&amp;PERIODTYPE=QTR_STD&amp;window=popup_no_bar&amp;width=385&amp;height=120&amp;START_MAXIMIZED=FALSE&amp;creator=factset&amp;display_string=Audit"}</definedName>
    <definedName name="_1329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133__FDSAUDITLINK__" localSheetId="1" hidden="1">{"fdsup://Directions/FactSet Auditing Viewer?action=AUDIT_VALUE&amp;DB=129&amp;ID1=00289620&amp;VALUEID=02101&amp;SDATE=200803&amp;PERIODTYPE=QTR_STD&amp;window=popup_no_bar&amp;width=385&amp;height=120&amp;START_MAXIMIZED=FALSE&amp;creator=factset&amp;display_string=Audit"}</definedName>
    <definedName name="_133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1330__FDSAUDITLINK__" localSheetId="1" hidden="1">{"fdsup://Directions/FactSet Auditing Viewer?action=AUDIT_VALUE&amp;DB=129&amp;ID1=36476010&amp;VALUEID=02101&amp;SDATE=200601&amp;PERIODTYPE=QTR_STD&amp;window=popup_no_bar&amp;width=385&amp;height=120&amp;START_MAXIMIZED=FALSE&amp;creator=factset&amp;display_string=Audit"}</definedName>
    <definedName name="_1330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1331__FDSAUDITLINK__" localSheetId="1" hidden="1">{"fdsup://Directions/FactSet Auditing Viewer?action=AUDIT_VALUE&amp;DB=129&amp;ID1=36476010&amp;VALUEID=01001&amp;SDATE=200601&amp;PERIODTYPE=QTR_STD&amp;window=popup_no_bar&amp;width=385&amp;height=120&amp;START_MAXIMIZED=FALSE&amp;creator=factset&amp;display_string=Audit"}</definedName>
    <definedName name="_1331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1332__FDSAUDITLINK__" localSheetId="1" hidden="1">{"fdsup://Directions/FactSet Auditing Viewer?action=AUDIT_VALUE&amp;DB=129&amp;ID1=36476010&amp;VALUEID=13040&amp;SDATE=200601&amp;PERIODTYPE=QTR_STD&amp;window=popup_no_bar&amp;width=385&amp;height=120&amp;START_MAXIMIZED=FALSE&amp;creator=factset&amp;display_string=Audit"}</definedName>
    <definedName name="_1332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1333__FDSAUDITLINK__" localSheetId="1" hidden="1">{"fdsup://Directions/FactSet Auditing Viewer?action=AUDIT_VALUE&amp;DB=129&amp;ID1=03611510&amp;VALUEID=02101&amp;SDATE=200601&amp;PERIODTYPE=QTR_STD&amp;window=popup_no_bar&amp;width=385&amp;height=120&amp;START_MAXIMIZED=FALSE&amp;creator=factset&amp;display_string=Audit"}</definedName>
    <definedName name="_1333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1334__FDSAUDITLINK__" localSheetId="1" hidden="1">{"fdsup://Directions/FactSet Auditing Viewer?action=AUDIT_VALUE&amp;DB=129&amp;ID1=03611510&amp;VALUEID=13040&amp;SDATE=200601&amp;PERIODTYPE=QTR_STD&amp;window=popup_no_bar&amp;width=385&amp;height=120&amp;START_MAXIMIZED=FALSE&amp;creator=factset&amp;display_string=Audit"}</definedName>
    <definedName name="_1334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1335__FDSAUDITLINK__" localSheetId="1" hidden="1">{"fdsup://Directions/FactSet Auditing Viewer?action=AUDIT_VALUE&amp;DB=129&amp;ID1=16890510&amp;VALUEID=02101&amp;SDATE=200601&amp;PERIODTYPE=QTR_STD&amp;window=popup_no_bar&amp;width=385&amp;height=120&amp;START_MAXIMIZED=FALSE&amp;creator=factset&amp;display_string=Audit"}</definedName>
    <definedName name="_1335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1336__FDSAUDITLINK__" localSheetId="1" hidden="1">{"fdsup://Directions/FactSet Auditing Viewer?action=AUDIT_VALUE&amp;DB=129&amp;ID1=16890510&amp;VALUEID=01001&amp;SDATE=200601&amp;PERIODTYPE=QTR_STD&amp;window=popup_no_bar&amp;width=385&amp;height=120&amp;START_MAXIMIZED=FALSE&amp;creator=factset&amp;display_string=Audit"}</definedName>
    <definedName name="_1336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1337__FDSAUDITLINK__" localSheetId="1" hidden="1">{"fdsup://Directions/FactSet Auditing Viewer?action=AUDIT_VALUE&amp;DB=129&amp;ID1=91704710&amp;VALUEID=02101&amp;SDATE=200601&amp;PERIODTYPE=QTR_STD&amp;window=popup_no_bar&amp;width=385&amp;height=120&amp;START_MAXIMIZED=FALSE&amp;creator=factset&amp;display_string=Audit"}</definedName>
    <definedName name="_1337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1338__FDSAUDITLINK__" localSheetId="1" hidden="1">{"fdsup://Directions/FactSet Auditing Viewer?action=AUDIT_VALUE&amp;DB=129&amp;ID1=91704710&amp;VALUEID=01001&amp;SDATE=200601&amp;PERIODTYPE=QTR_STD&amp;window=popup_no_bar&amp;width=385&amp;height=120&amp;START_MAXIMIZED=FALSE&amp;creator=factset&amp;display_string=Audit"}</definedName>
    <definedName name="_1338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1339__FDSAUDITLINK__" localSheetId="1" hidden="1">{"fdsup://Directions/FactSet Auditing Viewer?action=AUDIT_VALUE&amp;DB=129&amp;ID1=91704710&amp;VALUEID=13040&amp;SDATE=200601&amp;PERIODTYPE=QTR_STD&amp;window=popup_no_bar&amp;width=385&amp;height=120&amp;START_MAXIMIZED=FALSE&amp;creator=factset&amp;display_string=Audit"}</definedName>
    <definedName name="_1339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134__FDSAUDITLINK__" localSheetId="1" hidden="1">{"fdsup://Directions/FactSet Auditing Viewer?action=AUDIT_VALUE&amp;DB=129&amp;ID1=00289620&amp;VALUEID=01001&amp;SDATE=200803&amp;PERIODTYPE=QTR_STD&amp;window=popup_no_bar&amp;width=385&amp;height=120&amp;START_MAXIMIZED=FALSE&amp;creator=factset&amp;display_string=Audit"}</definedName>
    <definedName name="_134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1340__FDSAUDITLINK__" localSheetId="1" hidden="1">{"fdsup://Directions/FactSet Auditing Viewer?action=AUDIT_VALUE&amp;DB=129&amp;ID1=02553E10&amp;VALUEID=02101&amp;SDATE=200601&amp;PERIODTYPE=QTR_STD&amp;window=popup_no_bar&amp;width=385&amp;height=120&amp;START_MAXIMIZED=FALSE&amp;creator=factset&amp;display_string=Audit"}</definedName>
    <definedName name="_1340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1341__FDSAUDITLINK__" localSheetId="1" hidden="1">{"fdsup://Directions/FactSet Auditing Viewer?action=AUDIT_VALUE&amp;DB=129&amp;ID1=02553E10&amp;VALUEID=01001&amp;SDATE=200601&amp;PERIODTYPE=QTR_STD&amp;window=popup_no_bar&amp;width=385&amp;height=120&amp;START_MAXIMIZED=FALSE&amp;creator=factset&amp;display_string=Audit"}</definedName>
    <definedName name="_1341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1342__FDSAUDITLINK__" localSheetId="1" hidden="1">{"fdsup://Directions/FactSet Auditing Viewer?action=AUDIT_VALUE&amp;DB=129&amp;ID1=02553E10&amp;VALUEID=13040&amp;SDATE=200601&amp;PERIODTYPE=QTR_STD&amp;window=popup_no_bar&amp;width=385&amp;height=120&amp;START_MAXIMIZED=FALSE&amp;creator=factset&amp;display_string=Audit"}</definedName>
    <definedName name="_1342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1343__FDSAUDITLINK__" localSheetId="1"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1343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1344__FDSAUDITLINK__" localSheetId="1" hidden="1">{"fdsup://Directions/FactSet Auditing Viewer?action=AUDIT_VALUE&amp;DB=129&amp;ID1=00786510&amp;VALUEID=02101&amp;SDATE=200601&amp;PERIODTYPE=QTR_STD&amp;window=popup_no_bar&amp;width=385&amp;height=120&amp;START_MAXIMIZED=FALSE&amp;creator=factset&amp;display_string=Audit"}</definedName>
    <definedName name="_1344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1345__FDSAUDITLINK__" localSheetId="1" hidden="1">{"fdsup://Directions/FactSet Auditing Viewer?action=AUDIT_VALUE&amp;DB=129&amp;ID1=00786510&amp;VALUEID=01001&amp;SDATE=200601&amp;PERIODTYPE=QTR_STD&amp;window=popup_no_bar&amp;width=385&amp;height=120&amp;START_MAXIMIZED=FALSE&amp;creator=factset&amp;display_string=Audit"}</definedName>
    <definedName name="_1345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1346__FDSAUDITLINK__" localSheetId="1" hidden="1">{"fdsup://Directions/FactSet Auditing Viewer?action=AUDIT_VALUE&amp;DB=129&amp;ID1=00786510&amp;VALUEID=13040&amp;SDATE=200601&amp;PERIODTYPE=QTR_STD&amp;window=popup_no_bar&amp;width=385&amp;height=120&amp;START_MAXIMIZED=FALSE&amp;creator=factset&amp;display_string=Audit"}</definedName>
    <definedName name="_1346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1347__FDSAUDITLINK__" localSheetId="1" hidden="1">{"fdsup://Directions/FactSet Auditing Viewer?action=AUDIT_VALUE&amp;DB=129&amp;ID1=00289620&amp;VALUEID=02101&amp;SDATE=200601&amp;PERIODTYPE=QTR_STD&amp;window=popup_no_bar&amp;width=385&amp;height=120&amp;START_MAXIMIZED=FALSE&amp;creator=factset&amp;display_string=Audit"}</definedName>
    <definedName name="_1347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1348__FDSAUDITLINK__" localSheetId="1" hidden="1">{"fdsup://Directions/FactSet Auditing Viewer?action=AUDIT_VALUE&amp;DB=129&amp;ID1=00289620&amp;VALUEID=01001&amp;SDATE=200601&amp;PERIODTYPE=QTR_STD&amp;window=popup_no_bar&amp;width=385&amp;height=120&amp;START_MAXIMIZED=FALSE&amp;creator=factset&amp;display_string=Audit"}</definedName>
    <definedName name="_1348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1349__FDSAUDITLINK__" localSheetId="1" hidden="1">{"fdsup://Directions/FactSet Auditing Viewer?action=AUDIT_VALUE&amp;DB=129&amp;ID1=00289620&amp;VALUEID=13040&amp;SDATE=200601&amp;PERIODTYPE=QTR_STD&amp;window=popup_no_bar&amp;width=385&amp;height=120&amp;START_MAXIMIZED=FALSE&amp;creator=factset&amp;display_string=Audit"}</definedName>
    <definedName name="_1349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135__FDSAUDITLINK__" localSheetId="1" hidden="1">{"fdsup://Directions/FactSet Auditing Viewer?action=AUDIT_VALUE&amp;DB=129&amp;ID1=00289620&amp;VALUEID=13040&amp;SDATE=200803&amp;PERIODTYPE=QTR_STD&amp;window=popup_no_bar&amp;width=385&amp;height=120&amp;START_MAXIMIZED=FALSE&amp;creator=factset&amp;display_string=Audit"}</definedName>
    <definedName name="_135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1350__FDSAUDITLINK__" localSheetId="1"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1350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1351__FDSAUDITLINK__" localSheetId="1"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1351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1352__FDSAUDITLINK__" localSheetId="1"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1352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1353__FDSAUDITLINK__" localSheetId="1" hidden="1">{"fdsup://Directions/FactSet Auditing Viewer?action=AUDIT_VALUE&amp;DB=129&amp;ID1=03611510&amp;VALUEID=13040&amp;SDATE=200503&amp;PERIODTYPE=QTR_STD&amp;window=popup_no_bar&amp;width=385&amp;height=120&amp;START_MAXIMIZED=FALSE&amp;creator=factset&amp;display_string=Audit"}</definedName>
    <definedName name="_1353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1354__FDSAUDITLINK__" localSheetId="1"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1354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1355__FDSAUDITLINK__" localSheetId="1"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1355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1356__FDSAUDITLINK__" localSheetId="1" hidden="1">{"fdsup://Directions/FactSet Auditing Viewer?action=AUDIT_VALUE&amp;DB=129&amp;ID1=03611510&amp;VALUEID=13040&amp;SDATE=200502&amp;PERIODTYPE=QTR_STD&amp;window=popup_no_bar&amp;width=385&amp;height=120&amp;START_MAXIMIZED=FALSE&amp;creator=factset&amp;display_string=Audit"}</definedName>
    <definedName name="_1356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1357__FDSAUDITLINK__" localSheetId="1"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1357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1358__FDSAUDITLINK__" localSheetId="1"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1358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1359__FDSAUDITLINK__" localSheetId="1" hidden="1">{"fdsup://Directions/FactSet Auditing Viewer?action=AUDIT_VALUE&amp;DB=129&amp;ID1=03611510&amp;VALUEID=13040&amp;SDATE=200501&amp;PERIODTYPE=QTR_STD&amp;window=popup_no_bar&amp;width=385&amp;height=120&amp;START_MAXIMIZED=FALSE&amp;creator=factset&amp;display_string=Audit"}</definedName>
    <definedName name="_1359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136__FDSAUDITLINK__" localSheetId="1" hidden="1">{"fdsup://Directions/FactSet Auditing Viewer?action=AUDIT_VALUE&amp;DB=129&amp;ID1=87416110&amp;VALUEID=02101&amp;SDATE=200802&amp;PERIODTYPE=QTR_STD&amp;window=popup_no_bar&amp;width=385&amp;height=120&amp;START_MAXIMIZED=FALSE&amp;creator=factset&amp;display_string=Audit"}</definedName>
    <definedName name="_136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1360__FDSAUDITLINK__" localSheetId="1"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1360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1361__FDSAUDITLINK__" localSheetId="1" hidden="1">{"fdsup://Directions/FactSet Auditing Viewer?action=AUDIT_VALUE&amp;DB=129&amp;ID1=16890510&amp;VALUEID=13040&amp;SDATE=200602&amp;PERIODTYPE=QTR_STD&amp;window=popup_no_bar&amp;width=385&amp;height=120&amp;START_MAXIMIZED=FALSE&amp;creator=factset&amp;display_string=Audit"}</definedName>
    <definedName name="_1361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1362__FDSAUDITLINK__" localSheetId="1" hidden="1">{"fdsup://Directions/FactSet Auditing Viewer?action=AUDIT_VALUE&amp;DB=129&amp;ID1=16890510&amp;VALUEID=13040&amp;SDATE=200601&amp;PERIODTYPE=QTR_STD&amp;window=popup_no_bar&amp;width=385&amp;height=120&amp;START_MAXIMIZED=FALSE&amp;creator=factset&amp;display_string=Audit"}</definedName>
    <definedName name="_1362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1363__FDSAUDITLINK__" localSheetId="1" hidden="1">{"fdsup://Directions/FactSet Auditing Viewer?action=AUDIT_VALUE&amp;DB=129&amp;ID1=16890510&amp;VALUEID=13040&amp;SDATE=200603&amp;PERIODTYPE=QTR_STD&amp;window=popup_no_bar&amp;width=385&amp;height=120&amp;START_MAXIMIZED=FALSE&amp;creator=factset&amp;display_string=Audit"}</definedName>
    <definedName name="_1363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1364__FDSAUDITLINK__" localSheetId="1" hidden="1">{"fdsup://Directions/FactSet Auditing Viewer?action=AUDIT_VALUE&amp;DB=129&amp;ID1=16890510&amp;VALUEID=13040&amp;SDATE=200702&amp;PERIODTYPE=QTR_STD&amp;window=popup_no_bar&amp;width=385&amp;height=120&amp;START_MAXIMIZED=FALSE&amp;creator=factset&amp;display_string=Audit"}</definedName>
    <definedName name="_1364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1365__FDSAUDITLINK__" localSheetId="1" hidden="1">{"fdsup://Directions/FactSet Auditing Viewer?action=AUDIT_VALUE&amp;DB=129&amp;ID1=16890510&amp;VALUEID=13040&amp;SDATE=200701&amp;PERIODTYPE=QTR_STD&amp;window=popup_no_bar&amp;width=385&amp;height=120&amp;START_MAXIMIZED=FALSE&amp;creator=factset&amp;display_string=Audit"}</definedName>
    <definedName name="_1365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1366__FDSAUDITLINK__" localSheetId="1" hidden="1">{"fdsup://Directions/FactSet Auditing Viewer?action=AUDIT_VALUE&amp;DB=129&amp;ID1=16890510&amp;VALUEID=13040&amp;SDATE=200703&amp;PERIODTYPE=QTR_STD&amp;window=popup_no_bar&amp;width=385&amp;height=120&amp;START_MAXIMIZED=FALSE&amp;creator=factset&amp;display_string=Audit"}</definedName>
    <definedName name="_1366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1367__FDSAUDITLINK__" localSheetId="1" hidden="1">{"fdsup://Directions/FactSet Auditing Viewer?action=AUDIT_VALUE&amp;DB=129&amp;ID1=16890510&amp;VALUEID=13040&amp;SDATE=200802&amp;PERIODTYPE=QTR_STD&amp;window=popup_no_bar&amp;width=385&amp;height=120&amp;START_MAXIMIZED=FALSE&amp;creator=factset&amp;display_string=Audit"}</definedName>
    <definedName name="_1367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1368__FDSAUDITLINK__" localSheetId="1" hidden="1">{"fdsup://Directions/FactSet Auditing Viewer?action=AUDIT_VALUE&amp;DB=129&amp;ID1=16890510&amp;VALUEID=13040&amp;SDATE=200801&amp;PERIODTYPE=QTR_STD&amp;window=popup_no_bar&amp;width=385&amp;height=120&amp;START_MAXIMIZED=FALSE&amp;creator=factset&amp;display_string=Audit"}</definedName>
    <definedName name="_1368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1369__FDSAUDITLINK__" localSheetId="1" hidden="1">{"fdsup://Directions/FactSet Auditing Viewer?action=AUDIT_VALUE&amp;DB=129&amp;ID1=16890510&amp;VALUEID=13040&amp;SDATE=200803&amp;PERIODTYPE=QTR_STD&amp;window=popup_no_bar&amp;width=385&amp;height=120&amp;START_MAXIMIZED=FALSE&amp;creator=factset&amp;display_string=Audit"}</definedName>
    <definedName name="_1369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137__FDSAUDITLINK__" localSheetId="1" hidden="1">{"fdsup://Directions/FactSet Auditing Viewer?action=AUDIT_VALUE&amp;DB=129&amp;ID1=87416110&amp;VALUEID=01001&amp;SDATE=200802&amp;PERIODTYPE=QTR_STD&amp;window=popup_no_bar&amp;width=385&amp;height=120&amp;START_MAXIMIZED=FALSE&amp;creator=factset&amp;display_string=Audit"}</definedName>
    <definedName name="_137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1370__FDSAUDITLINK__" localSheetId="1" hidden="1">{"fdsup://Directions/FactSet Auditing Viewer?action=AUDIT_VALUE&amp;DB=129&amp;ID1=16890510&amp;VALUEID=13040&amp;SDATE=200902&amp;PERIODTYPE=QTR_STD&amp;window=popup_no_bar&amp;width=385&amp;height=120&amp;START_MAXIMIZED=FALSE&amp;creator=factset&amp;display_string=Audit"}</definedName>
    <definedName name="_1370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1371__FDSAUDITLINK__" localSheetId="1" hidden="1">{"fdsup://Directions/FactSet Auditing Viewer?action=AUDIT_VALUE&amp;DB=129&amp;ID1=16890510&amp;VALUEID=13040&amp;SDATE=200903&amp;PERIODTYPE=QTR_STD&amp;window=popup_no_bar&amp;width=385&amp;height=120&amp;START_MAXIMIZED=FALSE&amp;creator=factset&amp;display_string=Audit"}</definedName>
    <definedName name="_1371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1372__FDSAUDITLINK__" localSheetId="1" hidden="1">{"fdsup://Directions/FactSet Auditing Viewer?action=AUDIT_VALUE&amp;DB=129&amp;ID1=16890510&amp;VALUEID=13040&amp;SDATE=201001&amp;PERIODTYPE=QTR_STD&amp;window=popup_no_bar&amp;width=385&amp;height=120&amp;START_MAXIMIZED=FALSE&amp;creator=factset&amp;display_string=Audit"}</definedName>
    <definedName name="_1372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1373__FDSAUDITLINK__" localSheetId="1" hidden="1">{"fdsup://Directions/FactSet Auditing Viewer?action=AUDIT_VALUE&amp;DB=129&amp;ID1=87416110&amp;VALUEID=01001&amp;SDATE=201001&amp;PERIODTYPE=QTR_STD&amp;window=popup_no_bar&amp;width=385&amp;height=120&amp;START_MAXIMIZED=FALSE&amp;creator=factset&amp;display_string=Audit"}</definedName>
    <definedName name="_1373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1374__FDSAUDITLINK__" localSheetId="1" hidden="1">{"fdsup://Directions/FactSet Auditing Viewer?action=AUDIT_VALUE&amp;DB=129&amp;ID1=46612H40&amp;VALUEID=01001&amp;SDATE=201001&amp;PERIODTYPE=QTR_STD&amp;window=popup_no_bar&amp;width=385&amp;height=120&amp;START_MAXIMIZED=FALSE&amp;creator=factset&amp;display_string=Audit"}</definedName>
    <definedName name="_1374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1375__FDSAUDITLINK__" localSheetId="1" hidden="1">{"fdsup://Directions/FactSet Auditing Viewer?action=AUDIT_VALUE&amp;DB=129&amp;ID1=03611510&amp;VALUEID=01001&amp;SDATE=201001&amp;PERIODTYPE=QTR_STD&amp;window=popup_no_bar&amp;width=385&amp;height=120&amp;START_MAXIMIZED=FALSE&amp;creator=factset&amp;display_string=Audit"}</definedName>
    <definedName name="_1375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1376__FDSAUDITLINK__" localSheetId="1" hidden="1">{"fdsup://Directions/FactSet Auditing Viewer?action=AUDIT_VALUE&amp;DB=129&amp;ID1=16890510&amp;VALUEID=01001&amp;SDATE=201001&amp;PERIODTYPE=QTR_STD&amp;window=popup_no_bar&amp;width=385&amp;height=120&amp;START_MAXIMIZED=FALSE&amp;creator=factset&amp;display_string=Audit"}</definedName>
    <definedName name="_1376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1377__FDSAUDITLINK__" localSheetId="1" hidden="1">{"fdsup://Directions/FactSet Auditing Viewer?action=AUDIT_VALUE&amp;DB=129&amp;ID1=91704710&amp;VALUEID=01001&amp;SDATE=201001&amp;PERIODTYPE=QTR_STD&amp;window=popup_no_bar&amp;width=385&amp;height=120&amp;START_MAXIMIZED=FALSE&amp;creator=factset&amp;display_string=Audit"}</definedName>
    <definedName name="_1377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1378__FDSAUDITLINK__" localSheetId="1" hidden="1">{"fdsup://Directions/FactSet Auditing Viewer?action=AUDIT_VALUE&amp;DB=129&amp;ID1=02553E10&amp;VALUEID=01001&amp;SDATE=201001&amp;PERIODTYPE=QTR_STD&amp;window=popup_no_bar&amp;width=385&amp;height=120&amp;START_MAXIMIZED=FALSE&amp;creator=factset&amp;display_string=Audit"}</definedName>
    <definedName name="_1378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1379__FDSAUDITLINK__" localSheetId="1" hidden="1">{"fdsup://Directions/FactSet Auditing Viewer?action=AUDIT_VALUE&amp;DB=129&amp;ID1=00786510&amp;VALUEID=01001&amp;SDATE=201001&amp;PERIODTYPE=QTR_STD&amp;window=popup_no_bar&amp;width=385&amp;height=120&amp;START_MAXIMIZED=FALSE&amp;creator=factset&amp;display_string=Audit"}</definedName>
    <definedName name="_1379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138__FDSAUDITLINK__" localSheetId="1" hidden="1">{"fdsup://Directions/FactSet Auditing Viewer?action=AUDIT_VALUE&amp;DB=129&amp;ID1=53271610&amp;VALUEID=02101&amp;SDATE=200802&amp;PERIODTYPE=QTR_STD&amp;window=popup_no_bar&amp;width=385&amp;height=120&amp;START_MAXIMIZED=FALSE&amp;creator=factset&amp;display_string=Audit"}</definedName>
    <definedName name="_138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1380__FDSAUDITLINK__" localSheetId="1" hidden="1">{"fdsup://Directions/FactSet Auditing Viewer?action=AUDIT_VALUE&amp;DB=129&amp;ID1=00289620&amp;VALUEID=01001&amp;SDATE=201001&amp;PERIODTYPE=QTR_STD&amp;window=popup_no_bar&amp;width=385&amp;height=120&amp;START_MAXIMIZED=FALSE&amp;creator=factset&amp;display_string=Audit"}</definedName>
    <definedName name="_1380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1381__FDSAUDITLINK__" localSheetId="1" hidden="1">{"fdsup://Directions/FactSet Auditing Viewer?action=AUDIT_VALUE&amp;DB=129&amp;ID1=53271610&amp;VALUEID=01001&amp;SDATE=201001&amp;PERIODTYPE=QTR_STD&amp;window=popup_no_bar&amp;width=385&amp;height=120&amp;START_MAXIMIZED=FALSE&amp;creator=factset&amp;display_string=Audit"}</definedName>
    <definedName name="_1381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1382__FDSAUDITLINK__" localSheetId="1" hidden="1">{"fdsup://Directions/FactSet Auditing Viewer?action=AUDIT_VALUE&amp;DB=129&amp;ID1=36476010&amp;VALUEID=01001&amp;SDATE=201001&amp;PERIODTYPE=QTR_STD&amp;window=popup_no_bar&amp;width=385&amp;height=120&amp;START_MAXIMIZED=FALSE&amp;creator=factset&amp;display_string=Audit"}</definedName>
    <definedName name="_1382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1383__FDSAUDITLINK__" localSheetId="1" hidden="1">{"fdsup://Directions/FactSet Auditing Viewer?action=AUDIT_VALUE&amp;DB=129&amp;ID1=40377710&amp;VALUEID=01001&amp;SDATE=200601&amp;PERIODTYPE=QTR_STD&amp;window=popup_no_bar&amp;width=385&amp;height=120&amp;START_MAXIMIZED=FALSE&amp;creator=factset&amp;display_string=Audit"}</definedName>
    <definedName name="_1383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1384__FDSAUDITLINK__" localSheetId="1" hidden="1">{"fdsup://Directions/FactSet Auditing Viewer?action=AUDIT_VALUE&amp;DB=129&amp;ID1=40377710&amp;VALUEID=02101&amp;SDATE=200601&amp;PERIODTYPE=QTR_STD&amp;window=popup_no_bar&amp;width=385&amp;height=120&amp;START_MAXIMIZED=FALSE&amp;creator=factset&amp;display_string=Audit"}</definedName>
    <definedName name="_1384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1385__FDSAUDITLINK__" localSheetId="1" hidden="1">{"fdsup://Directions/FactSet Auditing Viewer?action=AUDIT_VALUE&amp;DB=129&amp;ID1=40377710&amp;VALUEID=01001&amp;SDATE=200602&amp;PERIODTYPE=QTR_STD&amp;window=popup_no_bar&amp;width=385&amp;height=120&amp;START_MAXIMIZED=FALSE&amp;creator=factset&amp;display_string=Audit"}</definedName>
    <definedName name="_1385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1386__FDSAUDITLINK__" localSheetId="1" hidden="1">{"fdsup://Directions/FactSet Auditing Viewer?action=AUDIT_VALUE&amp;DB=129&amp;ID1=40377710&amp;VALUEID=02101&amp;SDATE=200602&amp;PERIODTYPE=QTR_STD&amp;window=popup_no_bar&amp;width=385&amp;height=120&amp;START_MAXIMIZED=FALSE&amp;creator=factset&amp;display_string=Audit"}</definedName>
    <definedName name="_1386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1387__FDSAUDITLINK__" localSheetId="1" hidden="1">{"fdsup://Directions/FactSet Auditing Viewer?action=AUDIT_VALUE&amp;DB=129&amp;ID1=40377710&amp;VALUEID=01001&amp;SDATE=200603&amp;PERIODTYPE=QTR_STD&amp;window=popup_no_bar&amp;width=385&amp;height=120&amp;START_MAXIMIZED=FALSE&amp;creator=factset&amp;display_string=Audit"}</definedName>
    <definedName name="_1387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1388__FDSAUDITLINK__" localSheetId="1" hidden="1">{"fdsup://Directions/FactSet Auditing Viewer?action=AUDIT_VALUE&amp;DB=129&amp;ID1=40377710&amp;VALUEID=02101&amp;SDATE=200603&amp;PERIODTYPE=QTR_STD&amp;window=popup_no_bar&amp;width=385&amp;height=120&amp;START_MAXIMIZED=FALSE&amp;creator=factset&amp;display_string=Audit"}</definedName>
    <definedName name="_1388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1389__FDSAUDITLINK__" localSheetId="1" hidden="1">{"fdsup://Directions/FactSet Auditing Viewer?action=AUDIT_VALUE&amp;DB=129&amp;ID1=40377710&amp;VALUEID=01001&amp;SDATE=200604&amp;PERIODTYPE=QTR_STD&amp;window=popup_no_bar&amp;width=385&amp;height=120&amp;START_MAXIMIZED=FALSE&amp;creator=factset&amp;display_string=Audit"}</definedName>
    <definedName name="_1389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139__FDSAUDITLINK__" localSheetId="1" hidden="1">{"fdsup://Directions/FactSet Auditing Viewer?action=AUDIT_VALUE&amp;DB=129&amp;ID1=53271610&amp;VALUEID=01001&amp;SDATE=200802&amp;PERIODTYPE=QTR_STD&amp;window=popup_no_bar&amp;width=385&amp;height=120&amp;START_MAXIMIZED=FALSE&amp;creator=factset&amp;display_string=Audit"}</definedName>
    <definedName name="_139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1390__FDSAUDITLINK__" localSheetId="1" hidden="1">{"fdsup://Directions/FactSet Auditing Viewer?action=AUDIT_VALUE&amp;DB=129&amp;ID1=40377710&amp;VALUEID=01001&amp;SDATE=200701&amp;PERIODTYPE=QTR_STD&amp;window=popup_no_bar&amp;width=385&amp;height=120&amp;START_MAXIMIZED=FALSE&amp;creator=factset&amp;display_string=Audit"}</definedName>
    <definedName name="_1390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1391__FDSAUDITLINK__" localSheetId="1" hidden="1">{"fdsup://Directions/FactSet Auditing Viewer?action=AUDIT_VALUE&amp;DB=129&amp;ID1=40377710&amp;VALUEID=02101&amp;SDATE=200701&amp;PERIODTYPE=QTR_STD&amp;window=popup_no_bar&amp;width=385&amp;height=120&amp;START_MAXIMIZED=FALSE&amp;creator=factset&amp;display_string=Audit"}</definedName>
    <definedName name="_1391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1392__FDSAUDITLINK__" localSheetId="1" hidden="1">{"fdsup://Directions/FactSet Auditing Viewer?action=AUDIT_VALUE&amp;DB=129&amp;ID1=40377710&amp;VALUEID=01001&amp;SDATE=200702&amp;PERIODTYPE=QTR_STD&amp;window=popup_no_bar&amp;width=385&amp;height=120&amp;START_MAXIMIZED=FALSE&amp;creator=factset&amp;display_string=Audit"}</definedName>
    <definedName name="_1392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1393__FDSAUDITLINK__" localSheetId="1" hidden="1">{"fdsup://Directions/FactSet Auditing Viewer?action=AUDIT_VALUE&amp;DB=129&amp;ID1=40377710&amp;VALUEID=02101&amp;SDATE=200702&amp;PERIODTYPE=QTR_STD&amp;window=popup_no_bar&amp;width=385&amp;height=120&amp;START_MAXIMIZED=FALSE&amp;creator=factset&amp;display_string=Audit"}</definedName>
    <definedName name="_1393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1394__FDSAUDITLINK__" localSheetId="1" hidden="1">{"fdsup://Directions/FactSet Auditing Viewer?action=AUDIT_VALUE&amp;DB=129&amp;ID1=40377710&amp;VALUEID=01001&amp;SDATE=200703&amp;PERIODTYPE=QTR_STD&amp;window=popup_no_bar&amp;width=385&amp;height=120&amp;START_MAXIMIZED=FALSE&amp;creator=factset&amp;display_string=Audit"}</definedName>
    <definedName name="_1394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1395__FDSAUDITLINK__" localSheetId="1" hidden="1">{"fdsup://Directions/FactSet Auditing Viewer?action=AUDIT_VALUE&amp;DB=129&amp;ID1=40377710&amp;VALUEID=02101&amp;SDATE=200703&amp;PERIODTYPE=QTR_STD&amp;window=popup_no_bar&amp;width=385&amp;height=120&amp;START_MAXIMIZED=FALSE&amp;creator=factset&amp;display_string=Audit"}</definedName>
    <definedName name="_1395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1396__FDSAUDITLINK__" localSheetId="1" hidden="1">{"fdsup://Directions/FactSet Auditing Viewer?action=AUDIT_VALUE&amp;DB=129&amp;ID1=40377710&amp;VALUEID=01001&amp;SDATE=200704&amp;PERIODTYPE=QTR_STD&amp;window=popup_no_bar&amp;width=385&amp;height=120&amp;START_MAXIMIZED=FALSE&amp;creator=factset&amp;display_string=Audit"}</definedName>
    <definedName name="_1396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1397__FDSAUDITLINK__" localSheetId="1" hidden="1">{"fdsup://Directions/FactSet Auditing Viewer?action=AUDIT_VALUE&amp;DB=129&amp;ID1=40377710&amp;VALUEID=01001&amp;SDATE=200801&amp;PERIODTYPE=QTR_STD&amp;window=popup_no_bar&amp;width=385&amp;height=120&amp;START_MAXIMIZED=FALSE&amp;creator=factset&amp;display_string=Audit"}</definedName>
    <definedName name="_1397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1398__FDSAUDITLINK__" localSheetId="1" hidden="1">{"fdsup://Directions/FactSet Auditing Viewer?action=AUDIT_VALUE&amp;DB=129&amp;ID1=40377710&amp;VALUEID=02101&amp;SDATE=200801&amp;PERIODTYPE=QTR_STD&amp;window=popup_no_bar&amp;width=385&amp;height=120&amp;START_MAXIMIZED=FALSE&amp;creator=factset&amp;display_string=Audit"}</definedName>
    <definedName name="_1398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1399__FDSAUDITLINK__" localSheetId="1" hidden="1">{"fdsup://Directions/FactSet Auditing Viewer?action=AUDIT_VALUE&amp;DB=129&amp;ID1=40377710&amp;VALUEID=01001&amp;SDATE=200802&amp;PERIODTYPE=QTR_STD&amp;window=popup_no_bar&amp;width=385&amp;height=120&amp;START_MAXIMIZED=FALSE&amp;creator=factset&amp;display_string=Audit"}</definedName>
    <definedName name="_1399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14__FDSAUDITLINK__" localSheetId="1" hidden="1">{"fdsup://Directions/FactSet Auditing Viewer?action=AUDIT_VALUE&amp;DB=129&amp;ID1=91704710&amp;VALUEID=13040&amp;SDATE=201001&amp;PERIODTYPE=QTR_STD&amp;window=popup_no_bar&amp;width=385&amp;height=120&amp;START_MAXIMIZED=FALSE&amp;creator=factset&amp;display_string=Audit"}</definedName>
    <definedName name="_14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140__FDSAUDITLINK__" localSheetId="1" hidden="1">{"fdsup://Directions/FactSet Auditing Viewer?action=AUDIT_VALUE&amp;DB=129&amp;ID1=53271610&amp;VALUEID=13040&amp;SDATE=200802&amp;PERIODTYPE=QTR_STD&amp;window=popup_no_bar&amp;width=385&amp;height=120&amp;START_MAXIMIZED=FALSE&amp;creator=factset&amp;display_string=Audit"}</definedName>
    <definedName name="_140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1400__FDSAUDITLINK__" localSheetId="1" hidden="1">{"fdsup://Directions/FactSet Auditing Viewer?action=AUDIT_VALUE&amp;DB=129&amp;ID1=40377710&amp;VALUEID=02101&amp;SDATE=200802&amp;PERIODTYPE=QTR_STD&amp;window=popup_no_bar&amp;width=385&amp;height=120&amp;START_MAXIMIZED=FALSE&amp;creator=factset&amp;display_string=Audit"}</definedName>
    <definedName name="_1400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1401__FDSAUDITLINK__" localSheetId="1" hidden="1">{"fdsup://Directions/FactSet Auditing Viewer?action=AUDIT_VALUE&amp;DB=129&amp;ID1=40377710&amp;VALUEID=01001&amp;SDATE=200803&amp;PERIODTYPE=QTR_STD&amp;window=popup_no_bar&amp;width=385&amp;height=120&amp;START_MAXIMIZED=FALSE&amp;creator=factset&amp;display_string=Audit"}</definedName>
    <definedName name="_1401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1402__FDSAUDITLINK__" localSheetId="1" hidden="1">{"fdsup://Directions/FactSet Auditing Viewer?action=AUDIT_VALUE&amp;DB=129&amp;ID1=40377710&amp;VALUEID=02101&amp;SDATE=200803&amp;PERIODTYPE=QTR_STD&amp;window=popup_no_bar&amp;width=385&amp;height=120&amp;START_MAXIMIZED=FALSE&amp;creator=factset&amp;display_string=Audit"}</definedName>
    <definedName name="_1402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1403__FDSAUDITLINK__" localSheetId="1" hidden="1">{"fdsup://Directions/FactSet Auditing Viewer?action=AUDIT_VALUE&amp;DB=129&amp;ID1=40377710&amp;VALUEID=01001&amp;SDATE=200804&amp;PERIODTYPE=QTR_STD&amp;window=popup_no_bar&amp;width=385&amp;height=120&amp;START_MAXIMIZED=FALSE&amp;creator=factset&amp;display_string=Audit"}</definedName>
    <definedName name="_1403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1404__FDSAUDITLINK__" localSheetId="1" hidden="1">{"fdsup://Directions/FactSet Auditing Viewer?action=AUDIT_VALUE&amp;DB=129&amp;ID1=40377710&amp;VALUEID=01001&amp;SDATE=200901&amp;PERIODTYPE=QTR_STD&amp;window=popup_no_bar&amp;width=385&amp;height=120&amp;START_MAXIMIZED=FALSE&amp;creator=factset&amp;display_string=Audit"}</definedName>
    <definedName name="_1404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1405__FDSAUDITLINK__" localSheetId="1" hidden="1">{"fdsup://Directions/FactSet Auditing Viewer?action=AUDIT_VALUE&amp;DB=129&amp;ID1=40377710&amp;VALUEID=02101&amp;SDATE=200901&amp;PERIODTYPE=QTR_STD&amp;window=popup_no_bar&amp;width=385&amp;height=120&amp;START_MAXIMIZED=FALSE&amp;creator=factset&amp;display_string=Audit"}</definedName>
    <definedName name="_1405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1406__FDSAUDITLINK__" localSheetId="1" hidden="1">{"fdsup://Directions/FactSet Auditing Viewer?action=AUDIT_VALUE&amp;DB=129&amp;ID1=40377710&amp;VALUEID=01001&amp;SDATE=200902&amp;PERIODTYPE=QTR_STD&amp;window=popup_no_bar&amp;width=385&amp;height=120&amp;START_MAXIMIZED=FALSE&amp;creator=factset&amp;display_string=Audit"}</definedName>
    <definedName name="_1406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1407__FDSAUDITLINK__" localSheetId="1" hidden="1">{"fdsup://Directions/FactSet Auditing Viewer?action=AUDIT_VALUE&amp;DB=129&amp;ID1=40377710&amp;VALUEID=02101&amp;SDATE=200902&amp;PERIODTYPE=QTR_STD&amp;window=popup_no_bar&amp;width=385&amp;height=120&amp;START_MAXIMIZED=FALSE&amp;creator=factset&amp;display_string=Audit"}</definedName>
    <definedName name="_1407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1408__FDSAUDITLINK__" localSheetId="1" hidden="1">{"fdsup://Directions/FactSet Auditing Viewer?action=AUDIT_VALUE&amp;DB=129&amp;ID1=40377710&amp;VALUEID=01001&amp;SDATE=200903&amp;PERIODTYPE=QTR_STD&amp;window=popup_no_bar&amp;width=385&amp;height=120&amp;START_MAXIMIZED=FALSE&amp;creator=factset&amp;display_string=Audit"}</definedName>
    <definedName name="_1408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1409__FDSAUDITLINK__" localSheetId="1" hidden="1">{"fdsup://Directions/FactSet Auditing Viewer?action=AUDIT_VALUE&amp;DB=129&amp;ID1=40377710&amp;VALUEID=02101&amp;SDATE=200903&amp;PERIODTYPE=QTR_STD&amp;window=popup_no_bar&amp;width=385&amp;height=120&amp;START_MAXIMIZED=FALSE&amp;creator=factset&amp;display_string=Audit"}</definedName>
    <definedName name="_1409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141__FDSAUDITLINK__" localSheetId="1" hidden="1">{"fdsup://Directions/FactSet Auditing Viewer?action=AUDIT_VALUE&amp;DB=129&amp;ID1=46612H40&amp;VALUEID=02101&amp;SDATE=200802&amp;PERIODTYPE=QTR_STD&amp;window=popup_no_bar&amp;width=385&amp;height=120&amp;START_MAXIMIZED=FALSE&amp;creator=factset&amp;display_string=Audit"}</definedName>
    <definedName name="_141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1410__FDSAUDITLINK__" localSheetId="1" hidden="1">{"fdsup://Directions/FactSet Auditing Viewer?action=AUDIT_VALUE&amp;DB=129&amp;ID1=40377710&amp;VALUEID=01001&amp;SDATE=200904&amp;PERIODTYPE=QTR_STD&amp;window=popup_no_bar&amp;width=385&amp;height=120&amp;START_MAXIMIZED=FALSE&amp;creator=factset&amp;display_string=Audit"}</definedName>
    <definedName name="_1410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1411__FDSAUDITLINK__" localSheetId="1" hidden="1">{"fdsup://Directions/FactSet Auditing Viewer?action=AUDIT_VALUE&amp;DB=129&amp;ID1=40377710&amp;VALUEID=01001&amp;SDATE=201001&amp;PERIODTYPE=QTR_STD&amp;window=popup_no_bar&amp;width=385&amp;height=120&amp;START_MAXIMIZED=FALSE&amp;creator=factset&amp;display_string=Audit"}</definedName>
    <definedName name="_1411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1412__FDSAUDITLINK__" localSheetId="1" hidden="1">{"fdsup://Directions/FactSet Auditing Viewer?action=AUDIT_VALUE&amp;DB=129&amp;ID1=40377710&amp;VALUEID=02101&amp;SDATE=201001&amp;PERIODTYPE=QTR_STD&amp;window=popup_no_bar&amp;width=385&amp;height=120&amp;START_MAXIMIZED=FALSE&amp;creator=factset&amp;display_string=Audit"}</definedName>
    <definedName name="_1412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1413__FDSAUDITLINK__" localSheetId="1"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1413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1414__FDSAUDITLINK__" localSheetId="1"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1414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1415__FDSAUDITLINK__" localSheetId="1"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1415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1416__FDSAUDITLINK__" localSheetId="1"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1416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1417__FDSAUDITLINK__" localSheetId="1"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1417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1418__FDSAUDITLINK__" localSheetId="1"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1418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1419__FDSAUDITLINK__" localSheetId="1"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1419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142__FDSAUDITLINK__" localSheetId="1" hidden="1">{"fdsup://Directions/FactSet Auditing Viewer?action=AUDIT_VALUE&amp;DB=129&amp;ID1=46612H40&amp;VALUEID=01001&amp;SDATE=200802&amp;PERIODTYPE=QTR_STD&amp;window=popup_no_bar&amp;width=385&amp;height=120&amp;START_MAXIMIZED=FALSE&amp;creator=factset&amp;display_string=Audit"}</definedName>
    <definedName name="_142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1420__FDSAUDITLINK__" localSheetId="1"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1420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1421__FDSAUDITLINK__" localSheetId="1"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1421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1422__FDSAUDITLINK__" localSheetId="1"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1422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1423__FDSAUDITLINK__" localSheetId="1"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1423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1424__FDSAUDITLINK__" localSheetId="1"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1424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1425__FDSAUDITLINK__" localSheetId="1"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1425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1426__FDSAUDITLINK__" localSheetId="1"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1426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1427__FDSAUDITLINK__" localSheetId="1"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1427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1428__FDSAUDITLINK__" localSheetId="1"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1428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1429__FDSAUDITLINK__" localSheetId="1"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1429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143__FDSAUDITLINK__" localSheetId="1" hidden="1">{"fdsup://Directions/FactSet Auditing Viewer?action=AUDIT_VALUE&amp;DB=129&amp;ID1=46612H40&amp;VALUEID=13040&amp;SDATE=200802&amp;PERIODTYPE=QTR_STD&amp;window=popup_no_bar&amp;width=385&amp;height=120&amp;START_MAXIMIZED=FALSE&amp;creator=factset&amp;display_string=Audit"}</definedName>
    <definedName name="_143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1430__FDSAUDITLINK__" localSheetId="1"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1430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1431__FDSAUDITLINK__" localSheetId="1"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1431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1432__FDSAUDITLINK__" localSheetId="1"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1432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1433__FDSAUDITLINK__" localSheetId="1"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1433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1434__FDSAUDITLINK__" localSheetId="1"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1434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1435__FDSAUDITLINK__" localSheetId="1"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1435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1436__FDSAUDITLINK__" localSheetId="1"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1436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1437__FDSAUDITLINK__" localSheetId="1"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1437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1438__FDSAUDITLINK__" localSheetId="1"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1438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1439__FDSAUDITLINK__" localSheetId="1"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1439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144__FDSAUDITLINK__" localSheetId="1" hidden="1">{"fdsup://Directions/FactSet Auditing Viewer?action=AUDIT_VALUE&amp;DB=129&amp;ID1=36476010&amp;VALUEID=02101&amp;SDATE=200802&amp;PERIODTYPE=QTR_STD&amp;window=popup_no_bar&amp;width=385&amp;height=120&amp;START_MAXIMIZED=FALSE&amp;creator=factset&amp;display_string=Audit"}</definedName>
    <definedName name="_144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1440__FDSAUDITLINK__" localSheetId="1" hidden="1">{"fdsup://Directions/FactSet Auditing Viewer?action=AUDIT_VALUE&amp;DB=129&amp;ID1=40377710&amp;VALUEID=13040&amp;SDATE=200802&amp;PERIODTYPE=QTR_STD&amp;window=popup_no_bar&amp;width=385&amp;height=120&amp;START_MAXIMIZED=FALSE&amp;creator=factset&amp;display_string=Audit"}</definedName>
    <definedName name="_1440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1441__FDSAUDITLINK__" localSheetId="1"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1441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1442__FDSAUDITLINK__" localSheetId="1" hidden="1">{"fdsup://Directions/FactSet Auditing Viewer?action=AUDIT_VALUE&amp;DB=129&amp;ID1=40377710&amp;VALUEID=13040&amp;SDATE=200803&amp;PERIODTYPE=QTR_STD&amp;window=popup_no_bar&amp;width=385&amp;height=120&amp;START_MAXIMIZED=FALSE&amp;creator=factset&amp;display_string=Audit"}</definedName>
    <definedName name="_1442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1443__FDSAUDITLINK__" localSheetId="1"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1443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1444__FDSAUDITLINK__" localSheetId="1"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1444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1445__FDSAUDITLINK__" localSheetId="1" hidden="1">{"fdsup://Directions/FactSet Auditing Viewer?action=AUDIT_VALUE&amp;DB=129&amp;ID1=40377710&amp;VALUEID=13040&amp;SDATE=200901&amp;PERIODTYPE=QTR_STD&amp;window=popup_no_bar&amp;width=385&amp;height=120&amp;START_MAXIMIZED=FALSE&amp;creator=factset&amp;display_string=Audit"}</definedName>
    <definedName name="_1445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1446__FDSAUDITLINK__" localSheetId="1"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1446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1447__FDSAUDITLINK__" localSheetId="1" hidden="1">{"fdsup://Directions/FactSet Auditing Viewer?action=AUDIT_VALUE&amp;DB=129&amp;ID1=40377710&amp;VALUEID=13040&amp;SDATE=201001&amp;PERIODTYPE=QTR_STD&amp;window=popup_no_bar&amp;width=385&amp;height=120&amp;START_MAXIMIZED=FALSE&amp;creator=factset&amp;display_string=Audit"}</definedName>
    <definedName name="_1447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1448__FDSAUDITLINK__" localSheetId="1" hidden="1">{"fdsup://Directions/FactSet Auditing Viewer?action=AUDIT_VALUE&amp;DB=129&amp;ID1=40377710&amp;VALUEID=13040&amp;SDATE=200602&amp;PERIODTYPE=QTR_STD&amp;window=popup_no_bar&amp;width=385&amp;height=120&amp;START_MAXIMIZED=FALSE&amp;creator=factset&amp;display_string=Audit"}</definedName>
    <definedName name="_1448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1449__FDSAUDITLINK__" localSheetId="1" hidden="1">{"fdsup://Directions/FactSet Auditing Viewer?action=AUDIT_VALUE&amp;DB=129&amp;ID1=40377710&amp;VALUEID=13040&amp;SDATE=200601&amp;PERIODTYPE=QTR_STD&amp;window=popup_no_bar&amp;width=385&amp;height=120&amp;START_MAXIMIZED=FALSE&amp;creator=factset&amp;display_string=Audit"}</definedName>
    <definedName name="_1449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145__FDSAUDITLINK__" localSheetId="1" hidden="1">{"fdsup://Directions/FactSet Auditing Viewer?action=AUDIT_VALUE&amp;DB=129&amp;ID1=36476010&amp;VALUEID=01001&amp;SDATE=200802&amp;PERIODTYPE=QTR_STD&amp;window=popup_no_bar&amp;width=385&amp;height=120&amp;START_MAXIMIZED=FALSE&amp;creator=factset&amp;display_string=Audit"}</definedName>
    <definedName name="_145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1450__FDSAUDITLINK__" localSheetId="1"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1450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1451__FDSAUDITLINK__" localSheetId="1" hidden="1">{"fdsup://Directions/FactSet Auditing Viewer?action=AUDIT_VALUE&amp;DB=129&amp;ID1=40377710&amp;VALUEID=13040&amp;SDATE=200603&amp;PERIODTYPE=QTR_STD&amp;window=popup_no_bar&amp;width=385&amp;height=120&amp;START_MAXIMIZED=FALSE&amp;creator=factset&amp;display_string=Audit"}</definedName>
    <definedName name="_1451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1452__FDSAUDITLINK__" localSheetId="1" hidden="1">{"fdsup://Directions/FactSet Auditing Viewer?action=AUDIT_VALUE&amp;DB=129&amp;ID1=40377710&amp;VALUEID=13040&amp;SDATE=200702&amp;PERIODTYPE=QTR_STD&amp;window=popup_no_bar&amp;width=385&amp;height=120&amp;START_MAXIMIZED=FALSE&amp;creator=factset&amp;display_string=Audit"}</definedName>
    <definedName name="_1452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1453__FDSAUDITLINK__" localSheetId="1" hidden="1">{"fdsup://Directions/FactSet Auditing Viewer?action=AUDIT_VALUE&amp;DB=129&amp;ID1=40377710&amp;VALUEID=13040&amp;SDATE=200701&amp;PERIODTYPE=QTR_STD&amp;window=popup_no_bar&amp;width=385&amp;height=120&amp;START_MAXIMIZED=FALSE&amp;creator=factset&amp;display_string=Audit"}</definedName>
    <definedName name="_1453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1454__FDSAUDITLINK__" localSheetId="1"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1454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1455__FDSAUDITLINK__" localSheetId="1" hidden="1">{"fdsup://Directions/FactSet Auditing Viewer?action=AUDIT_VALUE&amp;DB=129&amp;ID1=40377710&amp;VALUEID=13040&amp;SDATE=200703&amp;PERIODTYPE=QTR_STD&amp;window=popup_no_bar&amp;width=385&amp;height=120&amp;START_MAXIMIZED=FALSE&amp;creator=factset&amp;display_string=Audit"}</definedName>
    <definedName name="_1455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1456__FDSAUDITLINK__" localSheetId="1" hidden="1">{"fdsup://Directions/FactSet Auditing Viewer?action=AUDIT_VALUE&amp;DB=129&amp;ID1=40377710&amp;VALUEID=13040&amp;SDATE=200801&amp;PERIODTYPE=QTR_STD&amp;window=popup_no_bar&amp;width=385&amp;height=120&amp;START_MAXIMIZED=FALSE&amp;creator=factset&amp;display_string=Audit"}</definedName>
    <definedName name="_1456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1457__FDSAUDITLINK__" localSheetId="1" hidden="1">{"fdsup://Directions/FactSet Auditing Viewer?action=AUDIT_VALUE&amp;DB=129&amp;ID1=40377710&amp;VALUEID=13040&amp;SDATE=200704&amp;PERIODTYPE=QTR_STD&amp;window=popup_no_bar&amp;width=385&amp;height=120&amp;START_MAXIMIZED=FALSE&amp;creator=factset&amp;display_string=Audit"}</definedName>
    <definedName name="_1457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1458__FDSAUDITLINK__" localSheetId="1"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1458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1459__FDSAUDITLINK__" localSheetId="1" hidden="1">{"fdsup://Directions/FactSet Auditing Viewer?action=AUDIT_VALUE&amp;DB=129&amp;ID1=40377710&amp;VALUEID=13040&amp;SDATE=200903&amp;PERIODTYPE=QTR_STD&amp;window=popup_no_bar&amp;width=385&amp;height=120&amp;START_MAXIMIZED=FALSE&amp;creator=factset&amp;display_string=Audit"}</definedName>
    <definedName name="_1459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146__FDSAUDITLINK__" localSheetId="1" hidden="1">{"fdsup://Directions/FactSet Auditing Viewer?action=AUDIT_VALUE&amp;DB=129&amp;ID1=36476010&amp;VALUEID=13040&amp;SDATE=200802&amp;PERIODTYPE=QTR_STD&amp;window=popup_no_bar&amp;width=385&amp;height=120&amp;START_MAXIMIZED=FALSE&amp;creator=factset&amp;display_string=Audit"}</definedName>
    <definedName name="_146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1460__FDSAUDITLINK__" localSheetId="1" hidden="1">{"fdsup://Directions/FactSet Auditing Viewer?action=AUDIT_VALUE&amp;DB=129&amp;ID1=40377710&amp;VALUEID=13040&amp;SDATE=200902&amp;PERIODTYPE=QTR_STD&amp;window=popup_no_bar&amp;width=385&amp;height=120&amp;START_MAXIMIZED=FALSE&amp;creator=factset&amp;display_string=Audit"}</definedName>
    <definedName name="_1460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1461__FDSAUDITLINK__" localSheetId="1" hidden="1">{"fdsup://Directions/FactSet Auditing Viewer?action=AUDIT_VALUE&amp;DB=129&amp;ID1=58711810&amp;VALUEID=13040&amp;SDATE=200601&amp;PERIODTYPE=QTR_STD&amp;window=popup_no_bar&amp;width=385&amp;height=120&amp;START_MAXIMIZED=FALSE&amp;creator=factset&amp;display_string=Audit"}</definedName>
    <definedName name="_1461__FDSAUDITLINK__" hidden="1">{"fdsup://Directions/FactSet Auditing Viewer?action=AUDIT_VALUE&amp;DB=129&amp;ID1=58711810&amp;VALUEID=13040&amp;SDATE=200601&amp;PERIODTYPE=QTR_STD&amp;window=popup_no_bar&amp;width=385&amp;height=120&amp;START_MAXIMIZED=FALSE&amp;creator=factset&amp;display_string=Audit"}</definedName>
    <definedName name="_1462__FDSAUDITLINK__" localSheetId="1" hidden="1">{"fdsup://Directions/FactSet Auditing Viewer?action=AUDIT_VALUE&amp;DB=129&amp;ID1=58711810&amp;VALUEID=01001&amp;SDATE=200601&amp;PERIODTYPE=QTR_STD&amp;window=popup_no_bar&amp;width=385&amp;height=120&amp;START_MAXIMIZED=FALSE&amp;creator=factset&amp;display_string=Audit"}</definedName>
    <definedName name="_1462__FDSAUDITLINK__" hidden="1">{"fdsup://Directions/FactSet Auditing Viewer?action=AUDIT_VALUE&amp;DB=129&amp;ID1=58711810&amp;VALUEID=01001&amp;SDATE=200601&amp;PERIODTYPE=QTR_STD&amp;window=popup_no_bar&amp;width=385&amp;height=120&amp;START_MAXIMIZED=FALSE&amp;creator=factset&amp;display_string=Audit"}</definedName>
    <definedName name="_1463__FDSAUDITLINK__" localSheetId="1" hidden="1">{"fdsup://Directions/FactSet Auditing Viewer?action=AUDIT_VALUE&amp;DB=129&amp;ID1=58711810&amp;VALUEID=02101&amp;SDATE=200601&amp;PERIODTYPE=QTR_STD&amp;window=popup_no_bar&amp;width=385&amp;height=120&amp;START_MAXIMIZED=FALSE&amp;creator=factset&amp;display_string=Audit"}</definedName>
    <definedName name="_1463__FDSAUDITLINK__" hidden="1">{"fdsup://Directions/FactSet Auditing Viewer?action=AUDIT_VALUE&amp;DB=129&amp;ID1=58711810&amp;VALUEID=02101&amp;SDATE=200601&amp;PERIODTYPE=QTR_STD&amp;window=popup_no_bar&amp;width=385&amp;height=120&amp;START_MAXIMIZED=FALSE&amp;creator=factset&amp;display_string=Audit"}</definedName>
    <definedName name="_1464__FDSAUDITLINK__" localSheetId="1" hidden="1">{"fdsup://Directions/FactSet Auditing Viewer?action=AUDIT_VALUE&amp;DB=129&amp;ID1=58711810&amp;VALUEID=13040&amp;SDATE=200602&amp;PERIODTYPE=QTR_STD&amp;window=popup_no_bar&amp;width=385&amp;height=120&amp;START_MAXIMIZED=FALSE&amp;creator=factset&amp;display_string=Audit"}</definedName>
    <definedName name="_1464__FDSAUDITLINK__" hidden="1">{"fdsup://Directions/FactSet Auditing Viewer?action=AUDIT_VALUE&amp;DB=129&amp;ID1=58711810&amp;VALUEID=13040&amp;SDATE=200602&amp;PERIODTYPE=QTR_STD&amp;window=popup_no_bar&amp;width=385&amp;height=120&amp;START_MAXIMIZED=FALSE&amp;creator=factset&amp;display_string=Audit"}</definedName>
    <definedName name="_1465__FDSAUDITLINK__" localSheetId="1" hidden="1">{"fdsup://Directions/FactSet Auditing Viewer?action=AUDIT_VALUE&amp;DB=129&amp;ID1=58711810&amp;VALUEID=01001&amp;SDATE=200602&amp;PERIODTYPE=QTR_STD&amp;window=popup_no_bar&amp;width=385&amp;height=120&amp;START_MAXIMIZED=FALSE&amp;creator=factset&amp;display_string=Audit"}</definedName>
    <definedName name="_1465__FDSAUDITLINK__" hidden="1">{"fdsup://Directions/FactSet Auditing Viewer?action=AUDIT_VALUE&amp;DB=129&amp;ID1=58711810&amp;VALUEID=01001&amp;SDATE=200602&amp;PERIODTYPE=QTR_STD&amp;window=popup_no_bar&amp;width=385&amp;height=120&amp;START_MAXIMIZED=FALSE&amp;creator=factset&amp;display_string=Audit"}</definedName>
    <definedName name="_1466__FDSAUDITLINK__" localSheetId="1" hidden="1">{"fdsup://Directions/FactSet Auditing Viewer?action=AUDIT_VALUE&amp;DB=129&amp;ID1=58711810&amp;VALUEID=02101&amp;SDATE=200602&amp;PERIODTYPE=QTR_STD&amp;window=popup_no_bar&amp;width=385&amp;height=120&amp;START_MAXIMIZED=FALSE&amp;creator=factset&amp;display_string=Audit"}</definedName>
    <definedName name="_1466__FDSAUDITLINK__" hidden="1">{"fdsup://Directions/FactSet Auditing Viewer?action=AUDIT_VALUE&amp;DB=129&amp;ID1=58711810&amp;VALUEID=02101&amp;SDATE=200602&amp;PERIODTYPE=QTR_STD&amp;window=popup_no_bar&amp;width=385&amp;height=120&amp;START_MAXIMIZED=FALSE&amp;creator=factset&amp;display_string=Audit"}</definedName>
    <definedName name="_1467__FDSAUDITLINK__" localSheetId="1" hidden="1">{"fdsup://Directions/FactSet Auditing Viewer?action=AUDIT_VALUE&amp;DB=129&amp;ID1=58711810&amp;VALUEID=13040&amp;SDATE=200603&amp;PERIODTYPE=QTR_STD&amp;window=popup_no_bar&amp;width=385&amp;height=120&amp;START_MAXIMIZED=FALSE&amp;creator=factset&amp;display_string=Audit"}</definedName>
    <definedName name="_1467__FDSAUDITLINK__" hidden="1">{"fdsup://Directions/FactSet Auditing Viewer?action=AUDIT_VALUE&amp;DB=129&amp;ID1=58711810&amp;VALUEID=13040&amp;SDATE=200603&amp;PERIODTYPE=QTR_STD&amp;window=popup_no_bar&amp;width=385&amp;height=120&amp;START_MAXIMIZED=FALSE&amp;creator=factset&amp;display_string=Audit"}</definedName>
    <definedName name="_1468__FDSAUDITLINK__" localSheetId="1" hidden="1">{"fdsup://Directions/FactSet Auditing Viewer?action=AUDIT_VALUE&amp;DB=129&amp;ID1=58711810&amp;VALUEID=01001&amp;SDATE=200603&amp;PERIODTYPE=QTR_STD&amp;window=popup_no_bar&amp;width=385&amp;height=120&amp;START_MAXIMIZED=FALSE&amp;creator=factset&amp;display_string=Audit"}</definedName>
    <definedName name="_1468__FDSAUDITLINK__" hidden="1">{"fdsup://Directions/FactSet Auditing Viewer?action=AUDIT_VALUE&amp;DB=129&amp;ID1=58711810&amp;VALUEID=01001&amp;SDATE=200603&amp;PERIODTYPE=QTR_STD&amp;window=popup_no_bar&amp;width=385&amp;height=120&amp;START_MAXIMIZED=FALSE&amp;creator=factset&amp;display_string=Audit"}</definedName>
    <definedName name="_1469__FDSAUDITLINK__" localSheetId="1" hidden="1">{"fdsup://Directions/FactSet Auditing Viewer?action=AUDIT_VALUE&amp;DB=129&amp;ID1=58711810&amp;VALUEID=02101&amp;SDATE=200603&amp;PERIODTYPE=QTR_STD&amp;window=popup_no_bar&amp;width=385&amp;height=120&amp;START_MAXIMIZED=FALSE&amp;creator=factset&amp;display_string=Audit"}</definedName>
    <definedName name="_1469__FDSAUDITLINK__" hidden="1">{"fdsup://Directions/FactSet Auditing Viewer?action=AUDIT_VALUE&amp;DB=129&amp;ID1=58711810&amp;VALUEID=02101&amp;SDATE=200603&amp;PERIODTYPE=QTR_STD&amp;window=popup_no_bar&amp;width=385&amp;height=120&amp;START_MAXIMIZED=FALSE&amp;creator=factset&amp;display_string=Audit"}</definedName>
    <definedName name="_147__FDSAUDITLINK__" localSheetId="1" hidden="1">{"fdsup://Directions/FactSet Auditing Viewer?action=AUDIT_VALUE&amp;DB=129&amp;ID1=03611510&amp;VALUEID=02101&amp;SDATE=200802&amp;PERIODTYPE=QTR_STD&amp;window=popup_no_bar&amp;width=385&amp;height=120&amp;START_MAXIMIZED=FALSE&amp;creator=factset&amp;display_string=Audit"}</definedName>
    <definedName name="_147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1470__FDSAUDITLINK__" localSheetId="1" hidden="1">{"fdsup://Directions/FactSet Auditing Viewer?action=AUDIT_VALUE&amp;DB=129&amp;ID1=58711810&amp;VALUEID=01001&amp;SDATE=200604&amp;PERIODTYPE=QTR_STD&amp;window=popup_no_bar&amp;width=385&amp;height=120&amp;START_MAXIMIZED=FALSE&amp;creator=factset&amp;display_string=Audit"}</definedName>
    <definedName name="_1470__FDSAUDITLINK__" hidden="1">{"fdsup://Directions/FactSet Auditing Viewer?action=AUDIT_VALUE&amp;DB=129&amp;ID1=58711810&amp;VALUEID=01001&amp;SDATE=200604&amp;PERIODTYPE=QTR_STD&amp;window=popup_no_bar&amp;width=385&amp;height=120&amp;START_MAXIMIZED=FALSE&amp;creator=factset&amp;display_string=Audit"}</definedName>
    <definedName name="_1471__FDSAUDITLINK__" localSheetId="1" hidden="1">{"fdsup://Directions/FactSet Auditing Viewer?action=AUDIT_VALUE&amp;DB=129&amp;ID1=58711810&amp;VALUEID=13040&amp;SDATE=200701&amp;PERIODTYPE=QTR_STD&amp;window=popup_no_bar&amp;width=385&amp;height=120&amp;START_MAXIMIZED=FALSE&amp;creator=factset&amp;display_string=Audit"}</definedName>
    <definedName name="_1471__FDSAUDITLINK__" hidden="1">{"fdsup://Directions/FactSet Auditing Viewer?action=AUDIT_VALUE&amp;DB=129&amp;ID1=58711810&amp;VALUEID=13040&amp;SDATE=200701&amp;PERIODTYPE=QTR_STD&amp;window=popup_no_bar&amp;width=385&amp;height=120&amp;START_MAXIMIZED=FALSE&amp;creator=factset&amp;display_string=Audit"}</definedName>
    <definedName name="_1472__FDSAUDITLINK__" localSheetId="1" hidden="1">{"fdsup://Directions/FactSet Auditing Viewer?action=AUDIT_VALUE&amp;DB=129&amp;ID1=58711810&amp;VALUEID=01001&amp;SDATE=200701&amp;PERIODTYPE=QTR_STD&amp;window=popup_no_bar&amp;width=385&amp;height=120&amp;START_MAXIMIZED=FALSE&amp;creator=factset&amp;display_string=Audit"}</definedName>
    <definedName name="_1472__FDSAUDITLINK__" hidden="1">{"fdsup://Directions/FactSet Auditing Viewer?action=AUDIT_VALUE&amp;DB=129&amp;ID1=58711810&amp;VALUEID=01001&amp;SDATE=200701&amp;PERIODTYPE=QTR_STD&amp;window=popup_no_bar&amp;width=385&amp;height=120&amp;START_MAXIMIZED=FALSE&amp;creator=factset&amp;display_string=Audit"}</definedName>
    <definedName name="_1473__FDSAUDITLINK__" localSheetId="1" hidden="1">{"fdsup://Directions/FactSet Auditing Viewer?action=AUDIT_VALUE&amp;DB=129&amp;ID1=58711810&amp;VALUEID=02101&amp;SDATE=200701&amp;PERIODTYPE=QTR_STD&amp;window=popup_no_bar&amp;width=385&amp;height=120&amp;START_MAXIMIZED=FALSE&amp;creator=factset&amp;display_string=Audit"}</definedName>
    <definedName name="_1473__FDSAUDITLINK__" hidden="1">{"fdsup://Directions/FactSet Auditing Viewer?action=AUDIT_VALUE&amp;DB=129&amp;ID1=58711810&amp;VALUEID=02101&amp;SDATE=200701&amp;PERIODTYPE=QTR_STD&amp;window=popup_no_bar&amp;width=385&amp;height=120&amp;START_MAXIMIZED=FALSE&amp;creator=factset&amp;display_string=Audit"}</definedName>
    <definedName name="_1474__FDSAUDITLINK__" localSheetId="1" hidden="1">{"fdsup://Directions/FactSet Auditing Viewer?action=AUDIT_VALUE&amp;DB=129&amp;ID1=58711810&amp;VALUEID=13040&amp;SDATE=200702&amp;PERIODTYPE=QTR_STD&amp;window=popup_no_bar&amp;width=385&amp;height=120&amp;START_MAXIMIZED=FALSE&amp;creator=factset&amp;display_string=Audit"}</definedName>
    <definedName name="_1474__FDSAUDITLINK__" hidden="1">{"fdsup://Directions/FactSet Auditing Viewer?action=AUDIT_VALUE&amp;DB=129&amp;ID1=58711810&amp;VALUEID=13040&amp;SDATE=200702&amp;PERIODTYPE=QTR_STD&amp;window=popup_no_bar&amp;width=385&amp;height=120&amp;START_MAXIMIZED=FALSE&amp;creator=factset&amp;display_string=Audit"}</definedName>
    <definedName name="_1475__FDSAUDITLINK__" localSheetId="1" hidden="1">{"fdsup://Directions/FactSet Auditing Viewer?action=AUDIT_VALUE&amp;DB=129&amp;ID1=58711810&amp;VALUEID=01001&amp;SDATE=200702&amp;PERIODTYPE=QTR_STD&amp;window=popup_no_bar&amp;width=385&amp;height=120&amp;START_MAXIMIZED=FALSE&amp;creator=factset&amp;display_string=Audit"}</definedName>
    <definedName name="_1475__FDSAUDITLINK__" hidden="1">{"fdsup://Directions/FactSet Auditing Viewer?action=AUDIT_VALUE&amp;DB=129&amp;ID1=58711810&amp;VALUEID=01001&amp;SDATE=200702&amp;PERIODTYPE=QTR_STD&amp;window=popup_no_bar&amp;width=385&amp;height=120&amp;START_MAXIMIZED=FALSE&amp;creator=factset&amp;display_string=Audit"}</definedName>
    <definedName name="_1476__FDSAUDITLINK__" localSheetId="1" hidden="1">{"fdsup://Directions/FactSet Auditing Viewer?action=AUDIT_VALUE&amp;DB=129&amp;ID1=58711810&amp;VALUEID=02101&amp;SDATE=200702&amp;PERIODTYPE=QTR_STD&amp;window=popup_no_bar&amp;width=385&amp;height=120&amp;START_MAXIMIZED=FALSE&amp;creator=factset&amp;display_string=Audit"}</definedName>
    <definedName name="_1476__FDSAUDITLINK__" hidden="1">{"fdsup://Directions/FactSet Auditing Viewer?action=AUDIT_VALUE&amp;DB=129&amp;ID1=58711810&amp;VALUEID=02101&amp;SDATE=200702&amp;PERIODTYPE=QTR_STD&amp;window=popup_no_bar&amp;width=385&amp;height=120&amp;START_MAXIMIZED=FALSE&amp;creator=factset&amp;display_string=Audit"}</definedName>
    <definedName name="_1477__FDSAUDITLINK__" localSheetId="1" hidden="1">{"fdsup://Directions/FactSet Auditing Viewer?action=AUDIT_VALUE&amp;DB=129&amp;ID1=58711810&amp;VALUEID=13040&amp;SDATE=200703&amp;PERIODTYPE=QTR_STD&amp;window=popup_no_bar&amp;width=385&amp;height=120&amp;START_MAXIMIZED=FALSE&amp;creator=factset&amp;display_string=Audit"}</definedName>
    <definedName name="_1477__FDSAUDITLINK__" hidden="1">{"fdsup://Directions/FactSet Auditing Viewer?action=AUDIT_VALUE&amp;DB=129&amp;ID1=58711810&amp;VALUEID=13040&amp;SDATE=200703&amp;PERIODTYPE=QTR_STD&amp;window=popup_no_bar&amp;width=385&amp;height=120&amp;START_MAXIMIZED=FALSE&amp;creator=factset&amp;display_string=Audit"}</definedName>
    <definedName name="_1478__FDSAUDITLINK__" localSheetId="1" hidden="1">{"fdsup://Directions/FactSet Auditing Viewer?action=AUDIT_VALUE&amp;DB=129&amp;ID1=58711810&amp;VALUEID=01001&amp;SDATE=200703&amp;PERIODTYPE=QTR_STD&amp;window=popup_no_bar&amp;width=385&amp;height=120&amp;START_MAXIMIZED=FALSE&amp;creator=factset&amp;display_string=Audit"}</definedName>
    <definedName name="_1478__FDSAUDITLINK__" hidden="1">{"fdsup://Directions/FactSet Auditing Viewer?action=AUDIT_VALUE&amp;DB=129&amp;ID1=58711810&amp;VALUEID=01001&amp;SDATE=200703&amp;PERIODTYPE=QTR_STD&amp;window=popup_no_bar&amp;width=385&amp;height=120&amp;START_MAXIMIZED=FALSE&amp;creator=factset&amp;display_string=Audit"}</definedName>
    <definedName name="_1479__FDSAUDITLINK__" localSheetId="1" hidden="1">{"fdsup://Directions/FactSet Auditing Viewer?action=AUDIT_VALUE&amp;DB=129&amp;ID1=58711810&amp;VALUEID=02101&amp;SDATE=200703&amp;PERIODTYPE=QTR_STD&amp;window=popup_no_bar&amp;width=385&amp;height=120&amp;START_MAXIMIZED=FALSE&amp;creator=factset&amp;display_string=Audit"}</definedName>
    <definedName name="_1479__FDSAUDITLINK__" hidden="1">{"fdsup://Directions/FactSet Auditing Viewer?action=AUDIT_VALUE&amp;DB=129&amp;ID1=58711810&amp;VALUEID=02101&amp;SDATE=200703&amp;PERIODTYPE=QTR_STD&amp;window=popup_no_bar&amp;width=385&amp;height=120&amp;START_MAXIMIZED=FALSE&amp;creator=factset&amp;display_string=Audit"}</definedName>
    <definedName name="_148__FDSAUDITLINK__" localSheetId="1" hidden="1">{"fdsup://Directions/FactSet Auditing Viewer?action=AUDIT_VALUE&amp;DB=129&amp;ID1=03611510&amp;VALUEID=01001&amp;SDATE=200802&amp;PERIODTYPE=QTR_STD&amp;window=popup_no_bar&amp;width=385&amp;height=120&amp;START_MAXIMIZED=FALSE&amp;creator=factset&amp;display_string=Audit"}</definedName>
    <definedName name="_148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1480__FDSAUDITLINK__" localSheetId="1" hidden="1">{"fdsup://Directions/FactSet Auditing Viewer?action=AUDIT_VALUE&amp;DB=129&amp;ID1=58711810&amp;VALUEID=01001&amp;SDATE=200704&amp;PERIODTYPE=QTR_STD&amp;window=popup_no_bar&amp;width=385&amp;height=120&amp;START_MAXIMIZED=FALSE&amp;creator=factset&amp;display_string=Audit"}</definedName>
    <definedName name="_1480__FDSAUDITLINK__" hidden="1">{"fdsup://Directions/FactSet Auditing Viewer?action=AUDIT_VALUE&amp;DB=129&amp;ID1=58711810&amp;VALUEID=01001&amp;SDATE=200704&amp;PERIODTYPE=QTR_STD&amp;window=popup_no_bar&amp;width=385&amp;height=120&amp;START_MAXIMIZED=FALSE&amp;creator=factset&amp;display_string=Audit"}</definedName>
    <definedName name="_1481__FDSAUDITLINK__" localSheetId="1" hidden="1">{"fdsup://Directions/FactSet Auditing Viewer?action=AUDIT_VALUE&amp;DB=129&amp;ID1=58711810&amp;VALUEID=13040&amp;SDATE=200801&amp;PERIODTYPE=QTR_STD&amp;window=popup_no_bar&amp;width=385&amp;height=120&amp;START_MAXIMIZED=FALSE&amp;creator=factset&amp;display_string=Audit"}</definedName>
    <definedName name="_1481__FDSAUDITLINK__" hidden="1">{"fdsup://Directions/FactSet Auditing Viewer?action=AUDIT_VALUE&amp;DB=129&amp;ID1=58711810&amp;VALUEID=13040&amp;SDATE=200801&amp;PERIODTYPE=QTR_STD&amp;window=popup_no_bar&amp;width=385&amp;height=120&amp;START_MAXIMIZED=FALSE&amp;creator=factset&amp;display_string=Audit"}</definedName>
    <definedName name="_1482__FDSAUDITLINK__" localSheetId="1" hidden="1">{"fdsup://Directions/FactSet Auditing Viewer?action=AUDIT_VALUE&amp;DB=129&amp;ID1=58711810&amp;VALUEID=01001&amp;SDATE=200801&amp;PERIODTYPE=QTR_STD&amp;window=popup_no_bar&amp;width=385&amp;height=120&amp;START_MAXIMIZED=FALSE&amp;creator=factset&amp;display_string=Audit"}</definedName>
    <definedName name="_1482__FDSAUDITLINK__" hidden="1">{"fdsup://Directions/FactSet Auditing Viewer?action=AUDIT_VALUE&amp;DB=129&amp;ID1=58711810&amp;VALUEID=01001&amp;SDATE=200801&amp;PERIODTYPE=QTR_STD&amp;window=popup_no_bar&amp;width=385&amp;height=120&amp;START_MAXIMIZED=FALSE&amp;creator=factset&amp;display_string=Audit"}</definedName>
    <definedName name="_1483__FDSAUDITLINK__" localSheetId="1" hidden="1">{"fdsup://Directions/FactSet Auditing Viewer?action=AUDIT_VALUE&amp;DB=129&amp;ID1=58711810&amp;VALUEID=02101&amp;SDATE=200801&amp;PERIODTYPE=QTR_STD&amp;window=popup_no_bar&amp;width=385&amp;height=120&amp;START_MAXIMIZED=FALSE&amp;creator=factset&amp;display_string=Audit"}</definedName>
    <definedName name="_1483__FDSAUDITLINK__" hidden="1">{"fdsup://Directions/FactSet Auditing Viewer?action=AUDIT_VALUE&amp;DB=129&amp;ID1=58711810&amp;VALUEID=02101&amp;SDATE=200801&amp;PERIODTYPE=QTR_STD&amp;window=popup_no_bar&amp;width=385&amp;height=120&amp;START_MAXIMIZED=FALSE&amp;creator=factset&amp;display_string=Audit"}</definedName>
    <definedName name="_1484__FDSAUDITLINK__" localSheetId="1" hidden="1">{"fdsup://Directions/FactSet Auditing Viewer?action=AUDIT_VALUE&amp;DB=129&amp;ID1=58711810&amp;VALUEID=13040&amp;SDATE=200802&amp;PERIODTYPE=QTR_STD&amp;window=popup_no_bar&amp;width=385&amp;height=120&amp;START_MAXIMIZED=FALSE&amp;creator=factset&amp;display_string=Audit"}</definedName>
    <definedName name="_1484__FDSAUDITLINK__" hidden="1">{"fdsup://Directions/FactSet Auditing Viewer?action=AUDIT_VALUE&amp;DB=129&amp;ID1=58711810&amp;VALUEID=13040&amp;SDATE=200802&amp;PERIODTYPE=QTR_STD&amp;window=popup_no_bar&amp;width=385&amp;height=120&amp;START_MAXIMIZED=FALSE&amp;creator=factset&amp;display_string=Audit"}</definedName>
    <definedName name="_1485__FDSAUDITLINK__" localSheetId="1" hidden="1">{"fdsup://Directions/FactSet Auditing Viewer?action=AUDIT_VALUE&amp;DB=129&amp;ID1=58711810&amp;VALUEID=01001&amp;SDATE=200802&amp;PERIODTYPE=QTR_STD&amp;window=popup_no_bar&amp;width=385&amp;height=120&amp;START_MAXIMIZED=FALSE&amp;creator=factset&amp;display_string=Audit"}</definedName>
    <definedName name="_1485__FDSAUDITLINK__" hidden="1">{"fdsup://Directions/FactSet Auditing Viewer?action=AUDIT_VALUE&amp;DB=129&amp;ID1=58711810&amp;VALUEID=01001&amp;SDATE=200802&amp;PERIODTYPE=QTR_STD&amp;window=popup_no_bar&amp;width=385&amp;height=120&amp;START_MAXIMIZED=FALSE&amp;creator=factset&amp;display_string=Audit"}</definedName>
    <definedName name="_1486__FDSAUDITLINK__" localSheetId="1" hidden="1">{"fdsup://Directions/FactSet Auditing Viewer?action=AUDIT_VALUE&amp;DB=129&amp;ID1=58711810&amp;VALUEID=02101&amp;SDATE=200802&amp;PERIODTYPE=QTR_STD&amp;window=popup_no_bar&amp;width=385&amp;height=120&amp;START_MAXIMIZED=FALSE&amp;creator=factset&amp;display_string=Audit"}</definedName>
    <definedName name="_1486__FDSAUDITLINK__" hidden="1">{"fdsup://Directions/FactSet Auditing Viewer?action=AUDIT_VALUE&amp;DB=129&amp;ID1=58711810&amp;VALUEID=02101&amp;SDATE=200802&amp;PERIODTYPE=QTR_STD&amp;window=popup_no_bar&amp;width=385&amp;height=120&amp;START_MAXIMIZED=FALSE&amp;creator=factset&amp;display_string=Audit"}</definedName>
    <definedName name="_1487__FDSAUDITLINK__" localSheetId="1" hidden="1">{"fdsup://Directions/FactSet Auditing Viewer?action=AUDIT_VALUE&amp;DB=129&amp;ID1=58711810&amp;VALUEID=13040&amp;SDATE=200803&amp;PERIODTYPE=QTR_STD&amp;window=popup_no_bar&amp;width=385&amp;height=120&amp;START_MAXIMIZED=FALSE&amp;creator=factset&amp;display_string=Audit"}</definedName>
    <definedName name="_1487__FDSAUDITLINK__" hidden="1">{"fdsup://Directions/FactSet Auditing Viewer?action=AUDIT_VALUE&amp;DB=129&amp;ID1=58711810&amp;VALUEID=13040&amp;SDATE=200803&amp;PERIODTYPE=QTR_STD&amp;window=popup_no_bar&amp;width=385&amp;height=120&amp;START_MAXIMIZED=FALSE&amp;creator=factset&amp;display_string=Audit"}</definedName>
    <definedName name="_1488__FDSAUDITLINK__" localSheetId="1" hidden="1">{"fdsup://Directions/FactSet Auditing Viewer?action=AUDIT_VALUE&amp;DB=129&amp;ID1=58711810&amp;VALUEID=01001&amp;SDATE=200803&amp;PERIODTYPE=QTR_STD&amp;window=popup_no_bar&amp;width=385&amp;height=120&amp;START_MAXIMIZED=FALSE&amp;creator=factset&amp;display_string=Audit"}</definedName>
    <definedName name="_1488__FDSAUDITLINK__" hidden="1">{"fdsup://Directions/FactSet Auditing Viewer?action=AUDIT_VALUE&amp;DB=129&amp;ID1=58711810&amp;VALUEID=01001&amp;SDATE=200803&amp;PERIODTYPE=QTR_STD&amp;window=popup_no_bar&amp;width=385&amp;height=120&amp;START_MAXIMIZED=FALSE&amp;creator=factset&amp;display_string=Audit"}</definedName>
    <definedName name="_1489__FDSAUDITLINK__" localSheetId="1" hidden="1">{"fdsup://Directions/FactSet Auditing Viewer?action=AUDIT_VALUE&amp;DB=129&amp;ID1=58711810&amp;VALUEID=02101&amp;SDATE=200803&amp;PERIODTYPE=QTR_STD&amp;window=popup_no_bar&amp;width=385&amp;height=120&amp;START_MAXIMIZED=FALSE&amp;creator=factset&amp;display_string=Audit"}</definedName>
    <definedName name="_1489__FDSAUDITLINK__" hidden="1">{"fdsup://Directions/FactSet Auditing Viewer?action=AUDIT_VALUE&amp;DB=129&amp;ID1=58711810&amp;VALUEID=02101&amp;SDATE=200803&amp;PERIODTYPE=QTR_STD&amp;window=popup_no_bar&amp;width=385&amp;height=120&amp;START_MAXIMIZED=FALSE&amp;creator=factset&amp;display_string=Audit"}</definedName>
    <definedName name="_149__FDSAUDITLINK__" localSheetId="1" hidden="1">{"fdsup://Directions/FactSet Auditing Viewer?action=AUDIT_VALUE&amp;DB=129&amp;ID1=16890510&amp;VALUEID=02101&amp;SDATE=200802&amp;PERIODTYPE=QTR_STD&amp;window=popup_no_bar&amp;width=385&amp;height=120&amp;START_MAXIMIZED=FALSE&amp;creator=factset&amp;display_string=Audit"}</definedName>
    <definedName name="_149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1490__FDSAUDITLINK__" localSheetId="1" hidden="1">{"fdsup://Directions/FactSet Auditing Viewer?action=AUDIT_VALUE&amp;DB=129&amp;ID1=58711810&amp;VALUEID=01001&amp;SDATE=200804&amp;PERIODTYPE=QTR_STD&amp;window=popup_no_bar&amp;width=385&amp;height=120&amp;START_MAXIMIZED=FALSE&amp;creator=factset&amp;display_string=Audit"}</definedName>
    <definedName name="_1490__FDSAUDITLINK__" hidden="1">{"fdsup://Directions/FactSet Auditing Viewer?action=AUDIT_VALUE&amp;DB=129&amp;ID1=58711810&amp;VALUEID=01001&amp;SDATE=200804&amp;PERIODTYPE=QTR_STD&amp;window=popup_no_bar&amp;width=385&amp;height=120&amp;START_MAXIMIZED=FALSE&amp;creator=factset&amp;display_string=Audit"}</definedName>
    <definedName name="_1491__FDSAUDITLINK__" localSheetId="1" hidden="1">{"fdsup://Directions/FactSet Auditing Viewer?action=AUDIT_VALUE&amp;DB=129&amp;ID1=58711810&amp;VALUEID=13040&amp;SDATE=200902&amp;PERIODTYPE=QTR_STD&amp;window=popup_no_bar&amp;width=385&amp;height=120&amp;START_MAXIMIZED=FALSE&amp;creator=factset&amp;display_string=Audit"}</definedName>
    <definedName name="_1491__FDSAUDITLINK__" hidden="1">{"fdsup://Directions/FactSet Auditing Viewer?action=AUDIT_VALUE&amp;DB=129&amp;ID1=58711810&amp;VALUEID=13040&amp;SDATE=200902&amp;PERIODTYPE=QTR_STD&amp;window=popup_no_bar&amp;width=385&amp;height=120&amp;START_MAXIMIZED=FALSE&amp;creator=factset&amp;display_string=Audit"}</definedName>
    <definedName name="_1492__FDSAUDITLINK__" localSheetId="1" hidden="1">{"fdsup://Directions/FactSet Auditing Viewer?action=AUDIT_VALUE&amp;DB=129&amp;ID1=58711810&amp;VALUEID=01001&amp;SDATE=200902&amp;PERIODTYPE=QTR_STD&amp;window=popup_no_bar&amp;width=385&amp;height=120&amp;START_MAXIMIZED=FALSE&amp;creator=factset&amp;display_string=Audit"}</definedName>
    <definedName name="_1492__FDSAUDITLINK__" hidden="1">{"fdsup://Directions/FactSet Auditing Viewer?action=AUDIT_VALUE&amp;DB=129&amp;ID1=58711810&amp;VALUEID=01001&amp;SDATE=200902&amp;PERIODTYPE=QTR_STD&amp;window=popup_no_bar&amp;width=385&amp;height=120&amp;START_MAXIMIZED=FALSE&amp;creator=factset&amp;display_string=Audit"}</definedName>
    <definedName name="_1493__FDSAUDITLINK__" localSheetId="1" hidden="1">{"fdsup://Directions/FactSet Auditing Viewer?action=AUDIT_VALUE&amp;DB=129&amp;ID1=58711810&amp;VALUEID=02101&amp;SDATE=200902&amp;PERIODTYPE=QTR_STD&amp;window=popup_no_bar&amp;width=385&amp;height=120&amp;START_MAXIMIZED=FALSE&amp;creator=factset&amp;display_string=Audit"}</definedName>
    <definedName name="_1493__FDSAUDITLINK__" hidden="1">{"fdsup://Directions/FactSet Auditing Viewer?action=AUDIT_VALUE&amp;DB=129&amp;ID1=58711810&amp;VALUEID=02101&amp;SDATE=200902&amp;PERIODTYPE=QTR_STD&amp;window=popup_no_bar&amp;width=385&amp;height=120&amp;START_MAXIMIZED=FALSE&amp;creator=factset&amp;display_string=Audit"}</definedName>
    <definedName name="_1494__FDSAUDITLINK__" localSheetId="1" hidden="1">{"fdsup://Directions/FactSet Auditing Viewer?action=AUDIT_VALUE&amp;DB=129&amp;ID1=58711810&amp;VALUEID=13040&amp;SDATE=200903&amp;PERIODTYPE=QTR_STD&amp;window=popup_no_bar&amp;width=385&amp;height=120&amp;START_MAXIMIZED=FALSE&amp;creator=factset&amp;display_string=Audit"}</definedName>
    <definedName name="_1494__FDSAUDITLINK__" hidden="1">{"fdsup://Directions/FactSet Auditing Viewer?action=AUDIT_VALUE&amp;DB=129&amp;ID1=58711810&amp;VALUEID=13040&amp;SDATE=200903&amp;PERIODTYPE=QTR_STD&amp;window=popup_no_bar&amp;width=385&amp;height=120&amp;START_MAXIMIZED=FALSE&amp;creator=factset&amp;display_string=Audit"}</definedName>
    <definedName name="_1495__FDSAUDITLINK__" localSheetId="1" hidden="1">{"fdsup://Directions/FactSet Auditing Viewer?action=AUDIT_VALUE&amp;DB=129&amp;ID1=58711810&amp;VALUEID=01001&amp;SDATE=200903&amp;PERIODTYPE=QTR_STD&amp;window=popup_no_bar&amp;width=385&amp;height=120&amp;START_MAXIMIZED=FALSE&amp;creator=factset&amp;display_string=Audit"}</definedName>
    <definedName name="_1495__FDSAUDITLINK__" hidden="1">{"fdsup://Directions/FactSet Auditing Viewer?action=AUDIT_VALUE&amp;DB=129&amp;ID1=58711810&amp;VALUEID=01001&amp;SDATE=200903&amp;PERIODTYPE=QTR_STD&amp;window=popup_no_bar&amp;width=385&amp;height=120&amp;START_MAXIMIZED=FALSE&amp;creator=factset&amp;display_string=Audit"}</definedName>
    <definedName name="_1496__FDSAUDITLINK__" localSheetId="1" hidden="1">{"fdsup://Directions/FactSet Auditing Viewer?action=AUDIT_VALUE&amp;DB=129&amp;ID1=58711810&amp;VALUEID=02101&amp;SDATE=200903&amp;PERIODTYPE=QTR_STD&amp;window=popup_no_bar&amp;width=385&amp;height=120&amp;START_MAXIMIZED=FALSE&amp;creator=factset&amp;display_string=Audit"}</definedName>
    <definedName name="_1496__FDSAUDITLINK__" hidden="1">{"fdsup://Directions/FactSet Auditing Viewer?action=AUDIT_VALUE&amp;DB=129&amp;ID1=58711810&amp;VALUEID=02101&amp;SDATE=200903&amp;PERIODTYPE=QTR_STD&amp;window=popup_no_bar&amp;width=385&amp;height=120&amp;START_MAXIMIZED=FALSE&amp;creator=factset&amp;display_string=Audit"}</definedName>
    <definedName name="_1497__FDSAUDITLINK__" localSheetId="1" hidden="1">{"fdsup://Directions/FactSet Auditing Viewer?action=AUDIT_VALUE&amp;DB=129&amp;ID1=58711810&amp;VALUEID=13040&amp;SDATE=200904&amp;PERIODTYPE=QTR_STD&amp;window=popup_no_bar&amp;width=385&amp;height=120&amp;START_MAXIMIZED=FALSE&amp;creator=factset&amp;display_string=Audit"}</definedName>
    <definedName name="_1497__FDSAUDITLINK__" hidden="1">{"fdsup://Directions/FactSet Auditing Viewer?action=AUDIT_VALUE&amp;DB=129&amp;ID1=58711810&amp;VALUEID=13040&amp;SDATE=200904&amp;PERIODTYPE=QTR_STD&amp;window=popup_no_bar&amp;width=385&amp;height=120&amp;START_MAXIMIZED=FALSE&amp;creator=factset&amp;display_string=Audit"}</definedName>
    <definedName name="_1498__FDSAUDITLINK__" localSheetId="1" hidden="1">{"fdsup://Directions/FactSet Auditing Viewer?action=AUDIT_VALUE&amp;DB=129&amp;ID1=58711810&amp;VALUEID=01001&amp;SDATE=200904&amp;PERIODTYPE=QTR_STD&amp;window=popup_no_bar&amp;width=385&amp;height=120&amp;START_MAXIMIZED=FALSE&amp;creator=factset&amp;display_string=Audit"}</definedName>
    <definedName name="_1498__FDSAUDITLINK__" hidden="1">{"fdsup://Directions/FactSet Auditing Viewer?action=AUDIT_VALUE&amp;DB=129&amp;ID1=58711810&amp;VALUEID=01001&amp;SDATE=200904&amp;PERIODTYPE=QTR_STD&amp;window=popup_no_bar&amp;width=385&amp;height=120&amp;START_MAXIMIZED=FALSE&amp;creator=factset&amp;display_string=Audit"}</definedName>
    <definedName name="_1499__FDSAUDITLINK__" localSheetId="1" hidden="1">{"fdsup://Directions/FactSet Auditing Viewer?action=AUDIT_VALUE&amp;DB=129&amp;ID1=58711810&amp;VALUEID=13040&amp;SDATE=201001&amp;PERIODTYPE=QTR_STD&amp;window=popup_no_bar&amp;width=385&amp;height=120&amp;START_MAXIMIZED=FALSE&amp;creator=factset&amp;display_string=Audit"}</definedName>
    <definedName name="_1499__FDSAUDITLINK__" hidden="1">{"fdsup://Directions/FactSet Auditing Viewer?action=AUDIT_VALUE&amp;DB=129&amp;ID1=58711810&amp;VALUEID=13040&amp;SDATE=201001&amp;PERIODTYPE=QTR_STD&amp;window=popup_no_bar&amp;width=385&amp;height=120&amp;START_MAXIMIZED=FALSE&amp;creator=factset&amp;display_string=Audit"}</definedName>
    <definedName name="_15__FDSAUDITLINK__" localSheetId="1" hidden="1">{"fdsup://Directions/FactSet Auditing Viewer?action=AUDIT_VALUE&amp;DB=129&amp;ID1=02553E10&amp;VALUEID=02101&amp;SDATE=201001&amp;PERIODTYPE=QTR_STD&amp;window=popup_no_bar&amp;width=385&amp;height=120&amp;START_MAXIMIZED=FALSE&amp;creator=factset&amp;display_string=Audit"}</definedName>
    <definedName name="_15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150__FDSAUDITLINK__" localSheetId="1" hidden="1">{"fdsup://Directions/FactSet Auditing Viewer?action=AUDIT_VALUE&amp;DB=129&amp;ID1=16890510&amp;VALUEID=01001&amp;SDATE=200802&amp;PERIODTYPE=QTR_STD&amp;window=popup_no_bar&amp;width=385&amp;height=120&amp;START_MAXIMIZED=FALSE&amp;creator=factset&amp;display_string=Audit"}</definedName>
    <definedName name="_150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1500__FDSAUDITLINK__" localSheetId="1" hidden="1">{"fdsup://Directions/FactSet Auditing Viewer?action=AUDIT_VALUE&amp;DB=129&amp;ID1=58711810&amp;VALUEID=01001&amp;SDATE=201001&amp;PERIODTYPE=QTR_STD&amp;window=popup_no_bar&amp;width=385&amp;height=120&amp;START_MAXIMIZED=FALSE&amp;creator=factset&amp;display_string=Audit"}</definedName>
    <definedName name="_1500__FDSAUDITLINK__" hidden="1">{"fdsup://Directions/FactSet Auditing Viewer?action=AUDIT_VALUE&amp;DB=129&amp;ID1=58711810&amp;VALUEID=01001&amp;SDATE=201001&amp;PERIODTYPE=QTR_STD&amp;window=popup_no_bar&amp;width=385&amp;height=120&amp;START_MAXIMIZED=FALSE&amp;creator=factset&amp;display_string=Audit"}</definedName>
    <definedName name="_1501__FDSAUDITLINK__" localSheetId="1" hidden="1">{"fdsup://Directions/FactSet Auditing Viewer?action=AUDIT_VALUE&amp;DB=129&amp;ID1=58711810&amp;VALUEID=02101&amp;SDATE=201001&amp;PERIODTYPE=QTR_STD&amp;window=popup_no_bar&amp;width=385&amp;height=120&amp;START_MAXIMIZED=FALSE&amp;creator=factset&amp;display_string=Audit"}</definedName>
    <definedName name="_1501__FDSAUDITLINK__" hidden="1">{"fdsup://Directions/FactSet Auditing Viewer?action=AUDIT_VALUE&amp;DB=129&amp;ID1=58711810&amp;VALUEID=02101&amp;SDATE=201001&amp;PERIODTYPE=QTR_STD&amp;window=popup_no_bar&amp;width=385&amp;height=120&amp;START_MAXIMIZED=FALSE&amp;creator=factset&amp;display_string=Audit"}</definedName>
    <definedName name="_1502__FDSAUDITLINK__" localSheetId="1"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1502__FDSAUDITLINK__"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1503__FDSAUDITLINK__" localSheetId="1"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1503__FDSAUDITLINK__"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1504__FDSAUDITLINK__" localSheetId="1"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1504__FDSAUDITLINK__"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1505__FDSAUDITLINK__" localSheetId="1"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1505__FDSAUDITLINK__"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1506__FDSAUDITLINK__" localSheetId="1"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1506__FDSAUDITLINK__"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1507__FDSAUDITLINK__" localSheetId="1"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1507__FDSAUDITLINK__"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1508__FDSAUDITLINK__" localSheetId="1"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1508__FDSAUDITLINK__"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1509__FDSAUDITLINK__" localSheetId="1"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1509__FDSAUDITLINK__"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151__FDSAUDITLINK__" localSheetId="1" hidden="1">{"fdsup://Directions/FactSet Auditing Viewer?action=AUDIT_VALUE&amp;DB=129&amp;ID1=91704710&amp;VALUEID=02101&amp;SDATE=200802&amp;PERIODTYPE=QTR_STD&amp;window=popup_no_bar&amp;width=385&amp;height=120&amp;START_MAXIMIZED=FALSE&amp;creator=factset&amp;display_string=Audit"}</definedName>
    <definedName name="_151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1510__FDSAUDITLINK__" localSheetId="1"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1510__FDSAUDITLINK__"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1511__FDSAUDITLINK__" localSheetId="1"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1511__FDSAUDITLINK__"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1512__FDSAUDITLINK__" localSheetId="1"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1512__FDSAUDITLINK__"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1513__FDSAUDITLINK__" localSheetId="1"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1513__FDSAUDITLINK__"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1514__FDSAUDITLINK__" localSheetId="1"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1514__FDSAUDITLINK__"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1515__FDSAUDITLINK__" localSheetId="1"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1515__FDSAUDITLINK__"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1516__FDSAUDITLINK__" localSheetId="1"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1516__FDSAUDITLINK__"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1517__FDSAUDITLINK__" localSheetId="1"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1517__FDSAUDITLINK__"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1518__FDSAUDITLINK__" localSheetId="1"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1518__FDSAUDITLINK__"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1519__FDSAUDITLINK__" localSheetId="1"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1519__FDSAUDITLINK__"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152__FDSAUDITLINK__" localSheetId="1" hidden="1">{"fdsup://Directions/FactSet Auditing Viewer?action=AUDIT_VALUE&amp;DB=129&amp;ID1=91704710&amp;VALUEID=01001&amp;SDATE=200802&amp;PERIODTYPE=QTR_STD&amp;window=popup_no_bar&amp;width=385&amp;height=120&amp;START_MAXIMIZED=FALSE&amp;creator=factset&amp;display_string=Audit"}</definedName>
    <definedName name="_152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1520__FDSAUDITLINK__" localSheetId="1"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1520__FDSAUDITLINK__"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1521__FDSAUDITLINK__" localSheetId="1"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1521__FDSAUDITLINK__"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1522__FDSAUDITLINK__" localSheetId="1"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1522__FDSAUDITLINK__"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1523__FDSAUDITLINK__" localSheetId="1"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1523__FDSAUDITLINK__"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1524__FDSAUDITLINK__" localSheetId="1"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1524__FDSAUDITLINK__"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1525__FDSAUDITLINK__" localSheetId="1"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1525__FDSAUDITLINK__"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1526__FDSAUDITLINK__" localSheetId="1"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1526__FDSAUDITLINK__"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1527__FDSAUDITLINK__" localSheetId="1"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1527__FDSAUDITLINK__"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1528__FDSAUDITLINK__" localSheetId="1"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1528__FDSAUDITLINK__"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1529__FDSAUDITLINK__" localSheetId="1"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1529__FDSAUDITLINK__"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153__FDSAUDITLINK__" localSheetId="1" hidden="1">{"fdsup://Directions/FactSet Auditing Viewer?action=AUDIT_VALUE&amp;DB=129&amp;ID1=91704710&amp;VALUEID=13040&amp;SDATE=200802&amp;PERIODTYPE=QTR_STD&amp;window=popup_no_bar&amp;width=385&amp;height=120&amp;START_MAXIMIZED=FALSE&amp;creator=factset&amp;display_string=Audit"}</definedName>
    <definedName name="_153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1530__FDSAUDITLINK__" localSheetId="1" hidden="1">{"fdsup://directions/FAT Viewer?action=UPDATE&amp;creator=factset&amp;DYN_ARGS=TRUE&amp;DOC_NAME=FAT:FQL_AUDITING_CLIENT_TEMPLATE.FAT&amp;display_string=Audit&amp;VAR:KEY=RKPQDQZENU&amp;VAR:QUERY=RkZfUlRfU0ZfVE9UX0dST1NTKFFUUiwtMTYp&amp;WINDOW=FIRST_POPUP&amp;HEIGHT=450&amp;WIDTH=450&amp;START_MA","XIMIZED=FALSE&amp;VAR:CALENDAR=US&amp;VAR:SYMBOL=MW&amp;VAR:INDEX=0"}</definedName>
    <definedName name="_1530__FDSAUDITLINK__" hidden="1">{"fdsup://directions/FAT Viewer?action=UPDATE&amp;creator=factset&amp;DYN_ARGS=TRUE&amp;DOC_NAME=FAT:FQL_AUDITING_CLIENT_TEMPLATE.FAT&amp;display_string=Audit&amp;VAR:KEY=RKPQDQZENU&amp;VAR:QUERY=RkZfUlRfU0ZfVE9UX0dST1NTKFFUUiwtMTYp&amp;WINDOW=FIRST_POPUP&amp;HEIGHT=450&amp;WIDTH=450&amp;START_MA","XIMIZED=FALSE&amp;VAR:CALENDAR=US&amp;VAR:SYMBOL=MW&amp;VAR:INDEX=0"}</definedName>
    <definedName name="_1531__FDSAUDITLINK__" localSheetId="1" hidden="1">{"fdsup://directions/FAT Viewer?action=UPDATE&amp;creator=factset&amp;DYN_ARGS=TRUE&amp;DOC_NAME=FAT:FQL_AUDITING_CLIENT_TEMPLATE.FAT&amp;display_string=Audit&amp;VAR:KEY=DGFWHAXCHW&amp;VAR:QUERY=RkZfUlRfU0ZfVE9UX0dST1NTKFFUUiwtMTUp&amp;WINDOW=FIRST_POPUP&amp;HEIGHT=450&amp;WIDTH=450&amp;START_MA","XIMIZED=FALSE&amp;VAR:CALENDAR=US&amp;VAR:SYMBOL=MW&amp;VAR:INDEX=0"}</definedName>
    <definedName name="_1531__FDSAUDITLINK__" hidden="1">{"fdsup://directions/FAT Viewer?action=UPDATE&amp;creator=factset&amp;DYN_ARGS=TRUE&amp;DOC_NAME=FAT:FQL_AUDITING_CLIENT_TEMPLATE.FAT&amp;display_string=Audit&amp;VAR:KEY=DGFWHAXCHW&amp;VAR:QUERY=RkZfUlRfU0ZfVE9UX0dST1NTKFFUUiwtMTUp&amp;WINDOW=FIRST_POPUP&amp;HEIGHT=450&amp;WIDTH=450&amp;START_MA","XIMIZED=FALSE&amp;VAR:CALENDAR=US&amp;VAR:SYMBOL=MW&amp;VAR:INDEX=0"}</definedName>
    <definedName name="_1532__FDSAUDITLINK__" localSheetId="1" hidden="1">{"fdsup://directions/FAT Viewer?action=UPDATE&amp;creator=factset&amp;DYN_ARGS=TRUE&amp;DOC_NAME=FAT:FQL_AUDITING_CLIENT_TEMPLATE.FAT&amp;display_string=Audit&amp;VAR:KEY=RIPOZCVKJU&amp;VAR:QUERY=RkZfUlRfU0ZfVE9UX0dST1NTKFFUUiwtMTQp&amp;WINDOW=FIRST_POPUP&amp;HEIGHT=450&amp;WIDTH=450&amp;START_MA","XIMIZED=FALSE&amp;VAR:CALENDAR=US&amp;VAR:SYMBOL=MW&amp;VAR:INDEX=0"}</definedName>
    <definedName name="_1532__FDSAUDITLINK__" hidden="1">{"fdsup://directions/FAT Viewer?action=UPDATE&amp;creator=factset&amp;DYN_ARGS=TRUE&amp;DOC_NAME=FAT:FQL_AUDITING_CLIENT_TEMPLATE.FAT&amp;display_string=Audit&amp;VAR:KEY=RIPOZCVKJU&amp;VAR:QUERY=RkZfUlRfU0ZfVE9UX0dST1NTKFFUUiwtMTQp&amp;WINDOW=FIRST_POPUP&amp;HEIGHT=450&amp;WIDTH=450&amp;START_MA","XIMIZED=FALSE&amp;VAR:CALENDAR=US&amp;VAR:SYMBOL=MW&amp;VAR:INDEX=0"}</definedName>
    <definedName name="_1533__FDSAUDITLINK__" localSheetId="1"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1533__FDSAUDITLINK__"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1534__FDSAUDITLINK__" localSheetId="1" hidden="1">{"fdsup://directions/FAT Viewer?action=UPDATE&amp;creator=factset&amp;DYN_ARGS=TRUE&amp;DOC_NAME=FAT:FQL_AUDITING_CLIENT_TEMPLATE.FAT&amp;display_string=Audit&amp;VAR:KEY=TSBWJUTAVW&amp;VAR:QUERY=RkZfUlRfU0ZfVE9UX0dST1NTKFFUUiwtMTIp&amp;WINDOW=FIRST_POPUP&amp;HEIGHT=450&amp;WIDTH=450&amp;START_MA","XIMIZED=FALSE&amp;VAR:CALENDAR=US&amp;VAR:SYMBOL=MW&amp;VAR:INDEX=0"}</definedName>
    <definedName name="_1534__FDSAUDITLINK__" hidden="1">{"fdsup://directions/FAT Viewer?action=UPDATE&amp;creator=factset&amp;DYN_ARGS=TRUE&amp;DOC_NAME=FAT:FQL_AUDITING_CLIENT_TEMPLATE.FAT&amp;display_string=Audit&amp;VAR:KEY=TSBWJUTAVW&amp;VAR:QUERY=RkZfUlRfU0ZfVE9UX0dST1NTKFFUUiwtMTIp&amp;WINDOW=FIRST_POPUP&amp;HEIGHT=450&amp;WIDTH=450&amp;START_MA","XIMIZED=FALSE&amp;VAR:CALENDAR=US&amp;VAR:SYMBOL=MW&amp;VAR:INDEX=0"}</definedName>
    <definedName name="_1535__FDSAUDITLINK__" localSheetId="1" hidden="1">{"fdsup://directions/FAT Viewer?action=UPDATE&amp;creator=factset&amp;DYN_ARGS=TRUE&amp;DOC_NAME=FAT:FQL_AUDITING_CLIENT_TEMPLATE.FAT&amp;display_string=Audit&amp;VAR:KEY=NOFAHIRKNW&amp;VAR:QUERY=RkZfUlRfU0ZfVE9UX0dST1NTKFFUUiwtMTEp&amp;WINDOW=FIRST_POPUP&amp;HEIGHT=450&amp;WIDTH=450&amp;START_MA","XIMIZED=FALSE&amp;VAR:CALENDAR=US&amp;VAR:SYMBOL=MW&amp;VAR:INDEX=0"}</definedName>
    <definedName name="_1535__FDSAUDITLINK__" hidden="1">{"fdsup://directions/FAT Viewer?action=UPDATE&amp;creator=factset&amp;DYN_ARGS=TRUE&amp;DOC_NAME=FAT:FQL_AUDITING_CLIENT_TEMPLATE.FAT&amp;display_string=Audit&amp;VAR:KEY=NOFAHIRKNW&amp;VAR:QUERY=RkZfUlRfU0ZfVE9UX0dST1NTKFFUUiwtMTEp&amp;WINDOW=FIRST_POPUP&amp;HEIGHT=450&amp;WIDTH=450&amp;START_MA","XIMIZED=FALSE&amp;VAR:CALENDAR=US&amp;VAR:SYMBOL=MW&amp;VAR:INDEX=0"}</definedName>
    <definedName name="_1536__FDSAUDITLINK__" localSheetId="1" hidden="1">{"fdsup://directions/FAT Viewer?action=UPDATE&amp;creator=factset&amp;DYN_ARGS=TRUE&amp;DOC_NAME=FAT:FQL_AUDITING_CLIENT_TEMPLATE.FAT&amp;display_string=Audit&amp;VAR:KEY=NIVIHMZYZO&amp;VAR:QUERY=RkZfUlRfU0ZfVE9UX0dST1NTKFFUUiwtMTAp&amp;WINDOW=FIRST_POPUP&amp;HEIGHT=450&amp;WIDTH=450&amp;START_MA","XIMIZED=FALSE&amp;VAR:CALENDAR=US&amp;VAR:SYMBOL=MW&amp;VAR:INDEX=0"}</definedName>
    <definedName name="_1536__FDSAUDITLINK__" hidden="1">{"fdsup://directions/FAT Viewer?action=UPDATE&amp;creator=factset&amp;DYN_ARGS=TRUE&amp;DOC_NAME=FAT:FQL_AUDITING_CLIENT_TEMPLATE.FAT&amp;display_string=Audit&amp;VAR:KEY=NIVIHMZYZO&amp;VAR:QUERY=RkZfUlRfU0ZfVE9UX0dST1NTKFFUUiwtMTAp&amp;WINDOW=FIRST_POPUP&amp;HEIGHT=450&amp;WIDTH=450&amp;START_MA","XIMIZED=FALSE&amp;VAR:CALENDAR=US&amp;VAR:SYMBOL=MW&amp;VAR:INDEX=0"}</definedName>
    <definedName name="_1537__FDSAUDITLINK__" localSheetId="1"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1537__FDSAUDITLINK__"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1538__FDSAUDITLINK__" localSheetId="1" hidden="1">{"fdsup://directions/FAT Viewer?action=UPDATE&amp;creator=factset&amp;DYN_ARGS=TRUE&amp;DOC_NAME=FAT:FQL_AUDITING_CLIENT_TEMPLATE.FAT&amp;display_string=Audit&amp;VAR:KEY=ZYBGTQFENI&amp;VAR:QUERY=RkZfUlRfU0ZfVE9UX0dST1NTKFFUUiwtOCk=&amp;WINDOW=FIRST_POPUP&amp;HEIGHT=450&amp;WIDTH=450&amp;START_MA","XIMIZED=FALSE&amp;VAR:CALENDAR=US&amp;VAR:SYMBOL=MW&amp;VAR:INDEX=0"}</definedName>
    <definedName name="_1538__FDSAUDITLINK__" hidden="1">{"fdsup://directions/FAT Viewer?action=UPDATE&amp;creator=factset&amp;DYN_ARGS=TRUE&amp;DOC_NAME=FAT:FQL_AUDITING_CLIENT_TEMPLATE.FAT&amp;display_string=Audit&amp;VAR:KEY=ZYBGTQFENI&amp;VAR:QUERY=RkZfUlRfU0ZfVE9UX0dST1NTKFFUUiwtOCk=&amp;WINDOW=FIRST_POPUP&amp;HEIGHT=450&amp;WIDTH=450&amp;START_MA","XIMIZED=FALSE&amp;VAR:CALENDAR=US&amp;VAR:SYMBOL=MW&amp;VAR:INDEX=0"}</definedName>
    <definedName name="_1539__FDSAUDITLINK__" localSheetId="1" hidden="1">{"fdsup://directions/FAT Viewer?action=UPDATE&amp;creator=factset&amp;DYN_ARGS=TRUE&amp;DOC_NAME=FAT:FQL_AUDITING_CLIENT_TEMPLATE.FAT&amp;display_string=Audit&amp;VAR:KEY=PKHARSBEJO&amp;VAR:QUERY=RkZfUlRfU0ZfVE9UX0dST1NTKFFUUiwtNyk=&amp;WINDOW=FIRST_POPUP&amp;HEIGHT=450&amp;WIDTH=450&amp;START_MA","XIMIZED=FALSE&amp;VAR:CALENDAR=US&amp;VAR:SYMBOL=MW&amp;VAR:INDEX=0"}</definedName>
    <definedName name="_1539__FDSAUDITLINK__" hidden="1">{"fdsup://directions/FAT Viewer?action=UPDATE&amp;creator=factset&amp;DYN_ARGS=TRUE&amp;DOC_NAME=FAT:FQL_AUDITING_CLIENT_TEMPLATE.FAT&amp;display_string=Audit&amp;VAR:KEY=PKHARSBEJO&amp;VAR:QUERY=RkZfUlRfU0ZfVE9UX0dST1NTKFFUUiwtNyk=&amp;WINDOW=FIRST_POPUP&amp;HEIGHT=450&amp;WIDTH=450&amp;START_MA","XIMIZED=FALSE&amp;VAR:CALENDAR=US&amp;VAR:SYMBOL=MW&amp;VAR:INDEX=0"}</definedName>
    <definedName name="_154__FDSAUDITLINK__" localSheetId="1" hidden="1">{"fdsup://Directions/FactSet Auditing Viewer?action=AUDIT_VALUE&amp;DB=129&amp;ID1=02553E10&amp;VALUEID=02101&amp;SDATE=200802&amp;PERIODTYPE=QTR_STD&amp;window=popup_no_bar&amp;width=385&amp;height=120&amp;START_MAXIMIZED=FALSE&amp;creator=factset&amp;display_string=Audit"}</definedName>
    <definedName name="_154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1540__FDSAUDITLINK__" localSheetId="1" hidden="1">{"fdsup://directions/FAT Viewer?action=UPDATE&amp;creator=factset&amp;DYN_ARGS=TRUE&amp;DOC_NAME=FAT:FQL_AUDITING_CLIENT_TEMPLATE.FAT&amp;display_string=Audit&amp;VAR:KEY=TUFIDOPGDK&amp;VAR:QUERY=RkZfUlRfU0ZfVE9UX0dST1NTKFFUUiwtNik=&amp;WINDOW=FIRST_POPUP&amp;HEIGHT=450&amp;WIDTH=450&amp;START_MA","XIMIZED=FALSE&amp;VAR:CALENDAR=US&amp;VAR:SYMBOL=MW&amp;VAR:INDEX=0"}</definedName>
    <definedName name="_1540__FDSAUDITLINK__" hidden="1">{"fdsup://directions/FAT Viewer?action=UPDATE&amp;creator=factset&amp;DYN_ARGS=TRUE&amp;DOC_NAME=FAT:FQL_AUDITING_CLIENT_TEMPLATE.FAT&amp;display_string=Audit&amp;VAR:KEY=TUFIDOPGDK&amp;VAR:QUERY=RkZfUlRfU0ZfVE9UX0dST1NTKFFUUiwtNik=&amp;WINDOW=FIRST_POPUP&amp;HEIGHT=450&amp;WIDTH=450&amp;START_MA","XIMIZED=FALSE&amp;VAR:CALENDAR=US&amp;VAR:SYMBOL=MW&amp;VAR:INDEX=0"}</definedName>
    <definedName name="_1541__FDSAUDITLINK__" localSheetId="1"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1541__FDSAUDITLINK__"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1542__FDSAUDITLINK__" localSheetId="1" hidden="1">{"fdsup://directions/FAT Viewer?action=UPDATE&amp;creator=factset&amp;DYN_ARGS=TRUE&amp;DOC_NAME=FAT:FQL_AUDITING_CLIENT_TEMPLATE.FAT&amp;display_string=Audit&amp;VAR:KEY=VWLUVOLOTS&amp;VAR:QUERY=RkZfUlRfU0ZfVE9UX0dST1NTKFFUUiwtNCk=&amp;WINDOW=FIRST_POPUP&amp;HEIGHT=450&amp;WIDTH=450&amp;START_MA","XIMIZED=FALSE&amp;VAR:CALENDAR=US&amp;VAR:SYMBOL=MW&amp;VAR:INDEX=0"}</definedName>
    <definedName name="_1542__FDSAUDITLINK__" hidden="1">{"fdsup://directions/FAT Viewer?action=UPDATE&amp;creator=factset&amp;DYN_ARGS=TRUE&amp;DOC_NAME=FAT:FQL_AUDITING_CLIENT_TEMPLATE.FAT&amp;display_string=Audit&amp;VAR:KEY=VWLUVOLOTS&amp;VAR:QUERY=RkZfUlRfU0ZfVE9UX0dST1NTKFFUUiwtNCk=&amp;WINDOW=FIRST_POPUP&amp;HEIGHT=450&amp;WIDTH=450&amp;START_MA","XIMIZED=FALSE&amp;VAR:CALENDAR=US&amp;VAR:SYMBOL=MW&amp;VAR:INDEX=0"}</definedName>
    <definedName name="_1543__FDSAUDITLINK__" localSheetId="1" hidden="1">{"fdsup://directions/FAT Viewer?action=UPDATE&amp;creator=factset&amp;DYN_ARGS=TRUE&amp;DOC_NAME=FAT:FQL_AUDITING_CLIENT_TEMPLATE.FAT&amp;display_string=Audit&amp;VAR:KEY=NUNEHSBQVC&amp;VAR:QUERY=RkZfUlRfU0ZfVE9UX0dST1NTKFFUUiwtMyk=&amp;WINDOW=FIRST_POPUP&amp;HEIGHT=450&amp;WIDTH=450&amp;START_MA","XIMIZED=FALSE&amp;VAR:CALENDAR=US&amp;VAR:SYMBOL=MW&amp;VAR:INDEX=0"}</definedName>
    <definedName name="_1543__FDSAUDITLINK__" hidden="1">{"fdsup://directions/FAT Viewer?action=UPDATE&amp;creator=factset&amp;DYN_ARGS=TRUE&amp;DOC_NAME=FAT:FQL_AUDITING_CLIENT_TEMPLATE.FAT&amp;display_string=Audit&amp;VAR:KEY=NUNEHSBQVC&amp;VAR:QUERY=RkZfUlRfU0ZfVE9UX0dST1NTKFFUUiwtMyk=&amp;WINDOW=FIRST_POPUP&amp;HEIGHT=450&amp;WIDTH=450&amp;START_MA","XIMIZED=FALSE&amp;VAR:CALENDAR=US&amp;VAR:SYMBOL=MW&amp;VAR:INDEX=0"}</definedName>
    <definedName name="_1544__FDSAUDITLINK__" localSheetId="1" hidden="1">{"fdsup://directions/FAT Viewer?action=UPDATE&amp;creator=factset&amp;DYN_ARGS=TRUE&amp;DOC_NAME=FAT:FQL_AUDITING_CLIENT_TEMPLATE.FAT&amp;display_string=Audit&amp;VAR:KEY=DYVEJGLOTU&amp;VAR:QUERY=RkZfUlRfU0ZfVE9UX0dST1NTKFFUUiwtMik=&amp;WINDOW=FIRST_POPUP&amp;HEIGHT=450&amp;WIDTH=450&amp;START_MA","XIMIZED=FALSE&amp;VAR:CALENDAR=US&amp;VAR:SYMBOL=MW&amp;VAR:INDEX=0"}</definedName>
    <definedName name="_1544__FDSAUDITLINK__" hidden="1">{"fdsup://directions/FAT Viewer?action=UPDATE&amp;creator=factset&amp;DYN_ARGS=TRUE&amp;DOC_NAME=FAT:FQL_AUDITING_CLIENT_TEMPLATE.FAT&amp;display_string=Audit&amp;VAR:KEY=DYVEJGLOTU&amp;VAR:QUERY=RkZfUlRfU0ZfVE9UX0dST1NTKFFUUiwtMik=&amp;WINDOW=FIRST_POPUP&amp;HEIGHT=450&amp;WIDTH=450&amp;START_MA","XIMIZED=FALSE&amp;VAR:CALENDAR=US&amp;VAR:SYMBOL=MW&amp;VAR:INDEX=0"}</definedName>
    <definedName name="_1545__FDSAUDITLINK__" localSheetId="1"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1545__FDSAUDITLINK__"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1546__FDSAUDITLINK__" localSheetId="1" hidden="1">{"fdsup://directions/FAT Viewer?action=UPDATE&amp;creator=factset&amp;DYN_ARGS=TRUE&amp;DOC_NAME=FAT:FQL_AUDITING_CLIENT_TEMPLATE.FAT&amp;display_string=Audit&amp;VAR:KEY=XIDOJQDIDO&amp;VAR:QUERY=RkZfUlRfU0ZfVE9UX0dST1NTKFFUUiwwKQ==&amp;WINDOW=FIRST_POPUP&amp;HEIGHT=450&amp;WIDTH=450&amp;START_MA","XIMIZED=FALSE&amp;VAR:CALENDAR=US&amp;VAR:SYMBOL=MW&amp;VAR:INDEX=0"}</definedName>
    <definedName name="_1546__FDSAUDITLINK__" hidden="1">{"fdsup://directions/FAT Viewer?action=UPDATE&amp;creator=factset&amp;DYN_ARGS=TRUE&amp;DOC_NAME=FAT:FQL_AUDITING_CLIENT_TEMPLATE.FAT&amp;display_string=Audit&amp;VAR:KEY=XIDOJQDIDO&amp;VAR:QUERY=RkZfUlRfU0ZfVE9UX0dST1NTKFFUUiwwKQ==&amp;WINDOW=FIRST_POPUP&amp;HEIGHT=450&amp;WIDTH=450&amp;START_MA","XIMIZED=FALSE&amp;VAR:CALENDAR=US&amp;VAR:SYMBOL=MW&amp;VAR:INDEX=0"}</definedName>
    <definedName name="_1547__FDSAUDITLINK__" localSheetId="1" hidden="1">{"fdsup://directions/FAT Viewer?action=UPDATE&amp;creator=factset&amp;DYN_ARGS=TRUE&amp;DOC_NAME=FAT:FQL_AUDITING_CLIENT_TEMPLATE.FAT&amp;display_string=Audit&amp;VAR:KEY=TSBWJUTAVW&amp;VAR:QUERY=RkZfUlRfU0ZfVE9UX0dST1NTKFFUUiwtMTIp&amp;WINDOW=FIRST_POPUP&amp;HEIGHT=450&amp;WIDTH=450&amp;START_MA","XIMIZED=FALSE&amp;VAR:CALENDAR=US&amp;VAR:SYMBOL=MW&amp;VAR:INDEX=0"}</definedName>
    <definedName name="_1547__FDSAUDITLINK__" hidden="1">{"fdsup://directions/FAT Viewer?action=UPDATE&amp;creator=factset&amp;DYN_ARGS=TRUE&amp;DOC_NAME=FAT:FQL_AUDITING_CLIENT_TEMPLATE.FAT&amp;display_string=Audit&amp;VAR:KEY=TSBWJUTAVW&amp;VAR:QUERY=RkZfUlRfU0ZfVE9UX0dST1NTKFFUUiwtMTIp&amp;WINDOW=FIRST_POPUP&amp;HEIGHT=450&amp;WIDTH=450&amp;START_MA","XIMIZED=FALSE&amp;VAR:CALENDAR=US&amp;VAR:SYMBOL=MW&amp;VAR:INDEX=0"}</definedName>
    <definedName name="_1548__FDSAUDITLINK__" localSheetId="1" hidden="1">{"fdsup://directions/FAT Viewer?action=UPDATE&amp;creator=factset&amp;DYN_ARGS=TRUE&amp;DOC_NAME=FAT:FQL_AUDITING_CLIENT_TEMPLATE.FAT&amp;display_string=Audit&amp;VAR:KEY=NOFAHIRKNW&amp;VAR:QUERY=RkZfUlRfU0ZfVE9UX0dST1NTKFFUUiwtMTEp&amp;WINDOW=FIRST_POPUP&amp;HEIGHT=450&amp;WIDTH=450&amp;START_MA","XIMIZED=FALSE&amp;VAR:CALENDAR=US&amp;VAR:SYMBOL=MW&amp;VAR:INDEX=0"}</definedName>
    <definedName name="_1548__FDSAUDITLINK__" hidden="1">{"fdsup://directions/FAT Viewer?action=UPDATE&amp;creator=factset&amp;DYN_ARGS=TRUE&amp;DOC_NAME=FAT:FQL_AUDITING_CLIENT_TEMPLATE.FAT&amp;display_string=Audit&amp;VAR:KEY=NOFAHIRKNW&amp;VAR:QUERY=RkZfUlRfU0ZfVE9UX0dST1NTKFFUUiwtMTEp&amp;WINDOW=FIRST_POPUP&amp;HEIGHT=450&amp;WIDTH=450&amp;START_MA","XIMIZED=FALSE&amp;VAR:CALENDAR=US&amp;VAR:SYMBOL=MW&amp;VAR:INDEX=0"}</definedName>
    <definedName name="_1549__FDSAUDITLINK__" localSheetId="1" hidden="1">{"fdsup://directions/FAT Viewer?action=UPDATE&amp;creator=factset&amp;DYN_ARGS=TRUE&amp;DOC_NAME=FAT:FQL_AUDITING_CLIENT_TEMPLATE.FAT&amp;display_string=Audit&amp;VAR:KEY=NIVIHMZYZO&amp;VAR:QUERY=RkZfUlRfU0ZfVE9UX0dST1NTKFFUUiwtMTAp&amp;WINDOW=FIRST_POPUP&amp;HEIGHT=450&amp;WIDTH=450&amp;START_MA","XIMIZED=FALSE&amp;VAR:CALENDAR=US&amp;VAR:SYMBOL=MW&amp;VAR:INDEX=0"}</definedName>
    <definedName name="_1549__FDSAUDITLINK__" hidden="1">{"fdsup://directions/FAT Viewer?action=UPDATE&amp;creator=factset&amp;DYN_ARGS=TRUE&amp;DOC_NAME=FAT:FQL_AUDITING_CLIENT_TEMPLATE.FAT&amp;display_string=Audit&amp;VAR:KEY=NIVIHMZYZO&amp;VAR:QUERY=RkZfUlRfU0ZfVE9UX0dST1NTKFFUUiwtMTAp&amp;WINDOW=FIRST_POPUP&amp;HEIGHT=450&amp;WIDTH=450&amp;START_MA","XIMIZED=FALSE&amp;VAR:CALENDAR=US&amp;VAR:SYMBOL=MW&amp;VAR:INDEX=0"}</definedName>
    <definedName name="_155__FDSAUDITLINK__" localSheetId="1" hidden="1">{"fdsup://Directions/FactSet Auditing Viewer?action=AUDIT_VALUE&amp;DB=129&amp;ID1=02553E10&amp;VALUEID=01001&amp;SDATE=200802&amp;PERIODTYPE=QTR_STD&amp;window=popup_no_bar&amp;width=385&amp;height=120&amp;START_MAXIMIZED=FALSE&amp;creator=factset&amp;display_string=Audit"}</definedName>
    <definedName name="_155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1550__FDSAUDITLINK__" localSheetId="1" hidden="1">{"fdsup://Directions/FactSet Auditing Viewer?action=AUDIT_VALUE&amp;DB=129&amp;ID1=87416110&amp;VALUEID=02101&amp;SDATE=201001&amp;PERIODTYPE=QTR_STD&amp;window=popup_no_bar&amp;width=385&amp;height=120&amp;START_MAXIMIZED=FALSE&amp;creator=factset&amp;display_string=Audit"}</definedName>
    <definedName name="_1550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1551__FDSAUDITLINK__" localSheetId="1" hidden="1">{"fdsup://Directions/FactSet Auditing Viewer?action=AUDIT_VALUE&amp;DB=129&amp;ID1=87416110&amp;VALUEID=13040&amp;SDATE=201001&amp;PERIODTYPE=QTR_STD&amp;window=popup_no_bar&amp;width=385&amp;height=120&amp;START_MAXIMIZED=FALSE&amp;creator=factset&amp;display_string=Audit"}</definedName>
    <definedName name="_1551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1552__FDSAUDITLINK__" localSheetId="1"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1552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1553__FDSAUDITLINK__" localSheetId="1" hidden="1">{"fdsup://Directions/FactSet Auditing Viewer?action=AUDIT_VALUE&amp;DB=129&amp;ID1=53271610&amp;VALUEID=02101&amp;SDATE=201001&amp;PERIODTYPE=QTR_STD&amp;window=popup_no_bar&amp;width=385&amp;height=120&amp;START_MAXIMIZED=FALSE&amp;creator=factset&amp;display_string=Audit"}</definedName>
    <definedName name="_1553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1554__FDSAUDITLINK__" localSheetId="1" hidden="1">{"fdsup://Directions/FactSet Auditing Viewer?action=AUDIT_VALUE&amp;DB=129&amp;ID1=53271610&amp;VALUEID=13040&amp;SDATE=201001&amp;PERIODTYPE=QTR_STD&amp;window=popup_no_bar&amp;width=385&amp;height=120&amp;START_MAXIMIZED=FALSE&amp;creator=factset&amp;display_string=Audit"}</definedName>
    <definedName name="_1554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1555__FDSAUDITLINK__" localSheetId="1" hidden="1">{"fdsup://Directions/FactSet Auditing Viewer?action=AUDIT_VALUE&amp;DB=129&amp;ID1=46612H40&amp;VALUEID=02101&amp;SDATE=201001&amp;PERIODTYPE=QTR_STD&amp;window=popup_no_bar&amp;width=385&amp;height=120&amp;START_MAXIMIZED=FALSE&amp;creator=factset&amp;display_string=Audit"}</definedName>
    <definedName name="_1555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1556__FDSAUDITLINK__" localSheetId="1" hidden="1">{"fdsup://Directions/FactSet Auditing Viewer?action=AUDIT_VALUE&amp;DB=129&amp;ID1=46612H40&amp;VALUEID=13040&amp;SDATE=201001&amp;PERIODTYPE=QTR_STD&amp;window=popup_no_bar&amp;width=385&amp;height=120&amp;START_MAXIMIZED=FALSE&amp;creator=factset&amp;display_string=Audit"}</definedName>
    <definedName name="_1556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1557__FDSAUDITLINK__" localSheetId="1" hidden="1">{"fdsup://Directions/FactSet Auditing Viewer?action=AUDIT_VALUE&amp;DB=129&amp;ID1=36476010&amp;VALUEID=02101&amp;SDATE=201001&amp;PERIODTYPE=QTR_STD&amp;window=popup_no_bar&amp;width=385&amp;height=120&amp;START_MAXIMIZED=FALSE&amp;creator=factset&amp;display_string=Audit"}</definedName>
    <definedName name="_1557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1558__FDSAUDITLINK__" localSheetId="1" hidden="1">{"fdsup://Directions/FactSet Auditing Viewer?action=AUDIT_VALUE&amp;DB=129&amp;ID1=36476010&amp;VALUEID=13040&amp;SDATE=201001&amp;PERIODTYPE=QTR_STD&amp;window=popup_no_bar&amp;width=385&amp;height=120&amp;START_MAXIMIZED=FALSE&amp;creator=factset&amp;display_string=Audit"}</definedName>
    <definedName name="_1558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1559__FDSAUDITLINK__" localSheetId="1" hidden="1">{"fdsup://Directions/FactSet Auditing Viewer?action=AUDIT_VALUE&amp;DB=129&amp;ID1=03611510&amp;VALUEID=02101&amp;SDATE=201001&amp;PERIODTYPE=QTR_STD&amp;window=popup_no_bar&amp;width=385&amp;height=120&amp;START_MAXIMIZED=FALSE&amp;creator=factset&amp;display_string=Audit"}</definedName>
    <definedName name="_1559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156__FDSAUDITLINK__" localSheetId="1" hidden="1">{"fdsup://Directions/FactSet Auditing Viewer?action=AUDIT_VALUE&amp;DB=129&amp;ID1=02553E10&amp;VALUEID=13040&amp;SDATE=200802&amp;PERIODTYPE=QTR_STD&amp;window=popup_no_bar&amp;width=385&amp;height=120&amp;START_MAXIMIZED=FALSE&amp;creator=factset&amp;display_string=Audit"}</definedName>
    <definedName name="_156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1560__FDSAUDITLINK__" localSheetId="1" hidden="1">{"fdsup://Directions/FactSet Auditing Viewer?action=AUDIT_VALUE&amp;DB=129&amp;ID1=03611510&amp;VALUEID=13040&amp;SDATE=201001&amp;PERIODTYPE=QTR_STD&amp;window=popup_no_bar&amp;width=385&amp;height=120&amp;START_MAXIMIZED=FALSE&amp;creator=factset&amp;display_string=Audit"}</definedName>
    <definedName name="_1560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1561__FDSAUDITLINK__" localSheetId="1" hidden="1">{"fdsup://Directions/FactSet Auditing Viewer?action=AUDIT_VALUE&amp;DB=129&amp;ID1=16890510&amp;VALUEID=02101&amp;SDATE=201001&amp;PERIODTYPE=QTR_STD&amp;window=popup_no_bar&amp;width=385&amp;height=120&amp;START_MAXIMIZED=FALSE&amp;creator=factset&amp;display_string=Audit"}</definedName>
    <definedName name="_1561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1562__FDSAUDITLINK__" localSheetId="1" hidden="1">{"fdsup://Directions/FactSet Auditing Viewer?action=AUDIT_VALUE&amp;DB=129&amp;ID1=91704710&amp;VALUEID=02101&amp;SDATE=201001&amp;PERIODTYPE=QTR_STD&amp;window=popup_no_bar&amp;width=385&amp;height=120&amp;START_MAXIMIZED=FALSE&amp;creator=factset&amp;display_string=Audit"}</definedName>
    <definedName name="_1562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1563__FDSAUDITLINK__" localSheetId="1" hidden="1">{"fdsup://Directions/FactSet Auditing Viewer?action=AUDIT_VALUE&amp;DB=129&amp;ID1=91704710&amp;VALUEID=13040&amp;SDATE=201001&amp;PERIODTYPE=QTR_STD&amp;window=popup_no_bar&amp;width=385&amp;height=120&amp;START_MAXIMIZED=FALSE&amp;creator=factset&amp;display_string=Audit"}</definedName>
    <definedName name="_1563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1564__FDSAUDITLINK__" localSheetId="1" hidden="1">{"fdsup://Directions/FactSet Auditing Viewer?action=AUDIT_VALUE&amp;DB=129&amp;ID1=02553E10&amp;VALUEID=02101&amp;SDATE=201001&amp;PERIODTYPE=QTR_STD&amp;window=popup_no_bar&amp;width=385&amp;height=120&amp;START_MAXIMIZED=FALSE&amp;creator=factset&amp;display_string=Audit"}</definedName>
    <definedName name="_1564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1565__FDSAUDITLINK__" localSheetId="1" hidden="1">{"fdsup://Directions/FactSet Auditing Viewer?action=AUDIT_VALUE&amp;DB=129&amp;ID1=02553E10&amp;VALUEID=13040&amp;SDATE=201001&amp;PERIODTYPE=QTR_STD&amp;window=popup_no_bar&amp;width=385&amp;height=120&amp;START_MAXIMIZED=FALSE&amp;creator=factset&amp;display_string=Audit"}</definedName>
    <definedName name="_1565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1566__FDSAUDITLINK__" localSheetId="1" hidden="1">{"fdsup://Directions/FactSet Auditing Viewer?action=AUDIT_VALUE&amp;DB=129&amp;ID1=00786510&amp;VALUEID=02101&amp;SDATE=201001&amp;PERIODTYPE=QTR_STD&amp;window=popup_no_bar&amp;width=385&amp;height=120&amp;START_MAXIMIZED=FALSE&amp;creator=factset&amp;display_string=Audit"}</definedName>
    <definedName name="_1566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1567__FDSAUDITLINK__" localSheetId="1" hidden="1">{"fdsup://Directions/FactSet Auditing Viewer?action=AUDIT_VALUE&amp;DB=129&amp;ID1=00786510&amp;VALUEID=13040&amp;SDATE=201001&amp;PERIODTYPE=QTR_STD&amp;window=popup_no_bar&amp;width=385&amp;height=120&amp;START_MAXIMIZED=FALSE&amp;creator=factset&amp;display_string=Audit"}</definedName>
    <definedName name="_1567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1568__FDSAUDITLINK__" localSheetId="1" hidden="1">{"fdsup://Directions/FactSet Auditing Viewer?action=AUDIT_VALUE&amp;DB=129&amp;ID1=00289620&amp;VALUEID=02101&amp;SDATE=201001&amp;PERIODTYPE=QTR_STD&amp;window=popup_no_bar&amp;width=385&amp;height=120&amp;START_MAXIMIZED=FALSE&amp;creator=factset&amp;display_string=Audit"}</definedName>
    <definedName name="_1568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1569__FDSAUDITLINK__" localSheetId="1" hidden="1">{"fdsup://Directions/FactSet Auditing Viewer?action=AUDIT_VALUE&amp;DB=129&amp;ID1=00289620&amp;VALUEID=13040&amp;SDATE=201001&amp;PERIODTYPE=QTR_STD&amp;window=popup_no_bar&amp;width=385&amp;height=120&amp;START_MAXIMIZED=FALSE&amp;creator=factset&amp;display_string=Audit"}</definedName>
    <definedName name="_1569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157__FDSAUDITLINK__" localSheetId="1" hidden="1">{"fdsup://Directions/FactSet Auditing Viewer?action=AUDIT_VALUE&amp;DB=129&amp;ID1=00786510&amp;VALUEID=02101&amp;SDATE=200802&amp;PERIODTYPE=QTR_STD&amp;window=popup_no_bar&amp;width=385&amp;height=120&amp;START_MAXIMIZED=FALSE&amp;creator=factset&amp;display_string=Audit"}</definedName>
    <definedName name="_157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1570__FDSAUDITLINK__" localSheetId="1" hidden="1">{"fdsup://Directions/FactSet Auditing Viewer?action=AUDIT_VALUE&amp;DB=129&amp;ID1=87416110&amp;VALUEID=01001&amp;SDATE=200904&amp;PERIODTYPE=QTR_STD&amp;window=popup_no_bar&amp;width=385&amp;height=120&amp;START_MAXIMIZED=FALSE&amp;creator=factset&amp;display_string=Audit"}</definedName>
    <definedName name="_1570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1571__FDSAUDITLINK__" localSheetId="1"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1571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1572__FDSAUDITLINK__" localSheetId="1" hidden="1">{"fdsup://Directions/FactSet Auditing Viewer?action=AUDIT_VALUE&amp;DB=129&amp;ID1=46612H40&amp;VALUEID=01001&amp;SDATE=200904&amp;PERIODTYPE=QTR_STD&amp;window=popup_no_bar&amp;width=385&amp;height=120&amp;START_MAXIMIZED=FALSE&amp;creator=factset&amp;display_string=Audit"}</definedName>
    <definedName name="_1572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1573__FDSAUDITLINK__" localSheetId="1" hidden="1">{"fdsup://Directions/FactSet Auditing Viewer?action=AUDIT_VALUE&amp;DB=129&amp;ID1=36476010&amp;VALUEID=01001&amp;SDATE=200904&amp;PERIODTYPE=QTR_STD&amp;window=popup_no_bar&amp;width=385&amp;height=120&amp;START_MAXIMIZED=FALSE&amp;creator=factset&amp;display_string=Audit"}</definedName>
    <definedName name="_1573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1574__FDSAUDITLINK__" localSheetId="1" hidden="1">{"fdsup://Directions/FactSet Auditing Viewer?action=AUDIT_VALUE&amp;DB=129&amp;ID1=03611510&amp;VALUEID=01001&amp;SDATE=200904&amp;PERIODTYPE=QTR_STD&amp;window=popup_no_bar&amp;width=385&amp;height=120&amp;START_MAXIMIZED=FALSE&amp;creator=factset&amp;display_string=Audit"}</definedName>
    <definedName name="_1574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1575__FDSAUDITLINK__" localSheetId="1" hidden="1">{"fdsup://Directions/FactSet Auditing Viewer?action=AUDIT_VALUE&amp;DB=129&amp;ID1=16890510&amp;VALUEID=01001&amp;SDATE=200904&amp;PERIODTYPE=QTR_STD&amp;window=popup_no_bar&amp;width=385&amp;height=120&amp;START_MAXIMIZED=FALSE&amp;creator=factset&amp;display_string=Audit"}</definedName>
    <definedName name="_1575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1576__FDSAUDITLINK__" localSheetId="1" hidden="1">{"fdsup://Directions/FactSet Auditing Viewer?action=AUDIT_VALUE&amp;DB=129&amp;ID1=91704710&amp;VALUEID=01001&amp;SDATE=200904&amp;PERIODTYPE=QTR_STD&amp;window=popup_no_bar&amp;width=385&amp;height=120&amp;START_MAXIMIZED=FALSE&amp;creator=factset&amp;display_string=Audit"}</definedName>
    <definedName name="_1576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1577__FDSAUDITLINK__" localSheetId="1" hidden="1">{"fdsup://Directions/FactSet Auditing Viewer?action=AUDIT_VALUE&amp;DB=129&amp;ID1=02553E10&amp;VALUEID=01001&amp;SDATE=200904&amp;PERIODTYPE=QTR_STD&amp;window=popup_no_bar&amp;width=385&amp;height=120&amp;START_MAXIMIZED=FALSE&amp;creator=factset&amp;display_string=Audit"}</definedName>
    <definedName name="_1577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1578__FDSAUDITLINK__" localSheetId="1" hidden="1">{"fdsup://Directions/FactSet Auditing Viewer?action=AUDIT_VALUE&amp;DB=129&amp;ID1=00786510&amp;VALUEID=01001&amp;SDATE=200904&amp;PERIODTYPE=QTR_STD&amp;window=popup_no_bar&amp;width=385&amp;height=120&amp;START_MAXIMIZED=FALSE&amp;creator=factset&amp;display_string=Audit"}</definedName>
    <definedName name="_1578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1579__FDSAUDITLINK__" localSheetId="1" hidden="1">{"fdsup://Directions/FactSet Auditing Viewer?action=AUDIT_VALUE&amp;DB=129&amp;ID1=87416110&amp;VALUEID=02101&amp;SDATE=200903&amp;PERIODTYPE=QTR_STD&amp;window=popup_no_bar&amp;width=385&amp;height=120&amp;START_MAXIMIZED=FALSE&amp;creator=factset&amp;display_string=Audit"}</definedName>
    <definedName name="_1579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158__FDSAUDITLINK__" localSheetId="1" hidden="1">{"fdsup://Directions/FactSet Auditing Viewer?action=AUDIT_VALUE&amp;DB=129&amp;ID1=00786510&amp;VALUEID=01001&amp;SDATE=200802&amp;PERIODTYPE=QTR_STD&amp;window=popup_no_bar&amp;width=385&amp;height=120&amp;START_MAXIMIZED=FALSE&amp;creator=factset&amp;display_string=Audit"}</definedName>
    <definedName name="_158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1580__FDSAUDITLINK__" localSheetId="1" hidden="1">{"fdsup://Directions/FactSet Auditing Viewer?action=AUDIT_VALUE&amp;DB=129&amp;ID1=87416110&amp;VALUEID=01001&amp;SDATE=200903&amp;PERIODTYPE=QTR_STD&amp;window=popup_no_bar&amp;width=385&amp;height=120&amp;START_MAXIMIZED=FALSE&amp;creator=factset&amp;display_string=Audit"}</definedName>
    <definedName name="_1580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1581__FDSAUDITLINK__" localSheetId="1" hidden="1">{"fdsup://Directions/FactSet Auditing Viewer?action=AUDIT_VALUE&amp;DB=129&amp;ID1=87416110&amp;VALUEID=13040&amp;SDATE=200903&amp;PERIODTYPE=QTR_STD&amp;window=popup_no_bar&amp;width=385&amp;height=120&amp;START_MAXIMIZED=FALSE&amp;creator=factset&amp;display_string=Audit"}</definedName>
    <definedName name="_1581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1582__FDSAUDITLINK__" localSheetId="1"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1582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1583__FDSAUDITLINK__" localSheetId="1" hidden="1">{"fdsup://Directions/FactSet Auditing Viewer?action=AUDIT_VALUE&amp;DB=129&amp;ID1=53271610&amp;VALUEID=02101&amp;SDATE=200903&amp;PERIODTYPE=QTR_STD&amp;window=popup_no_bar&amp;width=385&amp;height=120&amp;START_MAXIMIZED=FALSE&amp;creator=factset&amp;display_string=Audit"}</definedName>
    <definedName name="_1583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1584__FDSAUDITLINK__" localSheetId="1" hidden="1">{"fdsup://Directions/FactSet Auditing Viewer?action=AUDIT_VALUE&amp;DB=129&amp;ID1=53271610&amp;VALUEID=01001&amp;SDATE=200903&amp;PERIODTYPE=QTR_STD&amp;window=popup_no_bar&amp;width=385&amp;height=120&amp;START_MAXIMIZED=FALSE&amp;creator=factset&amp;display_string=Audit"}</definedName>
    <definedName name="_1584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1585__FDSAUDITLINK__" localSheetId="1" hidden="1">{"fdsup://Directions/FactSet Auditing Viewer?action=AUDIT_VALUE&amp;DB=129&amp;ID1=53271610&amp;VALUEID=13040&amp;SDATE=200903&amp;PERIODTYPE=QTR_STD&amp;window=popup_no_bar&amp;width=385&amp;height=120&amp;START_MAXIMIZED=FALSE&amp;creator=factset&amp;display_string=Audit"}</definedName>
    <definedName name="_1585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1586__FDSAUDITLINK__" localSheetId="1" hidden="1">{"fdsup://Directions/FactSet Auditing Viewer?action=AUDIT_VALUE&amp;DB=129&amp;ID1=46612H40&amp;VALUEID=02101&amp;SDATE=200903&amp;PERIODTYPE=QTR_STD&amp;window=popup_no_bar&amp;width=385&amp;height=120&amp;START_MAXIMIZED=FALSE&amp;creator=factset&amp;display_string=Audit"}</definedName>
    <definedName name="_1586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1587__FDSAUDITLINK__" localSheetId="1" hidden="1">{"fdsup://Directions/FactSet Auditing Viewer?action=AUDIT_VALUE&amp;DB=129&amp;ID1=46612H40&amp;VALUEID=01001&amp;SDATE=200903&amp;PERIODTYPE=QTR_STD&amp;window=popup_no_bar&amp;width=385&amp;height=120&amp;START_MAXIMIZED=FALSE&amp;creator=factset&amp;display_string=Audit"}</definedName>
    <definedName name="_1587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1588__FDSAUDITLINK__" localSheetId="1" hidden="1">{"fdsup://Directions/FactSet Auditing Viewer?action=AUDIT_VALUE&amp;DB=129&amp;ID1=46612H40&amp;VALUEID=13040&amp;SDATE=200903&amp;PERIODTYPE=QTR_STD&amp;window=popup_no_bar&amp;width=385&amp;height=120&amp;START_MAXIMIZED=FALSE&amp;creator=factset&amp;display_string=Audit"}</definedName>
    <definedName name="_1588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1589__FDSAUDITLINK__" localSheetId="1" hidden="1">{"fdsup://Directions/FactSet Auditing Viewer?action=AUDIT_VALUE&amp;DB=129&amp;ID1=36476010&amp;VALUEID=02101&amp;SDATE=200903&amp;PERIODTYPE=QTR_STD&amp;window=popup_no_bar&amp;width=385&amp;height=120&amp;START_MAXIMIZED=FALSE&amp;creator=factset&amp;display_string=Audit"}</definedName>
    <definedName name="_1589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159__FDSAUDITLINK__" localSheetId="1" hidden="1">{"fdsup://Directions/FactSet Auditing Viewer?action=AUDIT_VALUE&amp;DB=129&amp;ID1=00786510&amp;VALUEID=13040&amp;SDATE=200802&amp;PERIODTYPE=QTR_STD&amp;window=popup_no_bar&amp;width=385&amp;height=120&amp;START_MAXIMIZED=FALSE&amp;creator=factset&amp;display_string=Audit"}</definedName>
    <definedName name="_159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1590__FDSAUDITLINK__" localSheetId="1" hidden="1">{"fdsup://Directions/FactSet Auditing Viewer?action=AUDIT_VALUE&amp;DB=129&amp;ID1=36476010&amp;VALUEID=01001&amp;SDATE=200903&amp;PERIODTYPE=QTR_STD&amp;window=popup_no_bar&amp;width=385&amp;height=120&amp;START_MAXIMIZED=FALSE&amp;creator=factset&amp;display_string=Audit"}</definedName>
    <definedName name="_1590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1591__FDSAUDITLINK__" localSheetId="1" hidden="1">{"fdsup://Directions/FactSet Auditing Viewer?action=AUDIT_VALUE&amp;DB=129&amp;ID1=36476010&amp;VALUEID=13040&amp;SDATE=200903&amp;PERIODTYPE=QTR_STD&amp;window=popup_no_bar&amp;width=385&amp;height=120&amp;START_MAXIMIZED=FALSE&amp;creator=factset&amp;display_string=Audit"}</definedName>
    <definedName name="_1591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1592__FDSAUDITLINK__" localSheetId="1" hidden="1">{"fdsup://Directions/FactSet Auditing Viewer?action=AUDIT_VALUE&amp;DB=129&amp;ID1=03611510&amp;VALUEID=02101&amp;SDATE=200903&amp;PERIODTYPE=QTR_STD&amp;window=popup_no_bar&amp;width=385&amp;height=120&amp;START_MAXIMIZED=FALSE&amp;creator=factset&amp;display_string=Audit"}</definedName>
    <definedName name="_1592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1593__FDSAUDITLINK__" localSheetId="1" hidden="1">{"fdsup://Directions/FactSet Auditing Viewer?action=AUDIT_VALUE&amp;DB=129&amp;ID1=03611510&amp;VALUEID=01001&amp;SDATE=200903&amp;PERIODTYPE=QTR_STD&amp;window=popup_no_bar&amp;width=385&amp;height=120&amp;START_MAXIMIZED=FALSE&amp;creator=factset&amp;display_string=Audit"}</definedName>
    <definedName name="_1593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1594__FDSAUDITLINK__" localSheetId="1" hidden="1">{"fdsup://Directions/FactSet Auditing Viewer?action=AUDIT_VALUE&amp;DB=129&amp;ID1=03611510&amp;VALUEID=13040&amp;SDATE=200903&amp;PERIODTYPE=QTR_STD&amp;window=popup_no_bar&amp;width=385&amp;height=120&amp;START_MAXIMIZED=FALSE&amp;creator=factset&amp;display_string=Audit"}</definedName>
    <definedName name="_1594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1595__FDSAUDITLINK__" localSheetId="1" hidden="1">{"fdsup://Directions/FactSet Auditing Viewer?action=AUDIT_VALUE&amp;DB=129&amp;ID1=16890510&amp;VALUEID=02101&amp;SDATE=200903&amp;PERIODTYPE=QTR_STD&amp;window=popup_no_bar&amp;width=385&amp;height=120&amp;START_MAXIMIZED=FALSE&amp;creator=factset&amp;display_string=Audit"}</definedName>
    <definedName name="_1595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1596__FDSAUDITLINK__" localSheetId="1" hidden="1">{"fdsup://Directions/FactSet Auditing Viewer?action=AUDIT_VALUE&amp;DB=129&amp;ID1=16890510&amp;VALUEID=01001&amp;SDATE=200903&amp;PERIODTYPE=QTR_STD&amp;window=popup_no_bar&amp;width=385&amp;height=120&amp;START_MAXIMIZED=FALSE&amp;creator=factset&amp;display_string=Audit"}</definedName>
    <definedName name="_1596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1597__FDSAUDITLINK__" localSheetId="1" hidden="1">{"fdsup://Directions/FactSet Auditing Viewer?action=AUDIT_VALUE&amp;DB=129&amp;ID1=91704710&amp;VALUEID=02101&amp;SDATE=200903&amp;PERIODTYPE=QTR_STD&amp;window=popup_no_bar&amp;width=385&amp;height=120&amp;START_MAXIMIZED=FALSE&amp;creator=factset&amp;display_string=Audit"}</definedName>
    <definedName name="_1597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1598__FDSAUDITLINK__" localSheetId="1" hidden="1">{"fdsup://Directions/FactSet Auditing Viewer?action=AUDIT_VALUE&amp;DB=129&amp;ID1=91704710&amp;VALUEID=01001&amp;SDATE=200903&amp;PERIODTYPE=QTR_STD&amp;window=popup_no_bar&amp;width=385&amp;height=120&amp;START_MAXIMIZED=FALSE&amp;creator=factset&amp;display_string=Audit"}</definedName>
    <definedName name="_1598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1599__FDSAUDITLINK__" localSheetId="1" hidden="1">{"fdsup://Directions/FactSet Auditing Viewer?action=AUDIT_VALUE&amp;DB=129&amp;ID1=91704710&amp;VALUEID=13040&amp;SDATE=200903&amp;PERIODTYPE=QTR_STD&amp;window=popup_no_bar&amp;width=385&amp;height=120&amp;START_MAXIMIZED=FALSE&amp;creator=factset&amp;display_string=Audit"}</definedName>
    <definedName name="_1599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16__FDSAUDITLINK__" localSheetId="1" hidden="1">{"fdsup://Directions/FactSet Auditing Viewer?action=AUDIT_VALUE&amp;DB=129&amp;ID1=02553E10&amp;VALUEID=13040&amp;SDATE=201001&amp;PERIODTYPE=QTR_STD&amp;window=popup_no_bar&amp;width=385&amp;height=120&amp;START_MAXIMIZED=FALSE&amp;creator=factset&amp;display_string=Audit"}</definedName>
    <definedName name="_16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160__FDSAUDITLINK__" localSheetId="1" hidden="1">{"fdsup://Directions/FactSet Auditing Viewer?action=AUDIT_VALUE&amp;DB=129&amp;ID1=00289620&amp;VALUEID=02101&amp;SDATE=200802&amp;PERIODTYPE=QTR_STD&amp;window=popup_no_bar&amp;width=385&amp;height=120&amp;START_MAXIMIZED=FALSE&amp;creator=factset&amp;display_string=Audit"}</definedName>
    <definedName name="_160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1600__FDSAUDITLINK__" localSheetId="1" hidden="1">{"fdsup://Directions/FactSet Auditing Viewer?action=AUDIT_VALUE&amp;DB=129&amp;ID1=02553E10&amp;VALUEID=02101&amp;SDATE=200903&amp;PERIODTYPE=QTR_STD&amp;window=popup_no_bar&amp;width=385&amp;height=120&amp;START_MAXIMIZED=FALSE&amp;creator=factset&amp;display_string=Audit"}</definedName>
    <definedName name="_1600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1601__FDSAUDITLINK__" localSheetId="1" hidden="1">{"fdsup://Directions/FactSet Auditing Viewer?action=AUDIT_VALUE&amp;DB=129&amp;ID1=02553E10&amp;VALUEID=01001&amp;SDATE=200903&amp;PERIODTYPE=QTR_STD&amp;window=popup_no_bar&amp;width=385&amp;height=120&amp;START_MAXIMIZED=FALSE&amp;creator=factset&amp;display_string=Audit"}</definedName>
    <definedName name="_1601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1602__FDSAUDITLINK__" localSheetId="1" hidden="1">{"fdsup://Directions/FactSet Auditing Viewer?action=AUDIT_VALUE&amp;DB=129&amp;ID1=00786510&amp;VALUEID=02101&amp;SDATE=200903&amp;PERIODTYPE=QTR_STD&amp;window=popup_no_bar&amp;width=385&amp;height=120&amp;START_MAXIMIZED=FALSE&amp;creator=factset&amp;display_string=Audit"}</definedName>
    <definedName name="_1602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1603__FDSAUDITLINK__" localSheetId="1" hidden="1">{"fdsup://Directions/FactSet Auditing Viewer?action=AUDIT_VALUE&amp;DB=129&amp;ID1=00786510&amp;VALUEID=01001&amp;SDATE=200903&amp;PERIODTYPE=QTR_STD&amp;window=popup_no_bar&amp;width=385&amp;height=120&amp;START_MAXIMIZED=FALSE&amp;creator=factset&amp;display_string=Audit"}</definedName>
    <definedName name="_1603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1604__FDSAUDITLINK__" localSheetId="1" hidden="1">{"fdsup://Directions/FactSet Auditing Viewer?action=AUDIT_VALUE&amp;DB=129&amp;ID1=00786510&amp;VALUEID=13040&amp;SDATE=200903&amp;PERIODTYPE=QTR_STD&amp;window=popup_no_bar&amp;width=385&amp;height=120&amp;START_MAXIMIZED=FALSE&amp;creator=factset&amp;display_string=Audit"}</definedName>
    <definedName name="_1604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1605__FDSAUDITLINK__" localSheetId="1" hidden="1">{"fdsup://Directions/FactSet Auditing Viewer?action=AUDIT_VALUE&amp;DB=129&amp;ID1=00289620&amp;VALUEID=02101&amp;SDATE=200903&amp;PERIODTYPE=QTR_STD&amp;window=popup_no_bar&amp;width=385&amp;height=120&amp;START_MAXIMIZED=FALSE&amp;creator=factset&amp;display_string=Audit"}</definedName>
    <definedName name="_1605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1606__FDSAUDITLINK__" localSheetId="1" hidden="1">{"fdsup://Directions/FactSet Auditing Viewer?action=AUDIT_VALUE&amp;DB=129&amp;ID1=00289620&amp;VALUEID=01001&amp;SDATE=200903&amp;PERIODTYPE=QTR_STD&amp;window=popup_no_bar&amp;width=385&amp;height=120&amp;START_MAXIMIZED=FALSE&amp;creator=factset&amp;display_string=Audit"}</definedName>
    <definedName name="_1606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1607__FDSAUDITLINK__" localSheetId="1" hidden="1">{"fdsup://Directions/FactSet Auditing Viewer?action=AUDIT_VALUE&amp;DB=129&amp;ID1=00289620&amp;VALUEID=13040&amp;SDATE=200903&amp;PERIODTYPE=QTR_STD&amp;window=popup_no_bar&amp;width=385&amp;height=120&amp;START_MAXIMIZED=FALSE&amp;creator=factset&amp;display_string=Audit"}</definedName>
    <definedName name="_1607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1608__FDSAUDITLINK__" localSheetId="1" hidden="1">{"fdsup://Directions/FactSet Auditing Viewer?action=AUDIT_VALUE&amp;DB=129&amp;ID1=87416110&amp;VALUEID=02101&amp;SDATE=200902&amp;PERIODTYPE=QTR_STD&amp;window=popup_no_bar&amp;width=385&amp;height=120&amp;START_MAXIMIZED=FALSE&amp;creator=factset&amp;display_string=Audit"}</definedName>
    <definedName name="_1608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1609__FDSAUDITLINK__" localSheetId="1" hidden="1">{"fdsup://Directions/FactSet Auditing Viewer?action=AUDIT_VALUE&amp;DB=129&amp;ID1=87416110&amp;VALUEID=01001&amp;SDATE=200902&amp;PERIODTYPE=QTR_STD&amp;window=popup_no_bar&amp;width=385&amp;height=120&amp;START_MAXIMIZED=FALSE&amp;creator=factset&amp;display_string=Audit"}</definedName>
    <definedName name="_1609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161__FDSAUDITLINK__" localSheetId="1" hidden="1">{"fdsup://Directions/FactSet Auditing Viewer?action=AUDIT_VALUE&amp;DB=129&amp;ID1=00289620&amp;VALUEID=01001&amp;SDATE=200802&amp;PERIODTYPE=QTR_STD&amp;window=popup_no_bar&amp;width=385&amp;height=120&amp;START_MAXIMIZED=FALSE&amp;creator=factset&amp;display_string=Audit"}</definedName>
    <definedName name="_161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1610__FDSAUDITLINK__" localSheetId="1" hidden="1">{"fdsup://Directions/FactSet Auditing Viewer?action=AUDIT_VALUE&amp;DB=129&amp;ID1=53271610&amp;VALUEID=02101&amp;SDATE=200902&amp;PERIODTYPE=QTR_STD&amp;window=popup_no_bar&amp;width=385&amp;height=120&amp;START_MAXIMIZED=FALSE&amp;creator=factset&amp;display_string=Audit"}</definedName>
    <definedName name="_1610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1611__FDSAUDITLINK__" localSheetId="1" hidden="1">{"fdsup://Directions/FactSet Auditing Viewer?action=AUDIT_VALUE&amp;DB=129&amp;ID1=53271610&amp;VALUEID=01001&amp;SDATE=200902&amp;PERIODTYPE=QTR_STD&amp;window=popup_no_bar&amp;width=385&amp;height=120&amp;START_MAXIMIZED=FALSE&amp;creator=factset&amp;display_string=Audit"}</definedName>
    <definedName name="_1611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1612__FDSAUDITLINK__" localSheetId="1" hidden="1">{"fdsup://Directions/FactSet Auditing Viewer?action=AUDIT_VALUE&amp;DB=129&amp;ID1=53271610&amp;VALUEID=13040&amp;SDATE=200902&amp;PERIODTYPE=QTR_STD&amp;window=popup_no_bar&amp;width=385&amp;height=120&amp;START_MAXIMIZED=FALSE&amp;creator=factset&amp;display_string=Audit"}</definedName>
    <definedName name="_1612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1613__FDSAUDITLINK__" localSheetId="1" hidden="1">{"fdsup://Directions/FactSet Auditing Viewer?action=AUDIT_VALUE&amp;DB=129&amp;ID1=46612H40&amp;VALUEID=02101&amp;SDATE=200902&amp;PERIODTYPE=QTR_STD&amp;window=popup_no_bar&amp;width=385&amp;height=120&amp;START_MAXIMIZED=FALSE&amp;creator=factset&amp;display_string=Audit"}</definedName>
    <definedName name="_1613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1614__FDSAUDITLINK__" localSheetId="1" hidden="1">{"fdsup://Directions/FactSet Auditing Viewer?action=AUDIT_VALUE&amp;DB=129&amp;ID1=46612H40&amp;VALUEID=01001&amp;SDATE=200902&amp;PERIODTYPE=QTR_STD&amp;window=popup_no_bar&amp;width=385&amp;height=120&amp;START_MAXIMIZED=FALSE&amp;creator=factset&amp;display_string=Audit"}</definedName>
    <definedName name="_1614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1615__FDSAUDITLINK__" localSheetId="1" hidden="1">{"fdsup://Directions/FactSet Auditing Viewer?action=AUDIT_VALUE&amp;DB=129&amp;ID1=46612H40&amp;VALUEID=13040&amp;SDATE=200902&amp;PERIODTYPE=QTR_STD&amp;window=popup_no_bar&amp;width=385&amp;height=120&amp;START_MAXIMIZED=FALSE&amp;creator=factset&amp;display_string=Audit"}</definedName>
    <definedName name="_1615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1616__FDSAUDITLINK__" localSheetId="1" hidden="1">{"fdsup://Directions/FactSet Auditing Viewer?action=AUDIT_VALUE&amp;DB=129&amp;ID1=36476010&amp;VALUEID=02101&amp;SDATE=200902&amp;PERIODTYPE=QTR_STD&amp;window=popup_no_bar&amp;width=385&amp;height=120&amp;START_MAXIMIZED=FALSE&amp;creator=factset&amp;display_string=Audit"}</definedName>
    <definedName name="_1616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1617__FDSAUDITLINK__" localSheetId="1" hidden="1">{"fdsup://Directions/FactSet Auditing Viewer?action=AUDIT_VALUE&amp;DB=129&amp;ID1=36476010&amp;VALUEID=01001&amp;SDATE=200902&amp;PERIODTYPE=QTR_STD&amp;window=popup_no_bar&amp;width=385&amp;height=120&amp;START_MAXIMIZED=FALSE&amp;creator=factset&amp;display_string=Audit"}</definedName>
    <definedName name="_1617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1618__FDSAUDITLINK__" localSheetId="1" hidden="1">{"fdsup://Directions/FactSet Auditing Viewer?action=AUDIT_VALUE&amp;DB=129&amp;ID1=36476010&amp;VALUEID=13040&amp;SDATE=200902&amp;PERIODTYPE=QTR_STD&amp;window=popup_no_bar&amp;width=385&amp;height=120&amp;START_MAXIMIZED=FALSE&amp;creator=factset&amp;display_string=Audit"}</definedName>
    <definedName name="_1618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1619__FDSAUDITLINK__" localSheetId="1" hidden="1">{"fdsup://Directions/FactSet Auditing Viewer?action=AUDIT_VALUE&amp;DB=129&amp;ID1=03611510&amp;VALUEID=02101&amp;SDATE=200902&amp;PERIODTYPE=QTR_STD&amp;window=popup_no_bar&amp;width=385&amp;height=120&amp;START_MAXIMIZED=FALSE&amp;creator=factset&amp;display_string=Audit"}</definedName>
    <definedName name="_1619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162__FDSAUDITLINK__" localSheetId="1" hidden="1">{"fdsup://Directions/FactSet Auditing Viewer?action=AUDIT_VALUE&amp;DB=129&amp;ID1=00289620&amp;VALUEID=13040&amp;SDATE=200802&amp;PERIODTYPE=QTR_STD&amp;window=popup_no_bar&amp;width=385&amp;height=120&amp;START_MAXIMIZED=FALSE&amp;creator=factset&amp;display_string=Audit"}</definedName>
    <definedName name="_162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1620__FDSAUDITLINK__" localSheetId="1" hidden="1">{"fdsup://Directions/FactSet Auditing Viewer?action=AUDIT_VALUE&amp;DB=129&amp;ID1=03611510&amp;VALUEID=01001&amp;SDATE=200902&amp;PERIODTYPE=QTR_STD&amp;window=popup_no_bar&amp;width=385&amp;height=120&amp;START_MAXIMIZED=FALSE&amp;creator=factset&amp;display_string=Audit"}</definedName>
    <definedName name="_1620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1621__FDSAUDITLINK__" localSheetId="1" hidden="1">{"fdsup://Directions/FactSet Auditing Viewer?action=AUDIT_VALUE&amp;DB=129&amp;ID1=03611510&amp;VALUEID=13040&amp;SDATE=200902&amp;PERIODTYPE=QTR_STD&amp;window=popup_no_bar&amp;width=385&amp;height=120&amp;START_MAXIMIZED=FALSE&amp;creator=factset&amp;display_string=Audit"}</definedName>
    <definedName name="_1621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1622__FDSAUDITLINK__" localSheetId="1" hidden="1">{"fdsup://Directions/FactSet Auditing Viewer?action=AUDIT_VALUE&amp;DB=129&amp;ID1=16890510&amp;VALUEID=02101&amp;SDATE=200902&amp;PERIODTYPE=QTR_STD&amp;window=popup_no_bar&amp;width=385&amp;height=120&amp;START_MAXIMIZED=FALSE&amp;creator=factset&amp;display_string=Audit"}</definedName>
    <definedName name="_1622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1623__FDSAUDITLINK__" localSheetId="1" hidden="1">{"fdsup://Directions/FactSet Auditing Viewer?action=AUDIT_VALUE&amp;DB=129&amp;ID1=16890510&amp;VALUEID=01001&amp;SDATE=200902&amp;PERIODTYPE=QTR_STD&amp;window=popup_no_bar&amp;width=385&amp;height=120&amp;START_MAXIMIZED=FALSE&amp;creator=factset&amp;display_string=Audit"}</definedName>
    <definedName name="_1623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1624__FDSAUDITLINK__" localSheetId="1" hidden="1">{"fdsup://Directions/FactSet Auditing Viewer?action=AUDIT_VALUE&amp;DB=129&amp;ID1=91704710&amp;VALUEID=02101&amp;SDATE=200902&amp;PERIODTYPE=QTR_STD&amp;window=popup_no_bar&amp;width=385&amp;height=120&amp;START_MAXIMIZED=FALSE&amp;creator=factset&amp;display_string=Audit"}</definedName>
    <definedName name="_1624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1625__FDSAUDITLINK__" localSheetId="1" hidden="1">{"fdsup://Directions/FactSet Auditing Viewer?action=AUDIT_VALUE&amp;DB=129&amp;ID1=91704710&amp;VALUEID=01001&amp;SDATE=200902&amp;PERIODTYPE=QTR_STD&amp;window=popup_no_bar&amp;width=385&amp;height=120&amp;START_MAXIMIZED=FALSE&amp;creator=factset&amp;display_string=Audit"}</definedName>
    <definedName name="_1625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1626__FDSAUDITLINK__" localSheetId="1" hidden="1">{"fdsup://Directions/FactSet Auditing Viewer?action=AUDIT_VALUE&amp;DB=129&amp;ID1=02553E10&amp;VALUEID=02101&amp;SDATE=200902&amp;PERIODTYPE=QTR_STD&amp;window=popup_no_bar&amp;width=385&amp;height=120&amp;START_MAXIMIZED=FALSE&amp;creator=factset&amp;display_string=Audit"}</definedName>
    <definedName name="_1626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1627__FDSAUDITLINK__" localSheetId="1" hidden="1">{"fdsup://Directions/FactSet Auditing Viewer?action=AUDIT_VALUE&amp;DB=129&amp;ID1=02553E10&amp;VALUEID=01001&amp;SDATE=200902&amp;PERIODTYPE=QTR_STD&amp;window=popup_no_bar&amp;width=385&amp;height=120&amp;START_MAXIMIZED=FALSE&amp;creator=factset&amp;display_string=Audit"}</definedName>
    <definedName name="_1627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1628__FDSAUDITLINK__" localSheetId="1" hidden="1">{"fdsup://Directions/FactSet Auditing Viewer?action=AUDIT_VALUE&amp;DB=129&amp;ID1=02553E10&amp;VALUEID=13040&amp;SDATE=200902&amp;PERIODTYPE=QTR_STD&amp;window=popup_no_bar&amp;width=385&amp;height=120&amp;START_MAXIMIZED=FALSE&amp;creator=factset&amp;display_string=Audit"}</definedName>
    <definedName name="_1628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1629__FDSAUDITLINK__" localSheetId="1" hidden="1">{"fdsup://Directions/FactSet Auditing Viewer?action=AUDIT_VALUE&amp;DB=129&amp;ID1=00786510&amp;VALUEID=02101&amp;SDATE=200902&amp;PERIODTYPE=QTR_STD&amp;window=popup_no_bar&amp;width=385&amp;height=120&amp;START_MAXIMIZED=FALSE&amp;creator=factset&amp;display_string=Audit"}</definedName>
    <definedName name="_1629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163__FDSAUDITLINK__" localSheetId="1" hidden="1">{"fdsup://Directions/FactSet Auditing Viewer?action=AUDIT_VALUE&amp;DB=129&amp;ID1=87416110&amp;VALUEID=02101&amp;SDATE=200801&amp;PERIODTYPE=QTR_STD&amp;window=popup_no_bar&amp;width=385&amp;height=120&amp;START_MAXIMIZED=FALSE&amp;creator=factset&amp;display_string=Audit"}</definedName>
    <definedName name="_163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1630__FDSAUDITLINK__" localSheetId="1" hidden="1">{"fdsup://Directions/FactSet Auditing Viewer?action=AUDIT_VALUE&amp;DB=129&amp;ID1=00786510&amp;VALUEID=01001&amp;SDATE=200902&amp;PERIODTYPE=QTR_STD&amp;window=popup_no_bar&amp;width=385&amp;height=120&amp;START_MAXIMIZED=FALSE&amp;creator=factset&amp;display_string=Audit"}</definedName>
    <definedName name="_1630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1631__FDSAUDITLINK__" localSheetId="1" hidden="1">{"fdsup://Directions/FactSet Auditing Viewer?action=AUDIT_VALUE&amp;DB=129&amp;ID1=00786510&amp;VALUEID=13040&amp;SDATE=200902&amp;PERIODTYPE=QTR_STD&amp;window=popup_no_bar&amp;width=385&amp;height=120&amp;START_MAXIMIZED=FALSE&amp;creator=factset&amp;display_string=Audit"}</definedName>
    <definedName name="_1631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1632__FDSAUDITLINK__" localSheetId="1" hidden="1">{"fdsup://Directions/FactSet Auditing Viewer?action=AUDIT_VALUE&amp;DB=129&amp;ID1=00289620&amp;VALUEID=02101&amp;SDATE=200902&amp;PERIODTYPE=QTR_STD&amp;window=popup_no_bar&amp;width=385&amp;height=120&amp;START_MAXIMIZED=FALSE&amp;creator=factset&amp;display_string=Audit"}</definedName>
    <definedName name="_1632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1633__FDSAUDITLINK__" localSheetId="1" hidden="1">{"fdsup://Directions/FactSet Auditing Viewer?action=AUDIT_VALUE&amp;DB=129&amp;ID1=00289620&amp;VALUEID=01001&amp;SDATE=200902&amp;PERIODTYPE=QTR_STD&amp;window=popup_no_bar&amp;width=385&amp;height=120&amp;START_MAXIMIZED=FALSE&amp;creator=factset&amp;display_string=Audit"}</definedName>
    <definedName name="_1633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1634__FDSAUDITLINK__" localSheetId="1" hidden="1">{"fdsup://Directions/FactSet Auditing Viewer?action=AUDIT_VALUE&amp;DB=129&amp;ID1=00289620&amp;VALUEID=13040&amp;SDATE=200902&amp;PERIODTYPE=QTR_STD&amp;window=popup_no_bar&amp;width=385&amp;height=120&amp;START_MAXIMIZED=FALSE&amp;creator=factset&amp;display_string=Audit"}</definedName>
    <definedName name="_1634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1635__FDSAUDITLINK__" localSheetId="1" hidden="1">{"fdsup://Directions/FactSet Auditing Viewer?action=AUDIT_VALUE&amp;DB=129&amp;ID1=87416110&amp;VALUEID=02101&amp;SDATE=200901&amp;PERIODTYPE=QTR_STD&amp;window=popup_no_bar&amp;width=385&amp;height=120&amp;START_MAXIMIZED=FALSE&amp;creator=factset&amp;display_string=Audit"}</definedName>
    <definedName name="_1635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1636__FDSAUDITLINK__" localSheetId="1" hidden="1">{"fdsup://Directions/FactSet Auditing Viewer?action=AUDIT_VALUE&amp;DB=129&amp;ID1=87416110&amp;VALUEID=01001&amp;SDATE=200901&amp;PERIODTYPE=QTR_STD&amp;window=popup_no_bar&amp;width=385&amp;height=120&amp;START_MAXIMIZED=FALSE&amp;creator=factset&amp;display_string=Audit"}</definedName>
    <definedName name="_1636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1637__FDSAUDITLINK__" localSheetId="1" hidden="1">{"fdsup://Directions/FactSet Auditing Viewer?action=AUDIT_VALUE&amp;DB=129&amp;ID1=87416110&amp;VALUEID=13040&amp;SDATE=200901&amp;PERIODTYPE=QTR_STD&amp;window=popup_no_bar&amp;width=385&amp;height=120&amp;START_MAXIMIZED=FALSE&amp;creator=factset&amp;display_string=Audit"}</definedName>
    <definedName name="_1637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1638__FDSAUDITLINK__" localSheetId="1"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1638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1639__FDSAUDITLINK__" localSheetId="1" hidden="1">{"fdsup://Directions/FactSet Auditing Viewer?action=AUDIT_VALUE&amp;DB=129&amp;ID1=53271610&amp;VALUEID=13040&amp;SDATE=200901&amp;PERIODTYPE=QTR_STD&amp;window=popup_no_bar&amp;width=385&amp;height=120&amp;START_MAXIMIZED=FALSE&amp;creator=factset&amp;display_string=Audit"}</definedName>
    <definedName name="_1639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164__FDSAUDITLINK__" localSheetId="1" hidden="1">{"fdsup://Directions/FactSet Auditing Viewer?action=AUDIT_VALUE&amp;DB=129&amp;ID1=87416110&amp;VALUEID=01001&amp;SDATE=200801&amp;PERIODTYPE=QTR_STD&amp;window=popup_no_bar&amp;width=385&amp;height=120&amp;START_MAXIMIZED=FALSE&amp;creator=factset&amp;display_string=Audit"}</definedName>
    <definedName name="_164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1640__FDSAUDITLINK__" localSheetId="1" hidden="1">{"fdsup://Directions/FactSet Auditing Viewer?action=AUDIT_VALUE&amp;DB=129&amp;ID1=46612H40&amp;VALUEID=02101&amp;SDATE=200901&amp;PERIODTYPE=QTR_STD&amp;window=popup_no_bar&amp;width=385&amp;height=120&amp;START_MAXIMIZED=FALSE&amp;creator=factset&amp;display_string=Audit"}</definedName>
    <definedName name="_1640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1641__FDSAUDITLINK__" localSheetId="1" hidden="1">{"fdsup://Directions/FactSet Auditing Viewer?action=AUDIT_VALUE&amp;DB=129&amp;ID1=46612H40&amp;VALUEID=01001&amp;SDATE=200901&amp;PERIODTYPE=QTR_STD&amp;window=popup_no_bar&amp;width=385&amp;height=120&amp;START_MAXIMIZED=FALSE&amp;creator=factset&amp;display_string=Audit"}</definedName>
    <definedName name="_1641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1642__FDSAUDITLINK__" localSheetId="1" hidden="1">{"fdsup://Directions/FactSet Auditing Viewer?action=AUDIT_VALUE&amp;DB=129&amp;ID1=46612H40&amp;VALUEID=13040&amp;SDATE=200901&amp;PERIODTYPE=QTR_STD&amp;window=popup_no_bar&amp;width=385&amp;height=120&amp;START_MAXIMIZED=FALSE&amp;creator=factset&amp;display_string=Audit"}</definedName>
    <definedName name="_1642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1643__FDSAUDITLINK__" localSheetId="1" hidden="1">{"fdsup://Directions/FactSet Auditing Viewer?action=AUDIT_VALUE&amp;DB=129&amp;ID1=03611510&amp;VALUEID=02101&amp;SDATE=200901&amp;PERIODTYPE=QTR_STD&amp;window=popup_no_bar&amp;width=385&amp;height=120&amp;START_MAXIMIZED=FALSE&amp;creator=factset&amp;display_string=Audit"}</definedName>
    <definedName name="_1643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1644__FDSAUDITLINK__" localSheetId="1" hidden="1">{"fdsup://Directions/FactSet Auditing Viewer?action=AUDIT_VALUE&amp;DB=129&amp;ID1=03611510&amp;VALUEID=01001&amp;SDATE=200901&amp;PERIODTYPE=QTR_STD&amp;window=popup_no_bar&amp;width=385&amp;height=120&amp;START_MAXIMIZED=FALSE&amp;creator=factset&amp;display_string=Audit"}</definedName>
    <definedName name="_1644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1645__FDSAUDITLINK__" localSheetId="1" hidden="1">{"fdsup://Directions/FactSet Auditing Viewer?action=AUDIT_VALUE&amp;DB=129&amp;ID1=16890510&amp;VALUEID=02101&amp;SDATE=200901&amp;PERIODTYPE=QTR_STD&amp;window=popup_no_bar&amp;width=385&amp;height=120&amp;START_MAXIMIZED=FALSE&amp;creator=factset&amp;display_string=Audit"}</definedName>
    <definedName name="_1645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1646__FDSAUDITLINK__" localSheetId="1" hidden="1">{"fdsup://Directions/FactSet Auditing Viewer?action=AUDIT_VALUE&amp;DB=129&amp;ID1=16890510&amp;VALUEID=01001&amp;SDATE=200901&amp;PERIODTYPE=QTR_STD&amp;window=popup_no_bar&amp;width=385&amp;height=120&amp;START_MAXIMIZED=FALSE&amp;creator=factset&amp;display_string=Audit"}</definedName>
    <definedName name="_1646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1647__FDSAUDITLINK__" localSheetId="1" hidden="1">{"fdsup://Directions/FactSet Auditing Viewer?action=AUDIT_VALUE&amp;DB=129&amp;ID1=00786510&amp;VALUEID=02101&amp;SDATE=200901&amp;PERIODTYPE=QTR_STD&amp;window=popup_no_bar&amp;width=385&amp;height=120&amp;START_MAXIMIZED=FALSE&amp;creator=factset&amp;display_string=Audit"}</definedName>
    <definedName name="_1647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1648__FDSAUDITLINK__" localSheetId="1" hidden="1">{"fdsup://Directions/FactSet Auditing Viewer?action=AUDIT_VALUE&amp;DB=129&amp;ID1=00786510&amp;VALUEID=01001&amp;SDATE=200901&amp;PERIODTYPE=QTR_STD&amp;window=popup_no_bar&amp;width=385&amp;height=120&amp;START_MAXIMIZED=FALSE&amp;creator=factset&amp;display_string=Audit"}</definedName>
    <definedName name="_1648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1649__FDSAUDITLINK__" localSheetId="1" hidden="1">{"fdsup://Directions/FactSet Auditing Viewer?action=AUDIT_VALUE&amp;DB=129&amp;ID1=00786510&amp;VALUEID=13040&amp;SDATE=200901&amp;PERIODTYPE=QTR_STD&amp;window=popup_no_bar&amp;width=385&amp;height=120&amp;START_MAXIMIZED=FALSE&amp;creator=factset&amp;display_string=Audit"}</definedName>
    <definedName name="_1649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165__FDSAUDITLINK__" localSheetId="1" hidden="1">{"fdsup://Directions/FactSet Auditing Viewer?action=AUDIT_VALUE&amp;DB=129&amp;ID1=53271610&amp;VALUEID=02101&amp;SDATE=200801&amp;PERIODTYPE=QTR_STD&amp;window=popup_no_bar&amp;width=385&amp;height=120&amp;START_MAXIMIZED=FALSE&amp;creator=factset&amp;display_string=Audit"}</definedName>
    <definedName name="_165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1650__FDSAUDITLINK__" localSheetId="1" hidden="1">{"fdsup://Directions/FactSet Auditing Viewer?action=AUDIT_VALUE&amp;DB=129&amp;ID1=00289620&amp;VALUEID=13040&amp;SDATE=200901&amp;PERIODTYPE=QTR_STD&amp;window=popup_no_bar&amp;width=385&amp;height=120&amp;START_MAXIMIZED=FALSE&amp;creator=factset&amp;display_string=Audit"}</definedName>
    <definedName name="_1650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1651__FDSAUDITLINK__" localSheetId="1" hidden="1">{"fdsup://Directions/FactSet Auditing Viewer?action=AUDIT_VALUE&amp;DB=129&amp;ID1=87416110&amp;VALUEID=01001&amp;SDATE=200804&amp;PERIODTYPE=QTR_STD&amp;window=popup_no_bar&amp;width=385&amp;height=120&amp;START_MAXIMIZED=FALSE&amp;creator=factset&amp;display_string=Audit"}</definedName>
    <definedName name="_1651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1652__FDSAUDITLINK__" localSheetId="1"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652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653__FDSAUDITLINK__" localSheetId="1" hidden="1">{"fdsup://Directions/FactSet Auditing Viewer?action=AUDIT_VALUE&amp;DB=129&amp;ID1=46612H40&amp;VALUEID=01001&amp;SDATE=200804&amp;PERIODTYPE=QTR_STD&amp;window=popup_no_bar&amp;width=385&amp;height=120&amp;START_MAXIMIZED=FALSE&amp;creator=factset&amp;display_string=Audit"}</definedName>
    <definedName name="_1653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1654__FDSAUDITLINK__" localSheetId="1" hidden="1">{"fdsup://Directions/FactSet Auditing Viewer?action=AUDIT_VALUE&amp;DB=129&amp;ID1=46612H40&amp;VALUEID=13040&amp;SDATE=200804&amp;PERIODTYPE=QTR_STD&amp;window=popup_no_bar&amp;width=385&amp;height=120&amp;START_MAXIMIZED=FALSE&amp;creator=factset&amp;display_string=Audit"}</definedName>
    <definedName name="_1654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1655__FDSAUDITLINK__" localSheetId="1" hidden="1">{"fdsup://Directions/FactSet Auditing Viewer?action=AUDIT_VALUE&amp;DB=129&amp;ID1=36476010&amp;VALUEID=01001&amp;SDATE=200804&amp;PERIODTYPE=QTR_STD&amp;window=popup_no_bar&amp;width=385&amp;height=120&amp;START_MAXIMIZED=FALSE&amp;creator=factset&amp;display_string=Audit"}</definedName>
    <definedName name="_1655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1656__FDSAUDITLINK__" localSheetId="1" hidden="1">{"fdsup://Directions/FactSet Auditing Viewer?action=AUDIT_VALUE&amp;DB=129&amp;ID1=03611510&amp;VALUEID=01001&amp;SDATE=200804&amp;PERIODTYPE=QTR_STD&amp;window=popup_no_bar&amp;width=385&amp;height=120&amp;START_MAXIMIZED=FALSE&amp;creator=factset&amp;display_string=Audit"}</definedName>
    <definedName name="_1656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1657__FDSAUDITLINK__" localSheetId="1" hidden="1">{"fdsup://Directions/FactSet Auditing Viewer?action=AUDIT_VALUE&amp;DB=129&amp;ID1=16890510&amp;VALUEID=01001&amp;SDATE=200804&amp;PERIODTYPE=QTR_STD&amp;window=popup_no_bar&amp;width=385&amp;height=120&amp;START_MAXIMIZED=FALSE&amp;creator=factset&amp;display_string=Audit"}</definedName>
    <definedName name="_1657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1658__FDSAUDITLINK__" localSheetId="1" hidden="1">{"fdsup://Directions/FactSet Auditing Viewer?action=AUDIT_VALUE&amp;DB=129&amp;ID1=00786510&amp;VALUEID=01001&amp;SDATE=200804&amp;PERIODTYPE=QTR_STD&amp;window=popup_no_bar&amp;width=385&amp;height=120&amp;START_MAXIMIZED=FALSE&amp;creator=factset&amp;display_string=Audit"}</definedName>
    <definedName name="_1658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1659__FDSAUDITLINK__" localSheetId="1" hidden="1">{"fdsup://Directions/FactSet Auditing Viewer?action=AUDIT_VALUE&amp;DB=129&amp;ID1=87416110&amp;VALUEID=02101&amp;SDATE=200803&amp;PERIODTYPE=QTR_STD&amp;window=popup_no_bar&amp;width=385&amp;height=120&amp;START_MAXIMIZED=FALSE&amp;creator=factset&amp;display_string=Audit"}</definedName>
    <definedName name="_1659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166__FDSAUDITLINK__" localSheetId="1" hidden="1">{"fdsup://Directions/FactSet Auditing Viewer?action=AUDIT_VALUE&amp;DB=129&amp;ID1=53271610&amp;VALUEID=01001&amp;SDATE=200801&amp;PERIODTYPE=QTR_STD&amp;window=popup_no_bar&amp;width=385&amp;height=120&amp;START_MAXIMIZED=FALSE&amp;creator=factset&amp;display_string=Audit"}</definedName>
    <definedName name="_166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1660__FDSAUDITLINK__" localSheetId="1" hidden="1">{"fdsup://Directions/FactSet Auditing Viewer?action=AUDIT_VALUE&amp;DB=129&amp;ID1=87416110&amp;VALUEID=01001&amp;SDATE=200803&amp;PERIODTYPE=QTR_STD&amp;window=popup_no_bar&amp;width=385&amp;height=120&amp;START_MAXIMIZED=FALSE&amp;creator=factset&amp;display_string=Audit"}</definedName>
    <definedName name="_1660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1661__FDSAUDITLINK__" localSheetId="1" hidden="1">{"fdsup://Directions/FactSet Auditing Viewer?action=AUDIT_VALUE&amp;DB=129&amp;ID1=87416110&amp;VALUEID=13040&amp;SDATE=200803&amp;PERIODTYPE=QTR_STD&amp;window=popup_no_bar&amp;width=385&amp;height=120&amp;START_MAXIMIZED=FALSE&amp;creator=factset&amp;display_string=Audit"}</definedName>
    <definedName name="_1661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1662__FDSAUDITLINK__" localSheetId="1"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662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663__FDSAUDITLINK__" localSheetId="1" hidden="1">{"fdsup://Directions/FactSet Auditing Viewer?action=AUDIT_VALUE&amp;DB=129&amp;ID1=46612H40&amp;VALUEID=02101&amp;SDATE=200803&amp;PERIODTYPE=QTR_STD&amp;window=popup_no_bar&amp;width=385&amp;height=120&amp;START_MAXIMIZED=FALSE&amp;creator=factset&amp;display_string=Audit"}</definedName>
    <definedName name="_1663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1664__FDSAUDITLINK__" localSheetId="1" hidden="1">{"fdsup://Directions/FactSet Auditing Viewer?action=AUDIT_VALUE&amp;DB=129&amp;ID1=46612H40&amp;VALUEID=01001&amp;SDATE=200803&amp;PERIODTYPE=QTR_STD&amp;window=popup_no_bar&amp;width=385&amp;height=120&amp;START_MAXIMIZED=FALSE&amp;creator=factset&amp;display_string=Audit"}</definedName>
    <definedName name="_1664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1665__FDSAUDITLINK__" localSheetId="1" hidden="1">{"fdsup://Directions/FactSet Auditing Viewer?action=AUDIT_VALUE&amp;DB=129&amp;ID1=46612H40&amp;VALUEID=13040&amp;SDATE=200803&amp;PERIODTYPE=QTR_STD&amp;window=popup_no_bar&amp;width=385&amp;height=120&amp;START_MAXIMIZED=FALSE&amp;creator=factset&amp;display_string=Audit"}</definedName>
    <definedName name="_1665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1666__FDSAUDITLINK__" localSheetId="1" hidden="1">{"fdsup://Directions/FactSet Auditing Viewer?action=AUDIT_VALUE&amp;DB=129&amp;ID1=36476010&amp;VALUEID=02101&amp;SDATE=200803&amp;PERIODTYPE=QTR_STD&amp;window=popup_no_bar&amp;width=385&amp;height=120&amp;START_MAXIMIZED=FALSE&amp;creator=factset&amp;display_string=Audit"}</definedName>
    <definedName name="_1666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1667__FDSAUDITLINK__" localSheetId="1" hidden="1">{"fdsup://Directions/FactSet Auditing Viewer?action=AUDIT_VALUE&amp;DB=129&amp;ID1=36476010&amp;VALUEID=01001&amp;SDATE=200803&amp;PERIODTYPE=QTR_STD&amp;window=popup_no_bar&amp;width=385&amp;height=120&amp;START_MAXIMIZED=FALSE&amp;creator=factset&amp;display_string=Audit"}</definedName>
    <definedName name="_1667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1668__FDSAUDITLINK__" localSheetId="1" hidden="1">{"fdsup://Directions/FactSet Auditing Viewer?action=AUDIT_VALUE&amp;DB=129&amp;ID1=36476010&amp;VALUEID=13040&amp;SDATE=200803&amp;PERIODTYPE=QTR_STD&amp;window=popup_no_bar&amp;width=385&amp;height=120&amp;START_MAXIMIZED=FALSE&amp;creator=factset&amp;display_string=Audit"}</definedName>
    <definedName name="_1668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1669__FDSAUDITLINK__" localSheetId="1" hidden="1">{"fdsup://Directions/FactSet Auditing Viewer?action=AUDIT_VALUE&amp;DB=129&amp;ID1=03611510&amp;VALUEID=02101&amp;SDATE=200803&amp;PERIODTYPE=QTR_STD&amp;window=popup_no_bar&amp;width=385&amp;height=120&amp;START_MAXIMIZED=FALSE&amp;creator=factset&amp;display_string=Audit"}</definedName>
    <definedName name="_1669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167__FDSAUDITLINK__" localSheetId="1" hidden="1">{"fdsup://Directions/FactSet Auditing Viewer?action=AUDIT_VALUE&amp;DB=129&amp;ID1=53271610&amp;VALUEID=13040&amp;SDATE=200801&amp;PERIODTYPE=QTR_STD&amp;window=popup_no_bar&amp;width=385&amp;height=120&amp;START_MAXIMIZED=FALSE&amp;creator=factset&amp;display_string=Audit"}</definedName>
    <definedName name="_167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1670__FDSAUDITLINK__" localSheetId="1" hidden="1">{"fdsup://Directions/FactSet Auditing Viewer?action=AUDIT_VALUE&amp;DB=129&amp;ID1=03611510&amp;VALUEID=01001&amp;SDATE=200803&amp;PERIODTYPE=QTR_STD&amp;window=popup_no_bar&amp;width=385&amp;height=120&amp;START_MAXIMIZED=FALSE&amp;creator=factset&amp;display_string=Audit"}</definedName>
    <definedName name="_1670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1671__FDSAUDITLINK__" localSheetId="1" hidden="1">{"fdsup://Directions/FactSet Auditing Viewer?action=AUDIT_VALUE&amp;DB=129&amp;ID1=16890510&amp;VALUEID=02101&amp;SDATE=200803&amp;PERIODTYPE=QTR_STD&amp;window=popup_no_bar&amp;width=385&amp;height=120&amp;START_MAXIMIZED=FALSE&amp;creator=factset&amp;display_string=Audit"}</definedName>
    <definedName name="_1671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1672__FDSAUDITLINK__" localSheetId="1" hidden="1">{"fdsup://Directions/FactSet Auditing Viewer?action=AUDIT_VALUE&amp;DB=129&amp;ID1=16890510&amp;VALUEID=01001&amp;SDATE=200803&amp;PERIODTYPE=QTR_STD&amp;window=popup_no_bar&amp;width=385&amp;height=120&amp;START_MAXIMIZED=FALSE&amp;creator=factset&amp;display_string=Audit"}</definedName>
    <definedName name="_1672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1673__FDSAUDITLINK__" localSheetId="1" hidden="1">{"fdsup://Directions/FactSet Auditing Viewer?action=AUDIT_VALUE&amp;DB=129&amp;ID1=91704710&amp;VALUEID=02101&amp;SDATE=200803&amp;PERIODTYPE=QTR_STD&amp;window=popup_no_bar&amp;width=385&amp;height=120&amp;START_MAXIMIZED=FALSE&amp;creator=factset&amp;display_string=Audit"}</definedName>
    <definedName name="_1673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1674__FDSAUDITLINK__" localSheetId="1" hidden="1">{"fdsup://Directions/FactSet Auditing Viewer?action=AUDIT_VALUE&amp;DB=129&amp;ID1=91704710&amp;VALUEID=01001&amp;SDATE=200803&amp;PERIODTYPE=QTR_STD&amp;window=popup_no_bar&amp;width=385&amp;height=120&amp;START_MAXIMIZED=FALSE&amp;creator=factset&amp;display_string=Audit"}</definedName>
    <definedName name="_1674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1675__FDSAUDITLINK__" localSheetId="1" hidden="1">{"fdsup://Directions/FactSet Auditing Viewer?action=AUDIT_VALUE&amp;DB=129&amp;ID1=91704710&amp;VALUEID=13040&amp;SDATE=200803&amp;PERIODTYPE=QTR_STD&amp;window=popup_no_bar&amp;width=385&amp;height=120&amp;START_MAXIMIZED=FALSE&amp;creator=factset&amp;display_string=Audit"}</definedName>
    <definedName name="_1675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1676__FDSAUDITLINK__" localSheetId="1" hidden="1">{"fdsup://Directions/FactSet Auditing Viewer?action=AUDIT_VALUE&amp;DB=129&amp;ID1=02553E10&amp;VALUEID=02101&amp;SDATE=200803&amp;PERIODTYPE=QTR_STD&amp;window=popup_no_bar&amp;width=385&amp;height=120&amp;START_MAXIMIZED=FALSE&amp;creator=factset&amp;display_string=Audit"}</definedName>
    <definedName name="_1676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1677__FDSAUDITLINK__" localSheetId="1" hidden="1">{"fdsup://Directions/FactSet Auditing Viewer?action=AUDIT_VALUE&amp;DB=129&amp;ID1=02553E10&amp;VALUEID=01001&amp;SDATE=200803&amp;PERIODTYPE=QTR_STD&amp;window=popup_no_bar&amp;width=385&amp;height=120&amp;START_MAXIMIZED=FALSE&amp;creator=factset&amp;display_string=Audit"}</definedName>
    <definedName name="_1677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1678__FDSAUDITLINK__" localSheetId="1" hidden="1">{"fdsup://Directions/FactSet Auditing Viewer?action=AUDIT_VALUE&amp;DB=129&amp;ID1=02553E10&amp;VALUEID=13040&amp;SDATE=200803&amp;PERIODTYPE=QTR_STD&amp;window=popup_no_bar&amp;width=385&amp;height=120&amp;START_MAXIMIZED=FALSE&amp;creator=factset&amp;display_string=Audit"}</definedName>
    <definedName name="_1678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1679__FDSAUDITLINK__" localSheetId="1" hidden="1">{"fdsup://Directions/FactSet Auditing Viewer?action=AUDIT_VALUE&amp;DB=129&amp;ID1=00786510&amp;VALUEID=02101&amp;SDATE=200803&amp;PERIODTYPE=QTR_STD&amp;window=popup_no_bar&amp;width=385&amp;height=120&amp;START_MAXIMIZED=FALSE&amp;creator=factset&amp;display_string=Audit"}</definedName>
    <definedName name="_1679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168__FDSAUDITLINK__" localSheetId="1" hidden="1">{"fdsup://Directions/FactSet Auditing Viewer?action=AUDIT_VALUE&amp;DB=129&amp;ID1=46612H40&amp;VALUEID=02101&amp;SDATE=200801&amp;PERIODTYPE=QTR_STD&amp;window=popup_no_bar&amp;width=385&amp;height=120&amp;START_MAXIMIZED=FALSE&amp;creator=factset&amp;display_string=Audit"}</definedName>
    <definedName name="_168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1680__FDSAUDITLINK__" localSheetId="1" hidden="1">{"fdsup://Directions/FactSet Auditing Viewer?action=AUDIT_VALUE&amp;DB=129&amp;ID1=00786510&amp;VALUEID=01001&amp;SDATE=200803&amp;PERIODTYPE=QTR_STD&amp;window=popup_no_bar&amp;width=385&amp;height=120&amp;START_MAXIMIZED=FALSE&amp;creator=factset&amp;display_string=Audit"}</definedName>
    <definedName name="_1680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1681__FDSAUDITLINK__" localSheetId="1" hidden="1">{"fdsup://Directions/FactSet Auditing Viewer?action=AUDIT_VALUE&amp;DB=129&amp;ID1=00786510&amp;VALUEID=13040&amp;SDATE=200803&amp;PERIODTYPE=QTR_STD&amp;window=popup_no_bar&amp;width=385&amp;height=120&amp;START_MAXIMIZED=FALSE&amp;creator=factset&amp;display_string=Audit"}</definedName>
    <definedName name="_1681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1682__FDSAUDITLINK__" localSheetId="1" hidden="1">{"fdsup://Directions/FactSet Auditing Viewer?action=AUDIT_VALUE&amp;DB=129&amp;ID1=00289620&amp;VALUEID=02101&amp;SDATE=200803&amp;PERIODTYPE=QTR_STD&amp;window=popup_no_bar&amp;width=385&amp;height=120&amp;START_MAXIMIZED=FALSE&amp;creator=factset&amp;display_string=Audit"}</definedName>
    <definedName name="_1682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1683__FDSAUDITLINK__" localSheetId="1" hidden="1">{"fdsup://Directions/FactSet Auditing Viewer?action=AUDIT_VALUE&amp;DB=129&amp;ID1=00289620&amp;VALUEID=01001&amp;SDATE=200803&amp;PERIODTYPE=QTR_STD&amp;window=popup_no_bar&amp;width=385&amp;height=120&amp;START_MAXIMIZED=FALSE&amp;creator=factset&amp;display_string=Audit"}</definedName>
    <definedName name="_1683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1684__FDSAUDITLINK__" localSheetId="1" hidden="1">{"fdsup://Directions/FactSet Auditing Viewer?action=AUDIT_VALUE&amp;DB=129&amp;ID1=00289620&amp;VALUEID=13040&amp;SDATE=200803&amp;PERIODTYPE=QTR_STD&amp;window=popup_no_bar&amp;width=385&amp;height=120&amp;START_MAXIMIZED=FALSE&amp;creator=factset&amp;display_string=Audit"}</definedName>
    <definedName name="_1684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1685__FDSAUDITLINK__" localSheetId="1" hidden="1">{"fdsup://Directions/FactSet Auditing Viewer?action=AUDIT_VALUE&amp;DB=129&amp;ID1=87416110&amp;VALUEID=02101&amp;SDATE=200802&amp;PERIODTYPE=QTR_STD&amp;window=popup_no_bar&amp;width=385&amp;height=120&amp;START_MAXIMIZED=FALSE&amp;creator=factset&amp;display_string=Audit"}</definedName>
    <definedName name="_1685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1686__FDSAUDITLINK__" localSheetId="1" hidden="1">{"fdsup://Directions/FactSet Auditing Viewer?action=AUDIT_VALUE&amp;DB=129&amp;ID1=87416110&amp;VALUEID=01001&amp;SDATE=200802&amp;PERIODTYPE=QTR_STD&amp;window=popup_no_bar&amp;width=385&amp;height=120&amp;START_MAXIMIZED=FALSE&amp;creator=factset&amp;display_string=Audit"}</definedName>
    <definedName name="_1686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1687__FDSAUDITLINK__" localSheetId="1" hidden="1">{"fdsup://Directions/FactSet Auditing Viewer?action=AUDIT_VALUE&amp;DB=129&amp;ID1=53271610&amp;VALUEID=02101&amp;SDATE=200802&amp;PERIODTYPE=QTR_STD&amp;window=popup_no_bar&amp;width=385&amp;height=120&amp;START_MAXIMIZED=FALSE&amp;creator=factset&amp;display_string=Audit"}</definedName>
    <definedName name="_1687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1688__FDSAUDITLINK__" localSheetId="1" hidden="1">{"fdsup://Directions/FactSet Auditing Viewer?action=AUDIT_VALUE&amp;DB=129&amp;ID1=53271610&amp;VALUEID=01001&amp;SDATE=200802&amp;PERIODTYPE=QTR_STD&amp;window=popup_no_bar&amp;width=385&amp;height=120&amp;START_MAXIMIZED=FALSE&amp;creator=factset&amp;display_string=Audit"}</definedName>
    <definedName name="_1688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1689__FDSAUDITLINK__" localSheetId="1" hidden="1">{"fdsup://Directions/FactSet Auditing Viewer?action=AUDIT_VALUE&amp;DB=129&amp;ID1=53271610&amp;VALUEID=13040&amp;SDATE=200802&amp;PERIODTYPE=QTR_STD&amp;window=popup_no_bar&amp;width=385&amp;height=120&amp;START_MAXIMIZED=FALSE&amp;creator=factset&amp;display_string=Audit"}</definedName>
    <definedName name="_1689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169__FDSAUDITLINK__" localSheetId="1" hidden="1">{"fdsup://Directions/FactSet Auditing Viewer?action=AUDIT_VALUE&amp;DB=129&amp;ID1=46612H40&amp;VALUEID=01001&amp;SDATE=200801&amp;PERIODTYPE=QTR_STD&amp;window=popup_no_bar&amp;width=385&amp;height=120&amp;START_MAXIMIZED=FALSE&amp;creator=factset&amp;display_string=Audit"}</definedName>
    <definedName name="_169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1690__FDSAUDITLINK__" localSheetId="1" hidden="1">{"fdsup://Directions/FactSet Auditing Viewer?action=AUDIT_VALUE&amp;DB=129&amp;ID1=46612H40&amp;VALUEID=02101&amp;SDATE=200802&amp;PERIODTYPE=QTR_STD&amp;window=popup_no_bar&amp;width=385&amp;height=120&amp;START_MAXIMIZED=FALSE&amp;creator=factset&amp;display_string=Audit"}</definedName>
    <definedName name="_1690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1691__FDSAUDITLINK__" localSheetId="1" hidden="1">{"fdsup://Directions/FactSet Auditing Viewer?action=AUDIT_VALUE&amp;DB=129&amp;ID1=46612H40&amp;VALUEID=01001&amp;SDATE=200802&amp;PERIODTYPE=QTR_STD&amp;window=popup_no_bar&amp;width=385&amp;height=120&amp;START_MAXIMIZED=FALSE&amp;creator=factset&amp;display_string=Audit"}</definedName>
    <definedName name="_1691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1692__FDSAUDITLINK__" localSheetId="1" hidden="1">{"fdsup://Directions/FactSet Auditing Viewer?action=AUDIT_VALUE&amp;DB=129&amp;ID1=46612H40&amp;VALUEID=13040&amp;SDATE=200802&amp;PERIODTYPE=QTR_STD&amp;window=popup_no_bar&amp;width=385&amp;height=120&amp;START_MAXIMIZED=FALSE&amp;creator=factset&amp;display_string=Audit"}</definedName>
    <definedName name="_1692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1693__FDSAUDITLINK__" localSheetId="1" hidden="1">{"fdsup://Directions/FactSet Auditing Viewer?action=AUDIT_VALUE&amp;DB=129&amp;ID1=36476010&amp;VALUEID=02101&amp;SDATE=200802&amp;PERIODTYPE=QTR_STD&amp;window=popup_no_bar&amp;width=385&amp;height=120&amp;START_MAXIMIZED=FALSE&amp;creator=factset&amp;display_string=Audit"}</definedName>
    <definedName name="_1693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1694__FDSAUDITLINK__" localSheetId="1" hidden="1">{"fdsup://Directions/FactSet Auditing Viewer?action=AUDIT_VALUE&amp;DB=129&amp;ID1=36476010&amp;VALUEID=01001&amp;SDATE=200802&amp;PERIODTYPE=QTR_STD&amp;window=popup_no_bar&amp;width=385&amp;height=120&amp;START_MAXIMIZED=FALSE&amp;creator=factset&amp;display_string=Audit"}</definedName>
    <definedName name="_1694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1695__FDSAUDITLINK__" localSheetId="1" hidden="1">{"fdsup://Directions/FactSet Auditing Viewer?action=AUDIT_VALUE&amp;DB=129&amp;ID1=36476010&amp;VALUEID=13040&amp;SDATE=200802&amp;PERIODTYPE=QTR_STD&amp;window=popup_no_bar&amp;width=385&amp;height=120&amp;START_MAXIMIZED=FALSE&amp;creator=factset&amp;display_string=Audit"}</definedName>
    <definedName name="_1695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1696__FDSAUDITLINK__" localSheetId="1" hidden="1">{"fdsup://Directions/FactSet Auditing Viewer?action=AUDIT_VALUE&amp;DB=129&amp;ID1=03611510&amp;VALUEID=02101&amp;SDATE=200802&amp;PERIODTYPE=QTR_STD&amp;window=popup_no_bar&amp;width=385&amp;height=120&amp;START_MAXIMIZED=FALSE&amp;creator=factset&amp;display_string=Audit"}</definedName>
    <definedName name="_1696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1697__FDSAUDITLINK__" localSheetId="1" hidden="1">{"fdsup://Directions/FactSet Auditing Viewer?action=AUDIT_VALUE&amp;DB=129&amp;ID1=03611510&amp;VALUEID=01001&amp;SDATE=200802&amp;PERIODTYPE=QTR_STD&amp;window=popup_no_bar&amp;width=385&amp;height=120&amp;START_MAXIMIZED=FALSE&amp;creator=factset&amp;display_string=Audit"}</definedName>
    <definedName name="_1697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1698__FDSAUDITLINK__" localSheetId="1" hidden="1">{"fdsup://Directions/FactSet Auditing Viewer?action=AUDIT_VALUE&amp;DB=129&amp;ID1=16890510&amp;VALUEID=02101&amp;SDATE=200802&amp;PERIODTYPE=QTR_STD&amp;window=popup_no_bar&amp;width=385&amp;height=120&amp;START_MAXIMIZED=FALSE&amp;creator=factset&amp;display_string=Audit"}</definedName>
    <definedName name="_1698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1699__FDSAUDITLINK__" localSheetId="1" hidden="1">{"fdsup://Directions/FactSet Auditing Viewer?action=AUDIT_VALUE&amp;DB=129&amp;ID1=16890510&amp;VALUEID=01001&amp;SDATE=200802&amp;PERIODTYPE=QTR_STD&amp;window=popup_no_bar&amp;width=385&amp;height=120&amp;START_MAXIMIZED=FALSE&amp;creator=factset&amp;display_string=Audit"}</definedName>
    <definedName name="_1699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17__FDSAUDITLINK__" localSheetId="1" hidden="1">{"fdsup://Directions/FactSet Auditing Viewer?action=AUDIT_VALUE&amp;DB=129&amp;ID1=00786510&amp;VALUEID=02101&amp;SDATE=201001&amp;PERIODTYPE=QTR_STD&amp;window=popup_no_bar&amp;width=385&amp;height=120&amp;START_MAXIMIZED=FALSE&amp;creator=factset&amp;display_string=Audit"}</definedName>
    <definedName name="_17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170__FDSAUDITLINK__" localSheetId="1" hidden="1">{"fdsup://Directions/FactSet Auditing Viewer?action=AUDIT_VALUE&amp;DB=129&amp;ID1=46612H40&amp;VALUEID=13040&amp;SDATE=200801&amp;PERIODTYPE=QTR_STD&amp;window=popup_no_bar&amp;width=385&amp;height=120&amp;START_MAXIMIZED=FALSE&amp;creator=factset&amp;display_string=Audit"}</definedName>
    <definedName name="_170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1700__FDSAUDITLINK__" localSheetId="1" hidden="1">{"fdsup://Directions/FactSet Auditing Viewer?action=AUDIT_VALUE&amp;DB=129&amp;ID1=91704710&amp;VALUEID=02101&amp;SDATE=200802&amp;PERIODTYPE=QTR_STD&amp;window=popup_no_bar&amp;width=385&amp;height=120&amp;START_MAXIMIZED=FALSE&amp;creator=factset&amp;display_string=Audit"}</definedName>
    <definedName name="_1700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1701__FDSAUDITLINK__" localSheetId="1" hidden="1">{"fdsup://Directions/FactSet Auditing Viewer?action=AUDIT_VALUE&amp;DB=129&amp;ID1=91704710&amp;VALUEID=01001&amp;SDATE=200802&amp;PERIODTYPE=QTR_STD&amp;window=popup_no_bar&amp;width=385&amp;height=120&amp;START_MAXIMIZED=FALSE&amp;creator=factset&amp;display_string=Audit"}</definedName>
    <definedName name="_1701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1702__FDSAUDITLINK__" localSheetId="1" hidden="1">{"fdsup://Directions/FactSet Auditing Viewer?action=AUDIT_VALUE&amp;DB=129&amp;ID1=91704710&amp;VALUEID=13040&amp;SDATE=200802&amp;PERIODTYPE=QTR_STD&amp;window=popup_no_bar&amp;width=385&amp;height=120&amp;START_MAXIMIZED=FALSE&amp;creator=factset&amp;display_string=Audit"}</definedName>
    <definedName name="_1702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1703__FDSAUDITLINK__" localSheetId="1" hidden="1">{"fdsup://Directions/FactSet Auditing Viewer?action=AUDIT_VALUE&amp;DB=129&amp;ID1=02553E10&amp;VALUEID=02101&amp;SDATE=200802&amp;PERIODTYPE=QTR_STD&amp;window=popup_no_bar&amp;width=385&amp;height=120&amp;START_MAXIMIZED=FALSE&amp;creator=factset&amp;display_string=Audit"}</definedName>
    <definedName name="_1703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1704__FDSAUDITLINK__" localSheetId="1" hidden="1">{"fdsup://Directions/FactSet Auditing Viewer?action=AUDIT_VALUE&amp;DB=129&amp;ID1=02553E10&amp;VALUEID=01001&amp;SDATE=200802&amp;PERIODTYPE=QTR_STD&amp;window=popup_no_bar&amp;width=385&amp;height=120&amp;START_MAXIMIZED=FALSE&amp;creator=factset&amp;display_string=Audit"}</definedName>
    <definedName name="_1704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1705__FDSAUDITLINK__" localSheetId="1" hidden="1">{"fdsup://Directions/FactSet Auditing Viewer?action=AUDIT_VALUE&amp;DB=129&amp;ID1=02553E10&amp;VALUEID=13040&amp;SDATE=200802&amp;PERIODTYPE=QTR_STD&amp;window=popup_no_bar&amp;width=385&amp;height=120&amp;START_MAXIMIZED=FALSE&amp;creator=factset&amp;display_string=Audit"}</definedName>
    <definedName name="_1705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1706__FDSAUDITLINK__" localSheetId="1" hidden="1">{"fdsup://Directions/FactSet Auditing Viewer?action=AUDIT_VALUE&amp;DB=129&amp;ID1=00786510&amp;VALUEID=02101&amp;SDATE=200802&amp;PERIODTYPE=QTR_STD&amp;window=popup_no_bar&amp;width=385&amp;height=120&amp;START_MAXIMIZED=FALSE&amp;creator=factset&amp;display_string=Audit"}</definedName>
    <definedName name="_1706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1707__FDSAUDITLINK__" localSheetId="1" hidden="1">{"fdsup://Directions/FactSet Auditing Viewer?action=AUDIT_VALUE&amp;DB=129&amp;ID1=00786510&amp;VALUEID=01001&amp;SDATE=200802&amp;PERIODTYPE=QTR_STD&amp;window=popup_no_bar&amp;width=385&amp;height=120&amp;START_MAXIMIZED=FALSE&amp;creator=factset&amp;display_string=Audit"}</definedName>
    <definedName name="_1707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1708__FDSAUDITLINK__" localSheetId="1" hidden="1">{"fdsup://Directions/FactSet Auditing Viewer?action=AUDIT_VALUE&amp;DB=129&amp;ID1=00786510&amp;VALUEID=13040&amp;SDATE=200802&amp;PERIODTYPE=QTR_STD&amp;window=popup_no_bar&amp;width=385&amp;height=120&amp;START_MAXIMIZED=FALSE&amp;creator=factset&amp;display_string=Audit"}</definedName>
    <definedName name="_1708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1709__FDSAUDITLINK__" localSheetId="1" hidden="1">{"fdsup://Directions/FactSet Auditing Viewer?action=AUDIT_VALUE&amp;DB=129&amp;ID1=00289620&amp;VALUEID=02101&amp;SDATE=200802&amp;PERIODTYPE=QTR_STD&amp;window=popup_no_bar&amp;width=385&amp;height=120&amp;START_MAXIMIZED=FALSE&amp;creator=factset&amp;display_string=Audit"}</definedName>
    <definedName name="_1709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171__FDSAUDITLINK__" localSheetId="1" hidden="1">{"fdsup://Directions/FactSet Auditing Viewer?action=AUDIT_VALUE&amp;DB=129&amp;ID1=36476010&amp;VALUEID=02101&amp;SDATE=200801&amp;PERIODTYPE=QTR_STD&amp;window=popup_no_bar&amp;width=385&amp;height=120&amp;START_MAXIMIZED=FALSE&amp;creator=factset&amp;display_string=Audit"}</definedName>
    <definedName name="_171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1710__FDSAUDITLINK__" localSheetId="1" hidden="1">{"fdsup://Directions/FactSet Auditing Viewer?action=AUDIT_VALUE&amp;DB=129&amp;ID1=00289620&amp;VALUEID=01001&amp;SDATE=200802&amp;PERIODTYPE=QTR_STD&amp;window=popup_no_bar&amp;width=385&amp;height=120&amp;START_MAXIMIZED=FALSE&amp;creator=factset&amp;display_string=Audit"}</definedName>
    <definedName name="_1710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1711__FDSAUDITLINK__" localSheetId="1" hidden="1">{"fdsup://Directions/FactSet Auditing Viewer?action=AUDIT_VALUE&amp;DB=129&amp;ID1=00289620&amp;VALUEID=13040&amp;SDATE=200802&amp;PERIODTYPE=QTR_STD&amp;window=popup_no_bar&amp;width=385&amp;height=120&amp;START_MAXIMIZED=FALSE&amp;creator=factset&amp;display_string=Audit"}</definedName>
    <definedName name="_1711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1712__FDSAUDITLINK__" localSheetId="1" hidden="1">{"fdsup://Directions/FactSet Auditing Viewer?action=AUDIT_VALUE&amp;DB=129&amp;ID1=87416110&amp;VALUEID=02101&amp;SDATE=200801&amp;PERIODTYPE=QTR_STD&amp;window=popup_no_bar&amp;width=385&amp;height=120&amp;START_MAXIMIZED=FALSE&amp;creator=factset&amp;display_string=Audit"}</definedName>
    <definedName name="_1712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1713__FDSAUDITLINK__" localSheetId="1" hidden="1">{"fdsup://Directions/FactSet Auditing Viewer?action=AUDIT_VALUE&amp;DB=129&amp;ID1=87416110&amp;VALUEID=01001&amp;SDATE=200801&amp;PERIODTYPE=QTR_STD&amp;window=popup_no_bar&amp;width=385&amp;height=120&amp;START_MAXIMIZED=FALSE&amp;creator=factset&amp;display_string=Audit"}</definedName>
    <definedName name="_1713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1714__FDSAUDITLINK__" localSheetId="1" hidden="1">{"fdsup://Directions/FactSet Auditing Viewer?action=AUDIT_VALUE&amp;DB=129&amp;ID1=53271610&amp;VALUEID=02101&amp;SDATE=200801&amp;PERIODTYPE=QTR_STD&amp;window=popup_no_bar&amp;width=385&amp;height=120&amp;START_MAXIMIZED=FALSE&amp;creator=factset&amp;display_string=Audit"}</definedName>
    <definedName name="_1714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1715__FDSAUDITLINK__" localSheetId="1" hidden="1">{"fdsup://Directions/FactSet Auditing Viewer?action=AUDIT_VALUE&amp;DB=129&amp;ID1=53271610&amp;VALUEID=01001&amp;SDATE=200801&amp;PERIODTYPE=QTR_STD&amp;window=popup_no_bar&amp;width=385&amp;height=120&amp;START_MAXIMIZED=FALSE&amp;creator=factset&amp;display_string=Audit"}</definedName>
    <definedName name="_1715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1716__FDSAUDITLINK__" localSheetId="1" hidden="1">{"fdsup://Directions/FactSet Auditing Viewer?action=AUDIT_VALUE&amp;DB=129&amp;ID1=53271610&amp;VALUEID=13040&amp;SDATE=200801&amp;PERIODTYPE=QTR_STD&amp;window=popup_no_bar&amp;width=385&amp;height=120&amp;START_MAXIMIZED=FALSE&amp;creator=factset&amp;display_string=Audit"}</definedName>
    <definedName name="_1716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1717__FDSAUDITLINK__" localSheetId="1" hidden="1">{"fdsup://Directions/FactSet Auditing Viewer?action=AUDIT_VALUE&amp;DB=129&amp;ID1=46612H40&amp;VALUEID=02101&amp;SDATE=200801&amp;PERIODTYPE=QTR_STD&amp;window=popup_no_bar&amp;width=385&amp;height=120&amp;START_MAXIMIZED=FALSE&amp;creator=factset&amp;display_string=Audit"}</definedName>
    <definedName name="_1717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1718__FDSAUDITLINK__" localSheetId="1" hidden="1">{"fdsup://Directions/FactSet Auditing Viewer?action=AUDIT_VALUE&amp;DB=129&amp;ID1=46612H40&amp;VALUEID=01001&amp;SDATE=200801&amp;PERIODTYPE=QTR_STD&amp;window=popup_no_bar&amp;width=385&amp;height=120&amp;START_MAXIMIZED=FALSE&amp;creator=factset&amp;display_string=Audit"}</definedName>
    <definedName name="_1718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1719__FDSAUDITLINK__" localSheetId="1" hidden="1">{"fdsup://Directions/FactSet Auditing Viewer?action=AUDIT_VALUE&amp;DB=129&amp;ID1=46612H40&amp;VALUEID=13040&amp;SDATE=200801&amp;PERIODTYPE=QTR_STD&amp;window=popup_no_bar&amp;width=385&amp;height=120&amp;START_MAXIMIZED=FALSE&amp;creator=factset&amp;display_string=Audit"}</definedName>
    <definedName name="_1719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172__FDSAUDITLINK__" localSheetId="1" hidden="1">{"fdsup://Directions/FactSet Auditing Viewer?action=AUDIT_VALUE&amp;DB=129&amp;ID1=36476010&amp;VALUEID=01001&amp;SDATE=200801&amp;PERIODTYPE=QTR_STD&amp;window=popup_no_bar&amp;width=385&amp;height=120&amp;START_MAXIMIZED=FALSE&amp;creator=factset&amp;display_string=Audit"}</definedName>
    <definedName name="_172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1720__FDSAUDITLINK__" localSheetId="1" hidden="1">{"fdsup://Directions/FactSet Auditing Viewer?action=AUDIT_VALUE&amp;DB=129&amp;ID1=36476010&amp;VALUEID=02101&amp;SDATE=200801&amp;PERIODTYPE=QTR_STD&amp;window=popup_no_bar&amp;width=385&amp;height=120&amp;START_MAXIMIZED=FALSE&amp;creator=factset&amp;display_string=Audit"}</definedName>
    <definedName name="_1720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1721__FDSAUDITLINK__" localSheetId="1" hidden="1">{"fdsup://Directions/FactSet Auditing Viewer?action=AUDIT_VALUE&amp;DB=129&amp;ID1=36476010&amp;VALUEID=01001&amp;SDATE=200801&amp;PERIODTYPE=QTR_STD&amp;window=popup_no_bar&amp;width=385&amp;height=120&amp;START_MAXIMIZED=FALSE&amp;creator=factset&amp;display_string=Audit"}</definedName>
    <definedName name="_1721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1722__FDSAUDITLINK__" localSheetId="1" hidden="1">{"fdsup://Directions/FactSet Auditing Viewer?action=AUDIT_VALUE&amp;DB=129&amp;ID1=36476010&amp;VALUEID=13040&amp;SDATE=200801&amp;PERIODTYPE=QTR_STD&amp;window=popup_no_bar&amp;width=385&amp;height=120&amp;START_MAXIMIZED=FALSE&amp;creator=factset&amp;display_string=Audit"}</definedName>
    <definedName name="_1722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1723__FDSAUDITLINK__" localSheetId="1" hidden="1">{"fdsup://Directions/FactSet Auditing Viewer?action=AUDIT_VALUE&amp;DB=129&amp;ID1=03611510&amp;VALUEID=02101&amp;SDATE=200801&amp;PERIODTYPE=QTR_STD&amp;window=popup_no_bar&amp;width=385&amp;height=120&amp;START_MAXIMIZED=FALSE&amp;creator=factset&amp;display_string=Audit"}</definedName>
    <definedName name="_1723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1724__FDSAUDITLINK__" localSheetId="1" hidden="1">{"fdsup://Directions/FactSet Auditing Viewer?action=AUDIT_VALUE&amp;DB=129&amp;ID1=03611510&amp;VALUEID=01001&amp;SDATE=200801&amp;PERIODTYPE=QTR_STD&amp;window=popup_no_bar&amp;width=385&amp;height=120&amp;START_MAXIMIZED=FALSE&amp;creator=factset&amp;display_string=Audit"}</definedName>
    <definedName name="_1724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1725__FDSAUDITLINK__" localSheetId="1" hidden="1">{"fdsup://Directions/FactSet Auditing Viewer?action=AUDIT_VALUE&amp;DB=129&amp;ID1=03611510&amp;VALUEID=13040&amp;SDATE=200801&amp;PERIODTYPE=QTR_STD&amp;window=popup_no_bar&amp;width=385&amp;height=120&amp;START_MAXIMIZED=FALSE&amp;creator=factset&amp;display_string=Audit"}</definedName>
    <definedName name="_1725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1726__FDSAUDITLINK__" localSheetId="1" hidden="1">{"fdsup://Directions/FactSet Auditing Viewer?action=AUDIT_VALUE&amp;DB=129&amp;ID1=16890510&amp;VALUEID=02101&amp;SDATE=200801&amp;PERIODTYPE=QTR_STD&amp;window=popup_no_bar&amp;width=385&amp;height=120&amp;START_MAXIMIZED=FALSE&amp;creator=factset&amp;display_string=Audit"}</definedName>
    <definedName name="_1726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1727__FDSAUDITLINK__" localSheetId="1" hidden="1">{"fdsup://Directions/FactSet Auditing Viewer?action=AUDIT_VALUE&amp;DB=129&amp;ID1=16890510&amp;VALUEID=01001&amp;SDATE=200801&amp;PERIODTYPE=QTR_STD&amp;window=popup_no_bar&amp;width=385&amp;height=120&amp;START_MAXIMIZED=FALSE&amp;creator=factset&amp;display_string=Audit"}</definedName>
    <definedName name="_1727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1728__FDSAUDITLINK__" localSheetId="1" hidden="1">{"fdsup://Directions/FactSet Auditing Viewer?action=AUDIT_VALUE&amp;DB=129&amp;ID1=91704710&amp;VALUEID=02101&amp;SDATE=200801&amp;PERIODTYPE=QTR_STD&amp;window=popup_no_bar&amp;width=385&amp;height=120&amp;START_MAXIMIZED=FALSE&amp;creator=factset&amp;display_string=Audit"}</definedName>
    <definedName name="_1728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1729__FDSAUDITLINK__" localSheetId="1" hidden="1">{"fdsup://Directions/FactSet Auditing Viewer?action=AUDIT_VALUE&amp;DB=129&amp;ID1=91704710&amp;VALUEID=01001&amp;SDATE=200801&amp;PERIODTYPE=QTR_STD&amp;window=popup_no_bar&amp;width=385&amp;height=120&amp;START_MAXIMIZED=FALSE&amp;creator=factset&amp;display_string=Audit"}</definedName>
    <definedName name="_1729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173__FDSAUDITLINK__" localSheetId="1" hidden="1">{"fdsup://Directions/FactSet Auditing Viewer?action=AUDIT_VALUE&amp;DB=129&amp;ID1=36476010&amp;VALUEID=13040&amp;SDATE=200801&amp;PERIODTYPE=QTR_STD&amp;window=popup_no_bar&amp;width=385&amp;height=120&amp;START_MAXIMIZED=FALSE&amp;creator=factset&amp;display_string=Audit"}</definedName>
    <definedName name="_173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1730__FDSAUDITLINK__" localSheetId="1" hidden="1">{"fdsup://Directions/FactSet Auditing Viewer?action=AUDIT_VALUE&amp;DB=129&amp;ID1=91704710&amp;VALUEID=13040&amp;SDATE=200801&amp;PERIODTYPE=QTR_STD&amp;window=popup_no_bar&amp;width=385&amp;height=120&amp;START_MAXIMIZED=FALSE&amp;creator=factset&amp;display_string=Audit"}</definedName>
    <definedName name="_1730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1731__FDSAUDITLINK__" localSheetId="1" hidden="1">{"fdsup://Directions/FactSet Auditing Viewer?action=AUDIT_VALUE&amp;DB=129&amp;ID1=02553E10&amp;VALUEID=02101&amp;SDATE=200801&amp;PERIODTYPE=QTR_STD&amp;window=popup_no_bar&amp;width=385&amp;height=120&amp;START_MAXIMIZED=FALSE&amp;creator=factset&amp;display_string=Audit"}</definedName>
    <definedName name="_1731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1732__FDSAUDITLINK__" localSheetId="1" hidden="1">{"fdsup://Directions/FactSet Auditing Viewer?action=AUDIT_VALUE&amp;DB=129&amp;ID1=02553E10&amp;VALUEID=01001&amp;SDATE=200801&amp;PERIODTYPE=QTR_STD&amp;window=popup_no_bar&amp;width=385&amp;height=120&amp;START_MAXIMIZED=FALSE&amp;creator=factset&amp;display_string=Audit"}</definedName>
    <definedName name="_1732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1733__FDSAUDITLINK__" localSheetId="1" hidden="1">{"fdsup://Directions/FactSet Auditing Viewer?action=AUDIT_VALUE&amp;DB=129&amp;ID1=02553E10&amp;VALUEID=13040&amp;SDATE=200801&amp;PERIODTYPE=QTR_STD&amp;window=popup_no_bar&amp;width=385&amp;height=120&amp;START_MAXIMIZED=FALSE&amp;creator=factset&amp;display_string=Audit"}</definedName>
    <definedName name="_1733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1734__FDSAUDITLINK__" localSheetId="1" hidden="1">{"fdsup://Directions/FactSet Auditing Viewer?action=AUDIT_VALUE&amp;DB=129&amp;ID1=00786510&amp;VALUEID=02101&amp;SDATE=200801&amp;PERIODTYPE=QTR_STD&amp;window=popup_no_bar&amp;width=385&amp;height=120&amp;START_MAXIMIZED=FALSE&amp;creator=factset&amp;display_string=Audit"}</definedName>
    <definedName name="_1734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1735__FDSAUDITLINK__" localSheetId="1" hidden="1">{"fdsup://Directions/FactSet Auditing Viewer?action=AUDIT_VALUE&amp;DB=129&amp;ID1=00786510&amp;VALUEID=01001&amp;SDATE=200801&amp;PERIODTYPE=QTR_STD&amp;window=popup_no_bar&amp;width=385&amp;height=120&amp;START_MAXIMIZED=FALSE&amp;creator=factset&amp;display_string=Audit"}</definedName>
    <definedName name="_1735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1736__FDSAUDITLINK__" localSheetId="1" hidden="1">{"fdsup://Directions/FactSet Auditing Viewer?action=AUDIT_VALUE&amp;DB=129&amp;ID1=00786510&amp;VALUEID=13040&amp;SDATE=200801&amp;PERIODTYPE=QTR_STD&amp;window=popup_no_bar&amp;width=385&amp;height=120&amp;START_MAXIMIZED=FALSE&amp;creator=factset&amp;display_string=Audit"}</definedName>
    <definedName name="_1736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1737__FDSAUDITLINK__" localSheetId="1" hidden="1">{"fdsup://Directions/FactSet Auditing Viewer?action=AUDIT_VALUE&amp;DB=129&amp;ID1=00289620&amp;VALUEID=02101&amp;SDATE=200801&amp;PERIODTYPE=QTR_STD&amp;window=popup_no_bar&amp;width=385&amp;height=120&amp;START_MAXIMIZED=FALSE&amp;creator=factset&amp;display_string=Audit"}</definedName>
    <definedName name="_1737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1738__FDSAUDITLINK__" localSheetId="1" hidden="1">{"fdsup://Directions/FactSet Auditing Viewer?action=AUDIT_VALUE&amp;DB=129&amp;ID1=00289620&amp;VALUEID=01001&amp;SDATE=200801&amp;PERIODTYPE=QTR_STD&amp;window=popup_no_bar&amp;width=385&amp;height=120&amp;START_MAXIMIZED=FALSE&amp;creator=factset&amp;display_string=Audit"}</definedName>
    <definedName name="_1738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1739__FDSAUDITLINK__" localSheetId="1" hidden="1">{"fdsup://Directions/FactSet Auditing Viewer?action=AUDIT_VALUE&amp;DB=129&amp;ID1=00289620&amp;VALUEID=13040&amp;SDATE=200801&amp;PERIODTYPE=QTR_STD&amp;window=popup_no_bar&amp;width=385&amp;height=120&amp;START_MAXIMIZED=FALSE&amp;creator=factset&amp;display_string=Audit"}</definedName>
    <definedName name="_1739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174__FDSAUDITLINK__" localSheetId="1" hidden="1">{"fdsup://Directions/FactSet Auditing Viewer?action=AUDIT_VALUE&amp;DB=129&amp;ID1=03611510&amp;VALUEID=02101&amp;SDATE=200801&amp;PERIODTYPE=QTR_STD&amp;window=popup_no_bar&amp;width=385&amp;height=120&amp;START_MAXIMIZED=FALSE&amp;creator=factset&amp;display_string=Audit"}</definedName>
    <definedName name="_174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1740__FDSAUDITLINK__" localSheetId="1" hidden="1">{"fdsup://Directions/FactSet Auditing Viewer?action=AUDIT_VALUE&amp;DB=129&amp;ID1=87416110&amp;VALUEID=01001&amp;SDATE=200704&amp;PERIODTYPE=QTR_STD&amp;window=popup_no_bar&amp;width=385&amp;height=120&amp;START_MAXIMIZED=FALSE&amp;creator=factset&amp;display_string=Audit"}</definedName>
    <definedName name="_1740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1741__FDSAUDITLINK__" localSheetId="1" hidden="1">{"fdsup://Directions/FactSet Auditing Viewer?action=AUDIT_VALUE&amp;DB=129&amp;ID1=46612H40&amp;VALUEID=01001&amp;SDATE=200704&amp;PERIODTYPE=QTR_STD&amp;window=popup_no_bar&amp;width=385&amp;height=120&amp;START_MAXIMIZED=FALSE&amp;creator=factset&amp;display_string=Audit"}</definedName>
    <definedName name="_1741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1742__FDSAUDITLINK__" localSheetId="1" hidden="1">{"fdsup://Directions/FactSet Auditing Viewer?action=AUDIT_VALUE&amp;DB=129&amp;ID1=46612H40&amp;VALUEID=13040&amp;SDATE=200704&amp;PERIODTYPE=QTR_STD&amp;window=popup_no_bar&amp;width=385&amp;height=120&amp;START_MAXIMIZED=FALSE&amp;creator=factset&amp;display_string=Audit"}</definedName>
    <definedName name="_1742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1743__FDSAUDITLINK__" localSheetId="1" hidden="1">{"fdsup://Directions/FactSet Auditing Viewer?action=AUDIT_VALUE&amp;DB=129&amp;ID1=36476010&amp;VALUEID=01001&amp;SDATE=200704&amp;PERIODTYPE=QTR_STD&amp;window=popup_no_bar&amp;width=385&amp;height=120&amp;START_MAXIMIZED=FALSE&amp;creator=factset&amp;display_string=Audit"}</definedName>
    <definedName name="_1743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1744__FDSAUDITLINK__" localSheetId="1" hidden="1">{"fdsup://Directions/FactSet Auditing Viewer?action=AUDIT_VALUE&amp;DB=129&amp;ID1=03611510&amp;VALUEID=01001&amp;SDATE=200704&amp;PERIODTYPE=QTR_STD&amp;window=popup_no_bar&amp;width=385&amp;height=120&amp;START_MAXIMIZED=FALSE&amp;creator=factset&amp;display_string=Audit"}</definedName>
    <definedName name="_1744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1745__FDSAUDITLINK__" localSheetId="1" hidden="1">{"fdsup://Directions/FactSet Auditing Viewer?action=AUDIT_VALUE&amp;DB=129&amp;ID1=03611510&amp;VALUEID=13040&amp;SDATE=200704&amp;PERIODTYPE=QTR_STD&amp;window=popup_no_bar&amp;width=385&amp;height=120&amp;START_MAXIMIZED=FALSE&amp;creator=factset&amp;display_string=Audit"}</definedName>
    <definedName name="_1745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1746__FDSAUDITLINK__" localSheetId="1" hidden="1">{"fdsup://Directions/FactSet Auditing Viewer?action=AUDIT_VALUE&amp;DB=129&amp;ID1=16890510&amp;VALUEID=01001&amp;SDATE=200704&amp;PERIODTYPE=QTR_STD&amp;window=popup_no_bar&amp;width=385&amp;height=120&amp;START_MAXIMIZED=FALSE&amp;creator=factset&amp;display_string=Audit"}</definedName>
    <definedName name="_1746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1747__FDSAUDITLINK__" localSheetId="1" hidden="1">{"fdsup://Directions/FactSet Auditing Viewer?action=AUDIT_VALUE&amp;DB=129&amp;ID1=00786510&amp;VALUEID=01001&amp;SDATE=200704&amp;PERIODTYPE=QTR_STD&amp;window=popup_no_bar&amp;width=385&amp;height=120&amp;START_MAXIMIZED=FALSE&amp;creator=factset&amp;display_string=Audit"}</definedName>
    <definedName name="_1747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1748__FDSAUDITLINK__" localSheetId="1" hidden="1">{"fdsup://Directions/FactSet Auditing Viewer?action=AUDIT_VALUE&amp;DB=129&amp;ID1=87416110&amp;VALUEID=02101&amp;SDATE=200703&amp;PERIODTYPE=QTR_STD&amp;window=popup_no_bar&amp;width=385&amp;height=120&amp;START_MAXIMIZED=FALSE&amp;creator=factset&amp;display_string=Audit"}</definedName>
    <definedName name="_1748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1749__FDSAUDITLINK__" localSheetId="1" hidden="1">{"fdsup://Directions/FactSet Auditing Viewer?action=AUDIT_VALUE&amp;DB=129&amp;ID1=87416110&amp;VALUEID=01001&amp;SDATE=200703&amp;PERIODTYPE=QTR_STD&amp;window=popup_no_bar&amp;width=385&amp;height=120&amp;START_MAXIMIZED=FALSE&amp;creator=factset&amp;display_string=Audit"}</definedName>
    <definedName name="_1749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175__FDSAUDITLINK__" localSheetId="1" hidden="1">{"fdsup://Directions/FactSet Auditing Viewer?action=AUDIT_VALUE&amp;DB=129&amp;ID1=03611510&amp;VALUEID=01001&amp;SDATE=200801&amp;PERIODTYPE=QTR_STD&amp;window=popup_no_bar&amp;width=385&amp;height=120&amp;START_MAXIMIZED=FALSE&amp;creator=factset&amp;display_string=Audit"}</definedName>
    <definedName name="_175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1750__FDSAUDITLINK__" localSheetId="1" hidden="1">{"fdsup://Directions/FactSet Auditing Viewer?action=AUDIT_VALUE&amp;DB=129&amp;ID1=53271610&amp;VALUEID=02101&amp;SDATE=200703&amp;PERIODTYPE=QTR_STD&amp;window=popup_no_bar&amp;width=385&amp;height=120&amp;START_MAXIMIZED=FALSE&amp;creator=factset&amp;display_string=Audit"}</definedName>
    <definedName name="_1750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1751__FDSAUDITLINK__" localSheetId="1" hidden="1">{"fdsup://Directions/FactSet Auditing Viewer?action=AUDIT_VALUE&amp;DB=129&amp;ID1=53271610&amp;VALUEID=01001&amp;SDATE=200703&amp;PERIODTYPE=QTR_STD&amp;window=popup_no_bar&amp;width=385&amp;height=120&amp;START_MAXIMIZED=FALSE&amp;creator=factset&amp;display_string=Audit"}</definedName>
    <definedName name="_1751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1752__FDSAUDITLINK__" localSheetId="1" hidden="1">{"fdsup://Directions/FactSet Auditing Viewer?action=AUDIT_VALUE&amp;DB=129&amp;ID1=53271610&amp;VALUEID=13040&amp;SDATE=200703&amp;PERIODTYPE=QTR_STD&amp;window=popup_no_bar&amp;width=385&amp;height=120&amp;START_MAXIMIZED=FALSE&amp;creator=factset&amp;display_string=Audit"}</definedName>
    <definedName name="_1752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1753__FDSAUDITLINK__" localSheetId="1" hidden="1">{"fdsup://Directions/FactSet Auditing Viewer?action=AUDIT_VALUE&amp;DB=129&amp;ID1=46612H40&amp;VALUEID=02101&amp;SDATE=200703&amp;PERIODTYPE=QTR_STD&amp;window=popup_no_bar&amp;width=385&amp;height=120&amp;START_MAXIMIZED=FALSE&amp;creator=factset&amp;display_string=Audit"}</definedName>
    <definedName name="_1753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1754__FDSAUDITLINK__" localSheetId="1" hidden="1">{"fdsup://Directions/FactSet Auditing Viewer?action=AUDIT_VALUE&amp;DB=129&amp;ID1=46612H40&amp;VALUEID=01001&amp;SDATE=200703&amp;PERIODTYPE=QTR_STD&amp;window=popup_no_bar&amp;width=385&amp;height=120&amp;START_MAXIMIZED=FALSE&amp;creator=factset&amp;display_string=Audit"}</definedName>
    <definedName name="_1754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1755__FDSAUDITLINK__" localSheetId="1" hidden="1">{"fdsup://Directions/FactSet Auditing Viewer?action=AUDIT_VALUE&amp;DB=129&amp;ID1=46612H40&amp;VALUEID=13040&amp;SDATE=200703&amp;PERIODTYPE=QTR_STD&amp;window=popup_no_bar&amp;width=385&amp;height=120&amp;START_MAXIMIZED=FALSE&amp;creator=factset&amp;display_string=Audit"}</definedName>
    <definedName name="_1755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1756__FDSAUDITLINK__" localSheetId="1" hidden="1">{"fdsup://Directions/FactSet Auditing Viewer?action=AUDIT_VALUE&amp;DB=129&amp;ID1=36476010&amp;VALUEID=02101&amp;SDATE=200703&amp;PERIODTYPE=QTR_STD&amp;window=popup_no_bar&amp;width=385&amp;height=120&amp;START_MAXIMIZED=FALSE&amp;creator=factset&amp;display_string=Audit"}</definedName>
    <definedName name="_1756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1757__FDSAUDITLINK__" localSheetId="1" hidden="1">{"fdsup://Directions/FactSet Auditing Viewer?action=AUDIT_VALUE&amp;DB=129&amp;ID1=36476010&amp;VALUEID=01001&amp;SDATE=200703&amp;PERIODTYPE=QTR_STD&amp;window=popup_no_bar&amp;width=385&amp;height=120&amp;START_MAXIMIZED=FALSE&amp;creator=factset&amp;display_string=Audit"}</definedName>
    <definedName name="_1757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1758__FDSAUDITLINK__" localSheetId="1" hidden="1">{"fdsup://Directions/FactSet Auditing Viewer?action=AUDIT_VALUE&amp;DB=129&amp;ID1=36476010&amp;VALUEID=13040&amp;SDATE=200703&amp;PERIODTYPE=QTR_STD&amp;window=popup_no_bar&amp;width=385&amp;height=120&amp;START_MAXIMIZED=FALSE&amp;creator=factset&amp;display_string=Audit"}</definedName>
    <definedName name="_1758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1759__FDSAUDITLINK__" localSheetId="1" hidden="1">{"fdsup://Directions/FactSet Auditing Viewer?action=AUDIT_VALUE&amp;DB=129&amp;ID1=03611510&amp;VALUEID=02101&amp;SDATE=200703&amp;PERIODTYPE=QTR_STD&amp;window=popup_no_bar&amp;width=385&amp;height=120&amp;START_MAXIMIZED=FALSE&amp;creator=factset&amp;display_string=Audit"}</definedName>
    <definedName name="_1759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176__FDSAUDITLINK__" localSheetId="1" hidden="1">{"fdsup://Directions/FactSet Auditing Viewer?action=AUDIT_VALUE&amp;DB=129&amp;ID1=03611510&amp;VALUEID=13040&amp;SDATE=200801&amp;PERIODTYPE=QTR_STD&amp;window=popup_no_bar&amp;width=385&amp;height=120&amp;START_MAXIMIZED=FALSE&amp;creator=factset&amp;display_string=Audit"}</definedName>
    <definedName name="_176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1760__FDSAUDITLINK__" localSheetId="1" hidden="1">{"fdsup://Directions/FactSet Auditing Viewer?action=AUDIT_VALUE&amp;DB=129&amp;ID1=03611510&amp;VALUEID=01001&amp;SDATE=200703&amp;PERIODTYPE=QTR_STD&amp;window=popup_no_bar&amp;width=385&amp;height=120&amp;START_MAXIMIZED=FALSE&amp;creator=factset&amp;display_string=Audit"}</definedName>
    <definedName name="_1760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1761__FDSAUDITLINK__" localSheetId="1" hidden="1">{"fdsup://Directions/FactSet Auditing Viewer?action=AUDIT_VALUE&amp;DB=129&amp;ID1=03611510&amp;VALUEID=13040&amp;SDATE=200703&amp;PERIODTYPE=QTR_STD&amp;window=popup_no_bar&amp;width=385&amp;height=120&amp;START_MAXIMIZED=FALSE&amp;creator=factset&amp;display_string=Audit"}</definedName>
    <definedName name="_1761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1762__FDSAUDITLINK__" localSheetId="1" hidden="1">{"fdsup://Directions/FactSet Auditing Viewer?action=AUDIT_VALUE&amp;DB=129&amp;ID1=16890510&amp;VALUEID=02101&amp;SDATE=200703&amp;PERIODTYPE=QTR_STD&amp;window=popup_no_bar&amp;width=385&amp;height=120&amp;START_MAXIMIZED=FALSE&amp;creator=factset&amp;display_string=Audit"}</definedName>
    <definedName name="_1762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1763__FDSAUDITLINK__" localSheetId="1" hidden="1">{"fdsup://Directions/FactSet Auditing Viewer?action=AUDIT_VALUE&amp;DB=129&amp;ID1=16890510&amp;VALUEID=01001&amp;SDATE=200703&amp;PERIODTYPE=QTR_STD&amp;window=popup_no_bar&amp;width=385&amp;height=120&amp;START_MAXIMIZED=FALSE&amp;creator=factset&amp;display_string=Audit"}</definedName>
    <definedName name="_1763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1764__FDSAUDITLINK__" localSheetId="1" hidden="1">{"fdsup://Directions/FactSet Auditing Viewer?action=AUDIT_VALUE&amp;DB=129&amp;ID1=91704710&amp;VALUEID=02101&amp;SDATE=200703&amp;PERIODTYPE=QTR_STD&amp;window=popup_no_bar&amp;width=385&amp;height=120&amp;START_MAXIMIZED=FALSE&amp;creator=factset&amp;display_string=Audit"}</definedName>
    <definedName name="_1764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1765__FDSAUDITLINK__" localSheetId="1" hidden="1">{"fdsup://Directions/FactSet Auditing Viewer?action=AUDIT_VALUE&amp;DB=129&amp;ID1=91704710&amp;VALUEID=01001&amp;SDATE=200703&amp;PERIODTYPE=QTR_STD&amp;window=popup_no_bar&amp;width=385&amp;height=120&amp;START_MAXIMIZED=FALSE&amp;creator=factset&amp;display_string=Audit"}</definedName>
    <definedName name="_1765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1766__FDSAUDITLINK__" localSheetId="1" hidden="1">{"fdsup://Directions/FactSet Auditing Viewer?action=AUDIT_VALUE&amp;DB=129&amp;ID1=91704710&amp;VALUEID=13040&amp;SDATE=200703&amp;PERIODTYPE=QTR_STD&amp;window=popup_no_bar&amp;width=385&amp;height=120&amp;START_MAXIMIZED=FALSE&amp;creator=factset&amp;display_string=Audit"}</definedName>
    <definedName name="_1766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1767__FDSAUDITLINK__" localSheetId="1" hidden="1">{"fdsup://Directions/FactSet Auditing Viewer?action=AUDIT_VALUE&amp;DB=129&amp;ID1=02553E10&amp;VALUEID=02101&amp;SDATE=200703&amp;PERIODTYPE=QTR_STD&amp;window=popup_no_bar&amp;width=385&amp;height=120&amp;START_MAXIMIZED=FALSE&amp;creator=factset&amp;display_string=Audit"}</definedName>
    <definedName name="_1767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1768__FDSAUDITLINK__" localSheetId="1" hidden="1">{"fdsup://Directions/FactSet Auditing Viewer?action=AUDIT_VALUE&amp;DB=129&amp;ID1=02553E10&amp;VALUEID=01001&amp;SDATE=200703&amp;PERIODTYPE=QTR_STD&amp;window=popup_no_bar&amp;width=385&amp;height=120&amp;START_MAXIMIZED=FALSE&amp;creator=factset&amp;display_string=Audit"}</definedName>
    <definedName name="_1768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1769__FDSAUDITLINK__" localSheetId="1" hidden="1">{"fdsup://Directions/FactSet Auditing Viewer?action=AUDIT_VALUE&amp;DB=129&amp;ID1=00786510&amp;VALUEID=02101&amp;SDATE=200703&amp;PERIODTYPE=QTR_STD&amp;window=popup_no_bar&amp;width=385&amp;height=120&amp;START_MAXIMIZED=FALSE&amp;creator=factset&amp;display_string=Audit"}</definedName>
    <definedName name="_1769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177__FDSAUDITLINK__" localSheetId="1" hidden="1">{"fdsup://Directions/FactSet Auditing Viewer?action=AUDIT_VALUE&amp;DB=129&amp;ID1=16890510&amp;VALUEID=02101&amp;SDATE=200801&amp;PERIODTYPE=QTR_STD&amp;window=popup_no_bar&amp;width=385&amp;height=120&amp;START_MAXIMIZED=FALSE&amp;creator=factset&amp;display_string=Audit"}</definedName>
    <definedName name="_177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1770__FDSAUDITLINK__" localSheetId="1" hidden="1">{"fdsup://Directions/FactSet Auditing Viewer?action=AUDIT_VALUE&amp;DB=129&amp;ID1=00786510&amp;VALUEID=01001&amp;SDATE=200703&amp;PERIODTYPE=QTR_STD&amp;window=popup_no_bar&amp;width=385&amp;height=120&amp;START_MAXIMIZED=FALSE&amp;creator=factset&amp;display_string=Audit"}</definedName>
    <definedName name="_1770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1771__FDSAUDITLINK__" localSheetId="1" hidden="1">{"fdsup://Directions/FactSet Auditing Viewer?action=AUDIT_VALUE&amp;DB=129&amp;ID1=00786510&amp;VALUEID=13040&amp;SDATE=200703&amp;PERIODTYPE=QTR_STD&amp;window=popup_no_bar&amp;width=385&amp;height=120&amp;START_MAXIMIZED=FALSE&amp;creator=factset&amp;display_string=Audit"}</definedName>
    <definedName name="_1771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1772__FDSAUDITLINK__" localSheetId="1" hidden="1">{"fdsup://Directions/FactSet Auditing Viewer?action=AUDIT_VALUE&amp;DB=129&amp;ID1=00289620&amp;VALUEID=02101&amp;SDATE=200703&amp;PERIODTYPE=QTR_STD&amp;window=popup_no_bar&amp;width=385&amp;height=120&amp;START_MAXIMIZED=FALSE&amp;creator=factset&amp;display_string=Audit"}</definedName>
    <definedName name="_1772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1773__FDSAUDITLINK__" localSheetId="1" hidden="1">{"fdsup://Directions/FactSet Auditing Viewer?action=AUDIT_VALUE&amp;DB=129&amp;ID1=00289620&amp;VALUEID=01001&amp;SDATE=200703&amp;PERIODTYPE=QTR_STD&amp;window=popup_no_bar&amp;width=385&amp;height=120&amp;START_MAXIMIZED=FALSE&amp;creator=factset&amp;display_string=Audit"}</definedName>
    <definedName name="_1773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1774__FDSAUDITLINK__" localSheetId="1" hidden="1">{"fdsup://Directions/FactSet Auditing Viewer?action=AUDIT_VALUE&amp;DB=129&amp;ID1=00289620&amp;VALUEID=13040&amp;SDATE=200703&amp;PERIODTYPE=QTR_STD&amp;window=popup_no_bar&amp;width=385&amp;height=120&amp;START_MAXIMIZED=FALSE&amp;creator=factset&amp;display_string=Audit"}</definedName>
    <definedName name="_1774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1775__FDSAUDITLINK__" localSheetId="1" hidden="1">{"fdsup://Directions/FactSet Auditing Viewer?action=AUDIT_VALUE&amp;DB=129&amp;ID1=87416110&amp;VALUEID=02101&amp;SDATE=200702&amp;PERIODTYPE=QTR_STD&amp;window=popup_no_bar&amp;width=385&amp;height=120&amp;START_MAXIMIZED=FALSE&amp;creator=factset&amp;display_string=Audit"}</definedName>
    <definedName name="_1775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1776__FDSAUDITLINK__" localSheetId="1" hidden="1">{"fdsup://Directions/FactSet Auditing Viewer?action=AUDIT_VALUE&amp;DB=129&amp;ID1=87416110&amp;VALUEID=01001&amp;SDATE=200702&amp;PERIODTYPE=QTR_STD&amp;window=popup_no_bar&amp;width=385&amp;height=120&amp;START_MAXIMIZED=FALSE&amp;creator=factset&amp;display_string=Audit"}</definedName>
    <definedName name="_1776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1777__FDSAUDITLINK__" localSheetId="1" hidden="1">{"fdsup://Directions/FactSet Auditing Viewer?action=AUDIT_VALUE&amp;DB=129&amp;ID1=53271610&amp;VALUEID=02101&amp;SDATE=200702&amp;PERIODTYPE=QTR_STD&amp;window=popup_no_bar&amp;width=385&amp;height=120&amp;START_MAXIMIZED=FALSE&amp;creator=factset&amp;display_string=Audit"}</definedName>
    <definedName name="_1777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1778__FDSAUDITLINK__" localSheetId="1" hidden="1">{"fdsup://Directions/FactSet Auditing Viewer?action=AUDIT_VALUE&amp;DB=129&amp;ID1=53271610&amp;VALUEID=01001&amp;SDATE=200702&amp;PERIODTYPE=QTR_STD&amp;window=popup_no_bar&amp;width=385&amp;height=120&amp;START_MAXIMIZED=FALSE&amp;creator=factset&amp;display_string=Audit"}</definedName>
    <definedName name="_1778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1779__FDSAUDITLINK__" localSheetId="1" hidden="1">{"fdsup://Directions/FactSet Auditing Viewer?action=AUDIT_VALUE&amp;DB=129&amp;ID1=53271610&amp;VALUEID=13040&amp;SDATE=200702&amp;PERIODTYPE=QTR_STD&amp;window=popup_no_bar&amp;width=385&amp;height=120&amp;START_MAXIMIZED=FALSE&amp;creator=factset&amp;display_string=Audit"}</definedName>
    <definedName name="_1779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178__FDSAUDITLINK__" localSheetId="1" hidden="1">{"fdsup://Directions/FactSet Auditing Viewer?action=AUDIT_VALUE&amp;DB=129&amp;ID1=16890510&amp;VALUEID=01001&amp;SDATE=200801&amp;PERIODTYPE=QTR_STD&amp;window=popup_no_bar&amp;width=385&amp;height=120&amp;START_MAXIMIZED=FALSE&amp;creator=factset&amp;display_string=Audit"}</definedName>
    <definedName name="_178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1780__FDSAUDITLINK__" localSheetId="1" hidden="1">{"fdsup://Directions/FactSet Auditing Viewer?action=AUDIT_VALUE&amp;DB=129&amp;ID1=46612H40&amp;VALUEID=02101&amp;SDATE=200702&amp;PERIODTYPE=QTR_STD&amp;window=popup_no_bar&amp;width=385&amp;height=120&amp;START_MAXIMIZED=FALSE&amp;creator=factset&amp;display_string=Audit"}</definedName>
    <definedName name="_1780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1781__FDSAUDITLINK__" localSheetId="1" hidden="1">{"fdsup://Directions/FactSet Auditing Viewer?action=AUDIT_VALUE&amp;DB=129&amp;ID1=46612H40&amp;VALUEID=01001&amp;SDATE=200702&amp;PERIODTYPE=QTR_STD&amp;window=popup_no_bar&amp;width=385&amp;height=120&amp;START_MAXIMIZED=FALSE&amp;creator=factset&amp;display_string=Audit"}</definedName>
    <definedName name="_1781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1782__FDSAUDITLINK__" localSheetId="1" hidden="1">{"fdsup://Directions/FactSet Auditing Viewer?action=AUDIT_VALUE&amp;DB=129&amp;ID1=46612H40&amp;VALUEID=13040&amp;SDATE=200702&amp;PERIODTYPE=QTR_STD&amp;window=popup_no_bar&amp;width=385&amp;height=120&amp;START_MAXIMIZED=FALSE&amp;creator=factset&amp;display_string=Audit"}</definedName>
    <definedName name="_1782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1783__FDSAUDITLINK__" localSheetId="1" hidden="1">{"fdsup://Directions/FactSet Auditing Viewer?action=AUDIT_VALUE&amp;DB=129&amp;ID1=36476010&amp;VALUEID=02101&amp;SDATE=200702&amp;PERIODTYPE=QTR_STD&amp;window=popup_no_bar&amp;width=385&amp;height=120&amp;START_MAXIMIZED=FALSE&amp;creator=factset&amp;display_string=Audit"}</definedName>
    <definedName name="_1783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1784__FDSAUDITLINK__" localSheetId="1" hidden="1">{"fdsup://Directions/FactSet Auditing Viewer?action=AUDIT_VALUE&amp;DB=129&amp;ID1=36476010&amp;VALUEID=01001&amp;SDATE=200702&amp;PERIODTYPE=QTR_STD&amp;window=popup_no_bar&amp;width=385&amp;height=120&amp;START_MAXIMIZED=FALSE&amp;creator=factset&amp;display_string=Audit"}</definedName>
    <definedName name="_1784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1785__FDSAUDITLINK__" localSheetId="1" hidden="1">{"fdsup://Directions/FactSet Auditing Viewer?action=AUDIT_VALUE&amp;DB=129&amp;ID1=03611510&amp;VALUEID=02101&amp;SDATE=200702&amp;PERIODTYPE=QTR_STD&amp;window=popup_no_bar&amp;width=385&amp;height=120&amp;START_MAXIMIZED=FALSE&amp;creator=factset&amp;display_string=Audit"}</definedName>
    <definedName name="_1785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1786__FDSAUDITLINK__" localSheetId="1" hidden="1">{"fdsup://Directions/FactSet Auditing Viewer?action=AUDIT_VALUE&amp;DB=129&amp;ID1=03611510&amp;VALUEID=01001&amp;SDATE=200702&amp;PERIODTYPE=QTR_STD&amp;window=popup_no_bar&amp;width=385&amp;height=120&amp;START_MAXIMIZED=FALSE&amp;creator=factset&amp;display_string=Audit"}</definedName>
    <definedName name="_1786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1787__FDSAUDITLINK__" localSheetId="1" hidden="1">{"fdsup://Directions/FactSet Auditing Viewer?action=AUDIT_VALUE&amp;DB=129&amp;ID1=03611510&amp;VALUEID=13040&amp;SDATE=200702&amp;PERIODTYPE=QTR_STD&amp;window=popup_no_bar&amp;width=385&amp;height=120&amp;START_MAXIMIZED=FALSE&amp;creator=factset&amp;display_string=Audit"}</definedName>
    <definedName name="_1787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1788__FDSAUDITLINK__" localSheetId="1" hidden="1">{"fdsup://Directions/FactSet Auditing Viewer?action=AUDIT_VALUE&amp;DB=129&amp;ID1=16890510&amp;VALUEID=02101&amp;SDATE=200702&amp;PERIODTYPE=QTR_STD&amp;window=popup_no_bar&amp;width=385&amp;height=120&amp;START_MAXIMIZED=FALSE&amp;creator=factset&amp;display_string=Audit"}</definedName>
    <definedName name="_1788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1789__FDSAUDITLINK__" localSheetId="1" hidden="1">{"fdsup://Directions/FactSet Auditing Viewer?action=AUDIT_VALUE&amp;DB=129&amp;ID1=16890510&amp;VALUEID=01001&amp;SDATE=200702&amp;PERIODTYPE=QTR_STD&amp;window=popup_no_bar&amp;width=385&amp;height=120&amp;START_MAXIMIZED=FALSE&amp;creator=factset&amp;display_string=Audit"}</definedName>
    <definedName name="_1789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179__FDSAUDITLINK__" localSheetId="1" hidden="1">{"fdsup://Directions/FactSet Auditing Viewer?action=AUDIT_VALUE&amp;DB=129&amp;ID1=91704710&amp;VALUEID=02101&amp;SDATE=200801&amp;PERIODTYPE=QTR_STD&amp;window=popup_no_bar&amp;width=385&amp;height=120&amp;START_MAXIMIZED=FALSE&amp;creator=factset&amp;display_string=Audit"}</definedName>
    <definedName name="_179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1790__FDSAUDITLINK__" localSheetId="1" hidden="1">{"fdsup://Directions/FactSet Auditing Viewer?action=AUDIT_VALUE&amp;DB=129&amp;ID1=91704710&amp;VALUEID=02101&amp;SDATE=200702&amp;PERIODTYPE=QTR_STD&amp;window=popup_no_bar&amp;width=385&amp;height=120&amp;START_MAXIMIZED=FALSE&amp;creator=factset&amp;display_string=Audit"}</definedName>
    <definedName name="_1790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1791__FDSAUDITLINK__" localSheetId="1" hidden="1">{"fdsup://Directions/FactSet Auditing Viewer?action=AUDIT_VALUE&amp;DB=129&amp;ID1=91704710&amp;VALUEID=01001&amp;SDATE=200702&amp;PERIODTYPE=QTR_STD&amp;window=popup_no_bar&amp;width=385&amp;height=120&amp;START_MAXIMIZED=FALSE&amp;creator=factset&amp;display_string=Audit"}</definedName>
    <definedName name="_1791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1792__FDSAUDITLINK__" localSheetId="1" hidden="1">{"fdsup://Directions/FactSet Auditing Viewer?action=AUDIT_VALUE&amp;DB=129&amp;ID1=91704710&amp;VALUEID=13040&amp;SDATE=200702&amp;PERIODTYPE=QTR_STD&amp;window=popup_no_bar&amp;width=385&amp;height=120&amp;START_MAXIMIZED=FALSE&amp;creator=factset&amp;display_string=Audit"}</definedName>
    <definedName name="_1792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1793__FDSAUDITLINK__" localSheetId="1" hidden="1">{"fdsup://Directions/FactSet Auditing Viewer?action=AUDIT_VALUE&amp;DB=129&amp;ID1=02553E10&amp;VALUEID=02101&amp;SDATE=200702&amp;PERIODTYPE=QTR_STD&amp;window=popup_no_bar&amp;width=385&amp;height=120&amp;START_MAXIMIZED=FALSE&amp;creator=factset&amp;display_string=Audit"}</definedName>
    <definedName name="_1793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1794__FDSAUDITLINK__" localSheetId="1" hidden="1">{"fdsup://Directions/FactSet Auditing Viewer?action=AUDIT_VALUE&amp;DB=129&amp;ID1=02553E10&amp;VALUEID=01001&amp;SDATE=200702&amp;PERIODTYPE=QTR_STD&amp;window=popup_no_bar&amp;width=385&amp;height=120&amp;START_MAXIMIZED=FALSE&amp;creator=factset&amp;display_string=Audit"}</definedName>
    <definedName name="_1794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1795__FDSAUDITLINK__" localSheetId="1" hidden="1">{"fdsup://Directions/FactSet Auditing Viewer?action=AUDIT_VALUE&amp;DB=129&amp;ID1=02553E10&amp;VALUEID=13040&amp;SDATE=200702&amp;PERIODTYPE=QTR_STD&amp;window=popup_no_bar&amp;width=385&amp;height=120&amp;START_MAXIMIZED=FALSE&amp;creator=factset&amp;display_string=Audit"}</definedName>
    <definedName name="_1795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1796__FDSAUDITLINK__" localSheetId="1" hidden="1">{"fdsup://Directions/FactSet Auditing Viewer?action=AUDIT_VALUE&amp;DB=129&amp;ID1=00786510&amp;VALUEID=02101&amp;SDATE=200702&amp;PERIODTYPE=QTR_STD&amp;window=popup_no_bar&amp;width=385&amp;height=120&amp;START_MAXIMIZED=FALSE&amp;creator=factset&amp;display_string=Audit"}</definedName>
    <definedName name="_1796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1797__FDSAUDITLINK__" localSheetId="1" hidden="1">{"fdsup://Directions/FactSet Auditing Viewer?action=AUDIT_VALUE&amp;DB=129&amp;ID1=00786510&amp;VALUEID=01001&amp;SDATE=200702&amp;PERIODTYPE=QTR_STD&amp;window=popup_no_bar&amp;width=385&amp;height=120&amp;START_MAXIMIZED=FALSE&amp;creator=factset&amp;display_string=Audit"}</definedName>
    <definedName name="_1797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1798__FDSAUDITLINK__" localSheetId="1" hidden="1">{"fdsup://Directions/FactSet Auditing Viewer?action=AUDIT_VALUE&amp;DB=129&amp;ID1=00786510&amp;VALUEID=13040&amp;SDATE=200702&amp;PERIODTYPE=QTR_STD&amp;window=popup_no_bar&amp;width=385&amp;height=120&amp;START_MAXIMIZED=FALSE&amp;creator=factset&amp;display_string=Audit"}</definedName>
    <definedName name="_1798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1799__FDSAUDITLINK__" localSheetId="1" hidden="1">{"fdsup://Directions/FactSet Auditing Viewer?action=AUDIT_VALUE&amp;DB=129&amp;ID1=00289620&amp;VALUEID=02101&amp;SDATE=200702&amp;PERIODTYPE=QTR_STD&amp;window=popup_no_bar&amp;width=385&amp;height=120&amp;START_MAXIMIZED=FALSE&amp;creator=factset&amp;display_string=Audit"}</definedName>
    <definedName name="_1799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18__FDSAUDITLINK__" localSheetId="1" hidden="1">{"fdsup://Directions/FactSet Auditing Viewer?action=AUDIT_VALUE&amp;DB=129&amp;ID1=00786510&amp;VALUEID=13040&amp;SDATE=201001&amp;PERIODTYPE=QTR_STD&amp;window=popup_no_bar&amp;width=385&amp;height=120&amp;START_MAXIMIZED=FALSE&amp;creator=factset&amp;display_string=Audit"}</definedName>
    <definedName name="_18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180__FDSAUDITLINK__" localSheetId="1" hidden="1">{"fdsup://Directions/FactSet Auditing Viewer?action=AUDIT_VALUE&amp;DB=129&amp;ID1=91704710&amp;VALUEID=01001&amp;SDATE=200801&amp;PERIODTYPE=QTR_STD&amp;window=popup_no_bar&amp;width=385&amp;height=120&amp;START_MAXIMIZED=FALSE&amp;creator=factset&amp;display_string=Audit"}</definedName>
    <definedName name="_180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1800__FDSAUDITLINK__" localSheetId="1" hidden="1">{"fdsup://Directions/FactSet Auditing Viewer?action=AUDIT_VALUE&amp;DB=129&amp;ID1=00289620&amp;VALUEID=01001&amp;SDATE=200702&amp;PERIODTYPE=QTR_STD&amp;window=popup_no_bar&amp;width=385&amp;height=120&amp;START_MAXIMIZED=FALSE&amp;creator=factset&amp;display_string=Audit"}</definedName>
    <definedName name="_1800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1801__FDSAUDITLINK__" localSheetId="1" hidden="1">{"fdsup://Directions/FactSet Auditing Viewer?action=AUDIT_VALUE&amp;DB=129&amp;ID1=87416110&amp;VALUEID=02101&amp;SDATE=200701&amp;PERIODTYPE=QTR_STD&amp;window=popup_no_bar&amp;width=385&amp;height=120&amp;START_MAXIMIZED=FALSE&amp;creator=factset&amp;display_string=Audit"}</definedName>
    <definedName name="_1801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1802__FDSAUDITLINK__" localSheetId="1" hidden="1">{"fdsup://Directions/FactSet Auditing Viewer?action=AUDIT_VALUE&amp;DB=129&amp;ID1=87416110&amp;VALUEID=01001&amp;SDATE=200701&amp;PERIODTYPE=QTR_STD&amp;window=popup_no_bar&amp;width=385&amp;height=120&amp;START_MAXIMIZED=FALSE&amp;creator=factset&amp;display_string=Audit"}</definedName>
    <definedName name="_1802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1803__FDSAUDITLINK__" localSheetId="1" hidden="1">{"fdsup://Directions/FactSet Auditing Viewer?action=AUDIT_VALUE&amp;DB=129&amp;ID1=53271610&amp;VALUEID=02101&amp;SDATE=200701&amp;PERIODTYPE=QTR_STD&amp;window=popup_no_bar&amp;width=385&amp;height=120&amp;START_MAXIMIZED=FALSE&amp;creator=factset&amp;display_string=Audit"}</definedName>
    <definedName name="_1803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1804__FDSAUDITLINK__" localSheetId="1" hidden="1">{"fdsup://Directions/FactSet Auditing Viewer?action=AUDIT_VALUE&amp;DB=129&amp;ID1=53271610&amp;VALUEID=01001&amp;SDATE=200701&amp;PERIODTYPE=QTR_STD&amp;window=popup_no_bar&amp;width=385&amp;height=120&amp;START_MAXIMIZED=FALSE&amp;creator=factset&amp;display_string=Audit"}</definedName>
    <definedName name="_1804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1805__FDSAUDITLINK__" localSheetId="1" hidden="1">{"fdsup://Directions/FactSet Auditing Viewer?action=AUDIT_VALUE&amp;DB=129&amp;ID1=53271610&amp;VALUEID=13040&amp;SDATE=200701&amp;PERIODTYPE=QTR_STD&amp;window=popup_no_bar&amp;width=385&amp;height=120&amp;START_MAXIMIZED=FALSE&amp;creator=factset&amp;display_string=Audit"}</definedName>
    <definedName name="_1805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1806__FDSAUDITLINK__" localSheetId="1" hidden="1">{"fdsup://Directions/FactSet Auditing Viewer?action=AUDIT_VALUE&amp;DB=129&amp;ID1=46612H40&amp;VALUEID=02101&amp;SDATE=200701&amp;PERIODTYPE=QTR_STD&amp;window=popup_no_bar&amp;width=385&amp;height=120&amp;START_MAXIMIZED=FALSE&amp;creator=factset&amp;display_string=Audit"}</definedName>
    <definedName name="_1806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1807__FDSAUDITLINK__" localSheetId="1" hidden="1">{"fdsup://Directions/FactSet Auditing Viewer?action=AUDIT_VALUE&amp;DB=129&amp;ID1=46612H40&amp;VALUEID=01001&amp;SDATE=200701&amp;PERIODTYPE=QTR_STD&amp;window=popup_no_bar&amp;width=385&amp;height=120&amp;START_MAXIMIZED=FALSE&amp;creator=factset&amp;display_string=Audit"}</definedName>
    <definedName name="_1807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1808__FDSAUDITLINK__" localSheetId="1" hidden="1">{"fdsup://Directions/FactSet Auditing Viewer?action=AUDIT_VALUE&amp;DB=129&amp;ID1=46612H40&amp;VALUEID=13040&amp;SDATE=200701&amp;PERIODTYPE=QTR_STD&amp;window=popup_no_bar&amp;width=385&amp;height=120&amp;START_MAXIMIZED=FALSE&amp;creator=factset&amp;display_string=Audit"}</definedName>
    <definedName name="_1808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1809__FDSAUDITLINK__" localSheetId="1" hidden="1">{"fdsup://Directions/FactSet Auditing Viewer?action=AUDIT_VALUE&amp;DB=129&amp;ID1=36476010&amp;VALUEID=02101&amp;SDATE=200701&amp;PERIODTYPE=QTR_STD&amp;window=popup_no_bar&amp;width=385&amp;height=120&amp;START_MAXIMIZED=FALSE&amp;creator=factset&amp;display_string=Audit"}</definedName>
    <definedName name="_1809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181__FDSAUDITLINK__" localSheetId="1" hidden="1">{"fdsup://Directions/FactSet Auditing Viewer?action=AUDIT_VALUE&amp;DB=129&amp;ID1=91704710&amp;VALUEID=13040&amp;SDATE=200801&amp;PERIODTYPE=QTR_STD&amp;window=popup_no_bar&amp;width=385&amp;height=120&amp;START_MAXIMIZED=FALSE&amp;creator=factset&amp;display_string=Audit"}</definedName>
    <definedName name="_181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1810__FDSAUDITLINK__" localSheetId="1" hidden="1">{"fdsup://Directions/FactSet Auditing Viewer?action=AUDIT_VALUE&amp;DB=129&amp;ID1=36476010&amp;VALUEID=01001&amp;SDATE=200701&amp;PERIODTYPE=QTR_STD&amp;window=popup_no_bar&amp;width=385&amp;height=120&amp;START_MAXIMIZED=FALSE&amp;creator=factset&amp;display_string=Audit"}</definedName>
    <definedName name="_1810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1811__FDSAUDITLINK__" localSheetId="1" hidden="1">{"fdsup://Directions/FactSet Auditing Viewer?action=AUDIT_VALUE&amp;DB=129&amp;ID1=36476010&amp;VALUEID=13040&amp;SDATE=200701&amp;PERIODTYPE=QTR_STD&amp;window=popup_no_bar&amp;width=385&amp;height=120&amp;START_MAXIMIZED=FALSE&amp;creator=factset&amp;display_string=Audit"}</definedName>
    <definedName name="_1811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1812__FDSAUDITLINK__" localSheetId="1" hidden="1">{"fdsup://Directions/FactSet Auditing Viewer?action=AUDIT_VALUE&amp;DB=129&amp;ID1=03611510&amp;VALUEID=02101&amp;SDATE=200701&amp;PERIODTYPE=QTR_STD&amp;window=popup_no_bar&amp;width=385&amp;height=120&amp;START_MAXIMIZED=FALSE&amp;creator=factset&amp;display_string=Audit"}</definedName>
    <definedName name="_1812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1813__FDSAUDITLINK__" localSheetId="1" hidden="1">{"fdsup://Directions/FactSet Auditing Viewer?action=AUDIT_VALUE&amp;DB=129&amp;ID1=03611510&amp;VALUEID=01001&amp;SDATE=200701&amp;PERIODTYPE=QTR_STD&amp;window=popup_no_bar&amp;width=385&amp;height=120&amp;START_MAXIMIZED=FALSE&amp;creator=factset&amp;display_string=Audit"}</definedName>
    <definedName name="_1813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1814__FDSAUDITLINK__" localSheetId="1" hidden="1">{"fdsup://Directions/FactSet Auditing Viewer?action=AUDIT_VALUE&amp;DB=129&amp;ID1=03611510&amp;VALUEID=13040&amp;SDATE=200701&amp;PERIODTYPE=QTR_STD&amp;window=popup_no_bar&amp;width=385&amp;height=120&amp;START_MAXIMIZED=FALSE&amp;creator=factset&amp;display_string=Audit"}</definedName>
    <definedName name="_1814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1815__FDSAUDITLINK__" localSheetId="1" hidden="1">{"fdsup://Directions/FactSet Auditing Viewer?action=AUDIT_VALUE&amp;DB=129&amp;ID1=16890510&amp;VALUEID=02101&amp;SDATE=200701&amp;PERIODTYPE=QTR_STD&amp;window=popup_no_bar&amp;width=385&amp;height=120&amp;START_MAXIMIZED=FALSE&amp;creator=factset&amp;display_string=Audit"}</definedName>
    <definedName name="_1815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1816__FDSAUDITLINK__" localSheetId="1" hidden="1">{"fdsup://Directions/FactSet Auditing Viewer?action=AUDIT_VALUE&amp;DB=129&amp;ID1=16890510&amp;VALUEID=01001&amp;SDATE=200701&amp;PERIODTYPE=QTR_STD&amp;window=popup_no_bar&amp;width=385&amp;height=120&amp;START_MAXIMIZED=FALSE&amp;creator=factset&amp;display_string=Audit"}</definedName>
    <definedName name="_1816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1817__FDSAUDITLINK__" localSheetId="1" hidden="1">{"fdsup://Directions/FactSet Auditing Viewer?action=AUDIT_VALUE&amp;DB=129&amp;ID1=91704710&amp;VALUEID=02101&amp;SDATE=200701&amp;PERIODTYPE=QTR_STD&amp;window=popup_no_bar&amp;width=385&amp;height=120&amp;START_MAXIMIZED=FALSE&amp;creator=factset&amp;display_string=Audit"}</definedName>
    <definedName name="_1817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1818__FDSAUDITLINK__" localSheetId="1" hidden="1">{"fdsup://Directions/FactSet Auditing Viewer?action=AUDIT_VALUE&amp;DB=129&amp;ID1=91704710&amp;VALUEID=01001&amp;SDATE=200701&amp;PERIODTYPE=QTR_STD&amp;window=popup_no_bar&amp;width=385&amp;height=120&amp;START_MAXIMIZED=FALSE&amp;creator=factset&amp;display_string=Audit"}</definedName>
    <definedName name="_1818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1819__FDSAUDITLINK__" localSheetId="1" hidden="1">{"fdsup://Directions/FactSet Auditing Viewer?action=AUDIT_VALUE&amp;DB=129&amp;ID1=91704710&amp;VALUEID=13040&amp;SDATE=200701&amp;PERIODTYPE=QTR_STD&amp;window=popup_no_bar&amp;width=385&amp;height=120&amp;START_MAXIMIZED=FALSE&amp;creator=factset&amp;display_string=Audit"}</definedName>
    <definedName name="_1819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182__FDSAUDITLINK__" localSheetId="1" hidden="1">{"fdsup://Directions/FactSet Auditing Viewer?action=AUDIT_VALUE&amp;DB=129&amp;ID1=02553E10&amp;VALUEID=02101&amp;SDATE=200801&amp;PERIODTYPE=QTR_STD&amp;window=popup_no_bar&amp;width=385&amp;height=120&amp;START_MAXIMIZED=FALSE&amp;creator=factset&amp;display_string=Audit"}</definedName>
    <definedName name="_182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1820__FDSAUDITLINK__" localSheetId="1" hidden="1">{"fdsup://Directions/FactSet Auditing Viewer?action=AUDIT_VALUE&amp;DB=129&amp;ID1=02553E10&amp;VALUEID=02101&amp;SDATE=200701&amp;PERIODTYPE=QTR_STD&amp;window=popup_no_bar&amp;width=385&amp;height=120&amp;START_MAXIMIZED=FALSE&amp;creator=factset&amp;display_string=Audit"}</definedName>
    <definedName name="_1820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1821__FDSAUDITLINK__" localSheetId="1" hidden="1">{"fdsup://Directions/FactSet Auditing Viewer?action=AUDIT_VALUE&amp;DB=129&amp;ID1=02553E10&amp;VALUEID=01001&amp;SDATE=200701&amp;PERIODTYPE=QTR_STD&amp;window=popup_no_bar&amp;width=385&amp;height=120&amp;START_MAXIMIZED=FALSE&amp;creator=factset&amp;display_string=Audit"}</definedName>
    <definedName name="_1821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1822__FDSAUDITLINK__" localSheetId="1" hidden="1">{"fdsup://Directions/FactSet Auditing Viewer?action=AUDIT_VALUE&amp;DB=129&amp;ID1=02553E10&amp;VALUEID=13040&amp;SDATE=200701&amp;PERIODTYPE=QTR_STD&amp;window=popup_no_bar&amp;width=385&amp;height=120&amp;START_MAXIMIZED=FALSE&amp;creator=factset&amp;display_string=Audit"}</definedName>
    <definedName name="_1822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1823__FDSAUDITLINK__" localSheetId="1" hidden="1">{"fdsup://Directions/FactSet Auditing Viewer?action=AUDIT_VALUE&amp;DB=129&amp;ID1=00786510&amp;VALUEID=02101&amp;SDATE=200701&amp;PERIODTYPE=QTR_STD&amp;window=popup_no_bar&amp;width=385&amp;height=120&amp;START_MAXIMIZED=FALSE&amp;creator=factset&amp;display_string=Audit"}</definedName>
    <definedName name="_1823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1824__FDSAUDITLINK__" localSheetId="1" hidden="1">{"fdsup://Directions/FactSet Auditing Viewer?action=AUDIT_VALUE&amp;DB=129&amp;ID1=00786510&amp;VALUEID=01001&amp;SDATE=200701&amp;PERIODTYPE=QTR_STD&amp;window=popup_no_bar&amp;width=385&amp;height=120&amp;START_MAXIMIZED=FALSE&amp;creator=factset&amp;display_string=Audit"}</definedName>
    <definedName name="_1824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1825__FDSAUDITLINK__" localSheetId="1" hidden="1">{"fdsup://Directions/FactSet Auditing Viewer?action=AUDIT_VALUE&amp;DB=129&amp;ID1=00786510&amp;VALUEID=13040&amp;SDATE=200701&amp;PERIODTYPE=QTR_STD&amp;window=popup_no_bar&amp;width=385&amp;height=120&amp;START_MAXIMIZED=FALSE&amp;creator=factset&amp;display_string=Audit"}</definedName>
    <definedName name="_1825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1826__FDSAUDITLINK__" localSheetId="1" hidden="1">{"fdsup://Directions/FactSet Auditing Viewer?action=AUDIT_VALUE&amp;DB=129&amp;ID1=00289620&amp;VALUEID=02101&amp;SDATE=200701&amp;PERIODTYPE=QTR_STD&amp;window=popup_no_bar&amp;width=385&amp;height=120&amp;START_MAXIMIZED=FALSE&amp;creator=factset&amp;display_string=Audit"}</definedName>
    <definedName name="_1826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1827__FDSAUDITLINK__" localSheetId="1" hidden="1">{"fdsup://Directions/FactSet Auditing Viewer?action=AUDIT_VALUE&amp;DB=129&amp;ID1=00289620&amp;VALUEID=01001&amp;SDATE=200701&amp;PERIODTYPE=QTR_STD&amp;window=popup_no_bar&amp;width=385&amp;height=120&amp;START_MAXIMIZED=FALSE&amp;creator=factset&amp;display_string=Audit"}</definedName>
    <definedName name="_1827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1828__FDSAUDITLINK__" localSheetId="1" hidden="1">{"fdsup://Directions/FactSet Auditing Viewer?action=AUDIT_VALUE&amp;DB=129&amp;ID1=00289620&amp;VALUEID=13040&amp;SDATE=200701&amp;PERIODTYPE=QTR_STD&amp;window=popup_no_bar&amp;width=385&amp;height=120&amp;START_MAXIMIZED=FALSE&amp;creator=factset&amp;display_string=Audit"}</definedName>
    <definedName name="_1828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1829__FDSAUDITLINK__" localSheetId="1" hidden="1">{"fdsup://Directions/FactSet Auditing Viewer?action=AUDIT_VALUE&amp;DB=129&amp;ID1=87416110&amp;VALUEID=01001&amp;SDATE=200604&amp;PERIODTYPE=QTR_STD&amp;window=popup_no_bar&amp;width=385&amp;height=120&amp;START_MAXIMIZED=FALSE&amp;creator=factset&amp;display_string=Audit"}</definedName>
    <definedName name="_1829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183__FDSAUDITLINK__" localSheetId="1" hidden="1">{"fdsup://Directions/FactSet Auditing Viewer?action=AUDIT_VALUE&amp;DB=129&amp;ID1=02553E10&amp;VALUEID=01001&amp;SDATE=200801&amp;PERIODTYPE=QTR_STD&amp;window=popup_no_bar&amp;width=385&amp;height=120&amp;START_MAXIMIZED=FALSE&amp;creator=factset&amp;display_string=Audit"}</definedName>
    <definedName name="_183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1830__FDSAUDITLINK__" localSheetId="1" hidden="1">{"fdsup://Directions/FactSet Auditing Viewer?action=AUDIT_VALUE&amp;DB=129&amp;ID1=46612H40&amp;VALUEID=01001&amp;SDATE=200604&amp;PERIODTYPE=QTR_STD&amp;window=popup_no_bar&amp;width=385&amp;height=120&amp;START_MAXIMIZED=FALSE&amp;creator=factset&amp;display_string=Audit"}</definedName>
    <definedName name="_1830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1831__FDSAUDITLINK__" localSheetId="1" hidden="1">{"fdsup://Directions/FactSet Auditing Viewer?action=AUDIT_VALUE&amp;DB=129&amp;ID1=36476010&amp;VALUEID=01001&amp;SDATE=200604&amp;PERIODTYPE=QTR_STD&amp;window=popup_no_bar&amp;width=385&amp;height=120&amp;START_MAXIMIZED=FALSE&amp;creator=factset&amp;display_string=Audit"}</definedName>
    <definedName name="_1831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1832__FDSAUDITLINK__" localSheetId="1" hidden="1">{"fdsup://Directions/FactSet Auditing Viewer?action=AUDIT_VALUE&amp;DB=129&amp;ID1=03611510&amp;VALUEID=01001&amp;SDATE=200604&amp;PERIODTYPE=QTR_STD&amp;window=popup_no_bar&amp;width=385&amp;height=120&amp;START_MAXIMIZED=FALSE&amp;creator=factset&amp;display_string=Audit"}</definedName>
    <definedName name="_1832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1833__FDSAUDITLINK__" localSheetId="1" hidden="1">{"fdsup://Directions/FactSet Auditing Viewer?action=AUDIT_VALUE&amp;DB=129&amp;ID1=16890510&amp;VALUEID=01001&amp;SDATE=200604&amp;PERIODTYPE=QTR_STD&amp;window=popup_no_bar&amp;width=385&amp;height=120&amp;START_MAXIMIZED=FALSE&amp;creator=factset&amp;display_string=Audit"}</definedName>
    <definedName name="_1833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1834__FDSAUDITLINK__" localSheetId="1"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1834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1835__FDSAUDITLINK__" localSheetId="1" hidden="1">{"fdsup://Directions/FactSet Auditing Viewer?action=AUDIT_VALUE&amp;DB=129&amp;ID1=00786510&amp;VALUEID=01001&amp;SDATE=200604&amp;PERIODTYPE=QTR_STD&amp;window=popup_no_bar&amp;width=385&amp;height=120&amp;START_MAXIMIZED=FALSE&amp;creator=factset&amp;display_string=Audit"}</definedName>
    <definedName name="_1835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1836__FDSAUDITLINK__" localSheetId="1" hidden="1">{"fdsup://Directions/FactSet Auditing Viewer?action=AUDIT_VALUE&amp;DB=129&amp;ID1=87416110&amp;VALUEID=02101&amp;SDATE=200603&amp;PERIODTYPE=QTR_STD&amp;window=popup_no_bar&amp;width=385&amp;height=120&amp;START_MAXIMIZED=FALSE&amp;creator=factset&amp;display_string=Audit"}</definedName>
    <definedName name="_1836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1837__FDSAUDITLINK__" localSheetId="1" hidden="1">{"fdsup://Directions/FactSet Auditing Viewer?action=AUDIT_VALUE&amp;DB=129&amp;ID1=87416110&amp;VALUEID=01001&amp;SDATE=200603&amp;PERIODTYPE=QTR_STD&amp;window=popup_no_bar&amp;width=385&amp;height=120&amp;START_MAXIMIZED=FALSE&amp;creator=factset&amp;display_string=Audit"}</definedName>
    <definedName name="_1837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1838__FDSAUDITLINK__" localSheetId="1" hidden="1">{"fdsup://Directions/FactSet Auditing Viewer?action=AUDIT_VALUE&amp;DB=129&amp;ID1=53271610&amp;VALUEID=02101&amp;SDATE=200603&amp;PERIODTYPE=QTR_STD&amp;window=popup_no_bar&amp;width=385&amp;height=120&amp;START_MAXIMIZED=FALSE&amp;creator=factset&amp;display_string=Audit"}</definedName>
    <definedName name="_1838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1839__FDSAUDITLINK__" localSheetId="1" hidden="1">{"fdsup://Directions/FactSet Auditing Viewer?action=AUDIT_VALUE&amp;DB=129&amp;ID1=53271610&amp;VALUEID=01001&amp;SDATE=200603&amp;PERIODTYPE=QTR_STD&amp;window=popup_no_bar&amp;width=385&amp;height=120&amp;START_MAXIMIZED=FALSE&amp;creator=factset&amp;display_string=Audit"}</definedName>
    <definedName name="_1839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184__FDSAUDITLINK__" localSheetId="1" hidden="1">{"fdsup://Directions/FactSet Auditing Viewer?action=AUDIT_VALUE&amp;DB=129&amp;ID1=02553E10&amp;VALUEID=13040&amp;SDATE=200801&amp;PERIODTYPE=QTR_STD&amp;window=popup_no_bar&amp;width=385&amp;height=120&amp;START_MAXIMIZED=FALSE&amp;creator=factset&amp;display_string=Audit"}</definedName>
    <definedName name="_184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1840__FDSAUDITLINK__" localSheetId="1" hidden="1">{"fdsup://Directions/FactSet Auditing Viewer?action=AUDIT_VALUE&amp;DB=129&amp;ID1=53271610&amp;VALUEID=13040&amp;SDATE=200603&amp;PERIODTYPE=QTR_STD&amp;window=popup_no_bar&amp;width=385&amp;height=120&amp;START_MAXIMIZED=FALSE&amp;creator=factset&amp;display_string=Audit"}</definedName>
    <definedName name="_1840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1841__FDSAUDITLINK__" localSheetId="1" hidden="1">{"fdsup://Directions/FactSet Auditing Viewer?action=AUDIT_VALUE&amp;DB=129&amp;ID1=46612H40&amp;VALUEID=02101&amp;SDATE=200603&amp;PERIODTYPE=QTR_STD&amp;window=popup_no_bar&amp;width=385&amp;height=120&amp;START_MAXIMIZED=FALSE&amp;creator=factset&amp;display_string=Audit"}</definedName>
    <definedName name="_1841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1842__FDSAUDITLINK__" localSheetId="1" hidden="1">{"fdsup://Directions/FactSet Auditing Viewer?action=AUDIT_VALUE&amp;DB=129&amp;ID1=46612H40&amp;VALUEID=01001&amp;SDATE=200603&amp;PERIODTYPE=QTR_STD&amp;window=popup_no_bar&amp;width=385&amp;height=120&amp;START_MAXIMIZED=FALSE&amp;creator=factset&amp;display_string=Audit"}</definedName>
    <definedName name="_1842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1843__FDSAUDITLINK__" localSheetId="1" hidden="1">{"fdsup://Directions/FactSet Auditing Viewer?action=AUDIT_VALUE&amp;DB=129&amp;ID1=46612H40&amp;VALUEID=13040&amp;SDATE=200603&amp;PERIODTYPE=QTR_STD&amp;window=popup_no_bar&amp;width=385&amp;height=120&amp;START_MAXIMIZED=FALSE&amp;creator=factset&amp;display_string=Audit"}</definedName>
    <definedName name="_1843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1844__FDSAUDITLINK__" localSheetId="1" hidden="1">{"fdsup://Directions/FactSet Auditing Viewer?action=AUDIT_VALUE&amp;DB=129&amp;ID1=36476010&amp;VALUEID=02101&amp;SDATE=200603&amp;PERIODTYPE=QTR_STD&amp;window=popup_no_bar&amp;width=385&amp;height=120&amp;START_MAXIMIZED=FALSE&amp;creator=factset&amp;display_string=Audit"}</definedName>
    <definedName name="_1844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1845__FDSAUDITLINK__" localSheetId="1" hidden="1">{"fdsup://Directions/FactSet Auditing Viewer?action=AUDIT_VALUE&amp;DB=129&amp;ID1=36476010&amp;VALUEID=01001&amp;SDATE=200603&amp;PERIODTYPE=QTR_STD&amp;window=popup_no_bar&amp;width=385&amp;height=120&amp;START_MAXIMIZED=FALSE&amp;creator=factset&amp;display_string=Audit"}</definedName>
    <definedName name="_1845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1846__FDSAUDITLINK__" localSheetId="1" hidden="1">{"fdsup://Directions/FactSet Auditing Viewer?action=AUDIT_VALUE&amp;DB=129&amp;ID1=36476010&amp;VALUEID=13040&amp;SDATE=200603&amp;PERIODTYPE=QTR_STD&amp;window=popup_no_bar&amp;width=385&amp;height=120&amp;START_MAXIMIZED=FALSE&amp;creator=factset&amp;display_string=Audit"}</definedName>
    <definedName name="_1846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1847__FDSAUDITLINK__" localSheetId="1" hidden="1">{"fdsup://Directions/FactSet Auditing Viewer?action=AUDIT_VALUE&amp;DB=129&amp;ID1=03611510&amp;VALUEID=02101&amp;SDATE=200603&amp;PERIODTYPE=QTR_STD&amp;window=popup_no_bar&amp;width=385&amp;height=120&amp;START_MAXIMIZED=FALSE&amp;creator=factset&amp;display_string=Audit"}</definedName>
    <definedName name="_1847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1848__FDSAUDITLINK__" localSheetId="1" hidden="1">{"fdsup://Directions/FactSet Auditing Viewer?action=AUDIT_VALUE&amp;DB=129&amp;ID1=03611510&amp;VALUEID=01001&amp;SDATE=200603&amp;PERIODTYPE=QTR_STD&amp;window=popup_no_bar&amp;width=385&amp;height=120&amp;START_MAXIMIZED=FALSE&amp;creator=factset&amp;display_string=Audit"}</definedName>
    <definedName name="_1848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1849__FDSAUDITLINK__" localSheetId="1" hidden="1">{"fdsup://Directions/FactSet Auditing Viewer?action=AUDIT_VALUE&amp;DB=129&amp;ID1=03611510&amp;VALUEID=13040&amp;SDATE=200603&amp;PERIODTYPE=QTR_STD&amp;window=popup_no_bar&amp;width=385&amp;height=120&amp;START_MAXIMIZED=FALSE&amp;creator=factset&amp;display_string=Audit"}</definedName>
    <definedName name="_1849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185__FDSAUDITLINK__" localSheetId="1" hidden="1">{"fdsup://Directions/FactSet Auditing Viewer?action=AUDIT_VALUE&amp;DB=129&amp;ID1=00786510&amp;VALUEID=02101&amp;SDATE=200801&amp;PERIODTYPE=QTR_STD&amp;window=popup_no_bar&amp;width=385&amp;height=120&amp;START_MAXIMIZED=FALSE&amp;creator=factset&amp;display_string=Audit"}</definedName>
    <definedName name="_185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1850__FDSAUDITLINK__" localSheetId="1" hidden="1">{"fdsup://Directions/FactSet Auditing Viewer?action=AUDIT_VALUE&amp;DB=129&amp;ID1=16890510&amp;VALUEID=02101&amp;SDATE=200603&amp;PERIODTYPE=QTR_STD&amp;window=popup_no_bar&amp;width=385&amp;height=120&amp;START_MAXIMIZED=FALSE&amp;creator=factset&amp;display_string=Audit"}</definedName>
    <definedName name="_1850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1851__FDSAUDITLINK__" localSheetId="1" hidden="1">{"fdsup://Directions/FactSet Auditing Viewer?action=AUDIT_VALUE&amp;DB=129&amp;ID1=16890510&amp;VALUEID=01001&amp;SDATE=200603&amp;PERIODTYPE=QTR_STD&amp;window=popup_no_bar&amp;width=385&amp;height=120&amp;START_MAXIMIZED=FALSE&amp;creator=factset&amp;display_string=Audit"}</definedName>
    <definedName name="_1851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1852__FDSAUDITLINK__" localSheetId="1" hidden="1">{"fdsup://Directions/FactSet Auditing Viewer?action=AUDIT_VALUE&amp;DB=129&amp;ID1=91704710&amp;VALUEID=02101&amp;SDATE=200603&amp;PERIODTYPE=QTR_STD&amp;window=popup_no_bar&amp;width=385&amp;height=120&amp;START_MAXIMIZED=FALSE&amp;creator=factset&amp;display_string=Audit"}</definedName>
    <definedName name="_1852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1853__FDSAUDITLINK__" localSheetId="1" hidden="1">{"fdsup://Directions/FactSet Auditing Viewer?action=AUDIT_VALUE&amp;DB=129&amp;ID1=91704710&amp;VALUEID=01001&amp;SDATE=200603&amp;PERIODTYPE=QTR_STD&amp;window=popup_no_bar&amp;width=385&amp;height=120&amp;START_MAXIMIZED=FALSE&amp;creator=factset&amp;display_string=Audit"}</definedName>
    <definedName name="_1853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1854__FDSAUDITLINK__" localSheetId="1" hidden="1">{"fdsup://Directions/FactSet Auditing Viewer?action=AUDIT_VALUE&amp;DB=129&amp;ID1=91704710&amp;VALUEID=13040&amp;SDATE=200603&amp;PERIODTYPE=QTR_STD&amp;window=popup_no_bar&amp;width=385&amp;height=120&amp;START_MAXIMIZED=FALSE&amp;creator=factset&amp;display_string=Audit"}</definedName>
    <definedName name="_1854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1855__FDSAUDITLINK__" localSheetId="1"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1855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1856__FDSAUDITLINK__" localSheetId="1" hidden="1">{"fdsup://Directions/FactSet Auditing Viewer?action=AUDIT_VALUE&amp;DB=129&amp;ID1=00786510&amp;VALUEID=02101&amp;SDATE=200603&amp;PERIODTYPE=QTR_STD&amp;window=popup_no_bar&amp;width=385&amp;height=120&amp;START_MAXIMIZED=FALSE&amp;creator=factset&amp;display_string=Audit"}</definedName>
    <definedName name="_1856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1857__FDSAUDITLINK__" localSheetId="1" hidden="1">{"fdsup://Directions/FactSet Auditing Viewer?action=AUDIT_VALUE&amp;DB=129&amp;ID1=00786510&amp;VALUEID=01001&amp;SDATE=200603&amp;PERIODTYPE=QTR_STD&amp;window=popup_no_bar&amp;width=385&amp;height=120&amp;START_MAXIMIZED=FALSE&amp;creator=factset&amp;display_string=Audit"}</definedName>
    <definedName name="_1857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1858__FDSAUDITLINK__" localSheetId="1" hidden="1">{"fdsup://Directions/FactSet Auditing Viewer?action=AUDIT_VALUE&amp;DB=129&amp;ID1=00786510&amp;VALUEID=13040&amp;SDATE=200603&amp;PERIODTYPE=QTR_STD&amp;window=popup_no_bar&amp;width=385&amp;height=120&amp;START_MAXIMIZED=FALSE&amp;creator=factset&amp;display_string=Audit"}</definedName>
    <definedName name="_1858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1859__FDSAUDITLINK__" localSheetId="1" hidden="1">{"fdsup://Directions/FactSet Auditing Viewer?action=AUDIT_VALUE&amp;DB=129&amp;ID1=00289620&amp;VALUEID=02101&amp;SDATE=200603&amp;PERIODTYPE=QTR_STD&amp;window=popup_no_bar&amp;width=385&amp;height=120&amp;START_MAXIMIZED=FALSE&amp;creator=factset&amp;display_string=Audit"}</definedName>
    <definedName name="_1859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186__FDSAUDITLINK__" localSheetId="1" hidden="1">{"fdsup://Directions/FactSet Auditing Viewer?action=AUDIT_VALUE&amp;DB=129&amp;ID1=00786510&amp;VALUEID=01001&amp;SDATE=200801&amp;PERIODTYPE=QTR_STD&amp;window=popup_no_bar&amp;width=385&amp;height=120&amp;START_MAXIMIZED=FALSE&amp;creator=factset&amp;display_string=Audit"}</definedName>
    <definedName name="_186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1860__FDSAUDITLINK__" localSheetId="1" hidden="1">{"fdsup://Directions/FactSet Auditing Viewer?action=AUDIT_VALUE&amp;DB=129&amp;ID1=00289620&amp;VALUEID=01001&amp;SDATE=200603&amp;PERIODTYPE=QTR_STD&amp;window=popup_no_bar&amp;width=385&amp;height=120&amp;START_MAXIMIZED=FALSE&amp;creator=factset&amp;display_string=Audit"}</definedName>
    <definedName name="_1860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1861__FDSAUDITLINK__" localSheetId="1" hidden="1">{"fdsup://Directions/FactSet Auditing Viewer?action=AUDIT_VALUE&amp;DB=129&amp;ID1=00289620&amp;VALUEID=13040&amp;SDATE=200603&amp;PERIODTYPE=QTR_STD&amp;window=popup_no_bar&amp;width=385&amp;height=120&amp;START_MAXIMIZED=FALSE&amp;creator=factset&amp;display_string=Audit"}</definedName>
    <definedName name="_1861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1862__FDSAUDITLINK__" localSheetId="1" hidden="1">{"fdsup://Directions/FactSet Auditing Viewer?action=AUDIT_VALUE&amp;DB=129&amp;ID1=87416110&amp;VALUEID=02101&amp;SDATE=200602&amp;PERIODTYPE=QTR_STD&amp;window=popup_no_bar&amp;width=385&amp;height=120&amp;START_MAXIMIZED=FALSE&amp;creator=factset&amp;display_string=Audit"}</definedName>
    <definedName name="_1862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1863__FDSAUDITLINK__" localSheetId="1" hidden="1">{"fdsup://Directions/FactSet Auditing Viewer?action=AUDIT_VALUE&amp;DB=129&amp;ID1=87416110&amp;VALUEID=01001&amp;SDATE=200602&amp;PERIODTYPE=QTR_STD&amp;window=popup_no_bar&amp;width=385&amp;height=120&amp;START_MAXIMIZED=FALSE&amp;creator=factset&amp;display_string=Audit"}</definedName>
    <definedName name="_1863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1864__FDSAUDITLINK__" localSheetId="1" hidden="1">{"fdsup://Directions/FactSet Auditing Viewer?action=AUDIT_VALUE&amp;DB=129&amp;ID1=53271610&amp;VALUEID=02101&amp;SDATE=200602&amp;PERIODTYPE=QTR_STD&amp;window=popup_no_bar&amp;width=385&amp;height=120&amp;START_MAXIMIZED=FALSE&amp;creator=factset&amp;display_string=Audit"}</definedName>
    <definedName name="_1864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1865__FDSAUDITLINK__" localSheetId="1" hidden="1">{"fdsup://Directions/FactSet Auditing Viewer?action=AUDIT_VALUE&amp;DB=129&amp;ID1=53271610&amp;VALUEID=01001&amp;SDATE=200602&amp;PERIODTYPE=QTR_STD&amp;window=popup_no_bar&amp;width=385&amp;height=120&amp;START_MAXIMIZED=FALSE&amp;creator=factset&amp;display_string=Audit"}</definedName>
    <definedName name="_1865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1866__FDSAUDITLINK__" localSheetId="1" hidden="1">{"fdsup://Directions/FactSet Auditing Viewer?action=AUDIT_VALUE&amp;DB=129&amp;ID1=53271610&amp;VALUEID=13040&amp;SDATE=200602&amp;PERIODTYPE=QTR_STD&amp;window=popup_no_bar&amp;width=385&amp;height=120&amp;START_MAXIMIZED=FALSE&amp;creator=factset&amp;display_string=Audit"}</definedName>
    <definedName name="_1866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1867__FDSAUDITLINK__" localSheetId="1" hidden="1">{"fdsup://Directions/FactSet Auditing Viewer?action=AUDIT_VALUE&amp;DB=129&amp;ID1=46612H40&amp;VALUEID=02101&amp;SDATE=200602&amp;PERIODTYPE=QTR_STD&amp;window=popup_no_bar&amp;width=385&amp;height=120&amp;START_MAXIMIZED=FALSE&amp;creator=factset&amp;display_string=Audit"}</definedName>
    <definedName name="_1867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1868__FDSAUDITLINK__" localSheetId="1" hidden="1">{"fdsup://Directions/FactSet Auditing Viewer?action=AUDIT_VALUE&amp;DB=129&amp;ID1=46612H40&amp;VALUEID=01001&amp;SDATE=200602&amp;PERIODTYPE=QTR_STD&amp;window=popup_no_bar&amp;width=385&amp;height=120&amp;START_MAXIMIZED=FALSE&amp;creator=factset&amp;display_string=Audit"}</definedName>
    <definedName name="_1868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1869__FDSAUDITLINK__" localSheetId="1" hidden="1">{"fdsup://Directions/FactSet Auditing Viewer?action=AUDIT_VALUE&amp;DB=129&amp;ID1=46612H40&amp;VALUEID=13040&amp;SDATE=200602&amp;PERIODTYPE=QTR_STD&amp;window=popup_no_bar&amp;width=385&amp;height=120&amp;START_MAXIMIZED=FALSE&amp;creator=factset&amp;display_string=Audit"}</definedName>
    <definedName name="_1869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187__FDSAUDITLINK__" localSheetId="1" hidden="1">{"fdsup://Directions/FactSet Auditing Viewer?action=AUDIT_VALUE&amp;DB=129&amp;ID1=00786510&amp;VALUEID=13040&amp;SDATE=200801&amp;PERIODTYPE=QTR_STD&amp;window=popup_no_bar&amp;width=385&amp;height=120&amp;START_MAXIMIZED=FALSE&amp;creator=factset&amp;display_string=Audit"}</definedName>
    <definedName name="_187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1870__FDSAUDITLINK__" localSheetId="1" hidden="1">{"fdsup://Directions/FactSet Auditing Viewer?action=AUDIT_VALUE&amp;DB=129&amp;ID1=36476010&amp;VALUEID=02101&amp;SDATE=200602&amp;PERIODTYPE=QTR_STD&amp;window=popup_no_bar&amp;width=385&amp;height=120&amp;START_MAXIMIZED=FALSE&amp;creator=factset&amp;display_string=Audit"}</definedName>
    <definedName name="_1870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1871__FDSAUDITLINK__" localSheetId="1" hidden="1">{"fdsup://Directions/FactSet Auditing Viewer?action=AUDIT_VALUE&amp;DB=129&amp;ID1=36476010&amp;VALUEID=01001&amp;SDATE=200602&amp;PERIODTYPE=QTR_STD&amp;window=popup_no_bar&amp;width=385&amp;height=120&amp;START_MAXIMIZED=FALSE&amp;creator=factset&amp;display_string=Audit"}</definedName>
    <definedName name="_1871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1872__FDSAUDITLINK__" localSheetId="1" hidden="1">{"fdsup://Directions/FactSet Auditing Viewer?action=AUDIT_VALUE&amp;DB=129&amp;ID1=36476010&amp;VALUEID=13040&amp;SDATE=200602&amp;PERIODTYPE=QTR_STD&amp;window=popup_no_bar&amp;width=385&amp;height=120&amp;START_MAXIMIZED=FALSE&amp;creator=factset&amp;display_string=Audit"}</definedName>
    <definedName name="_1872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1873__FDSAUDITLINK__" localSheetId="1" hidden="1">{"fdsup://Directions/FactSet Auditing Viewer?action=AUDIT_VALUE&amp;DB=129&amp;ID1=03611510&amp;VALUEID=02101&amp;SDATE=200602&amp;PERIODTYPE=QTR_STD&amp;window=popup_no_bar&amp;width=385&amp;height=120&amp;START_MAXIMIZED=FALSE&amp;creator=factset&amp;display_string=Audit"}</definedName>
    <definedName name="_1873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1874__FDSAUDITLINK__" localSheetId="1" hidden="1">{"fdsup://Directions/FactSet Auditing Viewer?action=AUDIT_VALUE&amp;DB=129&amp;ID1=03611510&amp;VALUEID=01001&amp;SDATE=200602&amp;PERIODTYPE=QTR_STD&amp;window=popup_no_bar&amp;width=385&amp;height=120&amp;START_MAXIMIZED=FALSE&amp;creator=factset&amp;display_string=Audit"}</definedName>
    <definedName name="_1874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1875__FDSAUDITLINK__" localSheetId="1" hidden="1">{"fdsup://Directions/FactSet Auditing Viewer?action=AUDIT_VALUE&amp;DB=129&amp;ID1=03611510&amp;VALUEID=13040&amp;SDATE=200602&amp;PERIODTYPE=QTR_STD&amp;window=popup_no_bar&amp;width=385&amp;height=120&amp;START_MAXIMIZED=FALSE&amp;creator=factset&amp;display_string=Audit"}</definedName>
    <definedName name="_1875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1876__FDSAUDITLINK__" localSheetId="1" hidden="1">{"fdsup://Directions/FactSet Auditing Viewer?action=AUDIT_VALUE&amp;DB=129&amp;ID1=16890510&amp;VALUEID=02101&amp;SDATE=200602&amp;PERIODTYPE=QTR_STD&amp;window=popup_no_bar&amp;width=385&amp;height=120&amp;START_MAXIMIZED=FALSE&amp;creator=factset&amp;display_string=Audit"}</definedName>
    <definedName name="_1876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1877__FDSAUDITLINK__" localSheetId="1" hidden="1">{"fdsup://Directions/FactSet Auditing Viewer?action=AUDIT_VALUE&amp;DB=129&amp;ID1=16890510&amp;VALUEID=01001&amp;SDATE=200602&amp;PERIODTYPE=QTR_STD&amp;window=popup_no_bar&amp;width=385&amp;height=120&amp;START_MAXIMIZED=FALSE&amp;creator=factset&amp;display_string=Audit"}</definedName>
    <definedName name="_1877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1878__FDSAUDITLINK__" localSheetId="1" hidden="1">{"fdsup://Directions/FactSet Auditing Viewer?action=AUDIT_VALUE&amp;DB=129&amp;ID1=91704710&amp;VALUEID=02101&amp;SDATE=200602&amp;PERIODTYPE=QTR_STD&amp;window=popup_no_bar&amp;width=385&amp;height=120&amp;START_MAXIMIZED=FALSE&amp;creator=factset&amp;display_string=Audit"}</definedName>
    <definedName name="_1878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1879__FDSAUDITLINK__" localSheetId="1" hidden="1">{"fdsup://Directions/FactSet Auditing Viewer?action=AUDIT_VALUE&amp;DB=129&amp;ID1=91704710&amp;VALUEID=01001&amp;SDATE=200602&amp;PERIODTYPE=QTR_STD&amp;window=popup_no_bar&amp;width=385&amp;height=120&amp;START_MAXIMIZED=FALSE&amp;creator=factset&amp;display_string=Audit"}</definedName>
    <definedName name="_1879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188__FDSAUDITLINK__" localSheetId="1" hidden="1">{"fdsup://Directions/FactSet Auditing Viewer?action=AUDIT_VALUE&amp;DB=129&amp;ID1=00289620&amp;VALUEID=02101&amp;SDATE=200801&amp;PERIODTYPE=QTR_STD&amp;window=popup_no_bar&amp;width=385&amp;height=120&amp;START_MAXIMIZED=FALSE&amp;creator=factset&amp;display_string=Audit"}</definedName>
    <definedName name="_188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1880__FDSAUDITLINK__" localSheetId="1" hidden="1">{"fdsup://Directions/FactSet Auditing Viewer?action=AUDIT_VALUE&amp;DB=129&amp;ID1=91704710&amp;VALUEID=13040&amp;SDATE=200602&amp;PERIODTYPE=QTR_STD&amp;window=popup_no_bar&amp;width=385&amp;height=120&amp;START_MAXIMIZED=FALSE&amp;creator=factset&amp;display_string=Audit"}</definedName>
    <definedName name="_1880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1881__FDSAUDITLINK__" localSheetId="1"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1881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1882__FDSAUDITLINK__" localSheetId="1" hidden="1">{"fdsup://Directions/FactSet Auditing Viewer?action=AUDIT_VALUE&amp;DB=129&amp;ID1=00786510&amp;VALUEID=02101&amp;SDATE=200602&amp;PERIODTYPE=QTR_STD&amp;window=popup_no_bar&amp;width=385&amp;height=120&amp;START_MAXIMIZED=FALSE&amp;creator=factset&amp;display_string=Audit"}</definedName>
    <definedName name="_1882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1883__FDSAUDITLINK__" localSheetId="1" hidden="1">{"fdsup://Directions/FactSet Auditing Viewer?action=AUDIT_VALUE&amp;DB=129&amp;ID1=00786510&amp;VALUEID=01001&amp;SDATE=200602&amp;PERIODTYPE=QTR_STD&amp;window=popup_no_bar&amp;width=385&amp;height=120&amp;START_MAXIMIZED=FALSE&amp;creator=factset&amp;display_string=Audit"}</definedName>
    <definedName name="_1883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1884__FDSAUDITLINK__" localSheetId="1" hidden="1">{"fdsup://Directions/FactSet Auditing Viewer?action=AUDIT_VALUE&amp;DB=129&amp;ID1=00786510&amp;VALUEID=13040&amp;SDATE=200602&amp;PERIODTYPE=QTR_STD&amp;window=popup_no_bar&amp;width=385&amp;height=120&amp;START_MAXIMIZED=FALSE&amp;creator=factset&amp;display_string=Audit"}</definedName>
    <definedName name="_1884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1885__FDSAUDITLINK__" localSheetId="1" hidden="1">{"fdsup://Directions/FactSet Auditing Viewer?action=AUDIT_VALUE&amp;DB=129&amp;ID1=00289620&amp;VALUEID=02101&amp;SDATE=200602&amp;PERIODTYPE=QTR_STD&amp;window=popup_no_bar&amp;width=385&amp;height=120&amp;START_MAXIMIZED=FALSE&amp;creator=factset&amp;display_string=Audit"}</definedName>
    <definedName name="_1885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1886__FDSAUDITLINK__" localSheetId="1" hidden="1">{"fdsup://Directions/FactSet Auditing Viewer?action=AUDIT_VALUE&amp;DB=129&amp;ID1=00289620&amp;VALUEID=01001&amp;SDATE=200602&amp;PERIODTYPE=QTR_STD&amp;window=popup_no_bar&amp;width=385&amp;height=120&amp;START_MAXIMIZED=FALSE&amp;creator=factset&amp;display_string=Audit"}</definedName>
    <definedName name="_1886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1887__FDSAUDITLINK__" localSheetId="1" hidden="1">{"fdsup://Directions/FactSet Auditing Viewer?action=AUDIT_VALUE&amp;DB=129&amp;ID1=00289620&amp;VALUEID=13040&amp;SDATE=200602&amp;PERIODTYPE=QTR_STD&amp;window=popup_no_bar&amp;width=385&amp;height=120&amp;START_MAXIMIZED=FALSE&amp;creator=factset&amp;display_string=Audit"}</definedName>
    <definedName name="_1887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1888__FDSAUDITLINK__" localSheetId="1" hidden="1">{"fdsup://Directions/FactSet Auditing Viewer?action=AUDIT_VALUE&amp;DB=129&amp;ID1=87416110&amp;VALUEID=02101&amp;SDATE=200601&amp;PERIODTYPE=QTR_STD&amp;window=popup_no_bar&amp;width=385&amp;height=120&amp;START_MAXIMIZED=FALSE&amp;creator=factset&amp;display_string=Audit"}</definedName>
    <definedName name="_1888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1889__FDSAUDITLINK__" localSheetId="1" hidden="1">{"fdsup://Directions/FactSet Auditing Viewer?action=AUDIT_VALUE&amp;DB=129&amp;ID1=87416110&amp;VALUEID=01001&amp;SDATE=200601&amp;PERIODTYPE=QTR_STD&amp;window=popup_no_bar&amp;width=385&amp;height=120&amp;START_MAXIMIZED=FALSE&amp;creator=factset&amp;display_string=Audit"}</definedName>
    <definedName name="_1889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189__FDSAUDITLINK__" localSheetId="1" hidden="1">{"fdsup://Directions/FactSet Auditing Viewer?action=AUDIT_VALUE&amp;DB=129&amp;ID1=00289620&amp;VALUEID=01001&amp;SDATE=200801&amp;PERIODTYPE=QTR_STD&amp;window=popup_no_bar&amp;width=385&amp;height=120&amp;START_MAXIMIZED=FALSE&amp;creator=factset&amp;display_string=Audit"}</definedName>
    <definedName name="_189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1890__FDSAUDITLINK__" localSheetId="1" hidden="1">{"fdsup://Directions/FactSet Auditing Viewer?action=AUDIT_VALUE&amp;DB=129&amp;ID1=87416110&amp;VALUEID=13040&amp;SDATE=200601&amp;PERIODTYPE=QTR_STD&amp;window=popup_no_bar&amp;width=385&amp;height=120&amp;START_MAXIMIZED=FALSE&amp;creator=factset&amp;display_string=Audit"}</definedName>
    <definedName name="_1890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1891__FDSAUDITLINK__" localSheetId="1"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1891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1892__FDSAUDITLINK__" localSheetId="1" hidden="1">{"fdsup://Directions/FactSet Auditing Viewer?action=AUDIT_VALUE&amp;DB=129&amp;ID1=53271610&amp;VALUEID=02101&amp;SDATE=200601&amp;PERIODTYPE=QTR_STD&amp;window=popup_no_bar&amp;width=385&amp;height=120&amp;START_MAXIMIZED=FALSE&amp;creator=factset&amp;display_string=Audit"}</definedName>
    <definedName name="_1892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1893__FDSAUDITLINK__" localSheetId="1" hidden="1">{"fdsup://Directions/FactSet Auditing Viewer?action=AUDIT_VALUE&amp;DB=129&amp;ID1=53271610&amp;VALUEID=01001&amp;SDATE=200601&amp;PERIODTYPE=QTR_STD&amp;window=popup_no_bar&amp;width=385&amp;height=120&amp;START_MAXIMIZED=FALSE&amp;creator=factset&amp;display_string=Audit"}</definedName>
    <definedName name="_1893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1894__FDSAUDITLINK__" localSheetId="1" hidden="1">{"fdsup://Directions/FactSet Auditing Viewer?action=AUDIT_VALUE&amp;DB=129&amp;ID1=53271610&amp;VALUEID=13040&amp;SDATE=200601&amp;PERIODTYPE=QTR_STD&amp;window=popup_no_bar&amp;width=385&amp;height=120&amp;START_MAXIMIZED=FALSE&amp;creator=factset&amp;display_string=Audit"}</definedName>
    <definedName name="_1894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1895__FDSAUDITLINK__" localSheetId="1" hidden="1">{"fdsup://Directions/FactSet Auditing Viewer?action=AUDIT_VALUE&amp;DB=129&amp;ID1=46612H40&amp;VALUEID=02101&amp;SDATE=200601&amp;PERIODTYPE=QTR_STD&amp;window=popup_no_bar&amp;width=385&amp;height=120&amp;START_MAXIMIZED=FALSE&amp;creator=factset&amp;display_string=Audit"}</definedName>
    <definedName name="_1895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1896__FDSAUDITLINK__" localSheetId="1" hidden="1">{"fdsup://Directions/FactSet Auditing Viewer?action=AUDIT_VALUE&amp;DB=129&amp;ID1=46612H40&amp;VALUEID=01001&amp;SDATE=200601&amp;PERIODTYPE=QTR_STD&amp;window=popup_no_bar&amp;width=385&amp;height=120&amp;START_MAXIMIZED=FALSE&amp;creator=factset&amp;display_string=Audit"}</definedName>
    <definedName name="_1896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1897__FDSAUDITLINK__" localSheetId="1" hidden="1">{"fdsup://Directions/FactSet Auditing Viewer?action=AUDIT_VALUE&amp;DB=129&amp;ID1=46612H40&amp;VALUEID=13040&amp;SDATE=200601&amp;PERIODTYPE=QTR_STD&amp;window=popup_no_bar&amp;width=385&amp;height=120&amp;START_MAXIMIZED=FALSE&amp;creator=factset&amp;display_string=Audit"}</definedName>
    <definedName name="_1897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1898__FDSAUDITLINK__" localSheetId="1" hidden="1">{"fdsup://Directions/FactSet Auditing Viewer?action=AUDIT_VALUE&amp;DB=129&amp;ID1=36476010&amp;VALUEID=02101&amp;SDATE=200601&amp;PERIODTYPE=QTR_STD&amp;window=popup_no_bar&amp;width=385&amp;height=120&amp;START_MAXIMIZED=FALSE&amp;creator=factset&amp;display_string=Audit"}</definedName>
    <definedName name="_1898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1899__FDSAUDITLINK__" localSheetId="1" hidden="1">{"fdsup://Directions/FactSet Auditing Viewer?action=AUDIT_VALUE&amp;DB=129&amp;ID1=36476010&amp;VALUEID=01001&amp;SDATE=200601&amp;PERIODTYPE=QTR_STD&amp;window=popup_no_bar&amp;width=385&amp;height=120&amp;START_MAXIMIZED=FALSE&amp;creator=factset&amp;display_string=Audit"}</definedName>
    <definedName name="_1899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19__FDSAUDITLINK__" localSheetId="1" hidden="1">{"fdsup://Directions/FactSet Auditing Viewer?action=AUDIT_VALUE&amp;DB=129&amp;ID1=00289620&amp;VALUEID=02101&amp;SDATE=201001&amp;PERIODTYPE=QTR_STD&amp;window=popup_no_bar&amp;width=385&amp;height=120&amp;START_MAXIMIZED=FALSE&amp;creator=factset&amp;display_string=Audit"}</definedName>
    <definedName name="_19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190__FDSAUDITLINK__" localSheetId="1" hidden="1">{"fdsup://Directions/FactSet Auditing Viewer?action=AUDIT_VALUE&amp;DB=129&amp;ID1=00289620&amp;VALUEID=13040&amp;SDATE=200801&amp;PERIODTYPE=QTR_STD&amp;window=popup_no_bar&amp;width=385&amp;height=120&amp;START_MAXIMIZED=FALSE&amp;creator=factset&amp;display_string=Audit"}</definedName>
    <definedName name="_190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1900__FDSAUDITLINK__" localSheetId="1" hidden="1">{"fdsup://Directions/FactSet Auditing Viewer?action=AUDIT_VALUE&amp;DB=129&amp;ID1=36476010&amp;VALUEID=13040&amp;SDATE=200601&amp;PERIODTYPE=QTR_STD&amp;window=popup_no_bar&amp;width=385&amp;height=120&amp;START_MAXIMIZED=FALSE&amp;creator=factset&amp;display_string=Audit"}</definedName>
    <definedName name="_1900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1901__FDSAUDITLINK__" localSheetId="1" hidden="1">{"fdsup://Directions/FactSet Auditing Viewer?action=AUDIT_VALUE&amp;DB=129&amp;ID1=03611510&amp;VALUEID=02101&amp;SDATE=200601&amp;PERIODTYPE=QTR_STD&amp;window=popup_no_bar&amp;width=385&amp;height=120&amp;START_MAXIMIZED=FALSE&amp;creator=factset&amp;display_string=Audit"}</definedName>
    <definedName name="_1901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1902__FDSAUDITLINK__" localSheetId="1" hidden="1">{"fdsup://Directions/FactSet Auditing Viewer?action=AUDIT_VALUE&amp;DB=129&amp;ID1=03611510&amp;VALUEID=13040&amp;SDATE=200601&amp;PERIODTYPE=QTR_STD&amp;window=popup_no_bar&amp;width=385&amp;height=120&amp;START_MAXIMIZED=FALSE&amp;creator=factset&amp;display_string=Audit"}</definedName>
    <definedName name="_1902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1903__FDSAUDITLINK__" localSheetId="1" hidden="1">{"fdsup://Directions/FactSet Auditing Viewer?action=AUDIT_VALUE&amp;DB=129&amp;ID1=16890510&amp;VALUEID=02101&amp;SDATE=200601&amp;PERIODTYPE=QTR_STD&amp;window=popup_no_bar&amp;width=385&amp;height=120&amp;START_MAXIMIZED=FALSE&amp;creator=factset&amp;display_string=Audit"}</definedName>
    <definedName name="_1903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1904__FDSAUDITLINK__" localSheetId="1" hidden="1">{"fdsup://Directions/FactSet Auditing Viewer?action=AUDIT_VALUE&amp;DB=129&amp;ID1=16890510&amp;VALUEID=01001&amp;SDATE=200601&amp;PERIODTYPE=QTR_STD&amp;window=popup_no_bar&amp;width=385&amp;height=120&amp;START_MAXIMIZED=FALSE&amp;creator=factset&amp;display_string=Audit"}</definedName>
    <definedName name="_1904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1905__FDSAUDITLINK__" localSheetId="1" hidden="1">{"fdsup://Directions/FactSet Auditing Viewer?action=AUDIT_VALUE&amp;DB=129&amp;ID1=91704710&amp;VALUEID=02101&amp;SDATE=200601&amp;PERIODTYPE=QTR_STD&amp;window=popup_no_bar&amp;width=385&amp;height=120&amp;START_MAXIMIZED=FALSE&amp;creator=factset&amp;display_string=Audit"}</definedName>
    <definedName name="_1905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1906__FDSAUDITLINK__" localSheetId="1" hidden="1">{"fdsup://Directions/FactSet Auditing Viewer?action=AUDIT_VALUE&amp;DB=129&amp;ID1=91704710&amp;VALUEID=01001&amp;SDATE=200601&amp;PERIODTYPE=QTR_STD&amp;window=popup_no_bar&amp;width=385&amp;height=120&amp;START_MAXIMIZED=FALSE&amp;creator=factset&amp;display_string=Audit"}</definedName>
    <definedName name="_1906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1907__FDSAUDITLINK__" localSheetId="1" hidden="1">{"fdsup://Directions/FactSet Auditing Viewer?action=AUDIT_VALUE&amp;DB=129&amp;ID1=91704710&amp;VALUEID=13040&amp;SDATE=200601&amp;PERIODTYPE=QTR_STD&amp;window=popup_no_bar&amp;width=385&amp;height=120&amp;START_MAXIMIZED=FALSE&amp;creator=factset&amp;display_string=Audit"}</definedName>
    <definedName name="_1907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1908__FDSAUDITLINK__" localSheetId="1" hidden="1">{"fdsup://Directions/FactSet Auditing Viewer?action=AUDIT_VALUE&amp;DB=129&amp;ID1=02553E10&amp;VALUEID=02101&amp;SDATE=200601&amp;PERIODTYPE=QTR_STD&amp;window=popup_no_bar&amp;width=385&amp;height=120&amp;START_MAXIMIZED=FALSE&amp;creator=factset&amp;display_string=Audit"}</definedName>
    <definedName name="_1908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1909__FDSAUDITLINK__" localSheetId="1" hidden="1">{"fdsup://Directions/FactSet Auditing Viewer?action=AUDIT_VALUE&amp;DB=129&amp;ID1=02553E10&amp;VALUEID=01001&amp;SDATE=200601&amp;PERIODTYPE=QTR_STD&amp;window=popup_no_bar&amp;width=385&amp;height=120&amp;START_MAXIMIZED=FALSE&amp;creator=factset&amp;display_string=Audit"}</definedName>
    <definedName name="_1909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191__FDSAUDITLINK__" localSheetId="1" hidden="1">{"fdsup://Directions/FactSet Auditing Viewer?action=AUDIT_VALUE&amp;DB=129&amp;ID1=87416110&amp;VALUEID=01001&amp;SDATE=200704&amp;PERIODTYPE=QTR_STD&amp;window=popup_no_bar&amp;width=385&amp;height=120&amp;START_MAXIMIZED=FALSE&amp;creator=factset&amp;display_string=Audit"}</definedName>
    <definedName name="_191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1910__FDSAUDITLINK__" localSheetId="1" hidden="1">{"fdsup://Directions/FactSet Auditing Viewer?action=AUDIT_VALUE&amp;DB=129&amp;ID1=02553E10&amp;VALUEID=13040&amp;SDATE=200601&amp;PERIODTYPE=QTR_STD&amp;window=popup_no_bar&amp;width=385&amp;height=120&amp;START_MAXIMIZED=FALSE&amp;creator=factset&amp;display_string=Audit"}</definedName>
    <definedName name="_1910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1911__FDSAUDITLINK__" localSheetId="1"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1911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1912__FDSAUDITLINK__" localSheetId="1" hidden="1">{"fdsup://Directions/FactSet Auditing Viewer?action=AUDIT_VALUE&amp;DB=129&amp;ID1=00786510&amp;VALUEID=02101&amp;SDATE=200601&amp;PERIODTYPE=QTR_STD&amp;window=popup_no_bar&amp;width=385&amp;height=120&amp;START_MAXIMIZED=FALSE&amp;creator=factset&amp;display_string=Audit"}</definedName>
    <definedName name="_1912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1913__FDSAUDITLINK__" localSheetId="1" hidden="1">{"fdsup://Directions/FactSet Auditing Viewer?action=AUDIT_VALUE&amp;DB=129&amp;ID1=00786510&amp;VALUEID=01001&amp;SDATE=200601&amp;PERIODTYPE=QTR_STD&amp;window=popup_no_bar&amp;width=385&amp;height=120&amp;START_MAXIMIZED=FALSE&amp;creator=factset&amp;display_string=Audit"}</definedName>
    <definedName name="_1913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1914__FDSAUDITLINK__" localSheetId="1" hidden="1">{"fdsup://Directions/FactSet Auditing Viewer?action=AUDIT_VALUE&amp;DB=129&amp;ID1=00786510&amp;VALUEID=13040&amp;SDATE=200601&amp;PERIODTYPE=QTR_STD&amp;window=popup_no_bar&amp;width=385&amp;height=120&amp;START_MAXIMIZED=FALSE&amp;creator=factset&amp;display_string=Audit"}</definedName>
    <definedName name="_1914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1915__FDSAUDITLINK__" localSheetId="1" hidden="1">{"fdsup://Directions/FactSet Auditing Viewer?action=AUDIT_VALUE&amp;DB=129&amp;ID1=00289620&amp;VALUEID=02101&amp;SDATE=200601&amp;PERIODTYPE=QTR_STD&amp;window=popup_no_bar&amp;width=385&amp;height=120&amp;START_MAXIMIZED=FALSE&amp;creator=factset&amp;display_string=Audit"}</definedName>
    <definedName name="_1915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1916__FDSAUDITLINK__" localSheetId="1" hidden="1">{"fdsup://Directions/FactSet Auditing Viewer?action=AUDIT_VALUE&amp;DB=129&amp;ID1=00289620&amp;VALUEID=01001&amp;SDATE=200601&amp;PERIODTYPE=QTR_STD&amp;window=popup_no_bar&amp;width=385&amp;height=120&amp;START_MAXIMIZED=FALSE&amp;creator=factset&amp;display_string=Audit"}</definedName>
    <definedName name="_1916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1917__FDSAUDITLINK__" localSheetId="1" hidden="1">{"fdsup://Directions/FactSet Auditing Viewer?action=AUDIT_VALUE&amp;DB=129&amp;ID1=00289620&amp;VALUEID=13040&amp;SDATE=200601&amp;PERIODTYPE=QTR_STD&amp;window=popup_no_bar&amp;width=385&amp;height=120&amp;START_MAXIMIZED=FALSE&amp;creator=factset&amp;display_string=Audit"}</definedName>
    <definedName name="_1917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1918__FDSAUDITLINK__" localSheetId="1"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1918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1919__FDSAUDITLINK__" localSheetId="1"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1919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192__FDSAUDITLINK__" localSheetId="1" hidden="1">{"fdsup://Directions/FactSet Auditing Viewer?action=AUDIT_VALUE&amp;DB=129&amp;ID1=46612H40&amp;VALUEID=01001&amp;SDATE=200704&amp;PERIODTYPE=QTR_STD&amp;window=popup_no_bar&amp;width=385&amp;height=120&amp;START_MAXIMIZED=FALSE&amp;creator=factset&amp;display_string=Audit"}</definedName>
    <definedName name="_192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1920__FDSAUDITLINK__" localSheetId="1"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1920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1921__FDSAUDITLINK__" localSheetId="1" hidden="1">{"fdsup://Directions/FactSet Auditing Viewer?action=AUDIT_VALUE&amp;DB=129&amp;ID1=03611510&amp;VALUEID=13040&amp;SDATE=200503&amp;PERIODTYPE=QTR_STD&amp;window=popup_no_bar&amp;width=385&amp;height=120&amp;START_MAXIMIZED=FALSE&amp;creator=factset&amp;display_string=Audit"}</definedName>
    <definedName name="_1921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1922__FDSAUDITLINK__" localSheetId="1"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1922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1923__FDSAUDITLINK__" localSheetId="1"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1923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1924__FDSAUDITLINK__" localSheetId="1" hidden="1">{"fdsup://Directions/FactSet Auditing Viewer?action=AUDIT_VALUE&amp;DB=129&amp;ID1=03611510&amp;VALUEID=13040&amp;SDATE=200502&amp;PERIODTYPE=QTR_STD&amp;window=popup_no_bar&amp;width=385&amp;height=120&amp;START_MAXIMIZED=FALSE&amp;creator=factset&amp;display_string=Audit"}</definedName>
    <definedName name="_1924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1925__FDSAUDITLINK__" localSheetId="1"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1925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1926__FDSAUDITLINK__" localSheetId="1"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1926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1927__FDSAUDITLINK__" localSheetId="1" hidden="1">{"fdsup://Directions/FactSet Auditing Viewer?action=AUDIT_VALUE&amp;DB=129&amp;ID1=03611510&amp;VALUEID=13040&amp;SDATE=200501&amp;PERIODTYPE=QTR_STD&amp;window=popup_no_bar&amp;width=385&amp;height=120&amp;START_MAXIMIZED=FALSE&amp;creator=factset&amp;display_string=Audit"}</definedName>
    <definedName name="_1927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1928__FDSAUDITLINK__" localSheetId="1"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1928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1929__FDSAUDITLINK__" localSheetId="1" hidden="1">{"fdsup://Directions/FactSet Auditing Viewer?action=AUDIT_VALUE&amp;DB=129&amp;ID1=16890510&amp;VALUEID=13040&amp;SDATE=200602&amp;PERIODTYPE=QTR_STD&amp;window=popup_no_bar&amp;width=385&amp;height=120&amp;START_MAXIMIZED=FALSE&amp;creator=factset&amp;display_string=Audit"}</definedName>
    <definedName name="_1929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193__FDSAUDITLINK__" localSheetId="1" hidden="1">{"fdsup://Directions/FactSet Auditing Viewer?action=AUDIT_VALUE&amp;DB=129&amp;ID1=46612H40&amp;VALUEID=13040&amp;SDATE=200704&amp;PERIODTYPE=QTR_STD&amp;window=popup_no_bar&amp;width=385&amp;height=120&amp;START_MAXIMIZED=FALSE&amp;creator=factset&amp;display_string=Audit"}</definedName>
    <definedName name="_193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1930__FDSAUDITLINK__" localSheetId="1" hidden="1">{"fdsup://Directions/FactSet Auditing Viewer?action=AUDIT_VALUE&amp;DB=129&amp;ID1=16890510&amp;VALUEID=13040&amp;SDATE=200601&amp;PERIODTYPE=QTR_STD&amp;window=popup_no_bar&amp;width=385&amp;height=120&amp;START_MAXIMIZED=FALSE&amp;creator=factset&amp;display_string=Audit"}</definedName>
    <definedName name="_1930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1931__FDSAUDITLINK__" localSheetId="1" hidden="1">{"fdsup://Directions/FactSet Auditing Viewer?action=AUDIT_VALUE&amp;DB=129&amp;ID1=16890510&amp;VALUEID=13040&amp;SDATE=200603&amp;PERIODTYPE=QTR_STD&amp;window=popup_no_bar&amp;width=385&amp;height=120&amp;START_MAXIMIZED=FALSE&amp;creator=factset&amp;display_string=Audit"}</definedName>
    <definedName name="_1931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1932__FDSAUDITLINK__" localSheetId="1" hidden="1">{"fdsup://Directions/FactSet Auditing Viewer?action=AUDIT_VALUE&amp;DB=129&amp;ID1=16890510&amp;VALUEID=13040&amp;SDATE=200702&amp;PERIODTYPE=QTR_STD&amp;window=popup_no_bar&amp;width=385&amp;height=120&amp;START_MAXIMIZED=FALSE&amp;creator=factset&amp;display_string=Audit"}</definedName>
    <definedName name="_1932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1933__FDSAUDITLINK__" localSheetId="1" hidden="1">{"fdsup://Directions/FactSet Auditing Viewer?action=AUDIT_VALUE&amp;DB=129&amp;ID1=16890510&amp;VALUEID=13040&amp;SDATE=200701&amp;PERIODTYPE=QTR_STD&amp;window=popup_no_bar&amp;width=385&amp;height=120&amp;START_MAXIMIZED=FALSE&amp;creator=factset&amp;display_string=Audit"}</definedName>
    <definedName name="_1933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1934__FDSAUDITLINK__" localSheetId="1" hidden="1">{"fdsup://Directions/FactSet Auditing Viewer?action=AUDIT_VALUE&amp;DB=129&amp;ID1=16890510&amp;VALUEID=13040&amp;SDATE=200703&amp;PERIODTYPE=QTR_STD&amp;window=popup_no_bar&amp;width=385&amp;height=120&amp;START_MAXIMIZED=FALSE&amp;creator=factset&amp;display_string=Audit"}</definedName>
    <definedName name="_1934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1935__FDSAUDITLINK__" localSheetId="1" hidden="1">{"fdsup://Directions/FactSet Auditing Viewer?action=AUDIT_VALUE&amp;DB=129&amp;ID1=16890510&amp;VALUEID=13040&amp;SDATE=200802&amp;PERIODTYPE=QTR_STD&amp;window=popup_no_bar&amp;width=385&amp;height=120&amp;START_MAXIMIZED=FALSE&amp;creator=factset&amp;display_string=Audit"}</definedName>
    <definedName name="_1935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1936__FDSAUDITLINK__" localSheetId="1" hidden="1">{"fdsup://Directions/FactSet Auditing Viewer?action=AUDIT_VALUE&amp;DB=129&amp;ID1=16890510&amp;VALUEID=13040&amp;SDATE=200801&amp;PERIODTYPE=QTR_STD&amp;window=popup_no_bar&amp;width=385&amp;height=120&amp;START_MAXIMIZED=FALSE&amp;creator=factset&amp;display_string=Audit"}</definedName>
    <definedName name="_1936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1937__FDSAUDITLINK__" localSheetId="1" hidden="1">{"fdsup://Directions/FactSet Auditing Viewer?action=AUDIT_VALUE&amp;DB=129&amp;ID1=16890510&amp;VALUEID=13040&amp;SDATE=200803&amp;PERIODTYPE=QTR_STD&amp;window=popup_no_bar&amp;width=385&amp;height=120&amp;START_MAXIMIZED=FALSE&amp;creator=factset&amp;display_string=Audit"}</definedName>
    <definedName name="_1937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1938__FDSAUDITLINK__" localSheetId="1" hidden="1">{"fdsup://Directions/FactSet Auditing Viewer?action=AUDIT_VALUE&amp;DB=129&amp;ID1=16890510&amp;VALUEID=13040&amp;SDATE=200902&amp;PERIODTYPE=QTR_STD&amp;window=popup_no_bar&amp;width=385&amp;height=120&amp;START_MAXIMIZED=FALSE&amp;creator=factset&amp;display_string=Audit"}</definedName>
    <definedName name="_1938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1939__FDSAUDITLINK__" localSheetId="1" hidden="1">{"fdsup://Directions/FactSet Auditing Viewer?action=AUDIT_VALUE&amp;DB=129&amp;ID1=16890510&amp;VALUEID=13040&amp;SDATE=200903&amp;PERIODTYPE=QTR_STD&amp;window=popup_no_bar&amp;width=385&amp;height=120&amp;START_MAXIMIZED=FALSE&amp;creator=factset&amp;display_string=Audit"}</definedName>
    <definedName name="_1939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194__FDSAUDITLINK__" localSheetId="1" hidden="1">{"fdsup://Directions/FactSet Auditing Viewer?action=AUDIT_VALUE&amp;DB=129&amp;ID1=36476010&amp;VALUEID=01001&amp;SDATE=200704&amp;PERIODTYPE=QTR_STD&amp;window=popup_no_bar&amp;width=385&amp;height=120&amp;START_MAXIMIZED=FALSE&amp;creator=factset&amp;display_string=Audit"}</definedName>
    <definedName name="_194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1940__FDSAUDITLINK__" localSheetId="1" hidden="1">{"fdsup://Directions/FactSet Auditing Viewer?action=AUDIT_VALUE&amp;DB=129&amp;ID1=16890510&amp;VALUEID=13040&amp;SDATE=201001&amp;PERIODTYPE=QTR_STD&amp;window=popup_no_bar&amp;width=385&amp;height=120&amp;START_MAXIMIZED=FALSE&amp;creator=factset&amp;display_string=Audit"}</definedName>
    <definedName name="_1940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1941__FDSAUDITLINK__" localSheetId="1" hidden="1">{"fdsup://Directions/FactSet Auditing Viewer?action=AUDIT_VALUE&amp;DB=129&amp;ID1=87416110&amp;VALUEID=01001&amp;SDATE=201001&amp;PERIODTYPE=QTR_STD&amp;window=popup_no_bar&amp;width=385&amp;height=120&amp;START_MAXIMIZED=FALSE&amp;creator=factset&amp;display_string=Audit"}</definedName>
    <definedName name="_1941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1942__FDSAUDITLINK__" localSheetId="1" hidden="1">{"fdsup://Directions/FactSet Auditing Viewer?action=AUDIT_VALUE&amp;DB=129&amp;ID1=46612H40&amp;VALUEID=01001&amp;SDATE=201001&amp;PERIODTYPE=QTR_STD&amp;window=popup_no_bar&amp;width=385&amp;height=120&amp;START_MAXIMIZED=FALSE&amp;creator=factset&amp;display_string=Audit"}</definedName>
    <definedName name="_1942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1943__FDSAUDITLINK__" localSheetId="1" hidden="1">{"fdsup://Directions/FactSet Auditing Viewer?action=AUDIT_VALUE&amp;DB=129&amp;ID1=03611510&amp;VALUEID=01001&amp;SDATE=201001&amp;PERIODTYPE=QTR_STD&amp;window=popup_no_bar&amp;width=385&amp;height=120&amp;START_MAXIMIZED=FALSE&amp;creator=factset&amp;display_string=Audit"}</definedName>
    <definedName name="_1943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1944__FDSAUDITLINK__" localSheetId="1" hidden="1">{"fdsup://Directions/FactSet Auditing Viewer?action=AUDIT_VALUE&amp;DB=129&amp;ID1=16890510&amp;VALUEID=01001&amp;SDATE=201001&amp;PERIODTYPE=QTR_STD&amp;window=popup_no_bar&amp;width=385&amp;height=120&amp;START_MAXIMIZED=FALSE&amp;creator=factset&amp;display_string=Audit"}</definedName>
    <definedName name="_1944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1945__FDSAUDITLINK__" localSheetId="1" hidden="1">{"fdsup://Directions/FactSet Auditing Viewer?action=AUDIT_VALUE&amp;DB=129&amp;ID1=91704710&amp;VALUEID=01001&amp;SDATE=201001&amp;PERIODTYPE=QTR_STD&amp;window=popup_no_bar&amp;width=385&amp;height=120&amp;START_MAXIMIZED=FALSE&amp;creator=factset&amp;display_string=Audit"}</definedName>
    <definedName name="_1945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1946__FDSAUDITLINK__" localSheetId="1" hidden="1">{"fdsup://Directions/FactSet Auditing Viewer?action=AUDIT_VALUE&amp;DB=129&amp;ID1=02553E10&amp;VALUEID=01001&amp;SDATE=201001&amp;PERIODTYPE=QTR_STD&amp;window=popup_no_bar&amp;width=385&amp;height=120&amp;START_MAXIMIZED=FALSE&amp;creator=factset&amp;display_string=Audit"}</definedName>
    <definedName name="_1946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1947__FDSAUDITLINK__" localSheetId="1" hidden="1">{"fdsup://Directions/FactSet Auditing Viewer?action=AUDIT_VALUE&amp;DB=129&amp;ID1=00786510&amp;VALUEID=01001&amp;SDATE=201001&amp;PERIODTYPE=QTR_STD&amp;window=popup_no_bar&amp;width=385&amp;height=120&amp;START_MAXIMIZED=FALSE&amp;creator=factset&amp;display_string=Audit"}</definedName>
    <definedName name="_1947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1948__FDSAUDITLINK__" localSheetId="1" hidden="1">{"fdsup://Directions/FactSet Auditing Viewer?action=AUDIT_VALUE&amp;DB=129&amp;ID1=00289620&amp;VALUEID=01001&amp;SDATE=201001&amp;PERIODTYPE=QTR_STD&amp;window=popup_no_bar&amp;width=385&amp;height=120&amp;START_MAXIMIZED=FALSE&amp;creator=factset&amp;display_string=Audit"}</definedName>
    <definedName name="_1948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1949__FDSAUDITLINK__" localSheetId="1" hidden="1">{"fdsup://Directions/FactSet Auditing Viewer?action=AUDIT_VALUE&amp;DB=129&amp;ID1=53271610&amp;VALUEID=01001&amp;SDATE=201001&amp;PERIODTYPE=QTR_STD&amp;window=popup_no_bar&amp;width=385&amp;height=120&amp;START_MAXIMIZED=FALSE&amp;creator=factset&amp;display_string=Audit"}</definedName>
    <definedName name="_1949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195__FDSAUDITLINK__" localSheetId="1" hidden="1">{"fdsup://Directions/FactSet Auditing Viewer?action=AUDIT_VALUE&amp;DB=129&amp;ID1=03611510&amp;VALUEID=01001&amp;SDATE=200704&amp;PERIODTYPE=QTR_STD&amp;window=popup_no_bar&amp;width=385&amp;height=120&amp;START_MAXIMIZED=FALSE&amp;creator=factset&amp;display_string=Audit"}</definedName>
    <definedName name="_195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1950__FDSAUDITLINK__" localSheetId="1" hidden="1">{"fdsup://Directions/FactSet Auditing Viewer?action=AUDIT_VALUE&amp;DB=129&amp;ID1=36476010&amp;VALUEID=01001&amp;SDATE=201001&amp;PERIODTYPE=QTR_STD&amp;window=popup_no_bar&amp;width=385&amp;height=120&amp;START_MAXIMIZED=FALSE&amp;creator=factset&amp;display_string=Audit"}</definedName>
    <definedName name="_1950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1951__FDSAUDITLINK__" localSheetId="1" hidden="1">{"fdsup://Directions/FactSet Auditing Viewer?action=AUDIT_VALUE&amp;DB=129&amp;ID1=40377710&amp;VALUEID=01001&amp;SDATE=200601&amp;PERIODTYPE=QTR_STD&amp;window=popup_no_bar&amp;width=385&amp;height=120&amp;START_MAXIMIZED=FALSE&amp;creator=factset&amp;display_string=Audit"}</definedName>
    <definedName name="_1951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1952__FDSAUDITLINK__" localSheetId="1" hidden="1">{"fdsup://Directions/FactSet Auditing Viewer?action=AUDIT_VALUE&amp;DB=129&amp;ID1=40377710&amp;VALUEID=02101&amp;SDATE=200601&amp;PERIODTYPE=QTR_STD&amp;window=popup_no_bar&amp;width=385&amp;height=120&amp;START_MAXIMIZED=FALSE&amp;creator=factset&amp;display_string=Audit"}</definedName>
    <definedName name="_1952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1953__FDSAUDITLINK__" localSheetId="1" hidden="1">{"fdsup://Directions/FactSet Auditing Viewer?action=AUDIT_VALUE&amp;DB=129&amp;ID1=40377710&amp;VALUEID=01001&amp;SDATE=200602&amp;PERIODTYPE=QTR_STD&amp;window=popup_no_bar&amp;width=385&amp;height=120&amp;START_MAXIMIZED=FALSE&amp;creator=factset&amp;display_string=Audit"}</definedName>
    <definedName name="_1953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1954__FDSAUDITLINK__" localSheetId="1" hidden="1">{"fdsup://Directions/FactSet Auditing Viewer?action=AUDIT_VALUE&amp;DB=129&amp;ID1=40377710&amp;VALUEID=02101&amp;SDATE=200602&amp;PERIODTYPE=QTR_STD&amp;window=popup_no_bar&amp;width=385&amp;height=120&amp;START_MAXIMIZED=FALSE&amp;creator=factset&amp;display_string=Audit"}</definedName>
    <definedName name="_1954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1955__FDSAUDITLINK__" localSheetId="1" hidden="1">{"fdsup://Directions/FactSet Auditing Viewer?action=AUDIT_VALUE&amp;DB=129&amp;ID1=40377710&amp;VALUEID=01001&amp;SDATE=200603&amp;PERIODTYPE=QTR_STD&amp;window=popup_no_bar&amp;width=385&amp;height=120&amp;START_MAXIMIZED=FALSE&amp;creator=factset&amp;display_string=Audit"}</definedName>
    <definedName name="_1955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1956__FDSAUDITLINK__" localSheetId="1" hidden="1">{"fdsup://Directions/FactSet Auditing Viewer?action=AUDIT_VALUE&amp;DB=129&amp;ID1=40377710&amp;VALUEID=02101&amp;SDATE=200603&amp;PERIODTYPE=QTR_STD&amp;window=popup_no_bar&amp;width=385&amp;height=120&amp;START_MAXIMIZED=FALSE&amp;creator=factset&amp;display_string=Audit"}</definedName>
    <definedName name="_1956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1957__FDSAUDITLINK__" localSheetId="1" hidden="1">{"fdsup://Directions/FactSet Auditing Viewer?action=AUDIT_VALUE&amp;DB=129&amp;ID1=40377710&amp;VALUEID=01001&amp;SDATE=200604&amp;PERIODTYPE=QTR_STD&amp;window=popup_no_bar&amp;width=385&amp;height=120&amp;START_MAXIMIZED=FALSE&amp;creator=factset&amp;display_string=Audit"}</definedName>
    <definedName name="_1957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1958__FDSAUDITLINK__" localSheetId="1" hidden="1">{"fdsup://Directions/FactSet Auditing Viewer?action=AUDIT_VALUE&amp;DB=129&amp;ID1=40377710&amp;VALUEID=01001&amp;SDATE=200701&amp;PERIODTYPE=QTR_STD&amp;window=popup_no_bar&amp;width=385&amp;height=120&amp;START_MAXIMIZED=FALSE&amp;creator=factset&amp;display_string=Audit"}</definedName>
    <definedName name="_1958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1959__FDSAUDITLINK__" localSheetId="1" hidden="1">{"fdsup://Directions/FactSet Auditing Viewer?action=AUDIT_VALUE&amp;DB=129&amp;ID1=40377710&amp;VALUEID=02101&amp;SDATE=200701&amp;PERIODTYPE=QTR_STD&amp;window=popup_no_bar&amp;width=385&amp;height=120&amp;START_MAXIMIZED=FALSE&amp;creator=factset&amp;display_string=Audit"}</definedName>
    <definedName name="_1959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196__FDSAUDITLINK__" localSheetId="1" hidden="1">{"fdsup://Directions/FactSet Auditing Viewer?action=AUDIT_VALUE&amp;DB=129&amp;ID1=03611510&amp;VALUEID=13040&amp;SDATE=200704&amp;PERIODTYPE=QTR_STD&amp;window=popup_no_bar&amp;width=385&amp;height=120&amp;START_MAXIMIZED=FALSE&amp;creator=factset&amp;display_string=Audit"}</definedName>
    <definedName name="_196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1960__FDSAUDITLINK__" localSheetId="1" hidden="1">{"fdsup://Directions/FactSet Auditing Viewer?action=AUDIT_VALUE&amp;DB=129&amp;ID1=40377710&amp;VALUEID=01001&amp;SDATE=200702&amp;PERIODTYPE=QTR_STD&amp;window=popup_no_bar&amp;width=385&amp;height=120&amp;START_MAXIMIZED=FALSE&amp;creator=factset&amp;display_string=Audit"}</definedName>
    <definedName name="_1960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1961__FDSAUDITLINK__" localSheetId="1" hidden="1">{"fdsup://Directions/FactSet Auditing Viewer?action=AUDIT_VALUE&amp;DB=129&amp;ID1=40377710&amp;VALUEID=02101&amp;SDATE=200702&amp;PERIODTYPE=QTR_STD&amp;window=popup_no_bar&amp;width=385&amp;height=120&amp;START_MAXIMIZED=FALSE&amp;creator=factset&amp;display_string=Audit"}</definedName>
    <definedName name="_1961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1962__FDSAUDITLINK__" localSheetId="1" hidden="1">{"fdsup://Directions/FactSet Auditing Viewer?action=AUDIT_VALUE&amp;DB=129&amp;ID1=40377710&amp;VALUEID=01001&amp;SDATE=200703&amp;PERIODTYPE=QTR_STD&amp;window=popup_no_bar&amp;width=385&amp;height=120&amp;START_MAXIMIZED=FALSE&amp;creator=factset&amp;display_string=Audit"}</definedName>
    <definedName name="_1962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1963__FDSAUDITLINK__" localSheetId="1" hidden="1">{"fdsup://Directions/FactSet Auditing Viewer?action=AUDIT_VALUE&amp;DB=129&amp;ID1=40377710&amp;VALUEID=02101&amp;SDATE=200703&amp;PERIODTYPE=QTR_STD&amp;window=popup_no_bar&amp;width=385&amp;height=120&amp;START_MAXIMIZED=FALSE&amp;creator=factset&amp;display_string=Audit"}</definedName>
    <definedName name="_1963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1964__FDSAUDITLINK__" localSheetId="1" hidden="1">{"fdsup://Directions/FactSet Auditing Viewer?action=AUDIT_VALUE&amp;DB=129&amp;ID1=40377710&amp;VALUEID=01001&amp;SDATE=200704&amp;PERIODTYPE=QTR_STD&amp;window=popup_no_bar&amp;width=385&amp;height=120&amp;START_MAXIMIZED=FALSE&amp;creator=factset&amp;display_string=Audit"}</definedName>
    <definedName name="_1964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1965__FDSAUDITLINK__" localSheetId="1" hidden="1">{"fdsup://Directions/FactSet Auditing Viewer?action=AUDIT_VALUE&amp;DB=129&amp;ID1=40377710&amp;VALUEID=01001&amp;SDATE=200801&amp;PERIODTYPE=QTR_STD&amp;window=popup_no_bar&amp;width=385&amp;height=120&amp;START_MAXIMIZED=FALSE&amp;creator=factset&amp;display_string=Audit"}</definedName>
    <definedName name="_1965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1966__FDSAUDITLINK__" localSheetId="1" hidden="1">{"fdsup://Directions/FactSet Auditing Viewer?action=AUDIT_VALUE&amp;DB=129&amp;ID1=40377710&amp;VALUEID=02101&amp;SDATE=200801&amp;PERIODTYPE=QTR_STD&amp;window=popup_no_bar&amp;width=385&amp;height=120&amp;START_MAXIMIZED=FALSE&amp;creator=factset&amp;display_string=Audit"}</definedName>
    <definedName name="_1966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1967__FDSAUDITLINK__" localSheetId="1" hidden="1">{"fdsup://Directions/FactSet Auditing Viewer?action=AUDIT_VALUE&amp;DB=129&amp;ID1=40377710&amp;VALUEID=01001&amp;SDATE=200802&amp;PERIODTYPE=QTR_STD&amp;window=popup_no_bar&amp;width=385&amp;height=120&amp;START_MAXIMIZED=FALSE&amp;creator=factset&amp;display_string=Audit"}</definedName>
    <definedName name="_1967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1968__FDSAUDITLINK__" localSheetId="1" hidden="1">{"fdsup://Directions/FactSet Auditing Viewer?action=AUDIT_VALUE&amp;DB=129&amp;ID1=40377710&amp;VALUEID=02101&amp;SDATE=200802&amp;PERIODTYPE=QTR_STD&amp;window=popup_no_bar&amp;width=385&amp;height=120&amp;START_MAXIMIZED=FALSE&amp;creator=factset&amp;display_string=Audit"}</definedName>
    <definedName name="_1968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1969__FDSAUDITLINK__" localSheetId="1" hidden="1">{"fdsup://Directions/FactSet Auditing Viewer?action=AUDIT_VALUE&amp;DB=129&amp;ID1=40377710&amp;VALUEID=01001&amp;SDATE=200803&amp;PERIODTYPE=QTR_STD&amp;window=popup_no_bar&amp;width=385&amp;height=120&amp;START_MAXIMIZED=FALSE&amp;creator=factset&amp;display_string=Audit"}</definedName>
    <definedName name="_1969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197__FDSAUDITLINK__" localSheetId="1" hidden="1">{"fdsup://Directions/FactSet Auditing Viewer?action=AUDIT_VALUE&amp;DB=129&amp;ID1=16890510&amp;VALUEID=01001&amp;SDATE=200704&amp;PERIODTYPE=QTR_STD&amp;window=popup_no_bar&amp;width=385&amp;height=120&amp;START_MAXIMIZED=FALSE&amp;creator=factset&amp;display_string=Audit"}</definedName>
    <definedName name="_197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1970__FDSAUDITLINK__" localSheetId="1" hidden="1">{"fdsup://Directions/FactSet Auditing Viewer?action=AUDIT_VALUE&amp;DB=129&amp;ID1=40377710&amp;VALUEID=02101&amp;SDATE=200803&amp;PERIODTYPE=QTR_STD&amp;window=popup_no_bar&amp;width=385&amp;height=120&amp;START_MAXIMIZED=FALSE&amp;creator=factset&amp;display_string=Audit"}</definedName>
    <definedName name="_1970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1971__FDSAUDITLINK__" localSheetId="1" hidden="1">{"fdsup://Directions/FactSet Auditing Viewer?action=AUDIT_VALUE&amp;DB=129&amp;ID1=40377710&amp;VALUEID=01001&amp;SDATE=200804&amp;PERIODTYPE=QTR_STD&amp;window=popup_no_bar&amp;width=385&amp;height=120&amp;START_MAXIMIZED=FALSE&amp;creator=factset&amp;display_string=Audit"}</definedName>
    <definedName name="_1971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1972__FDSAUDITLINK__" localSheetId="1" hidden="1">{"fdsup://Directions/FactSet Auditing Viewer?action=AUDIT_VALUE&amp;DB=129&amp;ID1=40377710&amp;VALUEID=01001&amp;SDATE=200901&amp;PERIODTYPE=QTR_STD&amp;window=popup_no_bar&amp;width=385&amp;height=120&amp;START_MAXIMIZED=FALSE&amp;creator=factset&amp;display_string=Audit"}</definedName>
    <definedName name="_1972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1973__FDSAUDITLINK__" localSheetId="1" hidden="1">{"fdsup://Directions/FactSet Auditing Viewer?action=AUDIT_VALUE&amp;DB=129&amp;ID1=40377710&amp;VALUEID=02101&amp;SDATE=200901&amp;PERIODTYPE=QTR_STD&amp;window=popup_no_bar&amp;width=385&amp;height=120&amp;START_MAXIMIZED=FALSE&amp;creator=factset&amp;display_string=Audit"}</definedName>
    <definedName name="_1973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1974__FDSAUDITLINK__" localSheetId="1" hidden="1">{"fdsup://Directions/FactSet Auditing Viewer?action=AUDIT_VALUE&amp;DB=129&amp;ID1=40377710&amp;VALUEID=01001&amp;SDATE=200902&amp;PERIODTYPE=QTR_STD&amp;window=popup_no_bar&amp;width=385&amp;height=120&amp;START_MAXIMIZED=FALSE&amp;creator=factset&amp;display_string=Audit"}</definedName>
    <definedName name="_1974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1975__FDSAUDITLINK__" localSheetId="1" hidden="1">{"fdsup://Directions/FactSet Auditing Viewer?action=AUDIT_VALUE&amp;DB=129&amp;ID1=40377710&amp;VALUEID=02101&amp;SDATE=200902&amp;PERIODTYPE=QTR_STD&amp;window=popup_no_bar&amp;width=385&amp;height=120&amp;START_MAXIMIZED=FALSE&amp;creator=factset&amp;display_string=Audit"}</definedName>
    <definedName name="_1975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1976__FDSAUDITLINK__" localSheetId="1" hidden="1">{"fdsup://Directions/FactSet Auditing Viewer?action=AUDIT_VALUE&amp;DB=129&amp;ID1=40377710&amp;VALUEID=01001&amp;SDATE=200903&amp;PERIODTYPE=QTR_STD&amp;window=popup_no_bar&amp;width=385&amp;height=120&amp;START_MAXIMIZED=FALSE&amp;creator=factset&amp;display_string=Audit"}</definedName>
    <definedName name="_1976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1977__FDSAUDITLINK__" localSheetId="1" hidden="1">{"fdsup://Directions/FactSet Auditing Viewer?action=AUDIT_VALUE&amp;DB=129&amp;ID1=40377710&amp;VALUEID=02101&amp;SDATE=200903&amp;PERIODTYPE=QTR_STD&amp;window=popup_no_bar&amp;width=385&amp;height=120&amp;START_MAXIMIZED=FALSE&amp;creator=factset&amp;display_string=Audit"}</definedName>
    <definedName name="_1977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1978__FDSAUDITLINK__" localSheetId="1" hidden="1">{"fdsup://Directions/FactSet Auditing Viewer?action=AUDIT_VALUE&amp;DB=129&amp;ID1=40377710&amp;VALUEID=01001&amp;SDATE=200904&amp;PERIODTYPE=QTR_STD&amp;window=popup_no_bar&amp;width=385&amp;height=120&amp;START_MAXIMIZED=FALSE&amp;creator=factset&amp;display_string=Audit"}</definedName>
    <definedName name="_1978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1979__FDSAUDITLINK__" localSheetId="1" hidden="1">{"fdsup://Directions/FactSet Auditing Viewer?action=AUDIT_VALUE&amp;DB=129&amp;ID1=40377710&amp;VALUEID=01001&amp;SDATE=201001&amp;PERIODTYPE=QTR_STD&amp;window=popup_no_bar&amp;width=385&amp;height=120&amp;START_MAXIMIZED=FALSE&amp;creator=factset&amp;display_string=Audit"}</definedName>
    <definedName name="_1979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198__FDSAUDITLINK__" localSheetId="1" hidden="1">{"fdsup://Directions/FactSet Auditing Viewer?action=AUDIT_VALUE&amp;DB=129&amp;ID1=00786510&amp;VALUEID=01001&amp;SDATE=200704&amp;PERIODTYPE=QTR_STD&amp;window=popup_no_bar&amp;width=385&amp;height=120&amp;START_MAXIMIZED=FALSE&amp;creator=factset&amp;display_string=Audit"}</definedName>
    <definedName name="_198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1980__FDSAUDITLINK__" localSheetId="1" hidden="1">{"fdsup://Directions/FactSet Auditing Viewer?action=AUDIT_VALUE&amp;DB=129&amp;ID1=40377710&amp;VALUEID=02101&amp;SDATE=201001&amp;PERIODTYPE=QTR_STD&amp;window=popup_no_bar&amp;width=385&amp;height=120&amp;START_MAXIMIZED=FALSE&amp;creator=factset&amp;display_string=Audit"}</definedName>
    <definedName name="_1980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1981__FDSAUDITLINK__" localSheetId="1"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1981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1982__FDSAUDITLINK__" localSheetId="1"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1982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1983__FDSAUDITLINK__" localSheetId="1"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1983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1984__FDSAUDITLINK__" localSheetId="1"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1984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1985__FDSAUDITLINK__" localSheetId="1"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1985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1986__FDSAUDITLINK__" localSheetId="1"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1986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1987__FDSAUDITLINK__" localSheetId="1"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1987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1988__FDSAUDITLINK__" localSheetId="1"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1988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1989__FDSAUDITLINK__" localSheetId="1"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1989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199__FDSAUDITLINK__" localSheetId="1" hidden="1">{"fdsup://Directions/FactSet Auditing Viewer?action=AUDIT_VALUE&amp;DB=129&amp;ID1=87416110&amp;VALUEID=02101&amp;SDATE=200703&amp;PERIODTYPE=QTR_STD&amp;window=popup_no_bar&amp;width=385&amp;height=120&amp;START_MAXIMIZED=FALSE&amp;creator=factset&amp;display_string=Audit"}</definedName>
    <definedName name="_199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1990__FDSAUDITLINK__" localSheetId="1"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1990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1991__FDSAUDITLINK__" localSheetId="1"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1991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1992__FDSAUDITLINK__" localSheetId="1"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1992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1993__FDSAUDITLINK__" localSheetId="1"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1993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1994__FDSAUDITLINK__" localSheetId="1"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1994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1995__FDSAUDITLINK__" localSheetId="1"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1995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1996__FDSAUDITLINK__" localSheetId="1"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1996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1997__FDSAUDITLINK__" localSheetId="1"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1997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1998__FDSAUDITLINK__" localSheetId="1"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1998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1999__FDSAUDITLINK__" localSheetId="1"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1999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2__FDSAUDITLINK__" localSheetId="1" hidden="1">{"fdsup://Directions/FactSet Auditing Viewer?action=AUDIT_VALUE&amp;DB=129&amp;ID1=87416110&amp;VALUEID=13040&amp;SDATE=201001&amp;PERIODTYPE=QTR_STD&amp;window=popup_no_bar&amp;width=385&amp;height=120&amp;START_MAXIMIZED=FALSE&amp;creator=factset&amp;display_string=Audit"}</definedName>
    <definedName name="_2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20__FDSAUDITLINK__" localSheetId="1" hidden="1">{"fdsup://Directions/FactSet Auditing Viewer?action=AUDIT_VALUE&amp;DB=129&amp;ID1=00289620&amp;VALUEID=13040&amp;SDATE=201001&amp;PERIODTYPE=QTR_STD&amp;window=popup_no_bar&amp;width=385&amp;height=120&amp;START_MAXIMIZED=FALSE&amp;creator=factset&amp;display_string=Audit"}</definedName>
    <definedName name="_20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200__FDSAUDITLINK__" localSheetId="1" hidden="1">{"fdsup://Directions/FactSet Auditing Viewer?action=AUDIT_VALUE&amp;DB=129&amp;ID1=87416110&amp;VALUEID=01001&amp;SDATE=200703&amp;PERIODTYPE=QTR_STD&amp;window=popup_no_bar&amp;width=385&amp;height=120&amp;START_MAXIMIZED=FALSE&amp;creator=factset&amp;display_string=Audit"}</definedName>
    <definedName name="_200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2000__FDSAUDITLINK__" localSheetId="1"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2000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2001__FDSAUDITLINK__" localSheetId="1"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2001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2002__FDSAUDITLINK__" localSheetId="1"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2002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2003__FDSAUDITLINK__" localSheetId="1"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2003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2004__FDSAUDITLINK__" localSheetId="1"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2004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2005__FDSAUDITLINK__" localSheetId="1"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2005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2006__FDSAUDITLINK__" localSheetId="1"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2006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2007__FDSAUDITLINK__" localSheetId="1"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2007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2008__FDSAUDITLINK__" localSheetId="1" hidden="1">{"fdsup://Directions/FactSet Auditing Viewer?action=AUDIT_VALUE&amp;DB=129&amp;ID1=40377710&amp;VALUEID=13040&amp;SDATE=200802&amp;PERIODTYPE=QTR_STD&amp;window=popup_no_bar&amp;width=385&amp;height=120&amp;START_MAXIMIZED=FALSE&amp;creator=factset&amp;display_string=Audit"}</definedName>
    <definedName name="_2008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2009__FDSAUDITLINK__" localSheetId="1"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2009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201__FDSAUDITLINK__" localSheetId="1" hidden="1">{"fdsup://Directions/FactSet Auditing Viewer?action=AUDIT_VALUE&amp;DB=129&amp;ID1=53271610&amp;VALUEID=02101&amp;SDATE=200703&amp;PERIODTYPE=QTR_STD&amp;window=popup_no_bar&amp;width=385&amp;height=120&amp;START_MAXIMIZED=FALSE&amp;creator=factset&amp;display_string=Audit"}</definedName>
    <definedName name="_201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2010__FDSAUDITLINK__" localSheetId="1" hidden="1">{"fdsup://Directions/FactSet Auditing Viewer?action=AUDIT_VALUE&amp;DB=129&amp;ID1=40377710&amp;VALUEID=13040&amp;SDATE=200803&amp;PERIODTYPE=QTR_STD&amp;window=popup_no_bar&amp;width=385&amp;height=120&amp;START_MAXIMIZED=FALSE&amp;creator=factset&amp;display_string=Audit"}</definedName>
    <definedName name="_2010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2011__FDSAUDITLINK__" localSheetId="1"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2011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2012__FDSAUDITLINK__" localSheetId="1"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2012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2013__FDSAUDITLINK__" localSheetId="1" hidden="1">{"fdsup://Directions/FactSet Auditing Viewer?action=AUDIT_VALUE&amp;DB=129&amp;ID1=40377710&amp;VALUEID=13040&amp;SDATE=200901&amp;PERIODTYPE=QTR_STD&amp;window=popup_no_bar&amp;width=385&amp;height=120&amp;START_MAXIMIZED=FALSE&amp;creator=factset&amp;display_string=Audit"}</definedName>
    <definedName name="_2013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2014__FDSAUDITLINK__" localSheetId="1"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2014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2015__FDSAUDITLINK__" localSheetId="1" hidden="1">{"fdsup://Directions/FactSet Auditing Viewer?action=AUDIT_VALUE&amp;DB=129&amp;ID1=40377710&amp;VALUEID=13040&amp;SDATE=201001&amp;PERIODTYPE=QTR_STD&amp;window=popup_no_bar&amp;width=385&amp;height=120&amp;START_MAXIMIZED=FALSE&amp;creator=factset&amp;display_string=Audit"}</definedName>
    <definedName name="_2015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2016__FDSAUDITLINK__" localSheetId="1" hidden="1">{"fdsup://Directions/FactSet Auditing Viewer?action=AUDIT_VALUE&amp;DB=129&amp;ID1=40377710&amp;VALUEID=13040&amp;SDATE=200602&amp;PERIODTYPE=QTR_STD&amp;window=popup_no_bar&amp;width=385&amp;height=120&amp;START_MAXIMIZED=FALSE&amp;creator=factset&amp;display_string=Audit"}</definedName>
    <definedName name="_2016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2017__FDSAUDITLINK__" localSheetId="1" hidden="1">{"fdsup://Directions/FactSet Auditing Viewer?action=AUDIT_VALUE&amp;DB=129&amp;ID1=40377710&amp;VALUEID=13040&amp;SDATE=200601&amp;PERIODTYPE=QTR_STD&amp;window=popup_no_bar&amp;width=385&amp;height=120&amp;START_MAXIMIZED=FALSE&amp;creator=factset&amp;display_string=Audit"}</definedName>
    <definedName name="_2017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2018__FDSAUDITLINK__" localSheetId="1"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2018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2019__FDSAUDITLINK__" localSheetId="1" hidden="1">{"fdsup://Directions/FactSet Auditing Viewer?action=AUDIT_VALUE&amp;DB=129&amp;ID1=40377710&amp;VALUEID=13040&amp;SDATE=200603&amp;PERIODTYPE=QTR_STD&amp;window=popup_no_bar&amp;width=385&amp;height=120&amp;START_MAXIMIZED=FALSE&amp;creator=factset&amp;display_string=Audit"}</definedName>
    <definedName name="_2019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202__FDSAUDITLINK__" localSheetId="1" hidden="1">{"fdsup://Directions/FactSet Auditing Viewer?action=AUDIT_VALUE&amp;DB=129&amp;ID1=53271610&amp;VALUEID=01001&amp;SDATE=200703&amp;PERIODTYPE=QTR_STD&amp;window=popup_no_bar&amp;width=385&amp;height=120&amp;START_MAXIMIZED=FALSE&amp;creator=factset&amp;display_string=Audit"}</definedName>
    <definedName name="_202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2020__FDSAUDITLINK__" localSheetId="1" hidden="1">{"fdsup://Directions/FactSet Auditing Viewer?action=AUDIT_VALUE&amp;DB=129&amp;ID1=40377710&amp;VALUEID=13040&amp;SDATE=200702&amp;PERIODTYPE=QTR_STD&amp;window=popup_no_bar&amp;width=385&amp;height=120&amp;START_MAXIMIZED=FALSE&amp;creator=factset&amp;display_string=Audit"}</definedName>
    <definedName name="_2020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2021__FDSAUDITLINK__" localSheetId="1" hidden="1">{"fdsup://Directions/FactSet Auditing Viewer?action=AUDIT_VALUE&amp;DB=129&amp;ID1=40377710&amp;VALUEID=13040&amp;SDATE=200701&amp;PERIODTYPE=QTR_STD&amp;window=popup_no_bar&amp;width=385&amp;height=120&amp;START_MAXIMIZED=FALSE&amp;creator=factset&amp;display_string=Audit"}</definedName>
    <definedName name="_2021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2022__FDSAUDITLINK__" localSheetId="1"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2022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2023__FDSAUDITLINK__" localSheetId="1" hidden="1">{"fdsup://Directions/FactSet Auditing Viewer?action=AUDIT_VALUE&amp;DB=129&amp;ID1=40377710&amp;VALUEID=13040&amp;SDATE=200703&amp;PERIODTYPE=QTR_STD&amp;window=popup_no_bar&amp;width=385&amp;height=120&amp;START_MAXIMIZED=FALSE&amp;creator=factset&amp;display_string=Audit"}</definedName>
    <definedName name="_2023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2024__FDSAUDITLINK__" localSheetId="1" hidden="1">{"fdsup://Directions/FactSet Auditing Viewer?action=AUDIT_VALUE&amp;DB=129&amp;ID1=40377710&amp;VALUEID=13040&amp;SDATE=200801&amp;PERIODTYPE=QTR_STD&amp;window=popup_no_bar&amp;width=385&amp;height=120&amp;START_MAXIMIZED=FALSE&amp;creator=factset&amp;display_string=Audit"}</definedName>
    <definedName name="_2024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2025__FDSAUDITLINK__" localSheetId="1" hidden="1">{"fdsup://Directions/FactSet Auditing Viewer?action=AUDIT_VALUE&amp;DB=129&amp;ID1=40377710&amp;VALUEID=13040&amp;SDATE=200704&amp;PERIODTYPE=QTR_STD&amp;window=popup_no_bar&amp;width=385&amp;height=120&amp;START_MAXIMIZED=FALSE&amp;creator=factset&amp;display_string=Audit"}</definedName>
    <definedName name="_2025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2026__FDSAUDITLINK__" localSheetId="1"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2026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2027__FDSAUDITLINK__" localSheetId="1" hidden="1">{"fdsup://Directions/FactSet Auditing Viewer?action=AUDIT_VALUE&amp;DB=129&amp;ID1=40377710&amp;VALUEID=13040&amp;SDATE=200903&amp;PERIODTYPE=QTR_STD&amp;window=popup_no_bar&amp;width=385&amp;height=120&amp;START_MAXIMIZED=FALSE&amp;creator=factset&amp;display_string=Audit"}</definedName>
    <definedName name="_2027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2028__FDSAUDITLINK__" localSheetId="1" hidden="1">{"fdsup://Directions/FactSet Auditing Viewer?action=AUDIT_VALUE&amp;DB=129&amp;ID1=40377710&amp;VALUEID=13040&amp;SDATE=200902&amp;PERIODTYPE=QTR_STD&amp;window=popup_no_bar&amp;width=385&amp;height=120&amp;START_MAXIMIZED=FALSE&amp;creator=factset&amp;display_string=Audit"}</definedName>
    <definedName name="_2028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2029__FDSAUDITLINK__" localSheetId="1" hidden="1">{"fdsup://Directions/FactSet Auditing Viewer?action=AUDIT_VALUE&amp;DB=129&amp;ID1=58711810&amp;VALUEID=01001&amp;SDATE=200601&amp;PERIODTYPE=QTR_STD&amp;window=popup_no_bar&amp;width=385&amp;height=120&amp;START_MAXIMIZED=FALSE&amp;creator=factset&amp;display_string=Audit"}</definedName>
    <definedName name="_2029__FDSAUDITLINK__" hidden="1">{"fdsup://Directions/FactSet Auditing Viewer?action=AUDIT_VALUE&amp;DB=129&amp;ID1=58711810&amp;VALUEID=01001&amp;SDATE=200601&amp;PERIODTYPE=QTR_STD&amp;window=popup_no_bar&amp;width=385&amp;height=120&amp;START_MAXIMIZED=FALSE&amp;creator=factset&amp;display_string=Audit"}</definedName>
    <definedName name="_203__FDSAUDITLINK__" localSheetId="1" hidden="1">{"fdsup://Directions/FactSet Auditing Viewer?action=AUDIT_VALUE&amp;DB=129&amp;ID1=53271610&amp;VALUEID=13040&amp;SDATE=200703&amp;PERIODTYPE=QTR_STD&amp;window=popup_no_bar&amp;width=385&amp;height=120&amp;START_MAXIMIZED=FALSE&amp;creator=factset&amp;display_string=Audit"}</definedName>
    <definedName name="_203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2030__FDSAUDITLINK__" localSheetId="1" hidden="1">{"fdsup://Directions/FactSet Auditing Viewer?action=AUDIT_VALUE&amp;DB=129&amp;ID1=58711810&amp;VALUEID=02101&amp;SDATE=200601&amp;PERIODTYPE=QTR_STD&amp;window=popup_no_bar&amp;width=385&amp;height=120&amp;START_MAXIMIZED=FALSE&amp;creator=factset&amp;display_string=Audit"}</definedName>
    <definedName name="_2030__FDSAUDITLINK__" hidden="1">{"fdsup://Directions/FactSet Auditing Viewer?action=AUDIT_VALUE&amp;DB=129&amp;ID1=58711810&amp;VALUEID=02101&amp;SDATE=200601&amp;PERIODTYPE=QTR_STD&amp;window=popup_no_bar&amp;width=385&amp;height=120&amp;START_MAXIMIZED=FALSE&amp;creator=factset&amp;display_string=Audit"}</definedName>
    <definedName name="_2031__FDSAUDITLINK__" localSheetId="1" hidden="1">{"fdsup://Directions/FactSet Auditing Viewer?action=AUDIT_VALUE&amp;DB=129&amp;ID1=58711810&amp;VALUEID=01001&amp;SDATE=200602&amp;PERIODTYPE=QTR_STD&amp;window=popup_no_bar&amp;width=385&amp;height=120&amp;START_MAXIMIZED=FALSE&amp;creator=factset&amp;display_string=Audit"}</definedName>
    <definedName name="_2031__FDSAUDITLINK__" hidden="1">{"fdsup://Directions/FactSet Auditing Viewer?action=AUDIT_VALUE&amp;DB=129&amp;ID1=58711810&amp;VALUEID=01001&amp;SDATE=200602&amp;PERIODTYPE=QTR_STD&amp;window=popup_no_bar&amp;width=385&amp;height=120&amp;START_MAXIMIZED=FALSE&amp;creator=factset&amp;display_string=Audit"}</definedName>
    <definedName name="_2032__FDSAUDITLINK__" localSheetId="1" hidden="1">{"fdsup://Directions/FactSet Auditing Viewer?action=AUDIT_VALUE&amp;DB=129&amp;ID1=58711810&amp;VALUEID=02101&amp;SDATE=200602&amp;PERIODTYPE=QTR_STD&amp;window=popup_no_bar&amp;width=385&amp;height=120&amp;START_MAXIMIZED=FALSE&amp;creator=factset&amp;display_string=Audit"}</definedName>
    <definedName name="_2032__FDSAUDITLINK__" hidden="1">{"fdsup://Directions/FactSet Auditing Viewer?action=AUDIT_VALUE&amp;DB=129&amp;ID1=58711810&amp;VALUEID=02101&amp;SDATE=200602&amp;PERIODTYPE=QTR_STD&amp;window=popup_no_bar&amp;width=385&amp;height=120&amp;START_MAXIMIZED=FALSE&amp;creator=factset&amp;display_string=Audit"}</definedName>
    <definedName name="_2033__FDSAUDITLINK__" localSheetId="1" hidden="1">{"fdsup://Directions/FactSet Auditing Viewer?action=AUDIT_VALUE&amp;DB=129&amp;ID1=58711810&amp;VALUEID=01001&amp;SDATE=200603&amp;PERIODTYPE=QTR_STD&amp;window=popup_no_bar&amp;width=385&amp;height=120&amp;START_MAXIMIZED=FALSE&amp;creator=factset&amp;display_string=Audit"}</definedName>
    <definedName name="_2033__FDSAUDITLINK__" hidden="1">{"fdsup://Directions/FactSet Auditing Viewer?action=AUDIT_VALUE&amp;DB=129&amp;ID1=58711810&amp;VALUEID=01001&amp;SDATE=200603&amp;PERIODTYPE=QTR_STD&amp;window=popup_no_bar&amp;width=385&amp;height=120&amp;START_MAXIMIZED=FALSE&amp;creator=factset&amp;display_string=Audit"}</definedName>
    <definedName name="_2034__FDSAUDITLINK__" localSheetId="1" hidden="1">{"fdsup://Directions/FactSet Auditing Viewer?action=AUDIT_VALUE&amp;DB=129&amp;ID1=58711810&amp;VALUEID=02101&amp;SDATE=200603&amp;PERIODTYPE=QTR_STD&amp;window=popup_no_bar&amp;width=385&amp;height=120&amp;START_MAXIMIZED=FALSE&amp;creator=factset&amp;display_string=Audit"}</definedName>
    <definedName name="_2034__FDSAUDITLINK__" hidden="1">{"fdsup://Directions/FactSet Auditing Viewer?action=AUDIT_VALUE&amp;DB=129&amp;ID1=58711810&amp;VALUEID=02101&amp;SDATE=200603&amp;PERIODTYPE=QTR_STD&amp;window=popup_no_bar&amp;width=385&amp;height=120&amp;START_MAXIMIZED=FALSE&amp;creator=factset&amp;display_string=Audit"}</definedName>
    <definedName name="_2035__FDSAUDITLINK__" localSheetId="1" hidden="1">{"fdsup://Directions/FactSet Auditing Viewer?action=AUDIT_VALUE&amp;DB=129&amp;ID1=58711810&amp;VALUEID=01001&amp;SDATE=200604&amp;PERIODTYPE=QTR_STD&amp;window=popup_no_bar&amp;width=385&amp;height=120&amp;START_MAXIMIZED=FALSE&amp;creator=factset&amp;display_string=Audit"}</definedName>
    <definedName name="_2035__FDSAUDITLINK__" hidden="1">{"fdsup://Directions/FactSet Auditing Viewer?action=AUDIT_VALUE&amp;DB=129&amp;ID1=58711810&amp;VALUEID=01001&amp;SDATE=200604&amp;PERIODTYPE=QTR_STD&amp;window=popup_no_bar&amp;width=385&amp;height=120&amp;START_MAXIMIZED=FALSE&amp;creator=factset&amp;display_string=Audit"}</definedName>
    <definedName name="_2036__FDSAUDITLINK__" localSheetId="1" hidden="1">{"fdsup://Directions/FactSet Auditing Viewer?action=AUDIT_VALUE&amp;DB=129&amp;ID1=58711810&amp;VALUEID=01001&amp;SDATE=200701&amp;PERIODTYPE=QTR_STD&amp;window=popup_no_bar&amp;width=385&amp;height=120&amp;START_MAXIMIZED=FALSE&amp;creator=factset&amp;display_string=Audit"}</definedName>
    <definedName name="_2036__FDSAUDITLINK__" hidden="1">{"fdsup://Directions/FactSet Auditing Viewer?action=AUDIT_VALUE&amp;DB=129&amp;ID1=58711810&amp;VALUEID=01001&amp;SDATE=200701&amp;PERIODTYPE=QTR_STD&amp;window=popup_no_bar&amp;width=385&amp;height=120&amp;START_MAXIMIZED=FALSE&amp;creator=factset&amp;display_string=Audit"}</definedName>
    <definedName name="_2037__FDSAUDITLINK__" localSheetId="1" hidden="1">{"fdsup://Directions/FactSet Auditing Viewer?action=AUDIT_VALUE&amp;DB=129&amp;ID1=58711810&amp;VALUEID=02101&amp;SDATE=200701&amp;PERIODTYPE=QTR_STD&amp;window=popup_no_bar&amp;width=385&amp;height=120&amp;START_MAXIMIZED=FALSE&amp;creator=factset&amp;display_string=Audit"}</definedName>
    <definedName name="_2037__FDSAUDITLINK__" hidden="1">{"fdsup://Directions/FactSet Auditing Viewer?action=AUDIT_VALUE&amp;DB=129&amp;ID1=58711810&amp;VALUEID=02101&amp;SDATE=200701&amp;PERIODTYPE=QTR_STD&amp;window=popup_no_bar&amp;width=385&amp;height=120&amp;START_MAXIMIZED=FALSE&amp;creator=factset&amp;display_string=Audit"}</definedName>
    <definedName name="_2038__FDSAUDITLINK__" localSheetId="1" hidden="1">{"fdsup://Directions/FactSet Auditing Viewer?action=AUDIT_VALUE&amp;DB=129&amp;ID1=58711810&amp;VALUEID=01001&amp;SDATE=200702&amp;PERIODTYPE=QTR_STD&amp;window=popup_no_bar&amp;width=385&amp;height=120&amp;START_MAXIMIZED=FALSE&amp;creator=factset&amp;display_string=Audit"}</definedName>
    <definedName name="_2038__FDSAUDITLINK__" hidden="1">{"fdsup://Directions/FactSet Auditing Viewer?action=AUDIT_VALUE&amp;DB=129&amp;ID1=58711810&amp;VALUEID=01001&amp;SDATE=200702&amp;PERIODTYPE=QTR_STD&amp;window=popup_no_bar&amp;width=385&amp;height=120&amp;START_MAXIMIZED=FALSE&amp;creator=factset&amp;display_string=Audit"}</definedName>
    <definedName name="_2039__FDSAUDITLINK__" localSheetId="1" hidden="1">{"fdsup://Directions/FactSet Auditing Viewer?action=AUDIT_VALUE&amp;DB=129&amp;ID1=58711810&amp;VALUEID=02101&amp;SDATE=200702&amp;PERIODTYPE=QTR_STD&amp;window=popup_no_bar&amp;width=385&amp;height=120&amp;START_MAXIMIZED=FALSE&amp;creator=factset&amp;display_string=Audit"}</definedName>
    <definedName name="_2039__FDSAUDITLINK__" hidden="1">{"fdsup://Directions/FactSet Auditing Viewer?action=AUDIT_VALUE&amp;DB=129&amp;ID1=58711810&amp;VALUEID=02101&amp;SDATE=200702&amp;PERIODTYPE=QTR_STD&amp;window=popup_no_bar&amp;width=385&amp;height=120&amp;START_MAXIMIZED=FALSE&amp;creator=factset&amp;display_string=Audit"}</definedName>
    <definedName name="_204__FDSAUDITLINK__" localSheetId="1" hidden="1">{"fdsup://Directions/FactSet Auditing Viewer?action=AUDIT_VALUE&amp;DB=129&amp;ID1=46612H40&amp;VALUEID=02101&amp;SDATE=200703&amp;PERIODTYPE=QTR_STD&amp;window=popup_no_bar&amp;width=385&amp;height=120&amp;START_MAXIMIZED=FALSE&amp;creator=factset&amp;display_string=Audit"}</definedName>
    <definedName name="_204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2040__FDSAUDITLINK__" localSheetId="1" hidden="1">{"fdsup://Directions/FactSet Auditing Viewer?action=AUDIT_VALUE&amp;DB=129&amp;ID1=58711810&amp;VALUEID=01001&amp;SDATE=200703&amp;PERIODTYPE=QTR_STD&amp;window=popup_no_bar&amp;width=385&amp;height=120&amp;START_MAXIMIZED=FALSE&amp;creator=factset&amp;display_string=Audit"}</definedName>
    <definedName name="_2040__FDSAUDITLINK__" hidden="1">{"fdsup://Directions/FactSet Auditing Viewer?action=AUDIT_VALUE&amp;DB=129&amp;ID1=58711810&amp;VALUEID=01001&amp;SDATE=200703&amp;PERIODTYPE=QTR_STD&amp;window=popup_no_bar&amp;width=385&amp;height=120&amp;START_MAXIMIZED=FALSE&amp;creator=factset&amp;display_string=Audit"}</definedName>
    <definedName name="_2041__FDSAUDITLINK__" localSheetId="1" hidden="1">{"fdsup://Directions/FactSet Auditing Viewer?action=AUDIT_VALUE&amp;DB=129&amp;ID1=58711810&amp;VALUEID=02101&amp;SDATE=200703&amp;PERIODTYPE=QTR_STD&amp;window=popup_no_bar&amp;width=385&amp;height=120&amp;START_MAXIMIZED=FALSE&amp;creator=factset&amp;display_string=Audit"}</definedName>
    <definedName name="_2041__FDSAUDITLINK__" hidden="1">{"fdsup://Directions/FactSet Auditing Viewer?action=AUDIT_VALUE&amp;DB=129&amp;ID1=58711810&amp;VALUEID=02101&amp;SDATE=200703&amp;PERIODTYPE=QTR_STD&amp;window=popup_no_bar&amp;width=385&amp;height=120&amp;START_MAXIMIZED=FALSE&amp;creator=factset&amp;display_string=Audit"}</definedName>
    <definedName name="_2042__FDSAUDITLINK__" localSheetId="1" hidden="1">{"fdsup://Directions/FactSet Auditing Viewer?action=AUDIT_VALUE&amp;DB=129&amp;ID1=58711810&amp;VALUEID=01001&amp;SDATE=200704&amp;PERIODTYPE=QTR_STD&amp;window=popup_no_bar&amp;width=385&amp;height=120&amp;START_MAXIMIZED=FALSE&amp;creator=factset&amp;display_string=Audit"}</definedName>
    <definedName name="_2042__FDSAUDITLINK__" hidden="1">{"fdsup://Directions/FactSet Auditing Viewer?action=AUDIT_VALUE&amp;DB=129&amp;ID1=58711810&amp;VALUEID=01001&amp;SDATE=200704&amp;PERIODTYPE=QTR_STD&amp;window=popup_no_bar&amp;width=385&amp;height=120&amp;START_MAXIMIZED=FALSE&amp;creator=factset&amp;display_string=Audit"}</definedName>
    <definedName name="_2043__FDSAUDITLINK__" localSheetId="1" hidden="1">{"fdsup://Directions/FactSet Auditing Viewer?action=AUDIT_VALUE&amp;DB=129&amp;ID1=58711810&amp;VALUEID=01001&amp;SDATE=200801&amp;PERIODTYPE=QTR_STD&amp;window=popup_no_bar&amp;width=385&amp;height=120&amp;START_MAXIMIZED=FALSE&amp;creator=factset&amp;display_string=Audit"}</definedName>
    <definedName name="_2043__FDSAUDITLINK__" hidden="1">{"fdsup://Directions/FactSet Auditing Viewer?action=AUDIT_VALUE&amp;DB=129&amp;ID1=58711810&amp;VALUEID=01001&amp;SDATE=200801&amp;PERIODTYPE=QTR_STD&amp;window=popup_no_bar&amp;width=385&amp;height=120&amp;START_MAXIMIZED=FALSE&amp;creator=factset&amp;display_string=Audit"}</definedName>
    <definedName name="_2044__FDSAUDITLINK__" localSheetId="1" hidden="1">{"fdsup://Directions/FactSet Auditing Viewer?action=AUDIT_VALUE&amp;DB=129&amp;ID1=58711810&amp;VALUEID=02101&amp;SDATE=200801&amp;PERIODTYPE=QTR_STD&amp;window=popup_no_bar&amp;width=385&amp;height=120&amp;START_MAXIMIZED=FALSE&amp;creator=factset&amp;display_string=Audit"}</definedName>
    <definedName name="_2044__FDSAUDITLINK__" hidden="1">{"fdsup://Directions/FactSet Auditing Viewer?action=AUDIT_VALUE&amp;DB=129&amp;ID1=58711810&amp;VALUEID=02101&amp;SDATE=200801&amp;PERIODTYPE=QTR_STD&amp;window=popup_no_bar&amp;width=385&amp;height=120&amp;START_MAXIMIZED=FALSE&amp;creator=factset&amp;display_string=Audit"}</definedName>
    <definedName name="_2045__FDSAUDITLINK__" localSheetId="1" hidden="1">{"fdsup://Directions/FactSet Auditing Viewer?action=AUDIT_VALUE&amp;DB=129&amp;ID1=58711810&amp;VALUEID=01001&amp;SDATE=200802&amp;PERIODTYPE=QTR_STD&amp;window=popup_no_bar&amp;width=385&amp;height=120&amp;START_MAXIMIZED=FALSE&amp;creator=factset&amp;display_string=Audit"}</definedName>
    <definedName name="_2045__FDSAUDITLINK__" hidden="1">{"fdsup://Directions/FactSet Auditing Viewer?action=AUDIT_VALUE&amp;DB=129&amp;ID1=58711810&amp;VALUEID=01001&amp;SDATE=200802&amp;PERIODTYPE=QTR_STD&amp;window=popup_no_bar&amp;width=385&amp;height=120&amp;START_MAXIMIZED=FALSE&amp;creator=factset&amp;display_string=Audit"}</definedName>
    <definedName name="_2046__FDSAUDITLINK__" localSheetId="1" hidden="1">{"fdsup://Directions/FactSet Auditing Viewer?action=AUDIT_VALUE&amp;DB=129&amp;ID1=58711810&amp;VALUEID=02101&amp;SDATE=200802&amp;PERIODTYPE=QTR_STD&amp;window=popup_no_bar&amp;width=385&amp;height=120&amp;START_MAXIMIZED=FALSE&amp;creator=factset&amp;display_string=Audit"}</definedName>
    <definedName name="_2046__FDSAUDITLINK__" hidden="1">{"fdsup://Directions/FactSet Auditing Viewer?action=AUDIT_VALUE&amp;DB=129&amp;ID1=58711810&amp;VALUEID=02101&amp;SDATE=200802&amp;PERIODTYPE=QTR_STD&amp;window=popup_no_bar&amp;width=385&amp;height=120&amp;START_MAXIMIZED=FALSE&amp;creator=factset&amp;display_string=Audit"}</definedName>
    <definedName name="_2047__FDSAUDITLINK__" localSheetId="1" hidden="1">{"fdsup://Directions/FactSet Auditing Viewer?action=AUDIT_VALUE&amp;DB=129&amp;ID1=58711810&amp;VALUEID=01001&amp;SDATE=200803&amp;PERIODTYPE=QTR_STD&amp;window=popup_no_bar&amp;width=385&amp;height=120&amp;START_MAXIMIZED=FALSE&amp;creator=factset&amp;display_string=Audit"}</definedName>
    <definedName name="_2047__FDSAUDITLINK__" hidden="1">{"fdsup://Directions/FactSet Auditing Viewer?action=AUDIT_VALUE&amp;DB=129&amp;ID1=58711810&amp;VALUEID=01001&amp;SDATE=200803&amp;PERIODTYPE=QTR_STD&amp;window=popup_no_bar&amp;width=385&amp;height=120&amp;START_MAXIMIZED=FALSE&amp;creator=factset&amp;display_string=Audit"}</definedName>
    <definedName name="_2048__FDSAUDITLINK__" localSheetId="1" hidden="1">{"fdsup://Directions/FactSet Auditing Viewer?action=AUDIT_VALUE&amp;DB=129&amp;ID1=58711810&amp;VALUEID=02101&amp;SDATE=200803&amp;PERIODTYPE=QTR_STD&amp;window=popup_no_bar&amp;width=385&amp;height=120&amp;START_MAXIMIZED=FALSE&amp;creator=factset&amp;display_string=Audit"}</definedName>
    <definedName name="_2048__FDSAUDITLINK__" hidden="1">{"fdsup://Directions/FactSet Auditing Viewer?action=AUDIT_VALUE&amp;DB=129&amp;ID1=58711810&amp;VALUEID=02101&amp;SDATE=200803&amp;PERIODTYPE=QTR_STD&amp;window=popup_no_bar&amp;width=385&amp;height=120&amp;START_MAXIMIZED=FALSE&amp;creator=factset&amp;display_string=Audit"}</definedName>
    <definedName name="_2049__FDSAUDITLINK__" localSheetId="1" hidden="1">{"fdsup://Directions/FactSet Auditing Viewer?action=AUDIT_VALUE&amp;DB=129&amp;ID1=58711810&amp;VALUEID=01001&amp;SDATE=200804&amp;PERIODTYPE=QTR_STD&amp;window=popup_no_bar&amp;width=385&amp;height=120&amp;START_MAXIMIZED=FALSE&amp;creator=factset&amp;display_string=Audit"}</definedName>
    <definedName name="_2049__FDSAUDITLINK__" hidden="1">{"fdsup://Directions/FactSet Auditing Viewer?action=AUDIT_VALUE&amp;DB=129&amp;ID1=58711810&amp;VALUEID=01001&amp;SDATE=200804&amp;PERIODTYPE=QTR_STD&amp;window=popup_no_bar&amp;width=385&amp;height=120&amp;START_MAXIMIZED=FALSE&amp;creator=factset&amp;display_string=Audit"}</definedName>
    <definedName name="_205__FDSAUDITLINK__" localSheetId="1" hidden="1">{"fdsup://Directions/FactSet Auditing Viewer?action=AUDIT_VALUE&amp;DB=129&amp;ID1=46612H40&amp;VALUEID=01001&amp;SDATE=200703&amp;PERIODTYPE=QTR_STD&amp;window=popup_no_bar&amp;width=385&amp;height=120&amp;START_MAXIMIZED=FALSE&amp;creator=factset&amp;display_string=Audit"}</definedName>
    <definedName name="_205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2050__FDSAUDITLINK__" localSheetId="1" hidden="1">{"fdsup://Directions/FactSet Auditing Viewer?action=AUDIT_VALUE&amp;DB=129&amp;ID1=58711810&amp;VALUEID=01001&amp;SDATE=200902&amp;PERIODTYPE=QTR_STD&amp;window=popup_no_bar&amp;width=385&amp;height=120&amp;START_MAXIMIZED=FALSE&amp;creator=factset&amp;display_string=Audit"}</definedName>
    <definedName name="_2050__FDSAUDITLINK__" hidden="1">{"fdsup://Directions/FactSet Auditing Viewer?action=AUDIT_VALUE&amp;DB=129&amp;ID1=58711810&amp;VALUEID=01001&amp;SDATE=200902&amp;PERIODTYPE=QTR_STD&amp;window=popup_no_bar&amp;width=385&amp;height=120&amp;START_MAXIMIZED=FALSE&amp;creator=factset&amp;display_string=Audit"}</definedName>
    <definedName name="_2051__FDSAUDITLINK__" localSheetId="1" hidden="1">{"fdsup://Directions/FactSet Auditing Viewer?action=AUDIT_VALUE&amp;DB=129&amp;ID1=58711810&amp;VALUEID=02101&amp;SDATE=200902&amp;PERIODTYPE=QTR_STD&amp;window=popup_no_bar&amp;width=385&amp;height=120&amp;START_MAXIMIZED=FALSE&amp;creator=factset&amp;display_string=Audit"}</definedName>
    <definedName name="_2051__FDSAUDITLINK__" hidden="1">{"fdsup://Directions/FactSet Auditing Viewer?action=AUDIT_VALUE&amp;DB=129&amp;ID1=58711810&amp;VALUEID=02101&amp;SDATE=200902&amp;PERIODTYPE=QTR_STD&amp;window=popup_no_bar&amp;width=385&amp;height=120&amp;START_MAXIMIZED=FALSE&amp;creator=factset&amp;display_string=Audit"}</definedName>
    <definedName name="_2052__FDSAUDITLINK__" localSheetId="1" hidden="1">{"fdsup://Directions/FactSet Auditing Viewer?action=AUDIT_VALUE&amp;DB=129&amp;ID1=58711810&amp;VALUEID=01001&amp;SDATE=200903&amp;PERIODTYPE=QTR_STD&amp;window=popup_no_bar&amp;width=385&amp;height=120&amp;START_MAXIMIZED=FALSE&amp;creator=factset&amp;display_string=Audit"}</definedName>
    <definedName name="_2052__FDSAUDITLINK__" hidden="1">{"fdsup://Directions/FactSet Auditing Viewer?action=AUDIT_VALUE&amp;DB=129&amp;ID1=58711810&amp;VALUEID=01001&amp;SDATE=200903&amp;PERIODTYPE=QTR_STD&amp;window=popup_no_bar&amp;width=385&amp;height=120&amp;START_MAXIMIZED=FALSE&amp;creator=factset&amp;display_string=Audit"}</definedName>
    <definedName name="_2053__FDSAUDITLINK__" localSheetId="1" hidden="1">{"fdsup://Directions/FactSet Auditing Viewer?action=AUDIT_VALUE&amp;DB=129&amp;ID1=58711810&amp;VALUEID=02101&amp;SDATE=200903&amp;PERIODTYPE=QTR_STD&amp;window=popup_no_bar&amp;width=385&amp;height=120&amp;START_MAXIMIZED=FALSE&amp;creator=factset&amp;display_string=Audit"}</definedName>
    <definedName name="_2053__FDSAUDITLINK__" hidden="1">{"fdsup://Directions/FactSet Auditing Viewer?action=AUDIT_VALUE&amp;DB=129&amp;ID1=58711810&amp;VALUEID=02101&amp;SDATE=200903&amp;PERIODTYPE=QTR_STD&amp;window=popup_no_bar&amp;width=385&amp;height=120&amp;START_MAXIMIZED=FALSE&amp;creator=factset&amp;display_string=Audit"}</definedName>
    <definedName name="_2054__FDSAUDITLINK__" localSheetId="1" hidden="1">{"fdsup://Directions/FactSet Auditing Viewer?action=AUDIT_VALUE&amp;DB=129&amp;ID1=58711810&amp;VALUEID=01001&amp;SDATE=200904&amp;PERIODTYPE=QTR_STD&amp;window=popup_no_bar&amp;width=385&amp;height=120&amp;START_MAXIMIZED=FALSE&amp;creator=factset&amp;display_string=Audit"}</definedName>
    <definedName name="_2054__FDSAUDITLINK__" hidden="1">{"fdsup://Directions/FactSet Auditing Viewer?action=AUDIT_VALUE&amp;DB=129&amp;ID1=58711810&amp;VALUEID=01001&amp;SDATE=200904&amp;PERIODTYPE=QTR_STD&amp;window=popup_no_bar&amp;width=385&amp;height=120&amp;START_MAXIMIZED=FALSE&amp;creator=factset&amp;display_string=Audit"}</definedName>
    <definedName name="_2055__FDSAUDITLINK__" localSheetId="1" hidden="1">{"fdsup://Directions/FactSet Auditing Viewer?action=AUDIT_VALUE&amp;DB=129&amp;ID1=58711810&amp;VALUEID=01001&amp;SDATE=201001&amp;PERIODTYPE=QTR_STD&amp;window=popup_no_bar&amp;width=385&amp;height=120&amp;START_MAXIMIZED=FALSE&amp;creator=factset&amp;display_string=Audit"}</definedName>
    <definedName name="_2055__FDSAUDITLINK__" hidden="1">{"fdsup://Directions/FactSet Auditing Viewer?action=AUDIT_VALUE&amp;DB=129&amp;ID1=58711810&amp;VALUEID=01001&amp;SDATE=201001&amp;PERIODTYPE=QTR_STD&amp;window=popup_no_bar&amp;width=385&amp;height=120&amp;START_MAXIMIZED=FALSE&amp;creator=factset&amp;display_string=Audit"}</definedName>
    <definedName name="_2056__FDSAUDITLINK__" localSheetId="1" hidden="1">{"fdsup://Directions/FactSet Auditing Viewer?action=AUDIT_VALUE&amp;DB=129&amp;ID1=58711810&amp;VALUEID=02101&amp;SDATE=201001&amp;PERIODTYPE=QTR_STD&amp;window=popup_no_bar&amp;width=385&amp;height=120&amp;START_MAXIMIZED=FALSE&amp;creator=factset&amp;display_string=Audit"}</definedName>
    <definedName name="_2056__FDSAUDITLINK__" hidden="1">{"fdsup://Directions/FactSet Auditing Viewer?action=AUDIT_VALUE&amp;DB=129&amp;ID1=58711810&amp;VALUEID=02101&amp;SDATE=201001&amp;PERIODTYPE=QTR_STD&amp;window=popup_no_bar&amp;width=385&amp;height=120&amp;START_MAXIMIZED=FALSE&amp;creator=factset&amp;display_string=Audit"}</definedName>
    <definedName name="_2057__FDSAUDITLINK__" localSheetId="1"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2057__FDSAUDITLINK__"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2058__FDSAUDITLINK__" localSheetId="1"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2058__FDSAUDITLINK__"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2059__FDSAUDITLINK__" localSheetId="1"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2059__FDSAUDITLINK__"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206__FDSAUDITLINK__" localSheetId="1" hidden="1">{"fdsup://Directions/FactSet Auditing Viewer?action=AUDIT_VALUE&amp;DB=129&amp;ID1=46612H40&amp;VALUEID=13040&amp;SDATE=200703&amp;PERIODTYPE=QTR_STD&amp;window=popup_no_bar&amp;width=385&amp;height=120&amp;START_MAXIMIZED=FALSE&amp;creator=factset&amp;display_string=Audit"}</definedName>
    <definedName name="_206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2060__FDSAUDITLINK__" localSheetId="1"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2060__FDSAUDITLINK__"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2061__FDSAUDITLINK__" localSheetId="1"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2061__FDSAUDITLINK__"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2062__FDSAUDITLINK__" localSheetId="1"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2062__FDSAUDITLINK__"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2063__FDSAUDITLINK__" localSheetId="1"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2063__FDSAUDITLINK__"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2064__FDSAUDITLINK__" localSheetId="1"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2064__FDSAUDITLINK__"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2065__FDSAUDITLINK__" localSheetId="1"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2065__FDSAUDITLINK__"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2066__FDSAUDITLINK__" localSheetId="1"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2066__FDSAUDITLINK__"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2067__FDSAUDITLINK__" localSheetId="1"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2067__FDSAUDITLINK__"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2068__FDSAUDITLINK__" localSheetId="1"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2068__FDSAUDITLINK__"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2069__FDSAUDITLINK__" localSheetId="1"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2069__FDSAUDITLINK__"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207__FDSAUDITLINK__" localSheetId="1" hidden="1">{"fdsup://Directions/FactSet Auditing Viewer?action=AUDIT_VALUE&amp;DB=129&amp;ID1=36476010&amp;VALUEID=02101&amp;SDATE=200703&amp;PERIODTYPE=QTR_STD&amp;window=popup_no_bar&amp;width=385&amp;height=120&amp;START_MAXIMIZED=FALSE&amp;creator=factset&amp;display_string=Audit"}</definedName>
    <definedName name="_207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2070__FDSAUDITLINK__" localSheetId="1"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2070__FDSAUDITLINK__"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2071__FDSAUDITLINK__" localSheetId="1"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2071__FDSAUDITLINK__"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2072__FDSAUDITLINK__" localSheetId="1"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2072__FDSAUDITLINK__"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2073__FDSAUDITLINK__" localSheetId="1"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2073__FDSAUDITLINK__"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2074__FDSAUDITLINK__" localSheetId="1"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2074__FDSAUDITLINK__"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2075__FDSAUDITLINK__" localSheetId="1"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2075__FDSAUDITLINK__"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2076__FDSAUDITLINK__" localSheetId="1"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2076__FDSAUDITLINK__"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2077__FDSAUDITLINK__" localSheetId="1"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2077__FDSAUDITLINK__"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2078__FDSAUDITLINK__" localSheetId="1"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2078__FDSAUDITLINK__"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2079__FDSAUDITLINK__" localSheetId="1"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2079__FDSAUDITLINK__"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208__FDSAUDITLINK__" localSheetId="1" hidden="1">{"fdsup://Directions/FactSet Auditing Viewer?action=AUDIT_VALUE&amp;DB=129&amp;ID1=36476010&amp;VALUEID=01001&amp;SDATE=200703&amp;PERIODTYPE=QTR_STD&amp;window=popup_no_bar&amp;width=385&amp;height=120&amp;START_MAXIMIZED=FALSE&amp;creator=factset&amp;display_string=Audit"}</definedName>
    <definedName name="_208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2080__FDSAUDITLINK__" localSheetId="1"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2080__FDSAUDITLINK__"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2081__FDSAUDITLINK__" localSheetId="1"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2081__FDSAUDITLINK__"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2082__FDSAUDITLINK__" localSheetId="1"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2082__FDSAUDITLINK__"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2083__FDSAUDITLINK__" localSheetId="1"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2083__FDSAUDITLINK__"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2084__FDSAUDITLINK__" localSheetId="1" hidden="1">{"fdsup://Directions/FactSet Auditing Viewer?action=AUDIT_VALUE&amp;DB=129&amp;ID1=58711810&amp;VALUEID=13040&amp;SDATE=200702&amp;PERIODTYPE=QTR_STD&amp;window=popup_no_bar&amp;width=385&amp;height=120&amp;START_MAXIMIZED=FALSE&amp;creator=factset&amp;display_string=Audit"}</definedName>
    <definedName name="_2084__FDSAUDITLINK__" hidden="1">{"fdsup://Directions/FactSet Auditing Viewer?action=AUDIT_VALUE&amp;DB=129&amp;ID1=58711810&amp;VALUEID=13040&amp;SDATE=200702&amp;PERIODTYPE=QTR_STD&amp;window=popup_no_bar&amp;width=385&amp;height=120&amp;START_MAXIMIZED=FALSE&amp;creator=factset&amp;display_string=Audit"}</definedName>
    <definedName name="_2085__FDSAUDITLINK__" localSheetId="1" hidden="1">{"fdsup://Directions/FactSet Auditing Viewer?action=AUDIT_VALUE&amp;DB=129&amp;ID1=58711810&amp;VALUEID=13040&amp;SDATE=200701&amp;PERIODTYPE=QTR_STD&amp;window=popup_no_bar&amp;width=385&amp;height=120&amp;START_MAXIMIZED=FALSE&amp;creator=factset&amp;display_string=Audit"}</definedName>
    <definedName name="_2085__FDSAUDITLINK__" hidden="1">{"fdsup://Directions/FactSet Auditing Viewer?action=AUDIT_VALUE&amp;DB=129&amp;ID1=58711810&amp;VALUEID=13040&amp;SDATE=200701&amp;PERIODTYPE=QTR_STD&amp;window=popup_no_bar&amp;width=385&amp;height=120&amp;START_MAXIMIZED=FALSE&amp;creator=factset&amp;display_string=Audit"}</definedName>
    <definedName name="_2086__FDSAUDITLINK__" localSheetId="1" hidden="1">{"fdsup://Directions/FactSet Auditing Viewer?action=AUDIT_VALUE&amp;DB=129&amp;ID1=58711810&amp;VALUEID=13040&amp;SDATE=200703&amp;PERIODTYPE=QTR_STD&amp;window=popup_no_bar&amp;width=385&amp;height=120&amp;START_MAXIMIZED=FALSE&amp;creator=factset&amp;display_string=Audit"}</definedName>
    <definedName name="_2086__FDSAUDITLINK__" hidden="1">{"fdsup://Directions/FactSet Auditing Viewer?action=AUDIT_VALUE&amp;DB=129&amp;ID1=58711810&amp;VALUEID=13040&amp;SDATE=200703&amp;PERIODTYPE=QTR_STD&amp;window=popup_no_bar&amp;width=385&amp;height=120&amp;START_MAXIMIZED=FALSE&amp;creator=factset&amp;display_string=Audit"}</definedName>
    <definedName name="_2087__FDSAUDITLINK__" localSheetId="1" hidden="1">{"fdsup://Directions/FactSet Auditing Viewer?action=AUDIT_VALUE&amp;DB=129&amp;ID1=58711810&amp;VALUEID=13040&amp;SDATE=200802&amp;PERIODTYPE=QTR_STD&amp;window=popup_no_bar&amp;width=385&amp;height=120&amp;START_MAXIMIZED=FALSE&amp;creator=factset&amp;display_string=Audit"}</definedName>
    <definedName name="_2087__FDSAUDITLINK__" hidden="1">{"fdsup://Directions/FactSet Auditing Viewer?action=AUDIT_VALUE&amp;DB=129&amp;ID1=58711810&amp;VALUEID=13040&amp;SDATE=200802&amp;PERIODTYPE=QTR_STD&amp;window=popup_no_bar&amp;width=385&amp;height=120&amp;START_MAXIMIZED=FALSE&amp;creator=factset&amp;display_string=Audit"}</definedName>
    <definedName name="_2088__FDSAUDITLINK__" localSheetId="1" hidden="1">{"fdsup://Directions/FactSet Auditing Viewer?action=AUDIT_VALUE&amp;DB=129&amp;ID1=58711810&amp;VALUEID=13040&amp;SDATE=200801&amp;PERIODTYPE=QTR_STD&amp;window=popup_no_bar&amp;width=385&amp;height=120&amp;START_MAXIMIZED=FALSE&amp;creator=factset&amp;display_string=Audit"}</definedName>
    <definedName name="_2088__FDSAUDITLINK__" hidden="1">{"fdsup://Directions/FactSet Auditing Viewer?action=AUDIT_VALUE&amp;DB=129&amp;ID1=58711810&amp;VALUEID=13040&amp;SDATE=200801&amp;PERIODTYPE=QTR_STD&amp;window=popup_no_bar&amp;width=385&amp;height=120&amp;START_MAXIMIZED=FALSE&amp;creator=factset&amp;display_string=Audit"}</definedName>
    <definedName name="_2089__FDSAUDITLINK__" localSheetId="1"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2089__FDSAUDITLINK__"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209__FDSAUDITLINK__" localSheetId="1" hidden="1">{"fdsup://Directions/FactSet Auditing Viewer?action=AUDIT_VALUE&amp;DB=129&amp;ID1=36476010&amp;VALUEID=13040&amp;SDATE=200703&amp;PERIODTYPE=QTR_STD&amp;window=popup_no_bar&amp;width=385&amp;height=120&amp;START_MAXIMIZED=FALSE&amp;creator=factset&amp;display_string=Audit"}</definedName>
    <definedName name="_209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2090__FDSAUDITLINK__" localSheetId="1" hidden="1">{"fdsup://Directions/FactSet Auditing Viewer?action=AUDIT_VALUE&amp;DB=129&amp;ID1=58711810&amp;VALUEID=13040&amp;SDATE=200803&amp;PERIODTYPE=QTR_STD&amp;window=popup_no_bar&amp;width=385&amp;height=120&amp;START_MAXIMIZED=FALSE&amp;creator=factset&amp;display_string=Audit"}</definedName>
    <definedName name="_2090__FDSAUDITLINK__" hidden="1">{"fdsup://Directions/FactSet Auditing Viewer?action=AUDIT_VALUE&amp;DB=129&amp;ID1=58711810&amp;VALUEID=13040&amp;SDATE=200803&amp;PERIODTYPE=QTR_STD&amp;window=popup_no_bar&amp;width=385&amp;height=120&amp;START_MAXIMIZED=FALSE&amp;creator=factset&amp;display_string=Audit"}</definedName>
    <definedName name="_2091__FDSAUDITLINK__" localSheetId="1" hidden="1">{"fdsup://Directions/FactSet Auditing Viewer?action=AUDIT_VALUE&amp;DB=129&amp;ID1=58711810&amp;VALUEID=13040&amp;SDATE=200902&amp;PERIODTYPE=QTR_STD&amp;window=popup_no_bar&amp;width=385&amp;height=120&amp;START_MAXIMIZED=FALSE&amp;creator=factset&amp;display_string=Audit"}</definedName>
    <definedName name="_2091__FDSAUDITLINK__" hidden="1">{"fdsup://Directions/FactSet Auditing Viewer?action=AUDIT_VALUE&amp;DB=129&amp;ID1=58711810&amp;VALUEID=13040&amp;SDATE=200902&amp;PERIODTYPE=QTR_STD&amp;window=popup_no_bar&amp;width=385&amp;height=120&amp;START_MAXIMIZED=FALSE&amp;creator=factset&amp;display_string=Audit"}</definedName>
    <definedName name="_2092__FDSAUDITLINK__" localSheetId="1"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2092__FDSAUDITLINK__"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2093__FDSAUDITLINK__" localSheetId="1" hidden="1">{"fdsup://Directions/FactSet Auditing Viewer?action=AUDIT_VALUE&amp;DB=129&amp;ID1=58711810&amp;VALUEID=13040&amp;SDATE=200903&amp;PERIODTYPE=QTR_STD&amp;window=popup_no_bar&amp;width=385&amp;height=120&amp;START_MAXIMIZED=FALSE&amp;creator=factset&amp;display_string=Audit"}</definedName>
    <definedName name="_2093__FDSAUDITLINK__" hidden="1">{"fdsup://Directions/FactSet Auditing Viewer?action=AUDIT_VALUE&amp;DB=129&amp;ID1=58711810&amp;VALUEID=13040&amp;SDATE=200903&amp;PERIODTYPE=QTR_STD&amp;window=popup_no_bar&amp;width=385&amp;height=120&amp;START_MAXIMIZED=FALSE&amp;creator=factset&amp;display_string=Audit"}</definedName>
    <definedName name="_2094__FDSAUDITLINK__" localSheetId="1" hidden="1">{"fdsup://Directions/FactSet Auditing Viewer?action=AUDIT_VALUE&amp;DB=129&amp;ID1=58711810&amp;VALUEID=13040&amp;SDATE=200602&amp;PERIODTYPE=QTR_STD&amp;window=popup_no_bar&amp;width=385&amp;height=120&amp;START_MAXIMIZED=FALSE&amp;creator=factset&amp;display_string=Audit"}</definedName>
    <definedName name="_2094__FDSAUDITLINK__" hidden="1">{"fdsup://Directions/FactSet Auditing Viewer?action=AUDIT_VALUE&amp;DB=129&amp;ID1=58711810&amp;VALUEID=13040&amp;SDATE=200602&amp;PERIODTYPE=QTR_STD&amp;window=popup_no_bar&amp;width=385&amp;height=120&amp;START_MAXIMIZED=FALSE&amp;creator=factset&amp;display_string=Audit"}</definedName>
    <definedName name="_2095__FDSAUDITLINK__" localSheetId="1" hidden="1">{"fdsup://Directions/FactSet Auditing Viewer?action=AUDIT_VALUE&amp;DB=129&amp;ID1=58711810&amp;VALUEID=13040&amp;SDATE=200601&amp;PERIODTYPE=QTR_STD&amp;window=popup_no_bar&amp;width=385&amp;height=120&amp;START_MAXIMIZED=FALSE&amp;creator=factset&amp;display_string=Audit"}</definedName>
    <definedName name="_2095__FDSAUDITLINK__" hidden="1">{"fdsup://Directions/FactSet Auditing Viewer?action=AUDIT_VALUE&amp;DB=129&amp;ID1=58711810&amp;VALUEID=13040&amp;SDATE=200601&amp;PERIODTYPE=QTR_STD&amp;window=popup_no_bar&amp;width=385&amp;height=120&amp;START_MAXIMIZED=FALSE&amp;creator=factset&amp;display_string=Audit"}</definedName>
    <definedName name="_2096__FDSAUDITLINK__" localSheetId="1"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2096__FDSAUDITLINK__"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2097__FDSAUDITLINK__" localSheetId="1" hidden="1">{"fdsup://Directions/FactSet Auditing Viewer?action=AUDIT_VALUE&amp;DB=129&amp;ID1=58711810&amp;VALUEID=13040&amp;SDATE=200603&amp;PERIODTYPE=QTR_STD&amp;window=popup_no_bar&amp;width=385&amp;height=120&amp;START_MAXIMIZED=FALSE&amp;creator=factset&amp;display_string=Audit"}</definedName>
    <definedName name="_2097__FDSAUDITLINK__" hidden="1">{"fdsup://Directions/FactSet Auditing Viewer?action=AUDIT_VALUE&amp;DB=129&amp;ID1=58711810&amp;VALUEID=13040&amp;SDATE=200603&amp;PERIODTYPE=QTR_STD&amp;window=popup_no_bar&amp;width=385&amp;height=120&amp;START_MAXIMIZED=FALSE&amp;creator=factset&amp;display_string=Audit"}</definedName>
    <definedName name="_2098__FDSAUDITLINK__" localSheetId="1"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2098__FDSAUDITLINK__"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2099__FDSAUDITLINK__" localSheetId="1" hidden="1">{"fdsup://Directions/FactSet Auditing Viewer?action=AUDIT_VALUE&amp;DB=129&amp;ID1=58711810&amp;VALUEID=13040&amp;SDATE=201001&amp;PERIODTYPE=QTR_STD&amp;window=popup_no_bar&amp;width=385&amp;height=120&amp;START_MAXIMIZED=FALSE&amp;creator=factset&amp;display_string=Audit"}</definedName>
    <definedName name="_2099__FDSAUDITLINK__" hidden="1">{"fdsup://Directions/FactSet Auditing Viewer?action=AUDIT_VALUE&amp;DB=129&amp;ID1=58711810&amp;VALUEID=13040&amp;SDATE=201001&amp;PERIODTYPE=QTR_STD&amp;window=popup_no_bar&amp;width=385&amp;height=120&amp;START_MAXIMIZED=FALSE&amp;creator=factset&amp;display_string=Audit"}</definedName>
    <definedName name="_21__FDSAUDITLINK__" localSheetId="1" hidden="1">{"fdsup://Directions/FactSet Auditing Viewer?action=AUDIT_VALUE&amp;DB=129&amp;ID1=87416110&amp;VALUEID=01001&amp;SDATE=200904&amp;PERIODTYPE=QTR_STD&amp;window=popup_no_bar&amp;width=385&amp;height=120&amp;START_MAXIMIZED=FALSE&amp;creator=factset&amp;display_string=Audit"}</definedName>
    <definedName name="_21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210__FDSAUDITLINK__" localSheetId="1" hidden="1">{"fdsup://Directions/FactSet Auditing Viewer?action=AUDIT_VALUE&amp;DB=129&amp;ID1=03611510&amp;VALUEID=02101&amp;SDATE=200703&amp;PERIODTYPE=QTR_STD&amp;window=popup_no_bar&amp;width=385&amp;height=120&amp;START_MAXIMIZED=FALSE&amp;creator=factset&amp;display_string=Audit"}</definedName>
    <definedName name="_210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2100__FDSAUDITLINK__" localSheetId="1" hidden="1">{"fdsup://Directions/FactSet Auditing Viewer?action=AUDIT_VALUE&amp;DB=129&amp;ID1=58711810&amp;VALUEID=13040&amp;SDATE=200904&amp;PERIODTYPE=QTR_STD&amp;window=popup_no_bar&amp;width=385&amp;height=120&amp;START_MAXIMIZED=FALSE&amp;creator=factset&amp;display_string=Audit"}</definedName>
    <definedName name="_2100__FDSAUDITLINK__" hidden="1">{"fdsup://Directions/FactSet Auditing Viewer?action=AUDIT_VALUE&amp;DB=129&amp;ID1=58711810&amp;VALUEID=13040&amp;SDATE=200904&amp;PERIODTYPE=QTR_STD&amp;window=popup_no_bar&amp;width=385&amp;height=120&amp;START_MAXIMIZED=FALSE&amp;creator=factset&amp;display_string=Audit"}</definedName>
    <definedName name="_2101__FDSAUDITLINK__" localSheetId="1"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2101__FDSAUDITLINK__"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2102__FDSAUDITLINK__" localSheetId="1" hidden="1">{"fdsup://Directions/FactSet Auditing Viewer?action=AUDIT_VALUE&amp;DB=129&amp;ID1=03611510&amp;VALUEID=13040&amp;SDATE=200501&amp;PERIODTYPE=QTR_STD&amp;window=popup_no_bar&amp;width=385&amp;height=120&amp;START_MAXIMIZED=FALSE&amp;creator=factset&amp;display_string=Audit"}</definedName>
    <definedName name="_2102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2103__FDSAUDITLINK__" localSheetId="1" hidden="1">{"fdsup://Directions/FactSet Auditing Viewer?action=AUDIT_VALUE&amp;DB=129&amp;ID1=03611510&amp;VALUEID=13040&amp;SDATE=200502&amp;PERIODTYPE=QTR_STD&amp;window=popup_no_bar&amp;width=385&amp;height=120&amp;START_MAXIMIZED=FALSE&amp;creator=factset&amp;display_string=Audit"}</definedName>
    <definedName name="_2103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2104__FDSAUDITLINK__" localSheetId="1" hidden="1">{"fdsup://Directions/FactSet Auditing Viewer?action=AUDIT_VALUE&amp;DB=129&amp;ID1=03611510&amp;VALUEID=13040&amp;SDATE=200503&amp;PERIODTYPE=QTR_STD&amp;window=popup_no_bar&amp;width=385&amp;height=120&amp;START_MAXIMIZED=FALSE&amp;creator=factset&amp;display_string=Audit"}</definedName>
    <definedName name="_2104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2105__FDSAUDITLINK__" localSheetId="1" hidden="1">{"fdsup://Directions/FactSet Auditing Viewer?action=AUDIT_VALUE&amp;DB=129&amp;ID1=03611510&amp;VALUEID=13040&amp;SDATE=200601&amp;PERIODTYPE=QTR_STD&amp;window=popup_no_bar&amp;width=385&amp;height=120&amp;START_MAXIMIZED=FALSE&amp;creator=factset&amp;display_string=Audit"}</definedName>
    <definedName name="_2105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2106__FDSAUDITLINK__" localSheetId="1" hidden="1">{"fdsup://Directions/FactSet Auditing Viewer?action=AUDIT_VALUE&amp;DB=129&amp;ID1=03611510&amp;VALUEID=02101&amp;SDATE=200601&amp;PERIODTYPE=QTR_STD&amp;window=popup_no_bar&amp;width=385&amp;height=120&amp;START_MAXIMIZED=FALSE&amp;creator=factset&amp;display_string=Audit"}</definedName>
    <definedName name="_2106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2107__FDSAUDITLINK__" localSheetId="1" hidden="1">{"fdsup://Directions/FactSet Auditing Viewer?action=AUDIT_VALUE&amp;DB=129&amp;ID1=03611510&amp;VALUEID=13040&amp;SDATE=200602&amp;PERIODTYPE=QTR_STD&amp;window=popup_no_bar&amp;width=385&amp;height=120&amp;START_MAXIMIZED=FALSE&amp;creator=factset&amp;display_string=Audit"}</definedName>
    <definedName name="_2107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2108__FDSAUDITLINK__" localSheetId="1" hidden="1">{"fdsup://Directions/FactSet Auditing Viewer?action=AUDIT_VALUE&amp;DB=129&amp;ID1=03611510&amp;VALUEID=01001&amp;SDATE=200602&amp;PERIODTYPE=QTR_STD&amp;window=popup_no_bar&amp;width=385&amp;height=120&amp;START_MAXIMIZED=FALSE&amp;creator=factset&amp;display_string=Audit"}</definedName>
    <definedName name="_2108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2109__FDSAUDITLINK__" localSheetId="1" hidden="1">{"fdsup://Directions/FactSet Auditing Viewer?action=AUDIT_VALUE&amp;DB=129&amp;ID1=03611510&amp;VALUEID=02101&amp;SDATE=200602&amp;PERIODTYPE=QTR_STD&amp;window=popup_no_bar&amp;width=385&amp;height=120&amp;START_MAXIMIZED=FALSE&amp;creator=factset&amp;display_string=Audit"}</definedName>
    <definedName name="_2109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211__FDSAUDITLINK__" localSheetId="1" hidden="1">{"fdsup://Directions/FactSet Auditing Viewer?action=AUDIT_VALUE&amp;DB=129&amp;ID1=03611510&amp;VALUEID=01001&amp;SDATE=200703&amp;PERIODTYPE=QTR_STD&amp;window=popup_no_bar&amp;width=385&amp;height=120&amp;START_MAXIMIZED=FALSE&amp;creator=factset&amp;display_string=Audit"}</definedName>
    <definedName name="_211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2110__FDSAUDITLINK__" localSheetId="1" hidden="1">{"fdsup://Directions/FactSet Auditing Viewer?action=AUDIT_VALUE&amp;DB=129&amp;ID1=03611510&amp;VALUEID=13040&amp;SDATE=200603&amp;PERIODTYPE=QTR_STD&amp;window=popup_no_bar&amp;width=385&amp;height=120&amp;START_MAXIMIZED=FALSE&amp;creator=factset&amp;display_string=Audit"}</definedName>
    <definedName name="_2110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2111__FDSAUDITLINK__" localSheetId="1" hidden="1">{"fdsup://Directions/FactSet Auditing Viewer?action=AUDIT_VALUE&amp;DB=129&amp;ID1=03611510&amp;VALUEID=01001&amp;SDATE=200603&amp;PERIODTYPE=QTR_STD&amp;window=popup_no_bar&amp;width=385&amp;height=120&amp;START_MAXIMIZED=FALSE&amp;creator=factset&amp;display_string=Audit"}</definedName>
    <definedName name="_2111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2112__FDSAUDITLINK__" localSheetId="1" hidden="1">{"fdsup://Directions/FactSet Auditing Viewer?action=AUDIT_VALUE&amp;DB=129&amp;ID1=03611510&amp;VALUEID=02101&amp;SDATE=200603&amp;PERIODTYPE=QTR_STD&amp;window=popup_no_bar&amp;width=385&amp;height=120&amp;START_MAXIMIZED=FALSE&amp;creator=factset&amp;display_string=Audit"}</definedName>
    <definedName name="_2112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2113__FDSAUDITLINK__" localSheetId="1" hidden="1">{"fdsup://Directions/FactSet Auditing Viewer?action=AUDIT_VALUE&amp;DB=129&amp;ID1=03611510&amp;VALUEID=01001&amp;SDATE=200604&amp;PERIODTYPE=QTR_STD&amp;window=popup_no_bar&amp;width=385&amp;height=120&amp;START_MAXIMIZED=FALSE&amp;creator=factset&amp;display_string=Audit"}</definedName>
    <definedName name="_2113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2114__FDSAUDITLINK__" localSheetId="1" hidden="1">{"fdsup://Directions/FactSet Auditing Viewer?action=AUDIT_VALUE&amp;DB=129&amp;ID1=03611510&amp;VALUEID=13040&amp;SDATE=200701&amp;PERIODTYPE=QTR_STD&amp;window=popup_no_bar&amp;width=385&amp;height=120&amp;START_MAXIMIZED=FALSE&amp;creator=factset&amp;display_string=Audit"}</definedName>
    <definedName name="_2114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2115__FDSAUDITLINK__" localSheetId="1" hidden="1">{"fdsup://Directions/FactSet Auditing Viewer?action=AUDIT_VALUE&amp;DB=129&amp;ID1=03611510&amp;VALUEID=01001&amp;SDATE=200701&amp;PERIODTYPE=QTR_STD&amp;window=popup_no_bar&amp;width=385&amp;height=120&amp;START_MAXIMIZED=FALSE&amp;creator=factset&amp;display_string=Audit"}</definedName>
    <definedName name="_2115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2116__FDSAUDITLINK__" localSheetId="1" hidden="1">{"fdsup://Directions/FactSet Auditing Viewer?action=AUDIT_VALUE&amp;DB=129&amp;ID1=03611510&amp;VALUEID=02101&amp;SDATE=200701&amp;PERIODTYPE=QTR_STD&amp;window=popup_no_bar&amp;width=385&amp;height=120&amp;START_MAXIMIZED=FALSE&amp;creator=factset&amp;display_string=Audit"}</definedName>
    <definedName name="_2116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2117__FDSAUDITLINK__" localSheetId="1" hidden="1">{"fdsup://Directions/FactSet Auditing Viewer?action=AUDIT_VALUE&amp;DB=129&amp;ID1=03611510&amp;VALUEID=13040&amp;SDATE=200702&amp;PERIODTYPE=QTR_STD&amp;window=popup_no_bar&amp;width=385&amp;height=120&amp;START_MAXIMIZED=FALSE&amp;creator=factset&amp;display_string=Audit"}</definedName>
    <definedName name="_2117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2118__FDSAUDITLINK__" localSheetId="1" hidden="1">{"fdsup://Directions/FactSet Auditing Viewer?action=AUDIT_VALUE&amp;DB=129&amp;ID1=03611510&amp;VALUEID=01001&amp;SDATE=200702&amp;PERIODTYPE=QTR_STD&amp;window=popup_no_bar&amp;width=385&amp;height=120&amp;START_MAXIMIZED=FALSE&amp;creator=factset&amp;display_string=Audit"}</definedName>
    <definedName name="_2118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2119__FDSAUDITLINK__" localSheetId="1" hidden="1">{"fdsup://Directions/FactSet Auditing Viewer?action=AUDIT_VALUE&amp;DB=129&amp;ID1=03611510&amp;VALUEID=02101&amp;SDATE=200702&amp;PERIODTYPE=QTR_STD&amp;window=popup_no_bar&amp;width=385&amp;height=120&amp;START_MAXIMIZED=FALSE&amp;creator=factset&amp;display_string=Audit"}</definedName>
    <definedName name="_2119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212__FDSAUDITLINK__" localSheetId="1" hidden="1">{"fdsup://Directions/FactSet Auditing Viewer?action=AUDIT_VALUE&amp;DB=129&amp;ID1=03611510&amp;VALUEID=13040&amp;SDATE=200703&amp;PERIODTYPE=QTR_STD&amp;window=popup_no_bar&amp;width=385&amp;height=120&amp;START_MAXIMIZED=FALSE&amp;creator=factset&amp;display_string=Audit"}</definedName>
    <definedName name="_212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2120__FDSAUDITLINK__" localSheetId="1" hidden="1">{"fdsup://Directions/FactSet Auditing Viewer?action=AUDIT_VALUE&amp;DB=129&amp;ID1=03611510&amp;VALUEID=13040&amp;SDATE=200703&amp;PERIODTYPE=QTR_STD&amp;window=popup_no_bar&amp;width=385&amp;height=120&amp;START_MAXIMIZED=FALSE&amp;creator=factset&amp;display_string=Audit"}</definedName>
    <definedName name="_2120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2121__FDSAUDITLINK__" localSheetId="1" hidden="1">{"fdsup://Directions/FactSet Auditing Viewer?action=AUDIT_VALUE&amp;DB=129&amp;ID1=03611510&amp;VALUEID=01001&amp;SDATE=200703&amp;PERIODTYPE=QTR_STD&amp;window=popup_no_bar&amp;width=385&amp;height=120&amp;START_MAXIMIZED=FALSE&amp;creator=factset&amp;display_string=Audit"}</definedName>
    <definedName name="_2121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2122__FDSAUDITLINK__" localSheetId="1" hidden="1">{"fdsup://Directions/FactSet Auditing Viewer?action=AUDIT_VALUE&amp;DB=129&amp;ID1=03611510&amp;VALUEID=02101&amp;SDATE=200703&amp;PERIODTYPE=QTR_STD&amp;window=popup_no_bar&amp;width=385&amp;height=120&amp;START_MAXIMIZED=FALSE&amp;creator=factset&amp;display_string=Audit"}</definedName>
    <definedName name="_2122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2123__FDSAUDITLINK__" localSheetId="1" hidden="1">{"fdsup://Directions/FactSet Auditing Viewer?action=AUDIT_VALUE&amp;DB=129&amp;ID1=03611510&amp;VALUEID=13040&amp;SDATE=200704&amp;PERIODTYPE=QTR_STD&amp;window=popup_no_bar&amp;width=385&amp;height=120&amp;START_MAXIMIZED=FALSE&amp;creator=factset&amp;display_string=Audit"}</definedName>
    <definedName name="_2123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2124__FDSAUDITLINK__" localSheetId="1" hidden="1">{"fdsup://Directions/FactSet Auditing Viewer?action=AUDIT_VALUE&amp;DB=129&amp;ID1=03611510&amp;VALUEID=01001&amp;SDATE=200704&amp;PERIODTYPE=QTR_STD&amp;window=popup_no_bar&amp;width=385&amp;height=120&amp;START_MAXIMIZED=FALSE&amp;creator=factset&amp;display_string=Audit"}</definedName>
    <definedName name="_2124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2125__FDSAUDITLINK__" localSheetId="1" hidden="1">{"fdsup://Directions/FactSet Auditing Viewer?action=AUDIT_VALUE&amp;DB=129&amp;ID1=03611510&amp;VALUEID=13040&amp;SDATE=200801&amp;PERIODTYPE=QTR_STD&amp;window=popup_no_bar&amp;width=385&amp;height=120&amp;START_MAXIMIZED=FALSE&amp;creator=factset&amp;display_string=Audit"}</definedName>
    <definedName name="_2125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2126__FDSAUDITLINK__" localSheetId="1" hidden="1">{"fdsup://Directions/FactSet Auditing Viewer?action=AUDIT_VALUE&amp;DB=129&amp;ID1=03611510&amp;VALUEID=01001&amp;SDATE=200801&amp;PERIODTYPE=QTR_STD&amp;window=popup_no_bar&amp;width=385&amp;height=120&amp;START_MAXIMIZED=FALSE&amp;creator=factset&amp;display_string=Audit"}</definedName>
    <definedName name="_2126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2127__FDSAUDITLINK__" localSheetId="1" hidden="1">{"fdsup://Directions/FactSet Auditing Viewer?action=AUDIT_VALUE&amp;DB=129&amp;ID1=03611510&amp;VALUEID=02101&amp;SDATE=200801&amp;PERIODTYPE=QTR_STD&amp;window=popup_no_bar&amp;width=385&amp;height=120&amp;START_MAXIMIZED=FALSE&amp;creator=factset&amp;display_string=Audit"}</definedName>
    <definedName name="_2127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2128__FDSAUDITLINK__" localSheetId="1" hidden="1">{"fdsup://Directions/FactSet Auditing Viewer?action=AUDIT_VALUE&amp;DB=129&amp;ID1=03611510&amp;VALUEID=01001&amp;SDATE=200802&amp;PERIODTYPE=QTR_STD&amp;window=popup_no_bar&amp;width=385&amp;height=120&amp;START_MAXIMIZED=FALSE&amp;creator=factset&amp;display_string=Audit"}</definedName>
    <definedName name="_2128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2129__FDSAUDITLINK__" localSheetId="1" hidden="1">{"fdsup://Directions/FactSet Auditing Viewer?action=AUDIT_VALUE&amp;DB=129&amp;ID1=03611510&amp;VALUEID=02101&amp;SDATE=200802&amp;PERIODTYPE=QTR_STD&amp;window=popup_no_bar&amp;width=385&amp;height=120&amp;START_MAXIMIZED=FALSE&amp;creator=factset&amp;display_string=Audit"}</definedName>
    <definedName name="_2129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213__FDSAUDITLINK__" localSheetId="1" hidden="1">{"fdsup://Directions/FactSet Auditing Viewer?action=AUDIT_VALUE&amp;DB=129&amp;ID1=16890510&amp;VALUEID=02101&amp;SDATE=200703&amp;PERIODTYPE=QTR_STD&amp;window=popup_no_bar&amp;width=385&amp;height=120&amp;START_MAXIMIZED=FALSE&amp;creator=factset&amp;display_string=Audit"}</definedName>
    <definedName name="_213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2130__FDSAUDITLINK__" localSheetId="1" hidden="1">{"fdsup://Directions/FactSet Auditing Viewer?action=AUDIT_VALUE&amp;DB=129&amp;ID1=03611510&amp;VALUEID=01001&amp;SDATE=200803&amp;PERIODTYPE=QTR_STD&amp;window=popup_no_bar&amp;width=385&amp;height=120&amp;START_MAXIMIZED=FALSE&amp;creator=factset&amp;display_string=Audit"}</definedName>
    <definedName name="_2130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2131__FDSAUDITLINK__" localSheetId="1" hidden="1">{"fdsup://Directions/FactSet Auditing Viewer?action=AUDIT_VALUE&amp;DB=129&amp;ID1=03611510&amp;VALUEID=02101&amp;SDATE=200803&amp;PERIODTYPE=QTR_STD&amp;window=popup_no_bar&amp;width=385&amp;height=120&amp;START_MAXIMIZED=FALSE&amp;creator=factset&amp;display_string=Audit"}</definedName>
    <definedName name="_2131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2132__FDSAUDITLINK__" localSheetId="1" hidden="1">{"fdsup://Directions/FactSet Auditing Viewer?action=AUDIT_VALUE&amp;DB=129&amp;ID1=03611510&amp;VALUEID=01001&amp;SDATE=200804&amp;PERIODTYPE=QTR_STD&amp;window=popup_no_bar&amp;width=385&amp;height=120&amp;START_MAXIMIZED=FALSE&amp;creator=factset&amp;display_string=Audit"}</definedName>
    <definedName name="_2132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2133__FDSAUDITLINK__" localSheetId="1" hidden="1">{"fdsup://Directions/FactSet Auditing Viewer?action=AUDIT_VALUE&amp;DB=129&amp;ID1=03611510&amp;VALUEID=01001&amp;SDATE=200901&amp;PERIODTYPE=QTR_STD&amp;window=popup_no_bar&amp;width=385&amp;height=120&amp;START_MAXIMIZED=FALSE&amp;creator=factset&amp;display_string=Audit"}</definedName>
    <definedName name="_2133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2134__FDSAUDITLINK__" localSheetId="1" hidden="1">{"fdsup://Directions/FactSet Auditing Viewer?action=AUDIT_VALUE&amp;DB=129&amp;ID1=03611510&amp;VALUEID=02101&amp;SDATE=200901&amp;PERIODTYPE=QTR_STD&amp;window=popup_no_bar&amp;width=385&amp;height=120&amp;START_MAXIMIZED=FALSE&amp;creator=factset&amp;display_string=Audit"}</definedName>
    <definedName name="_2134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2135__FDSAUDITLINK__" localSheetId="1" hidden="1">{"fdsup://Directions/FactSet Auditing Viewer?action=AUDIT_VALUE&amp;DB=129&amp;ID1=03611510&amp;VALUEID=13040&amp;SDATE=200902&amp;PERIODTYPE=QTR_STD&amp;window=popup_no_bar&amp;width=385&amp;height=120&amp;START_MAXIMIZED=FALSE&amp;creator=factset&amp;display_string=Audit"}</definedName>
    <definedName name="_2135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2136__FDSAUDITLINK__" localSheetId="1" hidden="1">{"fdsup://Directions/FactSet Auditing Viewer?action=AUDIT_VALUE&amp;DB=129&amp;ID1=03611510&amp;VALUEID=01001&amp;SDATE=200902&amp;PERIODTYPE=QTR_STD&amp;window=popup_no_bar&amp;width=385&amp;height=120&amp;START_MAXIMIZED=FALSE&amp;creator=factset&amp;display_string=Audit"}</definedName>
    <definedName name="_2136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2137__FDSAUDITLINK__" localSheetId="1" hidden="1">{"fdsup://Directions/FactSet Auditing Viewer?action=AUDIT_VALUE&amp;DB=129&amp;ID1=03611510&amp;VALUEID=02101&amp;SDATE=200902&amp;PERIODTYPE=QTR_STD&amp;window=popup_no_bar&amp;width=385&amp;height=120&amp;START_MAXIMIZED=FALSE&amp;creator=factset&amp;display_string=Audit"}</definedName>
    <definedName name="_2137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2138__FDSAUDITLINK__" localSheetId="1" hidden="1">{"fdsup://Directions/FactSet Auditing Viewer?action=AUDIT_VALUE&amp;DB=129&amp;ID1=03611510&amp;VALUEID=13040&amp;SDATE=200903&amp;PERIODTYPE=QTR_STD&amp;window=popup_no_bar&amp;width=385&amp;height=120&amp;START_MAXIMIZED=FALSE&amp;creator=factset&amp;display_string=Audit"}</definedName>
    <definedName name="_2138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2139__FDSAUDITLINK__" localSheetId="1" hidden="1">{"fdsup://Directions/FactSet Auditing Viewer?action=AUDIT_VALUE&amp;DB=129&amp;ID1=03611510&amp;VALUEID=01001&amp;SDATE=200903&amp;PERIODTYPE=QTR_STD&amp;window=popup_no_bar&amp;width=385&amp;height=120&amp;START_MAXIMIZED=FALSE&amp;creator=factset&amp;display_string=Audit"}</definedName>
    <definedName name="_2139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214__FDSAUDITLINK__" localSheetId="1" hidden="1">{"fdsup://Directions/FactSet Auditing Viewer?action=AUDIT_VALUE&amp;DB=129&amp;ID1=16890510&amp;VALUEID=01001&amp;SDATE=200703&amp;PERIODTYPE=QTR_STD&amp;window=popup_no_bar&amp;width=385&amp;height=120&amp;START_MAXIMIZED=FALSE&amp;creator=factset&amp;display_string=Audit"}</definedName>
    <definedName name="_214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2140__FDSAUDITLINK__" localSheetId="1" hidden="1">{"fdsup://Directions/FactSet Auditing Viewer?action=AUDIT_VALUE&amp;DB=129&amp;ID1=03611510&amp;VALUEID=02101&amp;SDATE=200903&amp;PERIODTYPE=QTR_STD&amp;window=popup_no_bar&amp;width=385&amp;height=120&amp;START_MAXIMIZED=FALSE&amp;creator=factset&amp;display_string=Audit"}</definedName>
    <definedName name="_2140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2141__FDSAUDITLINK__" localSheetId="1" hidden="1">{"fdsup://Directions/FactSet Auditing Viewer?action=AUDIT_VALUE&amp;DB=129&amp;ID1=03611510&amp;VALUEID=01001&amp;SDATE=200904&amp;PERIODTYPE=QTR_STD&amp;window=popup_no_bar&amp;width=385&amp;height=120&amp;START_MAXIMIZED=FALSE&amp;creator=factset&amp;display_string=Audit"}</definedName>
    <definedName name="_2141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2142__FDSAUDITLINK__" localSheetId="1" hidden="1">{"fdsup://Directions/FactSet Auditing Viewer?action=AUDIT_VALUE&amp;DB=129&amp;ID1=03611510&amp;VALUEID=13040&amp;SDATE=201001&amp;PERIODTYPE=QTR_STD&amp;window=popup_no_bar&amp;width=385&amp;height=120&amp;START_MAXIMIZED=FALSE&amp;creator=factset&amp;display_string=Audit"}</definedName>
    <definedName name="_2142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2143__FDSAUDITLINK__" localSheetId="1" hidden="1">{"fdsup://Directions/FactSet Auditing Viewer?action=AUDIT_VALUE&amp;DB=129&amp;ID1=03611510&amp;VALUEID=01001&amp;SDATE=201001&amp;PERIODTYPE=QTR_STD&amp;window=popup_no_bar&amp;width=385&amp;height=120&amp;START_MAXIMIZED=FALSE&amp;creator=factset&amp;display_string=Audit"}</definedName>
    <definedName name="_2143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2144__FDSAUDITLINK__" localSheetId="1" hidden="1">{"fdsup://Directions/FactSet Auditing Viewer?action=AUDIT_VALUE&amp;DB=129&amp;ID1=03611510&amp;VALUEID=02101&amp;SDATE=201001&amp;PERIODTYPE=QTR_STD&amp;window=popup_no_bar&amp;width=385&amp;height=120&amp;START_MAXIMIZED=FALSE&amp;creator=factset&amp;display_string=Audit"}</definedName>
    <definedName name="_2144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2145__FDSAUDITLINK__" localSheetId="1" hidden="1">{"fdsup://Directions/FactSet Auditing Viewer?action=AUDIT_VALUE&amp;DB=129&amp;ID1=87416110&amp;VALUEID=02101&amp;SDATE=201001&amp;PERIODTYPE=QTR_STD&amp;window=popup_no_bar&amp;width=385&amp;height=120&amp;START_MAXIMIZED=FALSE&amp;creator=factset&amp;display_string=Audit"}</definedName>
    <definedName name="_2145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2146__FDSAUDITLINK__" localSheetId="1" hidden="1">{"fdsup://Directions/FactSet Auditing Viewer?action=AUDIT_VALUE&amp;DB=129&amp;ID1=87416110&amp;VALUEID=13040&amp;SDATE=201001&amp;PERIODTYPE=QTR_STD&amp;window=popup_no_bar&amp;width=385&amp;height=120&amp;START_MAXIMIZED=FALSE&amp;creator=factset&amp;display_string=Audit"}</definedName>
    <definedName name="_2146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2147__FDSAUDITLINK__" localSheetId="1"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2147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2148__FDSAUDITLINK__" localSheetId="1" hidden="1">{"fdsup://Directions/FactSet Auditing Viewer?action=AUDIT_VALUE&amp;DB=129&amp;ID1=53271610&amp;VALUEID=02101&amp;SDATE=201001&amp;PERIODTYPE=QTR_STD&amp;window=popup_no_bar&amp;width=385&amp;height=120&amp;START_MAXIMIZED=FALSE&amp;creator=factset&amp;display_string=Audit"}</definedName>
    <definedName name="_2148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2149__FDSAUDITLINK__" localSheetId="1" hidden="1">{"fdsup://Directions/FactSet Auditing Viewer?action=AUDIT_VALUE&amp;DB=129&amp;ID1=53271610&amp;VALUEID=13040&amp;SDATE=201001&amp;PERIODTYPE=QTR_STD&amp;window=popup_no_bar&amp;width=385&amp;height=120&amp;START_MAXIMIZED=FALSE&amp;creator=factset&amp;display_string=Audit"}</definedName>
    <definedName name="_2149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215__FDSAUDITLINK__" localSheetId="1" hidden="1">{"fdsup://Directions/FactSet Auditing Viewer?action=AUDIT_VALUE&amp;DB=129&amp;ID1=91704710&amp;VALUEID=02101&amp;SDATE=200703&amp;PERIODTYPE=QTR_STD&amp;window=popup_no_bar&amp;width=385&amp;height=120&amp;START_MAXIMIZED=FALSE&amp;creator=factset&amp;display_string=Audit"}</definedName>
    <definedName name="_215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2150__FDSAUDITLINK__" localSheetId="1" hidden="1">{"fdsup://Directions/FactSet Auditing Viewer?action=AUDIT_VALUE&amp;DB=129&amp;ID1=46612H40&amp;VALUEID=02101&amp;SDATE=201001&amp;PERIODTYPE=QTR_STD&amp;window=popup_no_bar&amp;width=385&amp;height=120&amp;START_MAXIMIZED=FALSE&amp;creator=factset&amp;display_string=Audit"}</definedName>
    <definedName name="_2150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2151__FDSAUDITLINK__" localSheetId="1" hidden="1">{"fdsup://Directions/FactSet Auditing Viewer?action=AUDIT_VALUE&amp;DB=129&amp;ID1=46612H40&amp;VALUEID=13040&amp;SDATE=201001&amp;PERIODTYPE=QTR_STD&amp;window=popup_no_bar&amp;width=385&amp;height=120&amp;START_MAXIMIZED=FALSE&amp;creator=factset&amp;display_string=Audit"}</definedName>
    <definedName name="_2151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2152__FDSAUDITLINK__" localSheetId="1" hidden="1">{"fdsup://Directions/FactSet Auditing Viewer?action=AUDIT_VALUE&amp;DB=129&amp;ID1=36476010&amp;VALUEID=02101&amp;SDATE=201001&amp;PERIODTYPE=QTR_STD&amp;window=popup_no_bar&amp;width=385&amp;height=120&amp;START_MAXIMIZED=FALSE&amp;creator=factset&amp;display_string=Audit"}</definedName>
    <definedName name="_2152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2153__FDSAUDITLINK__" localSheetId="1" hidden="1">{"fdsup://Directions/FactSet Auditing Viewer?action=AUDIT_VALUE&amp;DB=129&amp;ID1=36476010&amp;VALUEID=13040&amp;SDATE=201001&amp;PERIODTYPE=QTR_STD&amp;window=popup_no_bar&amp;width=385&amp;height=120&amp;START_MAXIMIZED=FALSE&amp;creator=factset&amp;display_string=Audit"}</definedName>
    <definedName name="_2153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2154__FDSAUDITLINK__" localSheetId="1" hidden="1">{"fdsup://Directions/FactSet Auditing Viewer?action=AUDIT_VALUE&amp;DB=129&amp;ID1=03611510&amp;VALUEID=02101&amp;SDATE=201001&amp;PERIODTYPE=QTR_STD&amp;window=popup_no_bar&amp;width=385&amp;height=120&amp;START_MAXIMIZED=FALSE&amp;creator=factset&amp;display_string=Audit"}</definedName>
    <definedName name="_2154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2155__FDSAUDITLINK__" localSheetId="1" hidden="1">{"fdsup://Directions/FactSet Auditing Viewer?action=AUDIT_VALUE&amp;DB=129&amp;ID1=03611510&amp;VALUEID=13040&amp;SDATE=201001&amp;PERIODTYPE=QTR_STD&amp;window=popup_no_bar&amp;width=385&amp;height=120&amp;START_MAXIMIZED=FALSE&amp;creator=factset&amp;display_string=Audit"}</definedName>
    <definedName name="_2155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2156__FDSAUDITLINK__" localSheetId="1" hidden="1">{"fdsup://Directions/FactSet Auditing Viewer?action=AUDIT_VALUE&amp;DB=129&amp;ID1=16890510&amp;VALUEID=02101&amp;SDATE=201001&amp;PERIODTYPE=QTR_STD&amp;window=popup_no_bar&amp;width=385&amp;height=120&amp;START_MAXIMIZED=FALSE&amp;creator=factset&amp;display_string=Audit"}</definedName>
    <definedName name="_2156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2157__FDSAUDITLINK__" localSheetId="1" hidden="1">{"fdsup://Directions/FactSet Auditing Viewer?action=AUDIT_VALUE&amp;DB=129&amp;ID1=91704710&amp;VALUEID=02101&amp;SDATE=201001&amp;PERIODTYPE=QTR_STD&amp;window=popup_no_bar&amp;width=385&amp;height=120&amp;START_MAXIMIZED=FALSE&amp;creator=factset&amp;display_string=Audit"}</definedName>
    <definedName name="_2157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2158__FDSAUDITLINK__" localSheetId="1" hidden="1">{"fdsup://Directions/FactSet Auditing Viewer?action=AUDIT_VALUE&amp;DB=129&amp;ID1=91704710&amp;VALUEID=13040&amp;SDATE=201001&amp;PERIODTYPE=QTR_STD&amp;window=popup_no_bar&amp;width=385&amp;height=120&amp;START_MAXIMIZED=FALSE&amp;creator=factset&amp;display_string=Audit"}</definedName>
    <definedName name="_2158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2159__FDSAUDITLINK__" localSheetId="1" hidden="1">{"fdsup://Directions/FactSet Auditing Viewer?action=AUDIT_VALUE&amp;DB=129&amp;ID1=02553E10&amp;VALUEID=02101&amp;SDATE=201001&amp;PERIODTYPE=QTR_STD&amp;window=popup_no_bar&amp;width=385&amp;height=120&amp;START_MAXIMIZED=FALSE&amp;creator=factset&amp;display_string=Audit"}</definedName>
    <definedName name="_2159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216__FDSAUDITLINK__" localSheetId="1" hidden="1">{"fdsup://Directions/FactSet Auditing Viewer?action=AUDIT_VALUE&amp;DB=129&amp;ID1=91704710&amp;VALUEID=01001&amp;SDATE=200703&amp;PERIODTYPE=QTR_STD&amp;window=popup_no_bar&amp;width=385&amp;height=120&amp;START_MAXIMIZED=FALSE&amp;creator=factset&amp;display_string=Audit"}</definedName>
    <definedName name="_216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2160__FDSAUDITLINK__" localSheetId="1" hidden="1">{"fdsup://Directions/FactSet Auditing Viewer?action=AUDIT_VALUE&amp;DB=129&amp;ID1=02553E10&amp;VALUEID=13040&amp;SDATE=201001&amp;PERIODTYPE=QTR_STD&amp;window=popup_no_bar&amp;width=385&amp;height=120&amp;START_MAXIMIZED=FALSE&amp;creator=factset&amp;display_string=Audit"}</definedName>
    <definedName name="_2160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2161__FDSAUDITLINK__" localSheetId="1" hidden="1">{"fdsup://Directions/FactSet Auditing Viewer?action=AUDIT_VALUE&amp;DB=129&amp;ID1=00786510&amp;VALUEID=02101&amp;SDATE=201001&amp;PERIODTYPE=QTR_STD&amp;window=popup_no_bar&amp;width=385&amp;height=120&amp;START_MAXIMIZED=FALSE&amp;creator=factset&amp;display_string=Audit"}</definedName>
    <definedName name="_2161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2162__FDSAUDITLINK__" localSheetId="1" hidden="1">{"fdsup://Directions/FactSet Auditing Viewer?action=AUDIT_VALUE&amp;DB=129&amp;ID1=00786510&amp;VALUEID=13040&amp;SDATE=201001&amp;PERIODTYPE=QTR_STD&amp;window=popup_no_bar&amp;width=385&amp;height=120&amp;START_MAXIMIZED=FALSE&amp;creator=factset&amp;display_string=Audit"}</definedName>
    <definedName name="_2162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2163__FDSAUDITLINK__" localSheetId="1" hidden="1">{"fdsup://Directions/FactSet Auditing Viewer?action=AUDIT_VALUE&amp;DB=129&amp;ID1=00289620&amp;VALUEID=02101&amp;SDATE=201001&amp;PERIODTYPE=QTR_STD&amp;window=popup_no_bar&amp;width=385&amp;height=120&amp;START_MAXIMIZED=FALSE&amp;creator=factset&amp;display_string=Audit"}</definedName>
    <definedName name="_2163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2164__FDSAUDITLINK__" localSheetId="1" hidden="1">{"fdsup://Directions/FactSet Auditing Viewer?action=AUDIT_VALUE&amp;DB=129&amp;ID1=00289620&amp;VALUEID=13040&amp;SDATE=201001&amp;PERIODTYPE=QTR_STD&amp;window=popup_no_bar&amp;width=385&amp;height=120&amp;START_MAXIMIZED=FALSE&amp;creator=factset&amp;display_string=Audit"}</definedName>
    <definedName name="_2164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2165__FDSAUDITLINK__" localSheetId="1" hidden="1">{"fdsup://Directions/FactSet Auditing Viewer?action=AUDIT_VALUE&amp;DB=129&amp;ID1=87416110&amp;VALUEID=01001&amp;SDATE=200904&amp;PERIODTYPE=QTR_STD&amp;window=popup_no_bar&amp;width=385&amp;height=120&amp;START_MAXIMIZED=FALSE&amp;creator=factset&amp;display_string=Audit"}</definedName>
    <definedName name="_2165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2166__FDSAUDITLINK__" localSheetId="1"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2166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2167__FDSAUDITLINK__" localSheetId="1" hidden="1">{"fdsup://Directions/FactSet Auditing Viewer?action=AUDIT_VALUE&amp;DB=129&amp;ID1=46612H40&amp;VALUEID=01001&amp;SDATE=200904&amp;PERIODTYPE=QTR_STD&amp;window=popup_no_bar&amp;width=385&amp;height=120&amp;START_MAXIMIZED=FALSE&amp;creator=factset&amp;display_string=Audit"}</definedName>
    <definedName name="_2167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2168__FDSAUDITLINK__" localSheetId="1" hidden="1">{"fdsup://Directions/FactSet Auditing Viewer?action=AUDIT_VALUE&amp;DB=129&amp;ID1=36476010&amp;VALUEID=01001&amp;SDATE=200904&amp;PERIODTYPE=QTR_STD&amp;window=popup_no_bar&amp;width=385&amp;height=120&amp;START_MAXIMIZED=FALSE&amp;creator=factset&amp;display_string=Audit"}</definedName>
    <definedName name="_2168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2169__FDSAUDITLINK__" localSheetId="1" hidden="1">{"fdsup://Directions/FactSet Auditing Viewer?action=AUDIT_VALUE&amp;DB=129&amp;ID1=03611510&amp;VALUEID=01001&amp;SDATE=200904&amp;PERIODTYPE=QTR_STD&amp;window=popup_no_bar&amp;width=385&amp;height=120&amp;START_MAXIMIZED=FALSE&amp;creator=factset&amp;display_string=Audit"}</definedName>
    <definedName name="_2169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217__FDSAUDITLINK__" localSheetId="1" hidden="1">{"fdsup://Directions/FactSet Auditing Viewer?action=AUDIT_VALUE&amp;DB=129&amp;ID1=91704710&amp;VALUEID=13040&amp;SDATE=200703&amp;PERIODTYPE=QTR_STD&amp;window=popup_no_bar&amp;width=385&amp;height=120&amp;START_MAXIMIZED=FALSE&amp;creator=factset&amp;display_string=Audit"}</definedName>
    <definedName name="_217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2170__FDSAUDITLINK__" localSheetId="1" hidden="1">{"fdsup://Directions/FactSet Auditing Viewer?action=AUDIT_VALUE&amp;DB=129&amp;ID1=16890510&amp;VALUEID=01001&amp;SDATE=200904&amp;PERIODTYPE=QTR_STD&amp;window=popup_no_bar&amp;width=385&amp;height=120&amp;START_MAXIMIZED=FALSE&amp;creator=factset&amp;display_string=Audit"}</definedName>
    <definedName name="_2170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2171__FDSAUDITLINK__" localSheetId="1" hidden="1">{"fdsup://Directions/FactSet Auditing Viewer?action=AUDIT_VALUE&amp;DB=129&amp;ID1=91704710&amp;VALUEID=01001&amp;SDATE=200904&amp;PERIODTYPE=QTR_STD&amp;window=popup_no_bar&amp;width=385&amp;height=120&amp;START_MAXIMIZED=FALSE&amp;creator=factset&amp;display_string=Audit"}</definedName>
    <definedName name="_2171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2172__FDSAUDITLINK__" localSheetId="1" hidden="1">{"fdsup://Directions/FactSet Auditing Viewer?action=AUDIT_VALUE&amp;DB=129&amp;ID1=02553E10&amp;VALUEID=01001&amp;SDATE=200904&amp;PERIODTYPE=QTR_STD&amp;window=popup_no_bar&amp;width=385&amp;height=120&amp;START_MAXIMIZED=FALSE&amp;creator=factset&amp;display_string=Audit"}</definedName>
    <definedName name="_2172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2173__FDSAUDITLINK__" localSheetId="1" hidden="1">{"fdsup://Directions/FactSet Auditing Viewer?action=AUDIT_VALUE&amp;DB=129&amp;ID1=00786510&amp;VALUEID=01001&amp;SDATE=200904&amp;PERIODTYPE=QTR_STD&amp;window=popup_no_bar&amp;width=385&amp;height=120&amp;START_MAXIMIZED=FALSE&amp;creator=factset&amp;display_string=Audit"}</definedName>
    <definedName name="_2173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2174__FDSAUDITLINK__" localSheetId="1" hidden="1">{"fdsup://Directions/FactSet Auditing Viewer?action=AUDIT_VALUE&amp;DB=129&amp;ID1=87416110&amp;VALUEID=02101&amp;SDATE=200903&amp;PERIODTYPE=QTR_STD&amp;window=popup_no_bar&amp;width=385&amp;height=120&amp;START_MAXIMIZED=FALSE&amp;creator=factset&amp;display_string=Audit"}</definedName>
    <definedName name="_2174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2175__FDSAUDITLINK__" localSheetId="1" hidden="1">{"fdsup://Directions/FactSet Auditing Viewer?action=AUDIT_VALUE&amp;DB=129&amp;ID1=87416110&amp;VALUEID=01001&amp;SDATE=200903&amp;PERIODTYPE=QTR_STD&amp;window=popup_no_bar&amp;width=385&amp;height=120&amp;START_MAXIMIZED=FALSE&amp;creator=factset&amp;display_string=Audit"}</definedName>
    <definedName name="_2175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2176__FDSAUDITLINK__" localSheetId="1" hidden="1">{"fdsup://Directions/FactSet Auditing Viewer?action=AUDIT_VALUE&amp;DB=129&amp;ID1=87416110&amp;VALUEID=13040&amp;SDATE=200903&amp;PERIODTYPE=QTR_STD&amp;window=popup_no_bar&amp;width=385&amp;height=120&amp;START_MAXIMIZED=FALSE&amp;creator=factset&amp;display_string=Audit"}</definedName>
    <definedName name="_2176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2177__FDSAUDITLINK__" localSheetId="1"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2177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2178__FDSAUDITLINK__" localSheetId="1" hidden="1">{"fdsup://Directions/FactSet Auditing Viewer?action=AUDIT_VALUE&amp;DB=129&amp;ID1=53271610&amp;VALUEID=02101&amp;SDATE=200903&amp;PERIODTYPE=QTR_STD&amp;window=popup_no_bar&amp;width=385&amp;height=120&amp;START_MAXIMIZED=FALSE&amp;creator=factset&amp;display_string=Audit"}</definedName>
    <definedName name="_2178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2179__FDSAUDITLINK__" localSheetId="1" hidden="1">{"fdsup://Directions/FactSet Auditing Viewer?action=AUDIT_VALUE&amp;DB=129&amp;ID1=53271610&amp;VALUEID=01001&amp;SDATE=200903&amp;PERIODTYPE=QTR_STD&amp;window=popup_no_bar&amp;width=385&amp;height=120&amp;START_MAXIMIZED=FALSE&amp;creator=factset&amp;display_string=Audit"}</definedName>
    <definedName name="_2179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218__FDSAUDITLINK__" localSheetId="1" hidden="1">{"fdsup://Directions/FactSet Auditing Viewer?action=AUDIT_VALUE&amp;DB=129&amp;ID1=02553E10&amp;VALUEID=02101&amp;SDATE=200703&amp;PERIODTYPE=QTR_STD&amp;window=popup_no_bar&amp;width=385&amp;height=120&amp;START_MAXIMIZED=FALSE&amp;creator=factset&amp;display_string=Audit"}</definedName>
    <definedName name="_218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2180__FDSAUDITLINK__" localSheetId="1" hidden="1">{"fdsup://Directions/FactSet Auditing Viewer?action=AUDIT_VALUE&amp;DB=129&amp;ID1=53271610&amp;VALUEID=13040&amp;SDATE=200903&amp;PERIODTYPE=QTR_STD&amp;window=popup_no_bar&amp;width=385&amp;height=120&amp;START_MAXIMIZED=FALSE&amp;creator=factset&amp;display_string=Audit"}</definedName>
    <definedName name="_2180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2181__FDSAUDITLINK__" localSheetId="1" hidden="1">{"fdsup://Directions/FactSet Auditing Viewer?action=AUDIT_VALUE&amp;DB=129&amp;ID1=46612H40&amp;VALUEID=02101&amp;SDATE=200903&amp;PERIODTYPE=QTR_STD&amp;window=popup_no_bar&amp;width=385&amp;height=120&amp;START_MAXIMIZED=FALSE&amp;creator=factset&amp;display_string=Audit"}</definedName>
    <definedName name="_2181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2182__FDSAUDITLINK__" localSheetId="1" hidden="1">{"fdsup://Directions/FactSet Auditing Viewer?action=AUDIT_VALUE&amp;DB=129&amp;ID1=46612H40&amp;VALUEID=01001&amp;SDATE=200903&amp;PERIODTYPE=QTR_STD&amp;window=popup_no_bar&amp;width=385&amp;height=120&amp;START_MAXIMIZED=FALSE&amp;creator=factset&amp;display_string=Audit"}</definedName>
    <definedName name="_2182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2183__FDSAUDITLINK__" localSheetId="1" hidden="1">{"fdsup://Directions/FactSet Auditing Viewer?action=AUDIT_VALUE&amp;DB=129&amp;ID1=46612H40&amp;VALUEID=13040&amp;SDATE=200903&amp;PERIODTYPE=QTR_STD&amp;window=popup_no_bar&amp;width=385&amp;height=120&amp;START_MAXIMIZED=FALSE&amp;creator=factset&amp;display_string=Audit"}</definedName>
    <definedName name="_2183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2184__FDSAUDITLINK__" localSheetId="1" hidden="1">{"fdsup://Directions/FactSet Auditing Viewer?action=AUDIT_VALUE&amp;DB=129&amp;ID1=36476010&amp;VALUEID=02101&amp;SDATE=200903&amp;PERIODTYPE=QTR_STD&amp;window=popup_no_bar&amp;width=385&amp;height=120&amp;START_MAXIMIZED=FALSE&amp;creator=factset&amp;display_string=Audit"}</definedName>
    <definedName name="_2184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2185__FDSAUDITLINK__" localSheetId="1" hidden="1">{"fdsup://Directions/FactSet Auditing Viewer?action=AUDIT_VALUE&amp;DB=129&amp;ID1=36476010&amp;VALUEID=01001&amp;SDATE=200903&amp;PERIODTYPE=QTR_STD&amp;window=popup_no_bar&amp;width=385&amp;height=120&amp;START_MAXIMIZED=FALSE&amp;creator=factset&amp;display_string=Audit"}</definedName>
    <definedName name="_2185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2186__FDSAUDITLINK__" localSheetId="1" hidden="1">{"fdsup://Directions/FactSet Auditing Viewer?action=AUDIT_VALUE&amp;DB=129&amp;ID1=36476010&amp;VALUEID=13040&amp;SDATE=200903&amp;PERIODTYPE=QTR_STD&amp;window=popup_no_bar&amp;width=385&amp;height=120&amp;START_MAXIMIZED=FALSE&amp;creator=factset&amp;display_string=Audit"}</definedName>
    <definedName name="_2186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2187__FDSAUDITLINK__" localSheetId="1" hidden="1">{"fdsup://Directions/FactSet Auditing Viewer?action=AUDIT_VALUE&amp;DB=129&amp;ID1=03611510&amp;VALUEID=02101&amp;SDATE=200903&amp;PERIODTYPE=QTR_STD&amp;window=popup_no_bar&amp;width=385&amp;height=120&amp;START_MAXIMIZED=FALSE&amp;creator=factset&amp;display_string=Audit"}</definedName>
    <definedName name="_2187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2188__FDSAUDITLINK__" localSheetId="1" hidden="1">{"fdsup://Directions/FactSet Auditing Viewer?action=AUDIT_VALUE&amp;DB=129&amp;ID1=03611510&amp;VALUEID=01001&amp;SDATE=200903&amp;PERIODTYPE=QTR_STD&amp;window=popup_no_bar&amp;width=385&amp;height=120&amp;START_MAXIMIZED=FALSE&amp;creator=factset&amp;display_string=Audit"}</definedName>
    <definedName name="_2188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2189__FDSAUDITLINK__" localSheetId="1" hidden="1">{"fdsup://Directions/FactSet Auditing Viewer?action=AUDIT_VALUE&amp;DB=129&amp;ID1=03611510&amp;VALUEID=13040&amp;SDATE=200903&amp;PERIODTYPE=QTR_STD&amp;window=popup_no_bar&amp;width=385&amp;height=120&amp;START_MAXIMIZED=FALSE&amp;creator=factset&amp;display_string=Audit"}</definedName>
    <definedName name="_2189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219__FDSAUDITLINK__" localSheetId="1" hidden="1">{"fdsup://Directions/FactSet Auditing Viewer?action=AUDIT_VALUE&amp;DB=129&amp;ID1=02553E10&amp;VALUEID=01001&amp;SDATE=200703&amp;PERIODTYPE=QTR_STD&amp;window=popup_no_bar&amp;width=385&amp;height=120&amp;START_MAXIMIZED=FALSE&amp;creator=factset&amp;display_string=Audit"}</definedName>
    <definedName name="_219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2190__FDSAUDITLINK__" localSheetId="1" hidden="1">{"fdsup://Directions/FactSet Auditing Viewer?action=AUDIT_VALUE&amp;DB=129&amp;ID1=16890510&amp;VALUEID=02101&amp;SDATE=200903&amp;PERIODTYPE=QTR_STD&amp;window=popup_no_bar&amp;width=385&amp;height=120&amp;START_MAXIMIZED=FALSE&amp;creator=factset&amp;display_string=Audit"}</definedName>
    <definedName name="_2190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2191__FDSAUDITLINK__" localSheetId="1" hidden="1">{"fdsup://Directions/FactSet Auditing Viewer?action=AUDIT_VALUE&amp;DB=129&amp;ID1=16890510&amp;VALUEID=01001&amp;SDATE=200903&amp;PERIODTYPE=QTR_STD&amp;window=popup_no_bar&amp;width=385&amp;height=120&amp;START_MAXIMIZED=FALSE&amp;creator=factset&amp;display_string=Audit"}</definedName>
    <definedName name="_2191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2192__FDSAUDITLINK__" localSheetId="1" hidden="1">{"fdsup://Directions/FactSet Auditing Viewer?action=AUDIT_VALUE&amp;DB=129&amp;ID1=91704710&amp;VALUEID=02101&amp;SDATE=200903&amp;PERIODTYPE=QTR_STD&amp;window=popup_no_bar&amp;width=385&amp;height=120&amp;START_MAXIMIZED=FALSE&amp;creator=factset&amp;display_string=Audit"}</definedName>
    <definedName name="_2192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2193__FDSAUDITLINK__" localSheetId="1" hidden="1">{"fdsup://Directions/FactSet Auditing Viewer?action=AUDIT_VALUE&amp;DB=129&amp;ID1=91704710&amp;VALUEID=01001&amp;SDATE=200903&amp;PERIODTYPE=QTR_STD&amp;window=popup_no_bar&amp;width=385&amp;height=120&amp;START_MAXIMIZED=FALSE&amp;creator=factset&amp;display_string=Audit"}</definedName>
    <definedName name="_2193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2194__FDSAUDITLINK__" localSheetId="1" hidden="1">{"fdsup://Directions/FactSet Auditing Viewer?action=AUDIT_VALUE&amp;DB=129&amp;ID1=91704710&amp;VALUEID=13040&amp;SDATE=200903&amp;PERIODTYPE=QTR_STD&amp;window=popup_no_bar&amp;width=385&amp;height=120&amp;START_MAXIMIZED=FALSE&amp;creator=factset&amp;display_string=Audit"}</definedName>
    <definedName name="_2194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2195__FDSAUDITLINK__" localSheetId="1" hidden="1">{"fdsup://Directions/FactSet Auditing Viewer?action=AUDIT_VALUE&amp;DB=129&amp;ID1=02553E10&amp;VALUEID=02101&amp;SDATE=200903&amp;PERIODTYPE=QTR_STD&amp;window=popup_no_bar&amp;width=385&amp;height=120&amp;START_MAXIMIZED=FALSE&amp;creator=factset&amp;display_string=Audit"}</definedName>
    <definedName name="_2195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2196__FDSAUDITLINK__" localSheetId="1" hidden="1">{"fdsup://Directions/FactSet Auditing Viewer?action=AUDIT_VALUE&amp;DB=129&amp;ID1=02553E10&amp;VALUEID=01001&amp;SDATE=200903&amp;PERIODTYPE=QTR_STD&amp;window=popup_no_bar&amp;width=385&amp;height=120&amp;START_MAXIMIZED=FALSE&amp;creator=factset&amp;display_string=Audit"}</definedName>
    <definedName name="_2196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2197__FDSAUDITLINK__" localSheetId="1" hidden="1">{"fdsup://Directions/FactSet Auditing Viewer?action=AUDIT_VALUE&amp;DB=129&amp;ID1=00786510&amp;VALUEID=02101&amp;SDATE=200903&amp;PERIODTYPE=QTR_STD&amp;window=popup_no_bar&amp;width=385&amp;height=120&amp;START_MAXIMIZED=FALSE&amp;creator=factset&amp;display_string=Audit"}</definedName>
    <definedName name="_2197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2198__FDSAUDITLINK__" localSheetId="1" hidden="1">{"fdsup://Directions/FactSet Auditing Viewer?action=AUDIT_VALUE&amp;DB=129&amp;ID1=00786510&amp;VALUEID=01001&amp;SDATE=200903&amp;PERIODTYPE=QTR_STD&amp;window=popup_no_bar&amp;width=385&amp;height=120&amp;START_MAXIMIZED=FALSE&amp;creator=factset&amp;display_string=Audit"}</definedName>
    <definedName name="_2198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2199__FDSAUDITLINK__" localSheetId="1" hidden="1">{"fdsup://Directions/FactSet Auditing Viewer?action=AUDIT_VALUE&amp;DB=129&amp;ID1=00786510&amp;VALUEID=13040&amp;SDATE=200903&amp;PERIODTYPE=QTR_STD&amp;window=popup_no_bar&amp;width=385&amp;height=120&amp;START_MAXIMIZED=FALSE&amp;creator=factset&amp;display_string=Audit"}</definedName>
    <definedName name="_2199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22__FDSAUDITLINK__" localSheetId="1"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22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220__FDSAUDITLINK__" localSheetId="1" hidden="1">{"fdsup://Directions/FactSet Auditing Viewer?action=AUDIT_VALUE&amp;DB=129&amp;ID1=00786510&amp;VALUEID=02101&amp;SDATE=200703&amp;PERIODTYPE=QTR_STD&amp;window=popup_no_bar&amp;width=385&amp;height=120&amp;START_MAXIMIZED=FALSE&amp;creator=factset&amp;display_string=Audit"}</definedName>
    <definedName name="_220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2200__FDSAUDITLINK__" localSheetId="1" hidden="1">{"fdsup://Directions/FactSet Auditing Viewer?action=AUDIT_VALUE&amp;DB=129&amp;ID1=00289620&amp;VALUEID=02101&amp;SDATE=200903&amp;PERIODTYPE=QTR_STD&amp;window=popup_no_bar&amp;width=385&amp;height=120&amp;START_MAXIMIZED=FALSE&amp;creator=factset&amp;display_string=Audit"}</definedName>
    <definedName name="_2200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2201__FDSAUDITLINK__" localSheetId="1" hidden="1">{"fdsup://Directions/FactSet Auditing Viewer?action=AUDIT_VALUE&amp;DB=129&amp;ID1=00289620&amp;VALUEID=01001&amp;SDATE=200903&amp;PERIODTYPE=QTR_STD&amp;window=popup_no_bar&amp;width=385&amp;height=120&amp;START_MAXIMIZED=FALSE&amp;creator=factset&amp;display_string=Audit"}</definedName>
    <definedName name="_2201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2202__FDSAUDITLINK__" localSheetId="1" hidden="1">{"fdsup://Directions/FactSet Auditing Viewer?action=AUDIT_VALUE&amp;DB=129&amp;ID1=00289620&amp;VALUEID=13040&amp;SDATE=200903&amp;PERIODTYPE=QTR_STD&amp;window=popup_no_bar&amp;width=385&amp;height=120&amp;START_MAXIMIZED=FALSE&amp;creator=factset&amp;display_string=Audit"}</definedName>
    <definedName name="_2202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2203__FDSAUDITLINK__" localSheetId="1" hidden="1">{"fdsup://Directions/FactSet Auditing Viewer?action=AUDIT_VALUE&amp;DB=129&amp;ID1=87416110&amp;VALUEID=02101&amp;SDATE=200902&amp;PERIODTYPE=QTR_STD&amp;window=popup_no_bar&amp;width=385&amp;height=120&amp;START_MAXIMIZED=FALSE&amp;creator=factset&amp;display_string=Audit"}</definedName>
    <definedName name="_2203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2204__FDSAUDITLINK__" localSheetId="1" hidden="1">{"fdsup://Directions/FactSet Auditing Viewer?action=AUDIT_VALUE&amp;DB=129&amp;ID1=87416110&amp;VALUEID=01001&amp;SDATE=200902&amp;PERIODTYPE=QTR_STD&amp;window=popup_no_bar&amp;width=385&amp;height=120&amp;START_MAXIMIZED=FALSE&amp;creator=factset&amp;display_string=Audit"}</definedName>
    <definedName name="_2204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2205__FDSAUDITLINK__" localSheetId="1" hidden="1">{"fdsup://Directions/FactSet Auditing Viewer?action=AUDIT_VALUE&amp;DB=129&amp;ID1=53271610&amp;VALUEID=02101&amp;SDATE=200902&amp;PERIODTYPE=QTR_STD&amp;window=popup_no_bar&amp;width=385&amp;height=120&amp;START_MAXIMIZED=FALSE&amp;creator=factset&amp;display_string=Audit"}</definedName>
    <definedName name="_2205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2206__FDSAUDITLINK__" localSheetId="1" hidden="1">{"fdsup://Directions/FactSet Auditing Viewer?action=AUDIT_VALUE&amp;DB=129&amp;ID1=53271610&amp;VALUEID=01001&amp;SDATE=200902&amp;PERIODTYPE=QTR_STD&amp;window=popup_no_bar&amp;width=385&amp;height=120&amp;START_MAXIMIZED=FALSE&amp;creator=factset&amp;display_string=Audit"}</definedName>
    <definedName name="_2206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2207__FDSAUDITLINK__" localSheetId="1" hidden="1">{"fdsup://Directions/FactSet Auditing Viewer?action=AUDIT_VALUE&amp;DB=129&amp;ID1=53271610&amp;VALUEID=13040&amp;SDATE=200902&amp;PERIODTYPE=QTR_STD&amp;window=popup_no_bar&amp;width=385&amp;height=120&amp;START_MAXIMIZED=FALSE&amp;creator=factset&amp;display_string=Audit"}</definedName>
    <definedName name="_2207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2208__FDSAUDITLINK__" localSheetId="1" hidden="1">{"fdsup://Directions/FactSet Auditing Viewer?action=AUDIT_VALUE&amp;DB=129&amp;ID1=46612H40&amp;VALUEID=02101&amp;SDATE=200902&amp;PERIODTYPE=QTR_STD&amp;window=popup_no_bar&amp;width=385&amp;height=120&amp;START_MAXIMIZED=FALSE&amp;creator=factset&amp;display_string=Audit"}</definedName>
    <definedName name="_2208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2209__FDSAUDITLINK__" localSheetId="1" hidden="1">{"fdsup://Directions/FactSet Auditing Viewer?action=AUDIT_VALUE&amp;DB=129&amp;ID1=46612H40&amp;VALUEID=01001&amp;SDATE=200902&amp;PERIODTYPE=QTR_STD&amp;window=popup_no_bar&amp;width=385&amp;height=120&amp;START_MAXIMIZED=FALSE&amp;creator=factset&amp;display_string=Audit"}</definedName>
    <definedName name="_2209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221__FDSAUDITLINK__" localSheetId="1" hidden="1">{"fdsup://Directions/FactSet Auditing Viewer?action=AUDIT_VALUE&amp;DB=129&amp;ID1=00786510&amp;VALUEID=01001&amp;SDATE=200703&amp;PERIODTYPE=QTR_STD&amp;window=popup_no_bar&amp;width=385&amp;height=120&amp;START_MAXIMIZED=FALSE&amp;creator=factset&amp;display_string=Audit"}</definedName>
    <definedName name="_221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2210__FDSAUDITLINK__" localSheetId="1" hidden="1">{"fdsup://Directions/FactSet Auditing Viewer?action=AUDIT_VALUE&amp;DB=129&amp;ID1=46612H40&amp;VALUEID=13040&amp;SDATE=200902&amp;PERIODTYPE=QTR_STD&amp;window=popup_no_bar&amp;width=385&amp;height=120&amp;START_MAXIMIZED=FALSE&amp;creator=factset&amp;display_string=Audit"}</definedName>
    <definedName name="_2210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2211__FDSAUDITLINK__" localSheetId="1" hidden="1">{"fdsup://Directions/FactSet Auditing Viewer?action=AUDIT_VALUE&amp;DB=129&amp;ID1=36476010&amp;VALUEID=02101&amp;SDATE=200902&amp;PERIODTYPE=QTR_STD&amp;window=popup_no_bar&amp;width=385&amp;height=120&amp;START_MAXIMIZED=FALSE&amp;creator=factset&amp;display_string=Audit"}</definedName>
    <definedName name="_2211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2212__FDSAUDITLINK__" localSheetId="1" hidden="1">{"fdsup://Directions/FactSet Auditing Viewer?action=AUDIT_VALUE&amp;DB=129&amp;ID1=36476010&amp;VALUEID=01001&amp;SDATE=200902&amp;PERIODTYPE=QTR_STD&amp;window=popup_no_bar&amp;width=385&amp;height=120&amp;START_MAXIMIZED=FALSE&amp;creator=factset&amp;display_string=Audit"}</definedName>
    <definedName name="_2212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2213__FDSAUDITLINK__" localSheetId="1" hidden="1">{"fdsup://Directions/FactSet Auditing Viewer?action=AUDIT_VALUE&amp;DB=129&amp;ID1=36476010&amp;VALUEID=13040&amp;SDATE=200902&amp;PERIODTYPE=QTR_STD&amp;window=popup_no_bar&amp;width=385&amp;height=120&amp;START_MAXIMIZED=FALSE&amp;creator=factset&amp;display_string=Audit"}</definedName>
    <definedName name="_2213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2214__FDSAUDITLINK__" localSheetId="1" hidden="1">{"fdsup://Directions/FactSet Auditing Viewer?action=AUDIT_VALUE&amp;DB=129&amp;ID1=03611510&amp;VALUEID=02101&amp;SDATE=200902&amp;PERIODTYPE=QTR_STD&amp;window=popup_no_bar&amp;width=385&amp;height=120&amp;START_MAXIMIZED=FALSE&amp;creator=factset&amp;display_string=Audit"}</definedName>
    <definedName name="_2214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2215__FDSAUDITLINK__" localSheetId="1" hidden="1">{"fdsup://Directions/FactSet Auditing Viewer?action=AUDIT_VALUE&amp;DB=129&amp;ID1=03611510&amp;VALUEID=01001&amp;SDATE=200902&amp;PERIODTYPE=QTR_STD&amp;window=popup_no_bar&amp;width=385&amp;height=120&amp;START_MAXIMIZED=FALSE&amp;creator=factset&amp;display_string=Audit"}</definedName>
    <definedName name="_2215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2216__FDSAUDITLINK__" localSheetId="1" hidden="1">{"fdsup://Directions/FactSet Auditing Viewer?action=AUDIT_VALUE&amp;DB=129&amp;ID1=03611510&amp;VALUEID=13040&amp;SDATE=200902&amp;PERIODTYPE=QTR_STD&amp;window=popup_no_bar&amp;width=385&amp;height=120&amp;START_MAXIMIZED=FALSE&amp;creator=factset&amp;display_string=Audit"}</definedName>
    <definedName name="_2216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2217__FDSAUDITLINK__" localSheetId="1" hidden="1">{"fdsup://Directions/FactSet Auditing Viewer?action=AUDIT_VALUE&amp;DB=129&amp;ID1=16890510&amp;VALUEID=02101&amp;SDATE=200902&amp;PERIODTYPE=QTR_STD&amp;window=popup_no_bar&amp;width=385&amp;height=120&amp;START_MAXIMIZED=FALSE&amp;creator=factset&amp;display_string=Audit"}</definedName>
    <definedName name="_2217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2218__FDSAUDITLINK__" localSheetId="1" hidden="1">{"fdsup://Directions/FactSet Auditing Viewer?action=AUDIT_VALUE&amp;DB=129&amp;ID1=16890510&amp;VALUEID=01001&amp;SDATE=200902&amp;PERIODTYPE=QTR_STD&amp;window=popup_no_bar&amp;width=385&amp;height=120&amp;START_MAXIMIZED=FALSE&amp;creator=factset&amp;display_string=Audit"}</definedName>
    <definedName name="_2218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2219__FDSAUDITLINK__" localSheetId="1" hidden="1">{"fdsup://Directions/FactSet Auditing Viewer?action=AUDIT_VALUE&amp;DB=129&amp;ID1=91704710&amp;VALUEID=02101&amp;SDATE=200902&amp;PERIODTYPE=QTR_STD&amp;window=popup_no_bar&amp;width=385&amp;height=120&amp;START_MAXIMIZED=FALSE&amp;creator=factset&amp;display_string=Audit"}</definedName>
    <definedName name="_2219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222__FDSAUDITLINK__" localSheetId="1" hidden="1">{"fdsup://Directions/FactSet Auditing Viewer?action=AUDIT_VALUE&amp;DB=129&amp;ID1=00786510&amp;VALUEID=13040&amp;SDATE=200703&amp;PERIODTYPE=QTR_STD&amp;window=popup_no_bar&amp;width=385&amp;height=120&amp;START_MAXIMIZED=FALSE&amp;creator=factset&amp;display_string=Audit"}</definedName>
    <definedName name="_222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2220__FDSAUDITLINK__" localSheetId="1" hidden="1">{"fdsup://Directions/FactSet Auditing Viewer?action=AUDIT_VALUE&amp;DB=129&amp;ID1=91704710&amp;VALUEID=01001&amp;SDATE=200902&amp;PERIODTYPE=QTR_STD&amp;window=popup_no_bar&amp;width=385&amp;height=120&amp;START_MAXIMIZED=FALSE&amp;creator=factset&amp;display_string=Audit"}</definedName>
    <definedName name="_2220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2221__FDSAUDITLINK__" localSheetId="1" hidden="1">{"fdsup://Directions/FactSet Auditing Viewer?action=AUDIT_VALUE&amp;DB=129&amp;ID1=02553E10&amp;VALUEID=02101&amp;SDATE=200902&amp;PERIODTYPE=QTR_STD&amp;window=popup_no_bar&amp;width=385&amp;height=120&amp;START_MAXIMIZED=FALSE&amp;creator=factset&amp;display_string=Audit"}</definedName>
    <definedName name="_2221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2222__FDSAUDITLINK__" localSheetId="1" hidden="1">{"fdsup://Directions/FactSet Auditing Viewer?action=AUDIT_VALUE&amp;DB=129&amp;ID1=02553E10&amp;VALUEID=01001&amp;SDATE=200902&amp;PERIODTYPE=QTR_STD&amp;window=popup_no_bar&amp;width=385&amp;height=120&amp;START_MAXIMIZED=FALSE&amp;creator=factset&amp;display_string=Audit"}</definedName>
    <definedName name="_2222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2223__FDSAUDITLINK__" localSheetId="1" hidden="1">{"fdsup://Directions/FactSet Auditing Viewer?action=AUDIT_VALUE&amp;DB=129&amp;ID1=02553E10&amp;VALUEID=13040&amp;SDATE=200902&amp;PERIODTYPE=QTR_STD&amp;window=popup_no_bar&amp;width=385&amp;height=120&amp;START_MAXIMIZED=FALSE&amp;creator=factset&amp;display_string=Audit"}</definedName>
    <definedName name="_2223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2224__FDSAUDITLINK__" localSheetId="1" hidden="1">{"fdsup://Directions/FactSet Auditing Viewer?action=AUDIT_VALUE&amp;DB=129&amp;ID1=00786510&amp;VALUEID=02101&amp;SDATE=200902&amp;PERIODTYPE=QTR_STD&amp;window=popup_no_bar&amp;width=385&amp;height=120&amp;START_MAXIMIZED=FALSE&amp;creator=factset&amp;display_string=Audit"}</definedName>
    <definedName name="_2224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2225__FDSAUDITLINK__" localSheetId="1" hidden="1">{"fdsup://Directions/FactSet Auditing Viewer?action=AUDIT_VALUE&amp;DB=129&amp;ID1=00786510&amp;VALUEID=01001&amp;SDATE=200902&amp;PERIODTYPE=QTR_STD&amp;window=popup_no_bar&amp;width=385&amp;height=120&amp;START_MAXIMIZED=FALSE&amp;creator=factset&amp;display_string=Audit"}</definedName>
    <definedName name="_2225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2226__FDSAUDITLINK__" localSheetId="1" hidden="1">{"fdsup://Directions/FactSet Auditing Viewer?action=AUDIT_VALUE&amp;DB=129&amp;ID1=00786510&amp;VALUEID=13040&amp;SDATE=200902&amp;PERIODTYPE=QTR_STD&amp;window=popup_no_bar&amp;width=385&amp;height=120&amp;START_MAXIMIZED=FALSE&amp;creator=factset&amp;display_string=Audit"}</definedName>
    <definedName name="_2226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2227__FDSAUDITLINK__" localSheetId="1" hidden="1">{"fdsup://Directions/FactSet Auditing Viewer?action=AUDIT_VALUE&amp;DB=129&amp;ID1=00289620&amp;VALUEID=02101&amp;SDATE=200902&amp;PERIODTYPE=QTR_STD&amp;window=popup_no_bar&amp;width=385&amp;height=120&amp;START_MAXIMIZED=FALSE&amp;creator=factset&amp;display_string=Audit"}</definedName>
    <definedName name="_2227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2228__FDSAUDITLINK__" localSheetId="1" hidden="1">{"fdsup://Directions/FactSet Auditing Viewer?action=AUDIT_VALUE&amp;DB=129&amp;ID1=00289620&amp;VALUEID=01001&amp;SDATE=200902&amp;PERIODTYPE=QTR_STD&amp;window=popup_no_bar&amp;width=385&amp;height=120&amp;START_MAXIMIZED=FALSE&amp;creator=factset&amp;display_string=Audit"}</definedName>
    <definedName name="_2228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2229__FDSAUDITLINK__" localSheetId="1" hidden="1">{"fdsup://Directions/FactSet Auditing Viewer?action=AUDIT_VALUE&amp;DB=129&amp;ID1=00289620&amp;VALUEID=13040&amp;SDATE=200902&amp;PERIODTYPE=QTR_STD&amp;window=popup_no_bar&amp;width=385&amp;height=120&amp;START_MAXIMIZED=FALSE&amp;creator=factset&amp;display_string=Audit"}</definedName>
    <definedName name="_2229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223__FDSAUDITLINK__" localSheetId="1" hidden="1">{"fdsup://Directions/FactSet Auditing Viewer?action=AUDIT_VALUE&amp;DB=129&amp;ID1=00289620&amp;VALUEID=02101&amp;SDATE=200703&amp;PERIODTYPE=QTR_STD&amp;window=popup_no_bar&amp;width=385&amp;height=120&amp;START_MAXIMIZED=FALSE&amp;creator=factset&amp;display_string=Audit"}</definedName>
    <definedName name="_223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2230__FDSAUDITLINK__" localSheetId="1" hidden="1">{"fdsup://Directions/FactSet Auditing Viewer?action=AUDIT_VALUE&amp;DB=129&amp;ID1=87416110&amp;VALUEID=02101&amp;SDATE=200901&amp;PERIODTYPE=QTR_STD&amp;window=popup_no_bar&amp;width=385&amp;height=120&amp;START_MAXIMIZED=FALSE&amp;creator=factset&amp;display_string=Audit"}</definedName>
    <definedName name="_2230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2231__FDSAUDITLINK__" localSheetId="1" hidden="1">{"fdsup://Directions/FactSet Auditing Viewer?action=AUDIT_VALUE&amp;DB=129&amp;ID1=87416110&amp;VALUEID=01001&amp;SDATE=200901&amp;PERIODTYPE=QTR_STD&amp;window=popup_no_bar&amp;width=385&amp;height=120&amp;START_MAXIMIZED=FALSE&amp;creator=factset&amp;display_string=Audit"}</definedName>
    <definedName name="_2231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2232__FDSAUDITLINK__" localSheetId="1" hidden="1">{"fdsup://Directions/FactSet Auditing Viewer?action=AUDIT_VALUE&amp;DB=129&amp;ID1=87416110&amp;VALUEID=13040&amp;SDATE=200901&amp;PERIODTYPE=QTR_STD&amp;window=popup_no_bar&amp;width=385&amp;height=120&amp;START_MAXIMIZED=FALSE&amp;creator=factset&amp;display_string=Audit"}</definedName>
    <definedName name="_2232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2233__FDSAUDITLINK__" localSheetId="1"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2233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2234__FDSAUDITLINK__" localSheetId="1" hidden="1">{"fdsup://Directions/FactSet Auditing Viewer?action=AUDIT_VALUE&amp;DB=129&amp;ID1=53271610&amp;VALUEID=13040&amp;SDATE=200901&amp;PERIODTYPE=QTR_STD&amp;window=popup_no_bar&amp;width=385&amp;height=120&amp;START_MAXIMIZED=FALSE&amp;creator=factset&amp;display_string=Audit"}</definedName>
    <definedName name="_2234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2235__FDSAUDITLINK__" localSheetId="1" hidden="1">{"fdsup://Directions/FactSet Auditing Viewer?action=AUDIT_VALUE&amp;DB=129&amp;ID1=46612H40&amp;VALUEID=02101&amp;SDATE=200901&amp;PERIODTYPE=QTR_STD&amp;window=popup_no_bar&amp;width=385&amp;height=120&amp;START_MAXIMIZED=FALSE&amp;creator=factset&amp;display_string=Audit"}</definedName>
    <definedName name="_2235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2236__FDSAUDITLINK__" localSheetId="1" hidden="1">{"fdsup://Directions/FactSet Auditing Viewer?action=AUDIT_VALUE&amp;DB=129&amp;ID1=46612H40&amp;VALUEID=01001&amp;SDATE=200901&amp;PERIODTYPE=QTR_STD&amp;window=popup_no_bar&amp;width=385&amp;height=120&amp;START_MAXIMIZED=FALSE&amp;creator=factset&amp;display_string=Audit"}</definedName>
    <definedName name="_2236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2237__FDSAUDITLINK__" localSheetId="1" hidden="1">{"fdsup://Directions/FactSet Auditing Viewer?action=AUDIT_VALUE&amp;DB=129&amp;ID1=46612H40&amp;VALUEID=13040&amp;SDATE=200901&amp;PERIODTYPE=QTR_STD&amp;window=popup_no_bar&amp;width=385&amp;height=120&amp;START_MAXIMIZED=FALSE&amp;creator=factset&amp;display_string=Audit"}</definedName>
    <definedName name="_2237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2238__FDSAUDITLINK__" localSheetId="1" hidden="1">{"fdsup://Directions/FactSet Auditing Viewer?action=AUDIT_VALUE&amp;DB=129&amp;ID1=03611510&amp;VALUEID=02101&amp;SDATE=200901&amp;PERIODTYPE=QTR_STD&amp;window=popup_no_bar&amp;width=385&amp;height=120&amp;START_MAXIMIZED=FALSE&amp;creator=factset&amp;display_string=Audit"}</definedName>
    <definedName name="_2238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2239__FDSAUDITLINK__" localSheetId="1" hidden="1">{"fdsup://Directions/FactSet Auditing Viewer?action=AUDIT_VALUE&amp;DB=129&amp;ID1=03611510&amp;VALUEID=01001&amp;SDATE=200901&amp;PERIODTYPE=QTR_STD&amp;window=popup_no_bar&amp;width=385&amp;height=120&amp;START_MAXIMIZED=FALSE&amp;creator=factset&amp;display_string=Audit"}</definedName>
    <definedName name="_2239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224__FDSAUDITLINK__" localSheetId="1" hidden="1">{"fdsup://Directions/FactSet Auditing Viewer?action=AUDIT_VALUE&amp;DB=129&amp;ID1=00289620&amp;VALUEID=01001&amp;SDATE=200703&amp;PERIODTYPE=QTR_STD&amp;window=popup_no_bar&amp;width=385&amp;height=120&amp;START_MAXIMIZED=FALSE&amp;creator=factset&amp;display_string=Audit"}</definedName>
    <definedName name="_224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2240__FDSAUDITLINK__" localSheetId="1" hidden="1">{"fdsup://Directions/FactSet Auditing Viewer?action=AUDIT_VALUE&amp;DB=129&amp;ID1=16890510&amp;VALUEID=02101&amp;SDATE=200901&amp;PERIODTYPE=QTR_STD&amp;window=popup_no_bar&amp;width=385&amp;height=120&amp;START_MAXIMIZED=FALSE&amp;creator=factset&amp;display_string=Audit"}</definedName>
    <definedName name="_2240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2241__FDSAUDITLINK__" localSheetId="1" hidden="1">{"fdsup://Directions/FactSet Auditing Viewer?action=AUDIT_VALUE&amp;DB=129&amp;ID1=16890510&amp;VALUEID=01001&amp;SDATE=200901&amp;PERIODTYPE=QTR_STD&amp;window=popup_no_bar&amp;width=385&amp;height=120&amp;START_MAXIMIZED=FALSE&amp;creator=factset&amp;display_string=Audit"}</definedName>
    <definedName name="_2241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2242__FDSAUDITLINK__" localSheetId="1" hidden="1">{"fdsup://Directions/FactSet Auditing Viewer?action=AUDIT_VALUE&amp;DB=129&amp;ID1=00786510&amp;VALUEID=02101&amp;SDATE=200901&amp;PERIODTYPE=QTR_STD&amp;window=popup_no_bar&amp;width=385&amp;height=120&amp;START_MAXIMIZED=FALSE&amp;creator=factset&amp;display_string=Audit"}</definedName>
    <definedName name="_2242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2243__FDSAUDITLINK__" localSheetId="1" hidden="1">{"fdsup://Directions/FactSet Auditing Viewer?action=AUDIT_VALUE&amp;DB=129&amp;ID1=00786510&amp;VALUEID=01001&amp;SDATE=200901&amp;PERIODTYPE=QTR_STD&amp;window=popup_no_bar&amp;width=385&amp;height=120&amp;START_MAXIMIZED=FALSE&amp;creator=factset&amp;display_string=Audit"}</definedName>
    <definedName name="_2243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2244__FDSAUDITLINK__" localSheetId="1" hidden="1">{"fdsup://Directions/FactSet Auditing Viewer?action=AUDIT_VALUE&amp;DB=129&amp;ID1=00786510&amp;VALUEID=13040&amp;SDATE=200901&amp;PERIODTYPE=QTR_STD&amp;window=popup_no_bar&amp;width=385&amp;height=120&amp;START_MAXIMIZED=FALSE&amp;creator=factset&amp;display_string=Audit"}</definedName>
    <definedName name="_2244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2245__FDSAUDITLINK__" localSheetId="1" hidden="1">{"fdsup://Directions/FactSet Auditing Viewer?action=AUDIT_VALUE&amp;DB=129&amp;ID1=00289620&amp;VALUEID=13040&amp;SDATE=200901&amp;PERIODTYPE=QTR_STD&amp;window=popup_no_bar&amp;width=385&amp;height=120&amp;START_MAXIMIZED=FALSE&amp;creator=factset&amp;display_string=Audit"}</definedName>
    <definedName name="_2245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2246__FDSAUDITLINK__" localSheetId="1" hidden="1">{"fdsup://Directions/FactSet Auditing Viewer?action=AUDIT_VALUE&amp;DB=129&amp;ID1=87416110&amp;VALUEID=01001&amp;SDATE=200804&amp;PERIODTYPE=QTR_STD&amp;window=popup_no_bar&amp;width=385&amp;height=120&amp;START_MAXIMIZED=FALSE&amp;creator=factset&amp;display_string=Audit"}</definedName>
    <definedName name="_2246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2247__FDSAUDITLINK__" localSheetId="1"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2247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2248__FDSAUDITLINK__" localSheetId="1" hidden="1">{"fdsup://Directions/FactSet Auditing Viewer?action=AUDIT_VALUE&amp;DB=129&amp;ID1=46612H40&amp;VALUEID=01001&amp;SDATE=200804&amp;PERIODTYPE=QTR_STD&amp;window=popup_no_bar&amp;width=385&amp;height=120&amp;START_MAXIMIZED=FALSE&amp;creator=factset&amp;display_string=Audit"}</definedName>
    <definedName name="_2248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2249__FDSAUDITLINK__" localSheetId="1" hidden="1">{"fdsup://Directions/FactSet Auditing Viewer?action=AUDIT_VALUE&amp;DB=129&amp;ID1=46612H40&amp;VALUEID=13040&amp;SDATE=200804&amp;PERIODTYPE=QTR_STD&amp;window=popup_no_bar&amp;width=385&amp;height=120&amp;START_MAXIMIZED=FALSE&amp;creator=factset&amp;display_string=Audit"}</definedName>
    <definedName name="_2249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225__FDSAUDITLINK__" localSheetId="1" hidden="1">{"fdsup://Directions/FactSet Auditing Viewer?action=AUDIT_VALUE&amp;DB=129&amp;ID1=00289620&amp;VALUEID=13040&amp;SDATE=200703&amp;PERIODTYPE=QTR_STD&amp;window=popup_no_bar&amp;width=385&amp;height=120&amp;START_MAXIMIZED=FALSE&amp;creator=factset&amp;display_string=Audit"}</definedName>
    <definedName name="_225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2250__FDSAUDITLINK__" localSheetId="1" hidden="1">{"fdsup://Directions/FactSet Auditing Viewer?action=AUDIT_VALUE&amp;DB=129&amp;ID1=36476010&amp;VALUEID=01001&amp;SDATE=200804&amp;PERIODTYPE=QTR_STD&amp;window=popup_no_bar&amp;width=385&amp;height=120&amp;START_MAXIMIZED=FALSE&amp;creator=factset&amp;display_string=Audit"}</definedName>
    <definedName name="_2250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2251__FDSAUDITLINK__" localSheetId="1" hidden="1">{"fdsup://Directions/FactSet Auditing Viewer?action=AUDIT_VALUE&amp;DB=129&amp;ID1=03611510&amp;VALUEID=01001&amp;SDATE=200804&amp;PERIODTYPE=QTR_STD&amp;window=popup_no_bar&amp;width=385&amp;height=120&amp;START_MAXIMIZED=FALSE&amp;creator=factset&amp;display_string=Audit"}</definedName>
    <definedName name="_2251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2252__FDSAUDITLINK__" localSheetId="1" hidden="1">{"fdsup://Directions/FactSet Auditing Viewer?action=AUDIT_VALUE&amp;DB=129&amp;ID1=16890510&amp;VALUEID=01001&amp;SDATE=200804&amp;PERIODTYPE=QTR_STD&amp;window=popup_no_bar&amp;width=385&amp;height=120&amp;START_MAXIMIZED=FALSE&amp;creator=factset&amp;display_string=Audit"}</definedName>
    <definedName name="_2252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2253__FDSAUDITLINK__" localSheetId="1" hidden="1">{"fdsup://Directions/FactSet Auditing Viewer?action=AUDIT_VALUE&amp;DB=129&amp;ID1=00786510&amp;VALUEID=01001&amp;SDATE=200804&amp;PERIODTYPE=QTR_STD&amp;window=popup_no_bar&amp;width=385&amp;height=120&amp;START_MAXIMIZED=FALSE&amp;creator=factset&amp;display_string=Audit"}</definedName>
    <definedName name="_2253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2254__FDSAUDITLINK__" localSheetId="1" hidden="1">{"fdsup://Directions/FactSet Auditing Viewer?action=AUDIT_VALUE&amp;DB=129&amp;ID1=87416110&amp;VALUEID=02101&amp;SDATE=200803&amp;PERIODTYPE=QTR_STD&amp;window=popup_no_bar&amp;width=385&amp;height=120&amp;START_MAXIMIZED=FALSE&amp;creator=factset&amp;display_string=Audit"}</definedName>
    <definedName name="_2254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2255__FDSAUDITLINK__" localSheetId="1" hidden="1">{"fdsup://Directions/FactSet Auditing Viewer?action=AUDIT_VALUE&amp;DB=129&amp;ID1=87416110&amp;VALUEID=01001&amp;SDATE=200803&amp;PERIODTYPE=QTR_STD&amp;window=popup_no_bar&amp;width=385&amp;height=120&amp;START_MAXIMIZED=FALSE&amp;creator=factset&amp;display_string=Audit"}</definedName>
    <definedName name="_2255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2256__FDSAUDITLINK__" localSheetId="1" hidden="1">{"fdsup://Directions/FactSet Auditing Viewer?action=AUDIT_VALUE&amp;DB=129&amp;ID1=87416110&amp;VALUEID=13040&amp;SDATE=200803&amp;PERIODTYPE=QTR_STD&amp;window=popup_no_bar&amp;width=385&amp;height=120&amp;START_MAXIMIZED=FALSE&amp;creator=factset&amp;display_string=Audit"}</definedName>
    <definedName name="_2256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2257__FDSAUDITLINK__" localSheetId="1"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2257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2258__FDSAUDITLINK__" localSheetId="1" hidden="1">{"fdsup://Directions/FactSet Auditing Viewer?action=AUDIT_VALUE&amp;DB=129&amp;ID1=46612H40&amp;VALUEID=02101&amp;SDATE=200803&amp;PERIODTYPE=QTR_STD&amp;window=popup_no_bar&amp;width=385&amp;height=120&amp;START_MAXIMIZED=FALSE&amp;creator=factset&amp;display_string=Audit"}</definedName>
    <definedName name="_2258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2259__FDSAUDITLINK__" localSheetId="1" hidden="1">{"fdsup://Directions/FactSet Auditing Viewer?action=AUDIT_VALUE&amp;DB=129&amp;ID1=46612H40&amp;VALUEID=01001&amp;SDATE=200803&amp;PERIODTYPE=QTR_STD&amp;window=popup_no_bar&amp;width=385&amp;height=120&amp;START_MAXIMIZED=FALSE&amp;creator=factset&amp;display_string=Audit"}</definedName>
    <definedName name="_2259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226__FDSAUDITLINK__" localSheetId="1" hidden="1">{"fdsup://Directions/FactSet Auditing Viewer?action=AUDIT_VALUE&amp;DB=129&amp;ID1=87416110&amp;VALUEID=02101&amp;SDATE=200702&amp;PERIODTYPE=QTR_STD&amp;window=popup_no_bar&amp;width=385&amp;height=120&amp;START_MAXIMIZED=FALSE&amp;creator=factset&amp;display_string=Audit"}</definedName>
    <definedName name="_226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2260__FDSAUDITLINK__" localSheetId="1" hidden="1">{"fdsup://Directions/FactSet Auditing Viewer?action=AUDIT_VALUE&amp;DB=129&amp;ID1=46612H40&amp;VALUEID=13040&amp;SDATE=200803&amp;PERIODTYPE=QTR_STD&amp;window=popup_no_bar&amp;width=385&amp;height=120&amp;START_MAXIMIZED=FALSE&amp;creator=factset&amp;display_string=Audit"}</definedName>
    <definedName name="_2260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2261__FDSAUDITLINK__" localSheetId="1" hidden="1">{"fdsup://Directions/FactSet Auditing Viewer?action=AUDIT_VALUE&amp;DB=129&amp;ID1=36476010&amp;VALUEID=02101&amp;SDATE=200803&amp;PERIODTYPE=QTR_STD&amp;window=popup_no_bar&amp;width=385&amp;height=120&amp;START_MAXIMIZED=FALSE&amp;creator=factset&amp;display_string=Audit"}</definedName>
    <definedName name="_2261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2262__FDSAUDITLINK__" localSheetId="1" hidden="1">{"fdsup://Directions/FactSet Auditing Viewer?action=AUDIT_VALUE&amp;DB=129&amp;ID1=36476010&amp;VALUEID=01001&amp;SDATE=200803&amp;PERIODTYPE=QTR_STD&amp;window=popup_no_bar&amp;width=385&amp;height=120&amp;START_MAXIMIZED=FALSE&amp;creator=factset&amp;display_string=Audit"}</definedName>
    <definedName name="_2262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2263__FDSAUDITLINK__" localSheetId="1" hidden="1">{"fdsup://Directions/FactSet Auditing Viewer?action=AUDIT_VALUE&amp;DB=129&amp;ID1=36476010&amp;VALUEID=13040&amp;SDATE=200803&amp;PERIODTYPE=QTR_STD&amp;window=popup_no_bar&amp;width=385&amp;height=120&amp;START_MAXIMIZED=FALSE&amp;creator=factset&amp;display_string=Audit"}</definedName>
    <definedName name="_2263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2264__FDSAUDITLINK__" localSheetId="1" hidden="1">{"fdsup://Directions/FactSet Auditing Viewer?action=AUDIT_VALUE&amp;DB=129&amp;ID1=03611510&amp;VALUEID=02101&amp;SDATE=200803&amp;PERIODTYPE=QTR_STD&amp;window=popup_no_bar&amp;width=385&amp;height=120&amp;START_MAXIMIZED=FALSE&amp;creator=factset&amp;display_string=Audit"}</definedName>
    <definedName name="_2264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2265__FDSAUDITLINK__" localSheetId="1" hidden="1">{"fdsup://Directions/FactSet Auditing Viewer?action=AUDIT_VALUE&amp;DB=129&amp;ID1=03611510&amp;VALUEID=01001&amp;SDATE=200803&amp;PERIODTYPE=QTR_STD&amp;window=popup_no_bar&amp;width=385&amp;height=120&amp;START_MAXIMIZED=FALSE&amp;creator=factset&amp;display_string=Audit"}</definedName>
    <definedName name="_2265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2266__FDSAUDITLINK__" localSheetId="1" hidden="1">{"fdsup://Directions/FactSet Auditing Viewer?action=AUDIT_VALUE&amp;DB=129&amp;ID1=16890510&amp;VALUEID=02101&amp;SDATE=200803&amp;PERIODTYPE=QTR_STD&amp;window=popup_no_bar&amp;width=385&amp;height=120&amp;START_MAXIMIZED=FALSE&amp;creator=factset&amp;display_string=Audit"}</definedName>
    <definedName name="_2266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2267__FDSAUDITLINK__" localSheetId="1" hidden="1">{"fdsup://Directions/FactSet Auditing Viewer?action=AUDIT_VALUE&amp;DB=129&amp;ID1=16890510&amp;VALUEID=01001&amp;SDATE=200803&amp;PERIODTYPE=QTR_STD&amp;window=popup_no_bar&amp;width=385&amp;height=120&amp;START_MAXIMIZED=FALSE&amp;creator=factset&amp;display_string=Audit"}</definedName>
    <definedName name="_2267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2268__FDSAUDITLINK__" localSheetId="1" hidden="1">{"fdsup://Directions/FactSet Auditing Viewer?action=AUDIT_VALUE&amp;DB=129&amp;ID1=91704710&amp;VALUEID=02101&amp;SDATE=200803&amp;PERIODTYPE=QTR_STD&amp;window=popup_no_bar&amp;width=385&amp;height=120&amp;START_MAXIMIZED=FALSE&amp;creator=factset&amp;display_string=Audit"}</definedName>
    <definedName name="_2268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2269__FDSAUDITLINK__" localSheetId="1" hidden="1">{"fdsup://Directions/FactSet Auditing Viewer?action=AUDIT_VALUE&amp;DB=129&amp;ID1=91704710&amp;VALUEID=01001&amp;SDATE=200803&amp;PERIODTYPE=QTR_STD&amp;window=popup_no_bar&amp;width=385&amp;height=120&amp;START_MAXIMIZED=FALSE&amp;creator=factset&amp;display_string=Audit"}</definedName>
    <definedName name="_2269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227__FDSAUDITLINK__" localSheetId="1" hidden="1">{"fdsup://Directions/FactSet Auditing Viewer?action=AUDIT_VALUE&amp;DB=129&amp;ID1=87416110&amp;VALUEID=01001&amp;SDATE=200702&amp;PERIODTYPE=QTR_STD&amp;window=popup_no_bar&amp;width=385&amp;height=120&amp;START_MAXIMIZED=FALSE&amp;creator=factset&amp;display_string=Audit"}</definedName>
    <definedName name="_227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2270__FDSAUDITLINK__" localSheetId="1" hidden="1">{"fdsup://Directions/FactSet Auditing Viewer?action=AUDIT_VALUE&amp;DB=129&amp;ID1=91704710&amp;VALUEID=13040&amp;SDATE=200803&amp;PERIODTYPE=QTR_STD&amp;window=popup_no_bar&amp;width=385&amp;height=120&amp;START_MAXIMIZED=FALSE&amp;creator=factset&amp;display_string=Audit"}</definedName>
    <definedName name="_2270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2271__FDSAUDITLINK__" localSheetId="1" hidden="1">{"fdsup://Directions/FactSet Auditing Viewer?action=AUDIT_VALUE&amp;DB=129&amp;ID1=02553E10&amp;VALUEID=02101&amp;SDATE=200803&amp;PERIODTYPE=QTR_STD&amp;window=popup_no_bar&amp;width=385&amp;height=120&amp;START_MAXIMIZED=FALSE&amp;creator=factset&amp;display_string=Audit"}</definedName>
    <definedName name="_2271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2272__FDSAUDITLINK__" localSheetId="1" hidden="1">{"fdsup://Directions/FactSet Auditing Viewer?action=AUDIT_VALUE&amp;DB=129&amp;ID1=02553E10&amp;VALUEID=01001&amp;SDATE=200803&amp;PERIODTYPE=QTR_STD&amp;window=popup_no_bar&amp;width=385&amp;height=120&amp;START_MAXIMIZED=FALSE&amp;creator=factset&amp;display_string=Audit"}</definedName>
    <definedName name="_2272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2273__FDSAUDITLINK__" localSheetId="1" hidden="1">{"fdsup://Directions/FactSet Auditing Viewer?action=AUDIT_VALUE&amp;DB=129&amp;ID1=02553E10&amp;VALUEID=13040&amp;SDATE=200803&amp;PERIODTYPE=QTR_STD&amp;window=popup_no_bar&amp;width=385&amp;height=120&amp;START_MAXIMIZED=FALSE&amp;creator=factset&amp;display_string=Audit"}</definedName>
    <definedName name="_2273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2274__FDSAUDITLINK__" localSheetId="1" hidden="1">{"fdsup://Directions/FactSet Auditing Viewer?action=AUDIT_VALUE&amp;DB=129&amp;ID1=00786510&amp;VALUEID=02101&amp;SDATE=200803&amp;PERIODTYPE=QTR_STD&amp;window=popup_no_bar&amp;width=385&amp;height=120&amp;START_MAXIMIZED=FALSE&amp;creator=factset&amp;display_string=Audit"}</definedName>
    <definedName name="_2274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2275__FDSAUDITLINK__" localSheetId="1" hidden="1">{"fdsup://Directions/FactSet Auditing Viewer?action=AUDIT_VALUE&amp;DB=129&amp;ID1=00786510&amp;VALUEID=01001&amp;SDATE=200803&amp;PERIODTYPE=QTR_STD&amp;window=popup_no_bar&amp;width=385&amp;height=120&amp;START_MAXIMIZED=FALSE&amp;creator=factset&amp;display_string=Audit"}</definedName>
    <definedName name="_2275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2276__FDSAUDITLINK__" localSheetId="1" hidden="1">{"fdsup://Directions/FactSet Auditing Viewer?action=AUDIT_VALUE&amp;DB=129&amp;ID1=00786510&amp;VALUEID=13040&amp;SDATE=200803&amp;PERIODTYPE=QTR_STD&amp;window=popup_no_bar&amp;width=385&amp;height=120&amp;START_MAXIMIZED=FALSE&amp;creator=factset&amp;display_string=Audit"}</definedName>
    <definedName name="_2276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2277__FDSAUDITLINK__" localSheetId="1" hidden="1">{"fdsup://Directions/FactSet Auditing Viewer?action=AUDIT_VALUE&amp;DB=129&amp;ID1=00289620&amp;VALUEID=02101&amp;SDATE=200803&amp;PERIODTYPE=QTR_STD&amp;window=popup_no_bar&amp;width=385&amp;height=120&amp;START_MAXIMIZED=FALSE&amp;creator=factset&amp;display_string=Audit"}</definedName>
    <definedName name="_2277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2278__FDSAUDITLINK__" localSheetId="1" hidden="1">{"fdsup://Directions/FactSet Auditing Viewer?action=AUDIT_VALUE&amp;DB=129&amp;ID1=00289620&amp;VALUEID=01001&amp;SDATE=200803&amp;PERIODTYPE=QTR_STD&amp;window=popup_no_bar&amp;width=385&amp;height=120&amp;START_MAXIMIZED=FALSE&amp;creator=factset&amp;display_string=Audit"}</definedName>
    <definedName name="_2278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2279__FDSAUDITLINK__" localSheetId="1" hidden="1">{"fdsup://Directions/FactSet Auditing Viewer?action=AUDIT_VALUE&amp;DB=129&amp;ID1=00289620&amp;VALUEID=13040&amp;SDATE=200803&amp;PERIODTYPE=QTR_STD&amp;window=popup_no_bar&amp;width=385&amp;height=120&amp;START_MAXIMIZED=FALSE&amp;creator=factset&amp;display_string=Audit"}</definedName>
    <definedName name="_2279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228__FDSAUDITLINK__" localSheetId="1" hidden="1">{"fdsup://Directions/FactSet Auditing Viewer?action=AUDIT_VALUE&amp;DB=129&amp;ID1=53271610&amp;VALUEID=02101&amp;SDATE=200702&amp;PERIODTYPE=QTR_STD&amp;window=popup_no_bar&amp;width=385&amp;height=120&amp;START_MAXIMIZED=FALSE&amp;creator=factset&amp;display_string=Audit"}</definedName>
    <definedName name="_228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2280__FDSAUDITLINK__" localSheetId="1" hidden="1">{"fdsup://Directions/FactSet Auditing Viewer?action=AUDIT_VALUE&amp;DB=129&amp;ID1=87416110&amp;VALUEID=02101&amp;SDATE=200802&amp;PERIODTYPE=QTR_STD&amp;window=popup_no_bar&amp;width=385&amp;height=120&amp;START_MAXIMIZED=FALSE&amp;creator=factset&amp;display_string=Audit"}</definedName>
    <definedName name="_2280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2281__FDSAUDITLINK__" localSheetId="1" hidden="1">{"fdsup://Directions/FactSet Auditing Viewer?action=AUDIT_VALUE&amp;DB=129&amp;ID1=87416110&amp;VALUEID=01001&amp;SDATE=200802&amp;PERIODTYPE=QTR_STD&amp;window=popup_no_bar&amp;width=385&amp;height=120&amp;START_MAXIMIZED=FALSE&amp;creator=factset&amp;display_string=Audit"}</definedName>
    <definedName name="_2281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2282__FDSAUDITLINK__" localSheetId="1" hidden="1">{"fdsup://Directions/FactSet Auditing Viewer?action=AUDIT_VALUE&amp;DB=129&amp;ID1=53271610&amp;VALUEID=02101&amp;SDATE=200802&amp;PERIODTYPE=QTR_STD&amp;window=popup_no_bar&amp;width=385&amp;height=120&amp;START_MAXIMIZED=FALSE&amp;creator=factset&amp;display_string=Audit"}</definedName>
    <definedName name="_2282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2283__FDSAUDITLINK__" localSheetId="1" hidden="1">{"fdsup://Directions/FactSet Auditing Viewer?action=AUDIT_VALUE&amp;DB=129&amp;ID1=53271610&amp;VALUEID=01001&amp;SDATE=200802&amp;PERIODTYPE=QTR_STD&amp;window=popup_no_bar&amp;width=385&amp;height=120&amp;START_MAXIMIZED=FALSE&amp;creator=factset&amp;display_string=Audit"}</definedName>
    <definedName name="_2283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2284__FDSAUDITLINK__" localSheetId="1" hidden="1">{"fdsup://Directions/FactSet Auditing Viewer?action=AUDIT_VALUE&amp;DB=129&amp;ID1=53271610&amp;VALUEID=13040&amp;SDATE=200802&amp;PERIODTYPE=QTR_STD&amp;window=popup_no_bar&amp;width=385&amp;height=120&amp;START_MAXIMIZED=FALSE&amp;creator=factset&amp;display_string=Audit"}</definedName>
    <definedName name="_2284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2285__FDSAUDITLINK__" localSheetId="1" hidden="1">{"fdsup://Directions/FactSet Auditing Viewer?action=AUDIT_VALUE&amp;DB=129&amp;ID1=46612H40&amp;VALUEID=02101&amp;SDATE=200802&amp;PERIODTYPE=QTR_STD&amp;window=popup_no_bar&amp;width=385&amp;height=120&amp;START_MAXIMIZED=FALSE&amp;creator=factset&amp;display_string=Audit"}</definedName>
    <definedName name="_2285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2286__FDSAUDITLINK__" localSheetId="1" hidden="1">{"fdsup://Directions/FactSet Auditing Viewer?action=AUDIT_VALUE&amp;DB=129&amp;ID1=46612H40&amp;VALUEID=01001&amp;SDATE=200802&amp;PERIODTYPE=QTR_STD&amp;window=popup_no_bar&amp;width=385&amp;height=120&amp;START_MAXIMIZED=FALSE&amp;creator=factset&amp;display_string=Audit"}</definedName>
    <definedName name="_2286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2287__FDSAUDITLINK__" localSheetId="1" hidden="1">{"fdsup://Directions/FactSet Auditing Viewer?action=AUDIT_VALUE&amp;DB=129&amp;ID1=46612H40&amp;VALUEID=13040&amp;SDATE=200802&amp;PERIODTYPE=QTR_STD&amp;window=popup_no_bar&amp;width=385&amp;height=120&amp;START_MAXIMIZED=FALSE&amp;creator=factset&amp;display_string=Audit"}</definedName>
    <definedName name="_2287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2288__FDSAUDITLINK__" localSheetId="1" hidden="1">{"fdsup://Directions/FactSet Auditing Viewer?action=AUDIT_VALUE&amp;DB=129&amp;ID1=36476010&amp;VALUEID=02101&amp;SDATE=200802&amp;PERIODTYPE=QTR_STD&amp;window=popup_no_bar&amp;width=385&amp;height=120&amp;START_MAXIMIZED=FALSE&amp;creator=factset&amp;display_string=Audit"}</definedName>
    <definedName name="_2288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2289__FDSAUDITLINK__" localSheetId="1" hidden="1">{"fdsup://Directions/FactSet Auditing Viewer?action=AUDIT_VALUE&amp;DB=129&amp;ID1=36476010&amp;VALUEID=01001&amp;SDATE=200802&amp;PERIODTYPE=QTR_STD&amp;window=popup_no_bar&amp;width=385&amp;height=120&amp;START_MAXIMIZED=FALSE&amp;creator=factset&amp;display_string=Audit"}</definedName>
    <definedName name="_2289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229__FDSAUDITLINK__" localSheetId="1" hidden="1">{"fdsup://Directions/FactSet Auditing Viewer?action=AUDIT_VALUE&amp;DB=129&amp;ID1=53271610&amp;VALUEID=01001&amp;SDATE=200702&amp;PERIODTYPE=QTR_STD&amp;window=popup_no_bar&amp;width=385&amp;height=120&amp;START_MAXIMIZED=FALSE&amp;creator=factset&amp;display_string=Audit"}</definedName>
    <definedName name="_229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2290__FDSAUDITLINK__" localSheetId="1" hidden="1">{"fdsup://Directions/FactSet Auditing Viewer?action=AUDIT_VALUE&amp;DB=129&amp;ID1=36476010&amp;VALUEID=13040&amp;SDATE=200802&amp;PERIODTYPE=QTR_STD&amp;window=popup_no_bar&amp;width=385&amp;height=120&amp;START_MAXIMIZED=FALSE&amp;creator=factset&amp;display_string=Audit"}</definedName>
    <definedName name="_2290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2291__FDSAUDITLINK__" localSheetId="1" hidden="1">{"fdsup://Directions/FactSet Auditing Viewer?action=AUDIT_VALUE&amp;DB=129&amp;ID1=03611510&amp;VALUEID=02101&amp;SDATE=200802&amp;PERIODTYPE=QTR_STD&amp;window=popup_no_bar&amp;width=385&amp;height=120&amp;START_MAXIMIZED=FALSE&amp;creator=factset&amp;display_string=Audit"}</definedName>
    <definedName name="_2291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2292__FDSAUDITLINK__" localSheetId="1" hidden="1">{"fdsup://Directions/FactSet Auditing Viewer?action=AUDIT_VALUE&amp;DB=129&amp;ID1=03611510&amp;VALUEID=01001&amp;SDATE=200802&amp;PERIODTYPE=QTR_STD&amp;window=popup_no_bar&amp;width=385&amp;height=120&amp;START_MAXIMIZED=FALSE&amp;creator=factset&amp;display_string=Audit"}</definedName>
    <definedName name="_2292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2293__FDSAUDITLINK__" localSheetId="1" hidden="1">{"fdsup://Directions/FactSet Auditing Viewer?action=AUDIT_VALUE&amp;DB=129&amp;ID1=16890510&amp;VALUEID=02101&amp;SDATE=200802&amp;PERIODTYPE=QTR_STD&amp;window=popup_no_bar&amp;width=385&amp;height=120&amp;START_MAXIMIZED=FALSE&amp;creator=factset&amp;display_string=Audit"}</definedName>
    <definedName name="_2293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2294__FDSAUDITLINK__" localSheetId="1" hidden="1">{"fdsup://Directions/FactSet Auditing Viewer?action=AUDIT_VALUE&amp;DB=129&amp;ID1=16890510&amp;VALUEID=01001&amp;SDATE=200802&amp;PERIODTYPE=QTR_STD&amp;window=popup_no_bar&amp;width=385&amp;height=120&amp;START_MAXIMIZED=FALSE&amp;creator=factset&amp;display_string=Audit"}</definedName>
    <definedName name="_2294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2295__FDSAUDITLINK__" localSheetId="1" hidden="1">{"fdsup://Directions/FactSet Auditing Viewer?action=AUDIT_VALUE&amp;DB=129&amp;ID1=91704710&amp;VALUEID=02101&amp;SDATE=200802&amp;PERIODTYPE=QTR_STD&amp;window=popup_no_bar&amp;width=385&amp;height=120&amp;START_MAXIMIZED=FALSE&amp;creator=factset&amp;display_string=Audit"}</definedName>
    <definedName name="_2295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2296__FDSAUDITLINK__" localSheetId="1" hidden="1">{"fdsup://Directions/FactSet Auditing Viewer?action=AUDIT_VALUE&amp;DB=129&amp;ID1=91704710&amp;VALUEID=01001&amp;SDATE=200802&amp;PERIODTYPE=QTR_STD&amp;window=popup_no_bar&amp;width=385&amp;height=120&amp;START_MAXIMIZED=FALSE&amp;creator=factset&amp;display_string=Audit"}</definedName>
    <definedName name="_2296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2297__FDSAUDITLINK__" localSheetId="1" hidden="1">{"fdsup://Directions/FactSet Auditing Viewer?action=AUDIT_VALUE&amp;DB=129&amp;ID1=91704710&amp;VALUEID=13040&amp;SDATE=200802&amp;PERIODTYPE=QTR_STD&amp;window=popup_no_bar&amp;width=385&amp;height=120&amp;START_MAXIMIZED=FALSE&amp;creator=factset&amp;display_string=Audit"}</definedName>
    <definedName name="_2297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2298__FDSAUDITLINK__" localSheetId="1" hidden="1">{"fdsup://Directions/FactSet Auditing Viewer?action=AUDIT_VALUE&amp;DB=129&amp;ID1=02553E10&amp;VALUEID=02101&amp;SDATE=200802&amp;PERIODTYPE=QTR_STD&amp;window=popup_no_bar&amp;width=385&amp;height=120&amp;START_MAXIMIZED=FALSE&amp;creator=factset&amp;display_string=Audit"}</definedName>
    <definedName name="_2298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2299__FDSAUDITLINK__" localSheetId="1" hidden="1">{"fdsup://Directions/FactSet Auditing Viewer?action=AUDIT_VALUE&amp;DB=129&amp;ID1=02553E10&amp;VALUEID=01001&amp;SDATE=200802&amp;PERIODTYPE=QTR_STD&amp;window=popup_no_bar&amp;width=385&amp;height=120&amp;START_MAXIMIZED=FALSE&amp;creator=factset&amp;display_string=Audit"}</definedName>
    <definedName name="_2299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23__FDSAUDITLINK__" localSheetId="1" hidden="1">{"fdsup://Directions/FactSet Auditing Viewer?action=AUDIT_VALUE&amp;DB=129&amp;ID1=46612H40&amp;VALUEID=01001&amp;SDATE=200904&amp;PERIODTYPE=QTR_STD&amp;window=popup_no_bar&amp;width=385&amp;height=120&amp;START_MAXIMIZED=FALSE&amp;creator=factset&amp;display_string=Audit"}</definedName>
    <definedName name="_23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230__FDSAUDITLINK__" localSheetId="1" hidden="1">{"fdsup://Directions/FactSet Auditing Viewer?action=AUDIT_VALUE&amp;DB=129&amp;ID1=53271610&amp;VALUEID=13040&amp;SDATE=200702&amp;PERIODTYPE=QTR_STD&amp;window=popup_no_bar&amp;width=385&amp;height=120&amp;START_MAXIMIZED=FALSE&amp;creator=factset&amp;display_string=Audit"}</definedName>
    <definedName name="_230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2300__FDSAUDITLINK__" localSheetId="1" hidden="1">{"fdsup://Directions/FactSet Auditing Viewer?action=AUDIT_VALUE&amp;DB=129&amp;ID1=02553E10&amp;VALUEID=13040&amp;SDATE=200802&amp;PERIODTYPE=QTR_STD&amp;window=popup_no_bar&amp;width=385&amp;height=120&amp;START_MAXIMIZED=FALSE&amp;creator=factset&amp;display_string=Audit"}</definedName>
    <definedName name="_2300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2301__FDSAUDITLINK__" localSheetId="1" hidden="1">{"fdsup://Directions/FactSet Auditing Viewer?action=AUDIT_VALUE&amp;DB=129&amp;ID1=00786510&amp;VALUEID=02101&amp;SDATE=200802&amp;PERIODTYPE=QTR_STD&amp;window=popup_no_bar&amp;width=385&amp;height=120&amp;START_MAXIMIZED=FALSE&amp;creator=factset&amp;display_string=Audit"}</definedName>
    <definedName name="_2301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2302__FDSAUDITLINK__" localSheetId="1" hidden="1">{"fdsup://Directions/FactSet Auditing Viewer?action=AUDIT_VALUE&amp;DB=129&amp;ID1=00786510&amp;VALUEID=01001&amp;SDATE=200802&amp;PERIODTYPE=QTR_STD&amp;window=popup_no_bar&amp;width=385&amp;height=120&amp;START_MAXIMIZED=FALSE&amp;creator=factset&amp;display_string=Audit"}</definedName>
    <definedName name="_2302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2303__FDSAUDITLINK__" localSheetId="1" hidden="1">{"fdsup://Directions/FactSet Auditing Viewer?action=AUDIT_VALUE&amp;DB=129&amp;ID1=00786510&amp;VALUEID=13040&amp;SDATE=200802&amp;PERIODTYPE=QTR_STD&amp;window=popup_no_bar&amp;width=385&amp;height=120&amp;START_MAXIMIZED=FALSE&amp;creator=factset&amp;display_string=Audit"}</definedName>
    <definedName name="_2303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2304__FDSAUDITLINK__" localSheetId="1" hidden="1">{"fdsup://Directions/FactSet Auditing Viewer?action=AUDIT_VALUE&amp;DB=129&amp;ID1=00289620&amp;VALUEID=02101&amp;SDATE=200802&amp;PERIODTYPE=QTR_STD&amp;window=popup_no_bar&amp;width=385&amp;height=120&amp;START_MAXIMIZED=FALSE&amp;creator=factset&amp;display_string=Audit"}</definedName>
    <definedName name="_2304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2305__FDSAUDITLINK__" localSheetId="1" hidden="1">{"fdsup://Directions/FactSet Auditing Viewer?action=AUDIT_VALUE&amp;DB=129&amp;ID1=00289620&amp;VALUEID=01001&amp;SDATE=200802&amp;PERIODTYPE=QTR_STD&amp;window=popup_no_bar&amp;width=385&amp;height=120&amp;START_MAXIMIZED=FALSE&amp;creator=factset&amp;display_string=Audit"}</definedName>
    <definedName name="_2305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2306__FDSAUDITLINK__" localSheetId="1" hidden="1">{"fdsup://Directions/FactSet Auditing Viewer?action=AUDIT_VALUE&amp;DB=129&amp;ID1=00289620&amp;VALUEID=13040&amp;SDATE=200802&amp;PERIODTYPE=QTR_STD&amp;window=popup_no_bar&amp;width=385&amp;height=120&amp;START_MAXIMIZED=FALSE&amp;creator=factset&amp;display_string=Audit"}</definedName>
    <definedName name="_2306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2307__FDSAUDITLINK__" localSheetId="1" hidden="1">{"fdsup://Directions/FactSet Auditing Viewer?action=AUDIT_VALUE&amp;DB=129&amp;ID1=87416110&amp;VALUEID=02101&amp;SDATE=200801&amp;PERIODTYPE=QTR_STD&amp;window=popup_no_bar&amp;width=385&amp;height=120&amp;START_MAXIMIZED=FALSE&amp;creator=factset&amp;display_string=Audit"}</definedName>
    <definedName name="_2307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2308__FDSAUDITLINK__" localSheetId="1" hidden="1">{"fdsup://Directions/FactSet Auditing Viewer?action=AUDIT_VALUE&amp;DB=129&amp;ID1=87416110&amp;VALUEID=01001&amp;SDATE=200801&amp;PERIODTYPE=QTR_STD&amp;window=popup_no_bar&amp;width=385&amp;height=120&amp;START_MAXIMIZED=FALSE&amp;creator=factset&amp;display_string=Audit"}</definedName>
    <definedName name="_2308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2309__FDSAUDITLINK__" localSheetId="1" hidden="1">{"fdsup://Directions/FactSet Auditing Viewer?action=AUDIT_VALUE&amp;DB=129&amp;ID1=53271610&amp;VALUEID=02101&amp;SDATE=200801&amp;PERIODTYPE=QTR_STD&amp;window=popup_no_bar&amp;width=385&amp;height=120&amp;START_MAXIMIZED=FALSE&amp;creator=factset&amp;display_string=Audit"}</definedName>
    <definedName name="_2309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231__FDSAUDITLINK__" localSheetId="1" hidden="1">{"fdsup://Directions/FactSet Auditing Viewer?action=AUDIT_VALUE&amp;DB=129&amp;ID1=46612H40&amp;VALUEID=02101&amp;SDATE=200702&amp;PERIODTYPE=QTR_STD&amp;window=popup_no_bar&amp;width=385&amp;height=120&amp;START_MAXIMIZED=FALSE&amp;creator=factset&amp;display_string=Audit"}</definedName>
    <definedName name="_231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2310__FDSAUDITLINK__" localSheetId="1" hidden="1">{"fdsup://Directions/FactSet Auditing Viewer?action=AUDIT_VALUE&amp;DB=129&amp;ID1=53271610&amp;VALUEID=01001&amp;SDATE=200801&amp;PERIODTYPE=QTR_STD&amp;window=popup_no_bar&amp;width=385&amp;height=120&amp;START_MAXIMIZED=FALSE&amp;creator=factset&amp;display_string=Audit"}</definedName>
    <definedName name="_2310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2311__FDSAUDITLINK__" localSheetId="1" hidden="1">{"fdsup://Directions/FactSet Auditing Viewer?action=AUDIT_VALUE&amp;DB=129&amp;ID1=53271610&amp;VALUEID=13040&amp;SDATE=200801&amp;PERIODTYPE=QTR_STD&amp;window=popup_no_bar&amp;width=385&amp;height=120&amp;START_MAXIMIZED=FALSE&amp;creator=factset&amp;display_string=Audit"}</definedName>
    <definedName name="_2311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2312__FDSAUDITLINK__" localSheetId="1" hidden="1">{"fdsup://Directions/FactSet Auditing Viewer?action=AUDIT_VALUE&amp;DB=129&amp;ID1=46612H40&amp;VALUEID=02101&amp;SDATE=200801&amp;PERIODTYPE=QTR_STD&amp;window=popup_no_bar&amp;width=385&amp;height=120&amp;START_MAXIMIZED=FALSE&amp;creator=factset&amp;display_string=Audit"}</definedName>
    <definedName name="_2312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2313__FDSAUDITLINK__" localSheetId="1" hidden="1">{"fdsup://Directions/FactSet Auditing Viewer?action=AUDIT_VALUE&amp;DB=129&amp;ID1=46612H40&amp;VALUEID=01001&amp;SDATE=200801&amp;PERIODTYPE=QTR_STD&amp;window=popup_no_bar&amp;width=385&amp;height=120&amp;START_MAXIMIZED=FALSE&amp;creator=factset&amp;display_string=Audit"}</definedName>
    <definedName name="_2313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2314__FDSAUDITLINK__" localSheetId="1" hidden="1">{"fdsup://Directions/FactSet Auditing Viewer?action=AUDIT_VALUE&amp;DB=129&amp;ID1=46612H40&amp;VALUEID=13040&amp;SDATE=200801&amp;PERIODTYPE=QTR_STD&amp;window=popup_no_bar&amp;width=385&amp;height=120&amp;START_MAXIMIZED=FALSE&amp;creator=factset&amp;display_string=Audit"}</definedName>
    <definedName name="_2314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2315__FDSAUDITLINK__" localSheetId="1" hidden="1">{"fdsup://Directions/FactSet Auditing Viewer?action=AUDIT_VALUE&amp;DB=129&amp;ID1=36476010&amp;VALUEID=02101&amp;SDATE=200801&amp;PERIODTYPE=QTR_STD&amp;window=popup_no_bar&amp;width=385&amp;height=120&amp;START_MAXIMIZED=FALSE&amp;creator=factset&amp;display_string=Audit"}</definedName>
    <definedName name="_2315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2316__FDSAUDITLINK__" localSheetId="1" hidden="1">{"fdsup://Directions/FactSet Auditing Viewer?action=AUDIT_VALUE&amp;DB=129&amp;ID1=36476010&amp;VALUEID=01001&amp;SDATE=200801&amp;PERIODTYPE=QTR_STD&amp;window=popup_no_bar&amp;width=385&amp;height=120&amp;START_MAXIMIZED=FALSE&amp;creator=factset&amp;display_string=Audit"}</definedName>
    <definedName name="_2316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2317__FDSAUDITLINK__" localSheetId="1" hidden="1">{"fdsup://Directions/FactSet Auditing Viewer?action=AUDIT_VALUE&amp;DB=129&amp;ID1=36476010&amp;VALUEID=13040&amp;SDATE=200801&amp;PERIODTYPE=QTR_STD&amp;window=popup_no_bar&amp;width=385&amp;height=120&amp;START_MAXIMIZED=FALSE&amp;creator=factset&amp;display_string=Audit"}</definedName>
    <definedName name="_2317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2318__FDSAUDITLINK__" localSheetId="1" hidden="1">{"fdsup://Directions/FactSet Auditing Viewer?action=AUDIT_VALUE&amp;DB=129&amp;ID1=03611510&amp;VALUEID=02101&amp;SDATE=200801&amp;PERIODTYPE=QTR_STD&amp;window=popup_no_bar&amp;width=385&amp;height=120&amp;START_MAXIMIZED=FALSE&amp;creator=factset&amp;display_string=Audit"}</definedName>
    <definedName name="_2318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2319__FDSAUDITLINK__" localSheetId="1" hidden="1">{"fdsup://Directions/FactSet Auditing Viewer?action=AUDIT_VALUE&amp;DB=129&amp;ID1=03611510&amp;VALUEID=01001&amp;SDATE=200801&amp;PERIODTYPE=QTR_STD&amp;window=popup_no_bar&amp;width=385&amp;height=120&amp;START_MAXIMIZED=FALSE&amp;creator=factset&amp;display_string=Audit"}</definedName>
    <definedName name="_2319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232__FDSAUDITLINK__" localSheetId="1" hidden="1">{"fdsup://Directions/FactSet Auditing Viewer?action=AUDIT_VALUE&amp;DB=129&amp;ID1=46612H40&amp;VALUEID=01001&amp;SDATE=200702&amp;PERIODTYPE=QTR_STD&amp;window=popup_no_bar&amp;width=385&amp;height=120&amp;START_MAXIMIZED=FALSE&amp;creator=factset&amp;display_string=Audit"}</definedName>
    <definedName name="_232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2320__FDSAUDITLINK__" localSheetId="1" hidden="1">{"fdsup://Directions/FactSet Auditing Viewer?action=AUDIT_VALUE&amp;DB=129&amp;ID1=03611510&amp;VALUEID=13040&amp;SDATE=200801&amp;PERIODTYPE=QTR_STD&amp;window=popup_no_bar&amp;width=385&amp;height=120&amp;START_MAXIMIZED=FALSE&amp;creator=factset&amp;display_string=Audit"}</definedName>
    <definedName name="_2320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2321__FDSAUDITLINK__" localSheetId="1" hidden="1">{"fdsup://Directions/FactSet Auditing Viewer?action=AUDIT_VALUE&amp;DB=129&amp;ID1=16890510&amp;VALUEID=02101&amp;SDATE=200801&amp;PERIODTYPE=QTR_STD&amp;window=popup_no_bar&amp;width=385&amp;height=120&amp;START_MAXIMIZED=FALSE&amp;creator=factset&amp;display_string=Audit"}</definedName>
    <definedName name="_2321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2322__FDSAUDITLINK__" localSheetId="1" hidden="1">{"fdsup://Directions/FactSet Auditing Viewer?action=AUDIT_VALUE&amp;DB=129&amp;ID1=16890510&amp;VALUEID=01001&amp;SDATE=200801&amp;PERIODTYPE=QTR_STD&amp;window=popup_no_bar&amp;width=385&amp;height=120&amp;START_MAXIMIZED=FALSE&amp;creator=factset&amp;display_string=Audit"}</definedName>
    <definedName name="_2322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2323__FDSAUDITLINK__" localSheetId="1" hidden="1">{"fdsup://Directions/FactSet Auditing Viewer?action=AUDIT_VALUE&amp;DB=129&amp;ID1=91704710&amp;VALUEID=02101&amp;SDATE=200801&amp;PERIODTYPE=QTR_STD&amp;window=popup_no_bar&amp;width=385&amp;height=120&amp;START_MAXIMIZED=FALSE&amp;creator=factset&amp;display_string=Audit"}</definedName>
    <definedName name="_2323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2324__FDSAUDITLINK__" localSheetId="1" hidden="1">{"fdsup://Directions/FactSet Auditing Viewer?action=AUDIT_VALUE&amp;DB=129&amp;ID1=91704710&amp;VALUEID=01001&amp;SDATE=200801&amp;PERIODTYPE=QTR_STD&amp;window=popup_no_bar&amp;width=385&amp;height=120&amp;START_MAXIMIZED=FALSE&amp;creator=factset&amp;display_string=Audit"}</definedName>
    <definedName name="_2324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2325__FDSAUDITLINK__" localSheetId="1" hidden="1">{"fdsup://Directions/FactSet Auditing Viewer?action=AUDIT_VALUE&amp;DB=129&amp;ID1=91704710&amp;VALUEID=13040&amp;SDATE=200801&amp;PERIODTYPE=QTR_STD&amp;window=popup_no_bar&amp;width=385&amp;height=120&amp;START_MAXIMIZED=FALSE&amp;creator=factset&amp;display_string=Audit"}</definedName>
    <definedName name="_2325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2326__FDSAUDITLINK__" localSheetId="1" hidden="1">{"fdsup://Directions/FactSet Auditing Viewer?action=AUDIT_VALUE&amp;DB=129&amp;ID1=02553E10&amp;VALUEID=02101&amp;SDATE=200801&amp;PERIODTYPE=QTR_STD&amp;window=popup_no_bar&amp;width=385&amp;height=120&amp;START_MAXIMIZED=FALSE&amp;creator=factset&amp;display_string=Audit"}</definedName>
    <definedName name="_2326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2327__FDSAUDITLINK__" localSheetId="1" hidden="1">{"fdsup://Directions/FactSet Auditing Viewer?action=AUDIT_VALUE&amp;DB=129&amp;ID1=02553E10&amp;VALUEID=01001&amp;SDATE=200801&amp;PERIODTYPE=QTR_STD&amp;window=popup_no_bar&amp;width=385&amp;height=120&amp;START_MAXIMIZED=FALSE&amp;creator=factset&amp;display_string=Audit"}</definedName>
    <definedName name="_2327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2328__FDSAUDITLINK__" localSheetId="1" hidden="1">{"fdsup://Directions/FactSet Auditing Viewer?action=AUDIT_VALUE&amp;DB=129&amp;ID1=02553E10&amp;VALUEID=13040&amp;SDATE=200801&amp;PERIODTYPE=QTR_STD&amp;window=popup_no_bar&amp;width=385&amp;height=120&amp;START_MAXIMIZED=FALSE&amp;creator=factset&amp;display_string=Audit"}</definedName>
    <definedName name="_2328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2329__FDSAUDITLINK__" localSheetId="1" hidden="1">{"fdsup://Directions/FactSet Auditing Viewer?action=AUDIT_VALUE&amp;DB=129&amp;ID1=00786510&amp;VALUEID=02101&amp;SDATE=200801&amp;PERIODTYPE=QTR_STD&amp;window=popup_no_bar&amp;width=385&amp;height=120&amp;START_MAXIMIZED=FALSE&amp;creator=factset&amp;display_string=Audit"}</definedName>
    <definedName name="_2329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233__FDSAUDITLINK__" localSheetId="1" hidden="1">{"fdsup://Directions/FactSet Auditing Viewer?action=AUDIT_VALUE&amp;DB=129&amp;ID1=46612H40&amp;VALUEID=13040&amp;SDATE=200702&amp;PERIODTYPE=QTR_STD&amp;window=popup_no_bar&amp;width=385&amp;height=120&amp;START_MAXIMIZED=FALSE&amp;creator=factset&amp;display_string=Audit"}</definedName>
    <definedName name="_233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2330__FDSAUDITLINK__" localSheetId="1" hidden="1">{"fdsup://Directions/FactSet Auditing Viewer?action=AUDIT_VALUE&amp;DB=129&amp;ID1=00786510&amp;VALUEID=01001&amp;SDATE=200801&amp;PERIODTYPE=QTR_STD&amp;window=popup_no_bar&amp;width=385&amp;height=120&amp;START_MAXIMIZED=FALSE&amp;creator=factset&amp;display_string=Audit"}</definedName>
    <definedName name="_2330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2331__FDSAUDITLINK__" localSheetId="1" hidden="1">{"fdsup://Directions/FactSet Auditing Viewer?action=AUDIT_VALUE&amp;DB=129&amp;ID1=00786510&amp;VALUEID=13040&amp;SDATE=200801&amp;PERIODTYPE=QTR_STD&amp;window=popup_no_bar&amp;width=385&amp;height=120&amp;START_MAXIMIZED=FALSE&amp;creator=factset&amp;display_string=Audit"}</definedName>
    <definedName name="_2331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2332__FDSAUDITLINK__" localSheetId="1" hidden="1">{"fdsup://Directions/FactSet Auditing Viewer?action=AUDIT_VALUE&amp;DB=129&amp;ID1=00289620&amp;VALUEID=02101&amp;SDATE=200801&amp;PERIODTYPE=QTR_STD&amp;window=popup_no_bar&amp;width=385&amp;height=120&amp;START_MAXIMIZED=FALSE&amp;creator=factset&amp;display_string=Audit"}</definedName>
    <definedName name="_2332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2333__FDSAUDITLINK__" localSheetId="1" hidden="1">{"fdsup://Directions/FactSet Auditing Viewer?action=AUDIT_VALUE&amp;DB=129&amp;ID1=00289620&amp;VALUEID=01001&amp;SDATE=200801&amp;PERIODTYPE=QTR_STD&amp;window=popup_no_bar&amp;width=385&amp;height=120&amp;START_MAXIMIZED=FALSE&amp;creator=factset&amp;display_string=Audit"}</definedName>
    <definedName name="_2333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2334__FDSAUDITLINK__" localSheetId="1" hidden="1">{"fdsup://Directions/FactSet Auditing Viewer?action=AUDIT_VALUE&amp;DB=129&amp;ID1=00289620&amp;VALUEID=13040&amp;SDATE=200801&amp;PERIODTYPE=QTR_STD&amp;window=popup_no_bar&amp;width=385&amp;height=120&amp;START_MAXIMIZED=FALSE&amp;creator=factset&amp;display_string=Audit"}</definedName>
    <definedName name="_2334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2335__FDSAUDITLINK__" localSheetId="1" hidden="1">{"fdsup://Directions/FactSet Auditing Viewer?action=AUDIT_VALUE&amp;DB=129&amp;ID1=87416110&amp;VALUEID=01001&amp;SDATE=200704&amp;PERIODTYPE=QTR_STD&amp;window=popup_no_bar&amp;width=385&amp;height=120&amp;START_MAXIMIZED=FALSE&amp;creator=factset&amp;display_string=Audit"}</definedName>
    <definedName name="_2335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2336__FDSAUDITLINK__" localSheetId="1" hidden="1">{"fdsup://Directions/FactSet Auditing Viewer?action=AUDIT_VALUE&amp;DB=129&amp;ID1=46612H40&amp;VALUEID=01001&amp;SDATE=200704&amp;PERIODTYPE=QTR_STD&amp;window=popup_no_bar&amp;width=385&amp;height=120&amp;START_MAXIMIZED=FALSE&amp;creator=factset&amp;display_string=Audit"}</definedName>
    <definedName name="_2336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2337__FDSAUDITLINK__" localSheetId="1" hidden="1">{"fdsup://Directions/FactSet Auditing Viewer?action=AUDIT_VALUE&amp;DB=129&amp;ID1=46612H40&amp;VALUEID=13040&amp;SDATE=200704&amp;PERIODTYPE=QTR_STD&amp;window=popup_no_bar&amp;width=385&amp;height=120&amp;START_MAXIMIZED=FALSE&amp;creator=factset&amp;display_string=Audit"}</definedName>
    <definedName name="_2337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2338__FDSAUDITLINK__" localSheetId="1" hidden="1">{"fdsup://Directions/FactSet Auditing Viewer?action=AUDIT_VALUE&amp;DB=129&amp;ID1=36476010&amp;VALUEID=01001&amp;SDATE=200704&amp;PERIODTYPE=QTR_STD&amp;window=popup_no_bar&amp;width=385&amp;height=120&amp;START_MAXIMIZED=FALSE&amp;creator=factset&amp;display_string=Audit"}</definedName>
    <definedName name="_2338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2339__FDSAUDITLINK__" localSheetId="1" hidden="1">{"fdsup://Directions/FactSet Auditing Viewer?action=AUDIT_VALUE&amp;DB=129&amp;ID1=03611510&amp;VALUEID=01001&amp;SDATE=200704&amp;PERIODTYPE=QTR_STD&amp;window=popup_no_bar&amp;width=385&amp;height=120&amp;START_MAXIMIZED=FALSE&amp;creator=factset&amp;display_string=Audit"}</definedName>
    <definedName name="_2339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234__FDSAUDITLINK__" localSheetId="1" hidden="1">{"fdsup://Directions/FactSet Auditing Viewer?action=AUDIT_VALUE&amp;DB=129&amp;ID1=36476010&amp;VALUEID=02101&amp;SDATE=200702&amp;PERIODTYPE=QTR_STD&amp;window=popup_no_bar&amp;width=385&amp;height=120&amp;START_MAXIMIZED=FALSE&amp;creator=factset&amp;display_string=Audit"}</definedName>
    <definedName name="_234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2340__FDSAUDITLINK__" localSheetId="1" hidden="1">{"fdsup://Directions/FactSet Auditing Viewer?action=AUDIT_VALUE&amp;DB=129&amp;ID1=03611510&amp;VALUEID=13040&amp;SDATE=200704&amp;PERIODTYPE=QTR_STD&amp;window=popup_no_bar&amp;width=385&amp;height=120&amp;START_MAXIMIZED=FALSE&amp;creator=factset&amp;display_string=Audit"}</definedName>
    <definedName name="_2340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2341__FDSAUDITLINK__" localSheetId="1" hidden="1">{"fdsup://Directions/FactSet Auditing Viewer?action=AUDIT_VALUE&amp;DB=129&amp;ID1=16890510&amp;VALUEID=01001&amp;SDATE=200704&amp;PERIODTYPE=QTR_STD&amp;window=popup_no_bar&amp;width=385&amp;height=120&amp;START_MAXIMIZED=FALSE&amp;creator=factset&amp;display_string=Audit"}</definedName>
    <definedName name="_2341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2342__FDSAUDITLINK__" localSheetId="1" hidden="1">{"fdsup://Directions/FactSet Auditing Viewer?action=AUDIT_VALUE&amp;DB=129&amp;ID1=00786510&amp;VALUEID=01001&amp;SDATE=200704&amp;PERIODTYPE=QTR_STD&amp;window=popup_no_bar&amp;width=385&amp;height=120&amp;START_MAXIMIZED=FALSE&amp;creator=factset&amp;display_string=Audit"}</definedName>
    <definedName name="_2342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2343__FDSAUDITLINK__" localSheetId="1" hidden="1">{"fdsup://Directions/FactSet Auditing Viewer?action=AUDIT_VALUE&amp;DB=129&amp;ID1=87416110&amp;VALUEID=02101&amp;SDATE=200703&amp;PERIODTYPE=QTR_STD&amp;window=popup_no_bar&amp;width=385&amp;height=120&amp;START_MAXIMIZED=FALSE&amp;creator=factset&amp;display_string=Audit"}</definedName>
    <definedName name="_2343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2344__FDSAUDITLINK__" localSheetId="1" hidden="1">{"fdsup://Directions/FactSet Auditing Viewer?action=AUDIT_VALUE&amp;DB=129&amp;ID1=87416110&amp;VALUEID=01001&amp;SDATE=200703&amp;PERIODTYPE=QTR_STD&amp;window=popup_no_bar&amp;width=385&amp;height=120&amp;START_MAXIMIZED=FALSE&amp;creator=factset&amp;display_string=Audit"}</definedName>
    <definedName name="_2344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2345__FDSAUDITLINK__" localSheetId="1" hidden="1">{"fdsup://Directions/FactSet Auditing Viewer?action=AUDIT_VALUE&amp;DB=129&amp;ID1=53271610&amp;VALUEID=02101&amp;SDATE=200703&amp;PERIODTYPE=QTR_STD&amp;window=popup_no_bar&amp;width=385&amp;height=120&amp;START_MAXIMIZED=FALSE&amp;creator=factset&amp;display_string=Audit"}</definedName>
    <definedName name="_2345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2346__FDSAUDITLINK__" localSheetId="1" hidden="1">{"fdsup://Directions/FactSet Auditing Viewer?action=AUDIT_VALUE&amp;DB=129&amp;ID1=53271610&amp;VALUEID=01001&amp;SDATE=200703&amp;PERIODTYPE=QTR_STD&amp;window=popup_no_bar&amp;width=385&amp;height=120&amp;START_MAXIMIZED=FALSE&amp;creator=factset&amp;display_string=Audit"}</definedName>
    <definedName name="_2346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2347__FDSAUDITLINK__" localSheetId="1" hidden="1">{"fdsup://Directions/FactSet Auditing Viewer?action=AUDIT_VALUE&amp;DB=129&amp;ID1=53271610&amp;VALUEID=13040&amp;SDATE=200703&amp;PERIODTYPE=QTR_STD&amp;window=popup_no_bar&amp;width=385&amp;height=120&amp;START_MAXIMIZED=FALSE&amp;creator=factset&amp;display_string=Audit"}</definedName>
    <definedName name="_2347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2348__FDSAUDITLINK__" localSheetId="1" hidden="1">{"fdsup://Directions/FactSet Auditing Viewer?action=AUDIT_VALUE&amp;DB=129&amp;ID1=46612H40&amp;VALUEID=02101&amp;SDATE=200703&amp;PERIODTYPE=QTR_STD&amp;window=popup_no_bar&amp;width=385&amp;height=120&amp;START_MAXIMIZED=FALSE&amp;creator=factset&amp;display_string=Audit"}</definedName>
    <definedName name="_2348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2349__FDSAUDITLINK__" localSheetId="1" hidden="1">{"fdsup://Directions/FactSet Auditing Viewer?action=AUDIT_VALUE&amp;DB=129&amp;ID1=46612H40&amp;VALUEID=01001&amp;SDATE=200703&amp;PERIODTYPE=QTR_STD&amp;window=popup_no_bar&amp;width=385&amp;height=120&amp;START_MAXIMIZED=FALSE&amp;creator=factset&amp;display_string=Audit"}</definedName>
    <definedName name="_2349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235__FDSAUDITLINK__" localSheetId="1" hidden="1">{"fdsup://Directions/FactSet Auditing Viewer?action=AUDIT_VALUE&amp;DB=129&amp;ID1=36476010&amp;VALUEID=01001&amp;SDATE=200702&amp;PERIODTYPE=QTR_STD&amp;window=popup_no_bar&amp;width=385&amp;height=120&amp;START_MAXIMIZED=FALSE&amp;creator=factset&amp;display_string=Audit"}</definedName>
    <definedName name="_235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2350__FDSAUDITLINK__" localSheetId="1" hidden="1">{"fdsup://Directions/FactSet Auditing Viewer?action=AUDIT_VALUE&amp;DB=129&amp;ID1=46612H40&amp;VALUEID=13040&amp;SDATE=200703&amp;PERIODTYPE=QTR_STD&amp;window=popup_no_bar&amp;width=385&amp;height=120&amp;START_MAXIMIZED=FALSE&amp;creator=factset&amp;display_string=Audit"}</definedName>
    <definedName name="_2350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2351__FDSAUDITLINK__" localSheetId="1" hidden="1">{"fdsup://Directions/FactSet Auditing Viewer?action=AUDIT_VALUE&amp;DB=129&amp;ID1=36476010&amp;VALUEID=02101&amp;SDATE=200703&amp;PERIODTYPE=QTR_STD&amp;window=popup_no_bar&amp;width=385&amp;height=120&amp;START_MAXIMIZED=FALSE&amp;creator=factset&amp;display_string=Audit"}</definedName>
    <definedName name="_2351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2352__FDSAUDITLINK__" localSheetId="1" hidden="1">{"fdsup://Directions/FactSet Auditing Viewer?action=AUDIT_VALUE&amp;DB=129&amp;ID1=36476010&amp;VALUEID=01001&amp;SDATE=200703&amp;PERIODTYPE=QTR_STD&amp;window=popup_no_bar&amp;width=385&amp;height=120&amp;START_MAXIMIZED=FALSE&amp;creator=factset&amp;display_string=Audit"}</definedName>
    <definedName name="_2352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2353__FDSAUDITLINK__" localSheetId="1" hidden="1">{"fdsup://Directions/FactSet Auditing Viewer?action=AUDIT_VALUE&amp;DB=129&amp;ID1=36476010&amp;VALUEID=13040&amp;SDATE=200703&amp;PERIODTYPE=QTR_STD&amp;window=popup_no_bar&amp;width=385&amp;height=120&amp;START_MAXIMIZED=FALSE&amp;creator=factset&amp;display_string=Audit"}</definedName>
    <definedName name="_2353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2354__FDSAUDITLINK__" localSheetId="1" hidden="1">{"fdsup://Directions/FactSet Auditing Viewer?action=AUDIT_VALUE&amp;DB=129&amp;ID1=03611510&amp;VALUEID=02101&amp;SDATE=200703&amp;PERIODTYPE=QTR_STD&amp;window=popup_no_bar&amp;width=385&amp;height=120&amp;START_MAXIMIZED=FALSE&amp;creator=factset&amp;display_string=Audit"}</definedName>
    <definedName name="_2354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2355__FDSAUDITLINK__" localSheetId="1" hidden="1">{"fdsup://Directions/FactSet Auditing Viewer?action=AUDIT_VALUE&amp;DB=129&amp;ID1=03611510&amp;VALUEID=01001&amp;SDATE=200703&amp;PERIODTYPE=QTR_STD&amp;window=popup_no_bar&amp;width=385&amp;height=120&amp;START_MAXIMIZED=FALSE&amp;creator=factset&amp;display_string=Audit"}</definedName>
    <definedName name="_2355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2356__FDSAUDITLINK__" localSheetId="1" hidden="1">{"fdsup://Directions/FactSet Auditing Viewer?action=AUDIT_VALUE&amp;DB=129&amp;ID1=03611510&amp;VALUEID=13040&amp;SDATE=200703&amp;PERIODTYPE=QTR_STD&amp;window=popup_no_bar&amp;width=385&amp;height=120&amp;START_MAXIMIZED=FALSE&amp;creator=factset&amp;display_string=Audit"}</definedName>
    <definedName name="_2356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2357__FDSAUDITLINK__" localSheetId="1" hidden="1">{"fdsup://Directions/FactSet Auditing Viewer?action=AUDIT_VALUE&amp;DB=129&amp;ID1=16890510&amp;VALUEID=02101&amp;SDATE=200703&amp;PERIODTYPE=QTR_STD&amp;window=popup_no_bar&amp;width=385&amp;height=120&amp;START_MAXIMIZED=FALSE&amp;creator=factset&amp;display_string=Audit"}</definedName>
    <definedName name="_2357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2358__FDSAUDITLINK__" localSheetId="1" hidden="1">{"fdsup://Directions/FactSet Auditing Viewer?action=AUDIT_VALUE&amp;DB=129&amp;ID1=16890510&amp;VALUEID=01001&amp;SDATE=200703&amp;PERIODTYPE=QTR_STD&amp;window=popup_no_bar&amp;width=385&amp;height=120&amp;START_MAXIMIZED=FALSE&amp;creator=factset&amp;display_string=Audit"}</definedName>
    <definedName name="_2358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2359__FDSAUDITLINK__" localSheetId="1" hidden="1">{"fdsup://Directions/FactSet Auditing Viewer?action=AUDIT_VALUE&amp;DB=129&amp;ID1=91704710&amp;VALUEID=02101&amp;SDATE=200703&amp;PERIODTYPE=QTR_STD&amp;window=popup_no_bar&amp;width=385&amp;height=120&amp;START_MAXIMIZED=FALSE&amp;creator=factset&amp;display_string=Audit"}</definedName>
    <definedName name="_2359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236__FDSAUDITLINK__" localSheetId="1" hidden="1">{"fdsup://Directions/FactSet Auditing Viewer?action=AUDIT_VALUE&amp;DB=129&amp;ID1=03611510&amp;VALUEID=02101&amp;SDATE=200702&amp;PERIODTYPE=QTR_STD&amp;window=popup_no_bar&amp;width=385&amp;height=120&amp;START_MAXIMIZED=FALSE&amp;creator=factset&amp;display_string=Audit"}</definedName>
    <definedName name="_236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2360__FDSAUDITLINK__" localSheetId="1" hidden="1">{"fdsup://Directions/FactSet Auditing Viewer?action=AUDIT_VALUE&amp;DB=129&amp;ID1=91704710&amp;VALUEID=01001&amp;SDATE=200703&amp;PERIODTYPE=QTR_STD&amp;window=popup_no_bar&amp;width=385&amp;height=120&amp;START_MAXIMIZED=FALSE&amp;creator=factset&amp;display_string=Audit"}</definedName>
    <definedName name="_2360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2361__FDSAUDITLINK__" localSheetId="1" hidden="1">{"fdsup://Directions/FactSet Auditing Viewer?action=AUDIT_VALUE&amp;DB=129&amp;ID1=91704710&amp;VALUEID=13040&amp;SDATE=200703&amp;PERIODTYPE=QTR_STD&amp;window=popup_no_bar&amp;width=385&amp;height=120&amp;START_MAXIMIZED=FALSE&amp;creator=factset&amp;display_string=Audit"}</definedName>
    <definedName name="_2361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2362__FDSAUDITLINK__" localSheetId="1" hidden="1">{"fdsup://Directions/FactSet Auditing Viewer?action=AUDIT_VALUE&amp;DB=129&amp;ID1=02553E10&amp;VALUEID=02101&amp;SDATE=200703&amp;PERIODTYPE=QTR_STD&amp;window=popup_no_bar&amp;width=385&amp;height=120&amp;START_MAXIMIZED=FALSE&amp;creator=factset&amp;display_string=Audit"}</definedName>
    <definedName name="_2362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2363__FDSAUDITLINK__" localSheetId="1" hidden="1">{"fdsup://Directions/FactSet Auditing Viewer?action=AUDIT_VALUE&amp;DB=129&amp;ID1=02553E10&amp;VALUEID=01001&amp;SDATE=200703&amp;PERIODTYPE=QTR_STD&amp;window=popup_no_bar&amp;width=385&amp;height=120&amp;START_MAXIMIZED=FALSE&amp;creator=factset&amp;display_string=Audit"}</definedName>
    <definedName name="_2363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2364__FDSAUDITLINK__" localSheetId="1" hidden="1">{"fdsup://Directions/FactSet Auditing Viewer?action=AUDIT_VALUE&amp;DB=129&amp;ID1=00786510&amp;VALUEID=02101&amp;SDATE=200703&amp;PERIODTYPE=QTR_STD&amp;window=popup_no_bar&amp;width=385&amp;height=120&amp;START_MAXIMIZED=FALSE&amp;creator=factset&amp;display_string=Audit"}</definedName>
    <definedName name="_2364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2365__FDSAUDITLINK__" localSheetId="1" hidden="1">{"fdsup://Directions/FactSet Auditing Viewer?action=AUDIT_VALUE&amp;DB=129&amp;ID1=00786510&amp;VALUEID=01001&amp;SDATE=200703&amp;PERIODTYPE=QTR_STD&amp;window=popup_no_bar&amp;width=385&amp;height=120&amp;START_MAXIMIZED=FALSE&amp;creator=factset&amp;display_string=Audit"}</definedName>
    <definedName name="_2365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2366__FDSAUDITLINK__" localSheetId="1" hidden="1">{"fdsup://Directions/FactSet Auditing Viewer?action=AUDIT_VALUE&amp;DB=129&amp;ID1=00786510&amp;VALUEID=13040&amp;SDATE=200703&amp;PERIODTYPE=QTR_STD&amp;window=popup_no_bar&amp;width=385&amp;height=120&amp;START_MAXIMIZED=FALSE&amp;creator=factset&amp;display_string=Audit"}</definedName>
    <definedName name="_2366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2367__FDSAUDITLINK__" localSheetId="1" hidden="1">{"fdsup://Directions/FactSet Auditing Viewer?action=AUDIT_VALUE&amp;DB=129&amp;ID1=00289620&amp;VALUEID=02101&amp;SDATE=200703&amp;PERIODTYPE=QTR_STD&amp;window=popup_no_bar&amp;width=385&amp;height=120&amp;START_MAXIMIZED=FALSE&amp;creator=factset&amp;display_string=Audit"}</definedName>
    <definedName name="_2367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2368__FDSAUDITLINK__" localSheetId="1" hidden="1">{"fdsup://Directions/FactSet Auditing Viewer?action=AUDIT_VALUE&amp;DB=129&amp;ID1=00289620&amp;VALUEID=01001&amp;SDATE=200703&amp;PERIODTYPE=QTR_STD&amp;window=popup_no_bar&amp;width=385&amp;height=120&amp;START_MAXIMIZED=FALSE&amp;creator=factset&amp;display_string=Audit"}</definedName>
    <definedName name="_2368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2369__FDSAUDITLINK__" localSheetId="1" hidden="1">{"fdsup://Directions/FactSet Auditing Viewer?action=AUDIT_VALUE&amp;DB=129&amp;ID1=00289620&amp;VALUEID=13040&amp;SDATE=200703&amp;PERIODTYPE=QTR_STD&amp;window=popup_no_bar&amp;width=385&amp;height=120&amp;START_MAXIMIZED=FALSE&amp;creator=factset&amp;display_string=Audit"}</definedName>
    <definedName name="_2369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237__FDSAUDITLINK__" localSheetId="1" hidden="1">{"fdsup://Directions/FactSet Auditing Viewer?action=AUDIT_VALUE&amp;DB=129&amp;ID1=03611510&amp;VALUEID=01001&amp;SDATE=200702&amp;PERIODTYPE=QTR_STD&amp;window=popup_no_bar&amp;width=385&amp;height=120&amp;START_MAXIMIZED=FALSE&amp;creator=factset&amp;display_string=Audit"}</definedName>
    <definedName name="_237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2370__FDSAUDITLINK__" localSheetId="1" hidden="1">{"fdsup://Directions/FactSet Auditing Viewer?action=AUDIT_VALUE&amp;DB=129&amp;ID1=87416110&amp;VALUEID=02101&amp;SDATE=200702&amp;PERIODTYPE=QTR_STD&amp;window=popup_no_bar&amp;width=385&amp;height=120&amp;START_MAXIMIZED=FALSE&amp;creator=factset&amp;display_string=Audit"}</definedName>
    <definedName name="_2370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2371__FDSAUDITLINK__" localSheetId="1" hidden="1">{"fdsup://Directions/FactSet Auditing Viewer?action=AUDIT_VALUE&amp;DB=129&amp;ID1=87416110&amp;VALUEID=01001&amp;SDATE=200702&amp;PERIODTYPE=QTR_STD&amp;window=popup_no_bar&amp;width=385&amp;height=120&amp;START_MAXIMIZED=FALSE&amp;creator=factset&amp;display_string=Audit"}</definedName>
    <definedName name="_2371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2372__FDSAUDITLINK__" localSheetId="1" hidden="1">{"fdsup://Directions/FactSet Auditing Viewer?action=AUDIT_VALUE&amp;DB=129&amp;ID1=53271610&amp;VALUEID=02101&amp;SDATE=200702&amp;PERIODTYPE=QTR_STD&amp;window=popup_no_bar&amp;width=385&amp;height=120&amp;START_MAXIMIZED=FALSE&amp;creator=factset&amp;display_string=Audit"}</definedName>
    <definedName name="_2372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2373__FDSAUDITLINK__" localSheetId="1" hidden="1">{"fdsup://Directions/FactSet Auditing Viewer?action=AUDIT_VALUE&amp;DB=129&amp;ID1=53271610&amp;VALUEID=01001&amp;SDATE=200702&amp;PERIODTYPE=QTR_STD&amp;window=popup_no_bar&amp;width=385&amp;height=120&amp;START_MAXIMIZED=FALSE&amp;creator=factset&amp;display_string=Audit"}</definedName>
    <definedName name="_2373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2374__FDSAUDITLINK__" localSheetId="1" hidden="1">{"fdsup://Directions/FactSet Auditing Viewer?action=AUDIT_VALUE&amp;DB=129&amp;ID1=53271610&amp;VALUEID=13040&amp;SDATE=200702&amp;PERIODTYPE=QTR_STD&amp;window=popup_no_bar&amp;width=385&amp;height=120&amp;START_MAXIMIZED=FALSE&amp;creator=factset&amp;display_string=Audit"}</definedName>
    <definedName name="_2374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2375__FDSAUDITLINK__" localSheetId="1" hidden="1">{"fdsup://Directions/FactSet Auditing Viewer?action=AUDIT_VALUE&amp;DB=129&amp;ID1=46612H40&amp;VALUEID=02101&amp;SDATE=200702&amp;PERIODTYPE=QTR_STD&amp;window=popup_no_bar&amp;width=385&amp;height=120&amp;START_MAXIMIZED=FALSE&amp;creator=factset&amp;display_string=Audit"}</definedName>
    <definedName name="_2375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2376__FDSAUDITLINK__" localSheetId="1" hidden="1">{"fdsup://Directions/FactSet Auditing Viewer?action=AUDIT_VALUE&amp;DB=129&amp;ID1=46612H40&amp;VALUEID=01001&amp;SDATE=200702&amp;PERIODTYPE=QTR_STD&amp;window=popup_no_bar&amp;width=385&amp;height=120&amp;START_MAXIMIZED=FALSE&amp;creator=factset&amp;display_string=Audit"}</definedName>
    <definedName name="_2376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2377__FDSAUDITLINK__" localSheetId="1" hidden="1">{"fdsup://Directions/FactSet Auditing Viewer?action=AUDIT_VALUE&amp;DB=129&amp;ID1=46612H40&amp;VALUEID=13040&amp;SDATE=200702&amp;PERIODTYPE=QTR_STD&amp;window=popup_no_bar&amp;width=385&amp;height=120&amp;START_MAXIMIZED=FALSE&amp;creator=factset&amp;display_string=Audit"}</definedName>
    <definedName name="_2377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2378__FDSAUDITLINK__" localSheetId="1" hidden="1">{"fdsup://Directions/FactSet Auditing Viewer?action=AUDIT_VALUE&amp;DB=129&amp;ID1=36476010&amp;VALUEID=02101&amp;SDATE=200702&amp;PERIODTYPE=QTR_STD&amp;window=popup_no_bar&amp;width=385&amp;height=120&amp;START_MAXIMIZED=FALSE&amp;creator=factset&amp;display_string=Audit"}</definedName>
    <definedName name="_2378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2379__FDSAUDITLINK__" localSheetId="1" hidden="1">{"fdsup://Directions/FactSet Auditing Viewer?action=AUDIT_VALUE&amp;DB=129&amp;ID1=36476010&amp;VALUEID=01001&amp;SDATE=200702&amp;PERIODTYPE=QTR_STD&amp;window=popup_no_bar&amp;width=385&amp;height=120&amp;START_MAXIMIZED=FALSE&amp;creator=factset&amp;display_string=Audit"}</definedName>
    <definedName name="_2379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238__FDSAUDITLINK__" localSheetId="1" hidden="1">{"fdsup://Directions/FactSet Auditing Viewer?action=AUDIT_VALUE&amp;DB=129&amp;ID1=03611510&amp;VALUEID=13040&amp;SDATE=200702&amp;PERIODTYPE=QTR_STD&amp;window=popup_no_bar&amp;width=385&amp;height=120&amp;START_MAXIMIZED=FALSE&amp;creator=factset&amp;display_string=Audit"}</definedName>
    <definedName name="_238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2380__FDSAUDITLINK__" localSheetId="1" hidden="1">{"fdsup://Directions/FactSet Auditing Viewer?action=AUDIT_VALUE&amp;DB=129&amp;ID1=03611510&amp;VALUEID=02101&amp;SDATE=200702&amp;PERIODTYPE=QTR_STD&amp;window=popup_no_bar&amp;width=385&amp;height=120&amp;START_MAXIMIZED=FALSE&amp;creator=factset&amp;display_string=Audit"}</definedName>
    <definedName name="_2380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2381__FDSAUDITLINK__" localSheetId="1" hidden="1">{"fdsup://Directions/FactSet Auditing Viewer?action=AUDIT_VALUE&amp;DB=129&amp;ID1=03611510&amp;VALUEID=01001&amp;SDATE=200702&amp;PERIODTYPE=QTR_STD&amp;window=popup_no_bar&amp;width=385&amp;height=120&amp;START_MAXIMIZED=FALSE&amp;creator=factset&amp;display_string=Audit"}</definedName>
    <definedName name="_2381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2382__FDSAUDITLINK__" localSheetId="1" hidden="1">{"fdsup://Directions/FactSet Auditing Viewer?action=AUDIT_VALUE&amp;DB=129&amp;ID1=03611510&amp;VALUEID=13040&amp;SDATE=200702&amp;PERIODTYPE=QTR_STD&amp;window=popup_no_bar&amp;width=385&amp;height=120&amp;START_MAXIMIZED=FALSE&amp;creator=factset&amp;display_string=Audit"}</definedName>
    <definedName name="_2382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2383__FDSAUDITLINK__" localSheetId="1" hidden="1">{"fdsup://Directions/FactSet Auditing Viewer?action=AUDIT_VALUE&amp;DB=129&amp;ID1=16890510&amp;VALUEID=02101&amp;SDATE=200702&amp;PERIODTYPE=QTR_STD&amp;window=popup_no_bar&amp;width=385&amp;height=120&amp;START_MAXIMIZED=FALSE&amp;creator=factset&amp;display_string=Audit"}</definedName>
    <definedName name="_2383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2384__FDSAUDITLINK__" localSheetId="1" hidden="1">{"fdsup://Directions/FactSet Auditing Viewer?action=AUDIT_VALUE&amp;DB=129&amp;ID1=16890510&amp;VALUEID=01001&amp;SDATE=200702&amp;PERIODTYPE=QTR_STD&amp;window=popup_no_bar&amp;width=385&amp;height=120&amp;START_MAXIMIZED=FALSE&amp;creator=factset&amp;display_string=Audit"}</definedName>
    <definedName name="_2384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2385__FDSAUDITLINK__" localSheetId="1" hidden="1">{"fdsup://Directions/FactSet Auditing Viewer?action=AUDIT_VALUE&amp;DB=129&amp;ID1=91704710&amp;VALUEID=02101&amp;SDATE=200702&amp;PERIODTYPE=QTR_STD&amp;window=popup_no_bar&amp;width=385&amp;height=120&amp;START_MAXIMIZED=FALSE&amp;creator=factset&amp;display_string=Audit"}</definedName>
    <definedName name="_2385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2386__FDSAUDITLINK__" localSheetId="1" hidden="1">{"fdsup://Directions/FactSet Auditing Viewer?action=AUDIT_VALUE&amp;DB=129&amp;ID1=91704710&amp;VALUEID=01001&amp;SDATE=200702&amp;PERIODTYPE=QTR_STD&amp;window=popup_no_bar&amp;width=385&amp;height=120&amp;START_MAXIMIZED=FALSE&amp;creator=factset&amp;display_string=Audit"}</definedName>
    <definedName name="_2386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2387__FDSAUDITLINK__" localSheetId="1" hidden="1">{"fdsup://Directions/FactSet Auditing Viewer?action=AUDIT_VALUE&amp;DB=129&amp;ID1=91704710&amp;VALUEID=13040&amp;SDATE=200702&amp;PERIODTYPE=QTR_STD&amp;window=popup_no_bar&amp;width=385&amp;height=120&amp;START_MAXIMIZED=FALSE&amp;creator=factset&amp;display_string=Audit"}</definedName>
    <definedName name="_2387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2388__FDSAUDITLINK__" localSheetId="1" hidden="1">{"fdsup://Directions/FactSet Auditing Viewer?action=AUDIT_VALUE&amp;DB=129&amp;ID1=02553E10&amp;VALUEID=02101&amp;SDATE=200702&amp;PERIODTYPE=QTR_STD&amp;window=popup_no_bar&amp;width=385&amp;height=120&amp;START_MAXIMIZED=FALSE&amp;creator=factset&amp;display_string=Audit"}</definedName>
    <definedName name="_2388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2389__FDSAUDITLINK__" localSheetId="1" hidden="1">{"fdsup://Directions/FactSet Auditing Viewer?action=AUDIT_VALUE&amp;DB=129&amp;ID1=02553E10&amp;VALUEID=01001&amp;SDATE=200702&amp;PERIODTYPE=QTR_STD&amp;window=popup_no_bar&amp;width=385&amp;height=120&amp;START_MAXIMIZED=FALSE&amp;creator=factset&amp;display_string=Audit"}</definedName>
    <definedName name="_2389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239__FDSAUDITLINK__" localSheetId="1" hidden="1">{"fdsup://Directions/FactSet Auditing Viewer?action=AUDIT_VALUE&amp;DB=129&amp;ID1=16890510&amp;VALUEID=02101&amp;SDATE=200702&amp;PERIODTYPE=QTR_STD&amp;window=popup_no_bar&amp;width=385&amp;height=120&amp;START_MAXIMIZED=FALSE&amp;creator=factset&amp;display_string=Audit"}</definedName>
    <definedName name="_239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2390__FDSAUDITLINK__" localSheetId="1" hidden="1">{"fdsup://Directions/FactSet Auditing Viewer?action=AUDIT_VALUE&amp;DB=129&amp;ID1=02553E10&amp;VALUEID=13040&amp;SDATE=200702&amp;PERIODTYPE=QTR_STD&amp;window=popup_no_bar&amp;width=385&amp;height=120&amp;START_MAXIMIZED=FALSE&amp;creator=factset&amp;display_string=Audit"}</definedName>
    <definedName name="_2390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2391__FDSAUDITLINK__" localSheetId="1" hidden="1">{"fdsup://Directions/FactSet Auditing Viewer?action=AUDIT_VALUE&amp;DB=129&amp;ID1=00786510&amp;VALUEID=02101&amp;SDATE=200702&amp;PERIODTYPE=QTR_STD&amp;window=popup_no_bar&amp;width=385&amp;height=120&amp;START_MAXIMIZED=FALSE&amp;creator=factset&amp;display_string=Audit"}</definedName>
    <definedName name="_2391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2392__FDSAUDITLINK__" localSheetId="1" hidden="1">{"fdsup://Directions/FactSet Auditing Viewer?action=AUDIT_VALUE&amp;DB=129&amp;ID1=00786510&amp;VALUEID=01001&amp;SDATE=200702&amp;PERIODTYPE=QTR_STD&amp;window=popup_no_bar&amp;width=385&amp;height=120&amp;START_MAXIMIZED=FALSE&amp;creator=factset&amp;display_string=Audit"}</definedName>
    <definedName name="_2392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2393__FDSAUDITLINK__" localSheetId="1" hidden="1">{"fdsup://Directions/FactSet Auditing Viewer?action=AUDIT_VALUE&amp;DB=129&amp;ID1=00786510&amp;VALUEID=13040&amp;SDATE=200702&amp;PERIODTYPE=QTR_STD&amp;window=popup_no_bar&amp;width=385&amp;height=120&amp;START_MAXIMIZED=FALSE&amp;creator=factset&amp;display_string=Audit"}</definedName>
    <definedName name="_2393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2394__FDSAUDITLINK__" localSheetId="1" hidden="1">{"fdsup://Directions/FactSet Auditing Viewer?action=AUDIT_VALUE&amp;DB=129&amp;ID1=00289620&amp;VALUEID=02101&amp;SDATE=200702&amp;PERIODTYPE=QTR_STD&amp;window=popup_no_bar&amp;width=385&amp;height=120&amp;START_MAXIMIZED=FALSE&amp;creator=factset&amp;display_string=Audit"}</definedName>
    <definedName name="_2394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2395__FDSAUDITLINK__" localSheetId="1" hidden="1">{"fdsup://Directions/FactSet Auditing Viewer?action=AUDIT_VALUE&amp;DB=129&amp;ID1=00289620&amp;VALUEID=01001&amp;SDATE=200702&amp;PERIODTYPE=QTR_STD&amp;window=popup_no_bar&amp;width=385&amp;height=120&amp;START_MAXIMIZED=FALSE&amp;creator=factset&amp;display_string=Audit"}</definedName>
    <definedName name="_2395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2396__FDSAUDITLINK__" localSheetId="1" hidden="1">{"fdsup://Directions/FactSet Auditing Viewer?action=AUDIT_VALUE&amp;DB=129&amp;ID1=87416110&amp;VALUEID=02101&amp;SDATE=200701&amp;PERIODTYPE=QTR_STD&amp;window=popup_no_bar&amp;width=385&amp;height=120&amp;START_MAXIMIZED=FALSE&amp;creator=factset&amp;display_string=Audit"}</definedName>
    <definedName name="_2396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2397__FDSAUDITLINK__" localSheetId="1" hidden="1">{"fdsup://Directions/FactSet Auditing Viewer?action=AUDIT_VALUE&amp;DB=129&amp;ID1=87416110&amp;VALUEID=01001&amp;SDATE=200701&amp;PERIODTYPE=QTR_STD&amp;window=popup_no_bar&amp;width=385&amp;height=120&amp;START_MAXIMIZED=FALSE&amp;creator=factset&amp;display_string=Audit"}</definedName>
    <definedName name="_2397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2398__FDSAUDITLINK__" localSheetId="1" hidden="1">{"fdsup://Directions/FactSet Auditing Viewer?action=AUDIT_VALUE&amp;DB=129&amp;ID1=53271610&amp;VALUEID=02101&amp;SDATE=200701&amp;PERIODTYPE=QTR_STD&amp;window=popup_no_bar&amp;width=385&amp;height=120&amp;START_MAXIMIZED=FALSE&amp;creator=factset&amp;display_string=Audit"}</definedName>
    <definedName name="_2398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2399__FDSAUDITLINK__" localSheetId="1" hidden="1">{"fdsup://Directions/FactSet Auditing Viewer?action=AUDIT_VALUE&amp;DB=129&amp;ID1=53271610&amp;VALUEID=01001&amp;SDATE=200701&amp;PERIODTYPE=QTR_STD&amp;window=popup_no_bar&amp;width=385&amp;height=120&amp;START_MAXIMIZED=FALSE&amp;creator=factset&amp;display_string=Audit"}</definedName>
    <definedName name="_2399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24__FDSAUDITLINK__" localSheetId="1" hidden="1">{"fdsup://Directions/FactSet Auditing Viewer?action=AUDIT_VALUE&amp;DB=129&amp;ID1=36476010&amp;VALUEID=01001&amp;SDATE=200904&amp;PERIODTYPE=QTR_STD&amp;window=popup_no_bar&amp;width=385&amp;height=120&amp;START_MAXIMIZED=FALSE&amp;creator=factset&amp;display_string=Audit"}</definedName>
    <definedName name="_24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240__FDSAUDITLINK__" localSheetId="1" hidden="1">{"fdsup://Directions/FactSet Auditing Viewer?action=AUDIT_VALUE&amp;DB=129&amp;ID1=16890510&amp;VALUEID=01001&amp;SDATE=200702&amp;PERIODTYPE=QTR_STD&amp;window=popup_no_bar&amp;width=385&amp;height=120&amp;START_MAXIMIZED=FALSE&amp;creator=factset&amp;display_string=Audit"}</definedName>
    <definedName name="_240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2400__FDSAUDITLINK__" localSheetId="1" hidden="1">{"fdsup://Directions/FactSet Auditing Viewer?action=AUDIT_VALUE&amp;DB=129&amp;ID1=53271610&amp;VALUEID=13040&amp;SDATE=200701&amp;PERIODTYPE=QTR_STD&amp;window=popup_no_bar&amp;width=385&amp;height=120&amp;START_MAXIMIZED=FALSE&amp;creator=factset&amp;display_string=Audit"}</definedName>
    <definedName name="_2400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2401__FDSAUDITLINK__" localSheetId="1" hidden="1">{"fdsup://Directions/FactSet Auditing Viewer?action=AUDIT_VALUE&amp;DB=129&amp;ID1=46612H40&amp;VALUEID=02101&amp;SDATE=200701&amp;PERIODTYPE=QTR_STD&amp;window=popup_no_bar&amp;width=385&amp;height=120&amp;START_MAXIMIZED=FALSE&amp;creator=factset&amp;display_string=Audit"}</definedName>
    <definedName name="_2401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2402__FDSAUDITLINK__" localSheetId="1" hidden="1">{"fdsup://Directions/FactSet Auditing Viewer?action=AUDIT_VALUE&amp;DB=129&amp;ID1=46612H40&amp;VALUEID=01001&amp;SDATE=200701&amp;PERIODTYPE=QTR_STD&amp;window=popup_no_bar&amp;width=385&amp;height=120&amp;START_MAXIMIZED=FALSE&amp;creator=factset&amp;display_string=Audit"}</definedName>
    <definedName name="_2402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2403__FDSAUDITLINK__" localSheetId="1" hidden="1">{"fdsup://Directions/FactSet Auditing Viewer?action=AUDIT_VALUE&amp;DB=129&amp;ID1=46612H40&amp;VALUEID=13040&amp;SDATE=200701&amp;PERIODTYPE=QTR_STD&amp;window=popup_no_bar&amp;width=385&amp;height=120&amp;START_MAXIMIZED=FALSE&amp;creator=factset&amp;display_string=Audit"}</definedName>
    <definedName name="_2403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2404__FDSAUDITLINK__" localSheetId="1" hidden="1">{"fdsup://Directions/FactSet Auditing Viewer?action=AUDIT_VALUE&amp;DB=129&amp;ID1=36476010&amp;VALUEID=02101&amp;SDATE=200701&amp;PERIODTYPE=QTR_STD&amp;window=popup_no_bar&amp;width=385&amp;height=120&amp;START_MAXIMIZED=FALSE&amp;creator=factset&amp;display_string=Audit"}</definedName>
    <definedName name="_2404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2405__FDSAUDITLINK__" localSheetId="1" hidden="1">{"fdsup://Directions/FactSet Auditing Viewer?action=AUDIT_VALUE&amp;DB=129&amp;ID1=36476010&amp;VALUEID=01001&amp;SDATE=200701&amp;PERIODTYPE=QTR_STD&amp;window=popup_no_bar&amp;width=385&amp;height=120&amp;START_MAXIMIZED=FALSE&amp;creator=factset&amp;display_string=Audit"}</definedName>
    <definedName name="_2405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2406__FDSAUDITLINK__" localSheetId="1" hidden="1">{"fdsup://Directions/FactSet Auditing Viewer?action=AUDIT_VALUE&amp;DB=129&amp;ID1=36476010&amp;VALUEID=13040&amp;SDATE=200701&amp;PERIODTYPE=QTR_STD&amp;window=popup_no_bar&amp;width=385&amp;height=120&amp;START_MAXIMIZED=FALSE&amp;creator=factset&amp;display_string=Audit"}</definedName>
    <definedName name="_2406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2407__FDSAUDITLINK__" localSheetId="1" hidden="1">{"fdsup://Directions/FactSet Auditing Viewer?action=AUDIT_VALUE&amp;DB=129&amp;ID1=03611510&amp;VALUEID=02101&amp;SDATE=200701&amp;PERIODTYPE=QTR_STD&amp;window=popup_no_bar&amp;width=385&amp;height=120&amp;START_MAXIMIZED=FALSE&amp;creator=factset&amp;display_string=Audit"}</definedName>
    <definedName name="_2407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2408__FDSAUDITLINK__" localSheetId="1" hidden="1">{"fdsup://Directions/FactSet Auditing Viewer?action=AUDIT_VALUE&amp;DB=129&amp;ID1=03611510&amp;VALUEID=01001&amp;SDATE=200701&amp;PERIODTYPE=QTR_STD&amp;window=popup_no_bar&amp;width=385&amp;height=120&amp;START_MAXIMIZED=FALSE&amp;creator=factset&amp;display_string=Audit"}</definedName>
    <definedName name="_2408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2409__FDSAUDITLINK__" localSheetId="1" hidden="1">{"fdsup://Directions/FactSet Auditing Viewer?action=AUDIT_VALUE&amp;DB=129&amp;ID1=03611510&amp;VALUEID=13040&amp;SDATE=200701&amp;PERIODTYPE=QTR_STD&amp;window=popup_no_bar&amp;width=385&amp;height=120&amp;START_MAXIMIZED=FALSE&amp;creator=factset&amp;display_string=Audit"}</definedName>
    <definedName name="_2409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241__FDSAUDITLINK__" localSheetId="1" hidden="1">{"fdsup://Directions/FactSet Auditing Viewer?action=AUDIT_VALUE&amp;DB=129&amp;ID1=91704710&amp;VALUEID=02101&amp;SDATE=200702&amp;PERIODTYPE=QTR_STD&amp;window=popup_no_bar&amp;width=385&amp;height=120&amp;START_MAXIMIZED=FALSE&amp;creator=factset&amp;display_string=Audit"}</definedName>
    <definedName name="_241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2410__FDSAUDITLINK__" localSheetId="1" hidden="1">{"fdsup://Directions/FactSet Auditing Viewer?action=AUDIT_VALUE&amp;DB=129&amp;ID1=16890510&amp;VALUEID=02101&amp;SDATE=200701&amp;PERIODTYPE=QTR_STD&amp;window=popup_no_bar&amp;width=385&amp;height=120&amp;START_MAXIMIZED=FALSE&amp;creator=factset&amp;display_string=Audit"}</definedName>
    <definedName name="_2410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2411__FDSAUDITLINK__" localSheetId="1" hidden="1">{"fdsup://Directions/FactSet Auditing Viewer?action=AUDIT_VALUE&amp;DB=129&amp;ID1=16890510&amp;VALUEID=01001&amp;SDATE=200701&amp;PERIODTYPE=QTR_STD&amp;window=popup_no_bar&amp;width=385&amp;height=120&amp;START_MAXIMIZED=FALSE&amp;creator=factset&amp;display_string=Audit"}</definedName>
    <definedName name="_2411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2412__FDSAUDITLINK__" localSheetId="1" hidden="1">{"fdsup://Directions/FactSet Auditing Viewer?action=AUDIT_VALUE&amp;DB=129&amp;ID1=91704710&amp;VALUEID=02101&amp;SDATE=200701&amp;PERIODTYPE=QTR_STD&amp;window=popup_no_bar&amp;width=385&amp;height=120&amp;START_MAXIMIZED=FALSE&amp;creator=factset&amp;display_string=Audit"}</definedName>
    <definedName name="_2412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2413__FDSAUDITLINK__" localSheetId="1" hidden="1">{"fdsup://Directions/FactSet Auditing Viewer?action=AUDIT_VALUE&amp;DB=129&amp;ID1=91704710&amp;VALUEID=01001&amp;SDATE=200701&amp;PERIODTYPE=QTR_STD&amp;window=popup_no_bar&amp;width=385&amp;height=120&amp;START_MAXIMIZED=FALSE&amp;creator=factset&amp;display_string=Audit"}</definedName>
    <definedName name="_2413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2414__FDSAUDITLINK__" localSheetId="1" hidden="1">{"fdsup://Directions/FactSet Auditing Viewer?action=AUDIT_VALUE&amp;DB=129&amp;ID1=91704710&amp;VALUEID=13040&amp;SDATE=200701&amp;PERIODTYPE=QTR_STD&amp;window=popup_no_bar&amp;width=385&amp;height=120&amp;START_MAXIMIZED=FALSE&amp;creator=factset&amp;display_string=Audit"}</definedName>
    <definedName name="_2414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2415__FDSAUDITLINK__" localSheetId="1" hidden="1">{"fdsup://Directions/FactSet Auditing Viewer?action=AUDIT_VALUE&amp;DB=129&amp;ID1=02553E10&amp;VALUEID=02101&amp;SDATE=200701&amp;PERIODTYPE=QTR_STD&amp;window=popup_no_bar&amp;width=385&amp;height=120&amp;START_MAXIMIZED=FALSE&amp;creator=factset&amp;display_string=Audit"}</definedName>
    <definedName name="_2415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2416__FDSAUDITLINK__" localSheetId="1" hidden="1">{"fdsup://Directions/FactSet Auditing Viewer?action=AUDIT_VALUE&amp;DB=129&amp;ID1=02553E10&amp;VALUEID=01001&amp;SDATE=200701&amp;PERIODTYPE=QTR_STD&amp;window=popup_no_bar&amp;width=385&amp;height=120&amp;START_MAXIMIZED=FALSE&amp;creator=factset&amp;display_string=Audit"}</definedName>
    <definedName name="_2416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2417__FDSAUDITLINK__" localSheetId="1" hidden="1">{"fdsup://Directions/FactSet Auditing Viewer?action=AUDIT_VALUE&amp;DB=129&amp;ID1=02553E10&amp;VALUEID=13040&amp;SDATE=200701&amp;PERIODTYPE=QTR_STD&amp;window=popup_no_bar&amp;width=385&amp;height=120&amp;START_MAXIMIZED=FALSE&amp;creator=factset&amp;display_string=Audit"}</definedName>
    <definedName name="_2417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2418__FDSAUDITLINK__" localSheetId="1" hidden="1">{"fdsup://Directions/FactSet Auditing Viewer?action=AUDIT_VALUE&amp;DB=129&amp;ID1=00786510&amp;VALUEID=02101&amp;SDATE=200701&amp;PERIODTYPE=QTR_STD&amp;window=popup_no_bar&amp;width=385&amp;height=120&amp;START_MAXIMIZED=FALSE&amp;creator=factset&amp;display_string=Audit"}</definedName>
    <definedName name="_2418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2419__FDSAUDITLINK__" localSheetId="1" hidden="1">{"fdsup://Directions/FactSet Auditing Viewer?action=AUDIT_VALUE&amp;DB=129&amp;ID1=00786510&amp;VALUEID=01001&amp;SDATE=200701&amp;PERIODTYPE=QTR_STD&amp;window=popup_no_bar&amp;width=385&amp;height=120&amp;START_MAXIMIZED=FALSE&amp;creator=factset&amp;display_string=Audit"}</definedName>
    <definedName name="_2419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242__FDSAUDITLINK__" localSheetId="1" hidden="1">{"fdsup://Directions/FactSet Auditing Viewer?action=AUDIT_VALUE&amp;DB=129&amp;ID1=91704710&amp;VALUEID=01001&amp;SDATE=200702&amp;PERIODTYPE=QTR_STD&amp;window=popup_no_bar&amp;width=385&amp;height=120&amp;START_MAXIMIZED=FALSE&amp;creator=factset&amp;display_string=Audit"}</definedName>
    <definedName name="_242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2420__FDSAUDITLINK__" localSheetId="1" hidden="1">{"fdsup://Directions/FactSet Auditing Viewer?action=AUDIT_VALUE&amp;DB=129&amp;ID1=00786510&amp;VALUEID=13040&amp;SDATE=200701&amp;PERIODTYPE=QTR_STD&amp;window=popup_no_bar&amp;width=385&amp;height=120&amp;START_MAXIMIZED=FALSE&amp;creator=factset&amp;display_string=Audit"}</definedName>
    <definedName name="_2420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2421__FDSAUDITLINK__" localSheetId="1" hidden="1">{"fdsup://Directions/FactSet Auditing Viewer?action=AUDIT_VALUE&amp;DB=129&amp;ID1=00289620&amp;VALUEID=02101&amp;SDATE=200701&amp;PERIODTYPE=QTR_STD&amp;window=popup_no_bar&amp;width=385&amp;height=120&amp;START_MAXIMIZED=FALSE&amp;creator=factset&amp;display_string=Audit"}</definedName>
    <definedName name="_2421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2422__FDSAUDITLINK__" localSheetId="1" hidden="1">{"fdsup://Directions/FactSet Auditing Viewer?action=AUDIT_VALUE&amp;DB=129&amp;ID1=00289620&amp;VALUEID=01001&amp;SDATE=200701&amp;PERIODTYPE=QTR_STD&amp;window=popup_no_bar&amp;width=385&amp;height=120&amp;START_MAXIMIZED=FALSE&amp;creator=factset&amp;display_string=Audit"}</definedName>
    <definedName name="_2422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2423__FDSAUDITLINK__" localSheetId="1" hidden="1">{"fdsup://Directions/FactSet Auditing Viewer?action=AUDIT_VALUE&amp;DB=129&amp;ID1=00289620&amp;VALUEID=13040&amp;SDATE=200701&amp;PERIODTYPE=QTR_STD&amp;window=popup_no_bar&amp;width=385&amp;height=120&amp;START_MAXIMIZED=FALSE&amp;creator=factset&amp;display_string=Audit"}</definedName>
    <definedName name="_2423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2424__FDSAUDITLINK__" localSheetId="1" hidden="1">{"fdsup://Directions/FactSet Auditing Viewer?action=AUDIT_VALUE&amp;DB=129&amp;ID1=87416110&amp;VALUEID=01001&amp;SDATE=200604&amp;PERIODTYPE=QTR_STD&amp;window=popup_no_bar&amp;width=385&amp;height=120&amp;START_MAXIMIZED=FALSE&amp;creator=factset&amp;display_string=Audit"}</definedName>
    <definedName name="_2424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2425__FDSAUDITLINK__" localSheetId="1" hidden="1">{"fdsup://Directions/FactSet Auditing Viewer?action=AUDIT_VALUE&amp;DB=129&amp;ID1=46612H40&amp;VALUEID=01001&amp;SDATE=200604&amp;PERIODTYPE=QTR_STD&amp;window=popup_no_bar&amp;width=385&amp;height=120&amp;START_MAXIMIZED=FALSE&amp;creator=factset&amp;display_string=Audit"}</definedName>
    <definedName name="_2425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2426__FDSAUDITLINK__" localSheetId="1" hidden="1">{"fdsup://Directions/FactSet Auditing Viewer?action=AUDIT_VALUE&amp;DB=129&amp;ID1=36476010&amp;VALUEID=01001&amp;SDATE=200604&amp;PERIODTYPE=QTR_STD&amp;window=popup_no_bar&amp;width=385&amp;height=120&amp;START_MAXIMIZED=FALSE&amp;creator=factset&amp;display_string=Audit"}</definedName>
    <definedName name="_2426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2427__FDSAUDITLINK__" localSheetId="1" hidden="1">{"fdsup://Directions/FactSet Auditing Viewer?action=AUDIT_VALUE&amp;DB=129&amp;ID1=03611510&amp;VALUEID=01001&amp;SDATE=200604&amp;PERIODTYPE=QTR_STD&amp;window=popup_no_bar&amp;width=385&amp;height=120&amp;START_MAXIMIZED=FALSE&amp;creator=factset&amp;display_string=Audit"}</definedName>
    <definedName name="_2427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2428__FDSAUDITLINK__" localSheetId="1" hidden="1">{"fdsup://Directions/FactSet Auditing Viewer?action=AUDIT_VALUE&amp;DB=129&amp;ID1=16890510&amp;VALUEID=01001&amp;SDATE=200604&amp;PERIODTYPE=QTR_STD&amp;window=popup_no_bar&amp;width=385&amp;height=120&amp;START_MAXIMIZED=FALSE&amp;creator=factset&amp;display_string=Audit"}</definedName>
    <definedName name="_2428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2429__FDSAUDITLINK__" localSheetId="1"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2429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243__FDSAUDITLINK__" localSheetId="1" hidden="1">{"fdsup://Directions/FactSet Auditing Viewer?action=AUDIT_VALUE&amp;DB=129&amp;ID1=91704710&amp;VALUEID=13040&amp;SDATE=200702&amp;PERIODTYPE=QTR_STD&amp;window=popup_no_bar&amp;width=385&amp;height=120&amp;START_MAXIMIZED=FALSE&amp;creator=factset&amp;display_string=Audit"}</definedName>
    <definedName name="_243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2430__FDSAUDITLINK__" localSheetId="1" hidden="1">{"fdsup://Directions/FactSet Auditing Viewer?action=AUDIT_VALUE&amp;DB=129&amp;ID1=00786510&amp;VALUEID=01001&amp;SDATE=200604&amp;PERIODTYPE=QTR_STD&amp;window=popup_no_bar&amp;width=385&amp;height=120&amp;START_MAXIMIZED=FALSE&amp;creator=factset&amp;display_string=Audit"}</definedName>
    <definedName name="_2430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2431__FDSAUDITLINK__" localSheetId="1" hidden="1">{"fdsup://Directions/FactSet Auditing Viewer?action=AUDIT_VALUE&amp;DB=129&amp;ID1=87416110&amp;VALUEID=02101&amp;SDATE=200603&amp;PERIODTYPE=QTR_STD&amp;window=popup_no_bar&amp;width=385&amp;height=120&amp;START_MAXIMIZED=FALSE&amp;creator=factset&amp;display_string=Audit"}</definedName>
    <definedName name="_2431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2432__FDSAUDITLINK__" localSheetId="1" hidden="1">{"fdsup://Directions/FactSet Auditing Viewer?action=AUDIT_VALUE&amp;DB=129&amp;ID1=87416110&amp;VALUEID=01001&amp;SDATE=200603&amp;PERIODTYPE=QTR_STD&amp;window=popup_no_bar&amp;width=385&amp;height=120&amp;START_MAXIMIZED=FALSE&amp;creator=factset&amp;display_string=Audit"}</definedName>
    <definedName name="_2432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2433__FDSAUDITLINK__" localSheetId="1" hidden="1">{"fdsup://Directions/FactSet Auditing Viewer?action=AUDIT_VALUE&amp;DB=129&amp;ID1=53271610&amp;VALUEID=02101&amp;SDATE=200603&amp;PERIODTYPE=QTR_STD&amp;window=popup_no_bar&amp;width=385&amp;height=120&amp;START_MAXIMIZED=FALSE&amp;creator=factset&amp;display_string=Audit"}</definedName>
    <definedName name="_2433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2434__FDSAUDITLINK__" localSheetId="1" hidden="1">{"fdsup://Directions/FactSet Auditing Viewer?action=AUDIT_VALUE&amp;DB=129&amp;ID1=53271610&amp;VALUEID=01001&amp;SDATE=200603&amp;PERIODTYPE=QTR_STD&amp;window=popup_no_bar&amp;width=385&amp;height=120&amp;START_MAXIMIZED=FALSE&amp;creator=factset&amp;display_string=Audit"}</definedName>
    <definedName name="_2434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2435__FDSAUDITLINK__" localSheetId="1" hidden="1">{"fdsup://Directions/FactSet Auditing Viewer?action=AUDIT_VALUE&amp;DB=129&amp;ID1=53271610&amp;VALUEID=13040&amp;SDATE=200603&amp;PERIODTYPE=QTR_STD&amp;window=popup_no_bar&amp;width=385&amp;height=120&amp;START_MAXIMIZED=FALSE&amp;creator=factset&amp;display_string=Audit"}</definedName>
    <definedName name="_2435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2436__FDSAUDITLINK__" localSheetId="1" hidden="1">{"fdsup://Directions/FactSet Auditing Viewer?action=AUDIT_VALUE&amp;DB=129&amp;ID1=46612H40&amp;VALUEID=02101&amp;SDATE=200603&amp;PERIODTYPE=QTR_STD&amp;window=popup_no_bar&amp;width=385&amp;height=120&amp;START_MAXIMIZED=FALSE&amp;creator=factset&amp;display_string=Audit"}</definedName>
    <definedName name="_2436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2437__FDSAUDITLINK__" localSheetId="1" hidden="1">{"fdsup://Directions/FactSet Auditing Viewer?action=AUDIT_VALUE&amp;DB=129&amp;ID1=46612H40&amp;VALUEID=01001&amp;SDATE=200603&amp;PERIODTYPE=QTR_STD&amp;window=popup_no_bar&amp;width=385&amp;height=120&amp;START_MAXIMIZED=FALSE&amp;creator=factset&amp;display_string=Audit"}</definedName>
    <definedName name="_2437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2438__FDSAUDITLINK__" localSheetId="1" hidden="1">{"fdsup://Directions/FactSet Auditing Viewer?action=AUDIT_VALUE&amp;DB=129&amp;ID1=46612H40&amp;VALUEID=13040&amp;SDATE=200603&amp;PERIODTYPE=QTR_STD&amp;window=popup_no_bar&amp;width=385&amp;height=120&amp;START_MAXIMIZED=FALSE&amp;creator=factset&amp;display_string=Audit"}</definedName>
    <definedName name="_2438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2439__FDSAUDITLINK__" localSheetId="1" hidden="1">{"fdsup://Directions/FactSet Auditing Viewer?action=AUDIT_VALUE&amp;DB=129&amp;ID1=36476010&amp;VALUEID=02101&amp;SDATE=200603&amp;PERIODTYPE=QTR_STD&amp;window=popup_no_bar&amp;width=385&amp;height=120&amp;START_MAXIMIZED=FALSE&amp;creator=factset&amp;display_string=Audit"}</definedName>
    <definedName name="_2439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244__FDSAUDITLINK__" localSheetId="1" hidden="1">{"fdsup://Directions/FactSet Auditing Viewer?action=AUDIT_VALUE&amp;DB=129&amp;ID1=02553E10&amp;VALUEID=02101&amp;SDATE=200702&amp;PERIODTYPE=QTR_STD&amp;window=popup_no_bar&amp;width=385&amp;height=120&amp;START_MAXIMIZED=FALSE&amp;creator=factset&amp;display_string=Audit"}</definedName>
    <definedName name="_244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2440__FDSAUDITLINK__" localSheetId="1" hidden="1">{"fdsup://Directions/FactSet Auditing Viewer?action=AUDIT_VALUE&amp;DB=129&amp;ID1=36476010&amp;VALUEID=01001&amp;SDATE=200603&amp;PERIODTYPE=QTR_STD&amp;window=popup_no_bar&amp;width=385&amp;height=120&amp;START_MAXIMIZED=FALSE&amp;creator=factset&amp;display_string=Audit"}</definedName>
    <definedName name="_2440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2441__FDSAUDITLINK__" localSheetId="1" hidden="1">{"fdsup://Directions/FactSet Auditing Viewer?action=AUDIT_VALUE&amp;DB=129&amp;ID1=36476010&amp;VALUEID=13040&amp;SDATE=200603&amp;PERIODTYPE=QTR_STD&amp;window=popup_no_bar&amp;width=385&amp;height=120&amp;START_MAXIMIZED=FALSE&amp;creator=factset&amp;display_string=Audit"}</definedName>
    <definedName name="_2441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2442__FDSAUDITLINK__" localSheetId="1" hidden="1">{"fdsup://Directions/FactSet Auditing Viewer?action=AUDIT_VALUE&amp;DB=129&amp;ID1=03611510&amp;VALUEID=02101&amp;SDATE=200603&amp;PERIODTYPE=QTR_STD&amp;window=popup_no_bar&amp;width=385&amp;height=120&amp;START_MAXIMIZED=FALSE&amp;creator=factset&amp;display_string=Audit"}</definedName>
    <definedName name="_2442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2443__FDSAUDITLINK__" localSheetId="1" hidden="1">{"fdsup://Directions/FactSet Auditing Viewer?action=AUDIT_VALUE&amp;DB=129&amp;ID1=03611510&amp;VALUEID=01001&amp;SDATE=200603&amp;PERIODTYPE=QTR_STD&amp;window=popup_no_bar&amp;width=385&amp;height=120&amp;START_MAXIMIZED=FALSE&amp;creator=factset&amp;display_string=Audit"}</definedName>
    <definedName name="_2443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2444__FDSAUDITLINK__" localSheetId="1" hidden="1">{"fdsup://Directions/FactSet Auditing Viewer?action=AUDIT_VALUE&amp;DB=129&amp;ID1=03611510&amp;VALUEID=13040&amp;SDATE=200603&amp;PERIODTYPE=QTR_STD&amp;window=popup_no_bar&amp;width=385&amp;height=120&amp;START_MAXIMIZED=FALSE&amp;creator=factset&amp;display_string=Audit"}</definedName>
    <definedName name="_2444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2445__FDSAUDITLINK__" localSheetId="1" hidden="1">{"fdsup://Directions/FactSet Auditing Viewer?action=AUDIT_VALUE&amp;DB=129&amp;ID1=16890510&amp;VALUEID=02101&amp;SDATE=200603&amp;PERIODTYPE=QTR_STD&amp;window=popup_no_bar&amp;width=385&amp;height=120&amp;START_MAXIMIZED=FALSE&amp;creator=factset&amp;display_string=Audit"}</definedName>
    <definedName name="_2445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2446__FDSAUDITLINK__" localSheetId="1" hidden="1">{"fdsup://Directions/FactSet Auditing Viewer?action=AUDIT_VALUE&amp;DB=129&amp;ID1=16890510&amp;VALUEID=01001&amp;SDATE=200603&amp;PERIODTYPE=QTR_STD&amp;window=popup_no_bar&amp;width=385&amp;height=120&amp;START_MAXIMIZED=FALSE&amp;creator=factset&amp;display_string=Audit"}</definedName>
    <definedName name="_2446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2447__FDSAUDITLINK__" localSheetId="1" hidden="1">{"fdsup://Directions/FactSet Auditing Viewer?action=AUDIT_VALUE&amp;DB=129&amp;ID1=91704710&amp;VALUEID=02101&amp;SDATE=200603&amp;PERIODTYPE=QTR_STD&amp;window=popup_no_bar&amp;width=385&amp;height=120&amp;START_MAXIMIZED=FALSE&amp;creator=factset&amp;display_string=Audit"}</definedName>
    <definedName name="_2447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2448__FDSAUDITLINK__" localSheetId="1" hidden="1">{"fdsup://Directions/FactSet Auditing Viewer?action=AUDIT_VALUE&amp;DB=129&amp;ID1=91704710&amp;VALUEID=01001&amp;SDATE=200603&amp;PERIODTYPE=QTR_STD&amp;window=popup_no_bar&amp;width=385&amp;height=120&amp;START_MAXIMIZED=FALSE&amp;creator=factset&amp;display_string=Audit"}</definedName>
    <definedName name="_2448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2449__FDSAUDITLINK__" localSheetId="1" hidden="1">{"fdsup://Directions/FactSet Auditing Viewer?action=AUDIT_VALUE&amp;DB=129&amp;ID1=91704710&amp;VALUEID=13040&amp;SDATE=200603&amp;PERIODTYPE=QTR_STD&amp;window=popup_no_bar&amp;width=385&amp;height=120&amp;START_MAXIMIZED=FALSE&amp;creator=factset&amp;display_string=Audit"}</definedName>
    <definedName name="_2449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245__FDSAUDITLINK__" localSheetId="1" hidden="1">{"fdsup://Directions/FactSet Auditing Viewer?action=AUDIT_VALUE&amp;DB=129&amp;ID1=02553E10&amp;VALUEID=01001&amp;SDATE=200702&amp;PERIODTYPE=QTR_STD&amp;window=popup_no_bar&amp;width=385&amp;height=120&amp;START_MAXIMIZED=FALSE&amp;creator=factset&amp;display_string=Audit"}</definedName>
    <definedName name="_245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2450__FDSAUDITLINK__" localSheetId="1"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2450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2451__FDSAUDITLINK__" localSheetId="1" hidden="1">{"fdsup://Directions/FactSet Auditing Viewer?action=AUDIT_VALUE&amp;DB=129&amp;ID1=00786510&amp;VALUEID=02101&amp;SDATE=200603&amp;PERIODTYPE=QTR_STD&amp;window=popup_no_bar&amp;width=385&amp;height=120&amp;START_MAXIMIZED=FALSE&amp;creator=factset&amp;display_string=Audit"}</definedName>
    <definedName name="_2451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2452__FDSAUDITLINK__" localSheetId="1" hidden="1">{"fdsup://Directions/FactSet Auditing Viewer?action=AUDIT_VALUE&amp;DB=129&amp;ID1=00786510&amp;VALUEID=01001&amp;SDATE=200603&amp;PERIODTYPE=QTR_STD&amp;window=popup_no_bar&amp;width=385&amp;height=120&amp;START_MAXIMIZED=FALSE&amp;creator=factset&amp;display_string=Audit"}</definedName>
    <definedName name="_2452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2453__FDSAUDITLINK__" localSheetId="1" hidden="1">{"fdsup://Directions/FactSet Auditing Viewer?action=AUDIT_VALUE&amp;DB=129&amp;ID1=00786510&amp;VALUEID=13040&amp;SDATE=200603&amp;PERIODTYPE=QTR_STD&amp;window=popup_no_bar&amp;width=385&amp;height=120&amp;START_MAXIMIZED=FALSE&amp;creator=factset&amp;display_string=Audit"}</definedName>
    <definedName name="_2453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2454__FDSAUDITLINK__" localSheetId="1" hidden="1">{"fdsup://Directions/FactSet Auditing Viewer?action=AUDIT_VALUE&amp;DB=129&amp;ID1=00289620&amp;VALUEID=02101&amp;SDATE=200603&amp;PERIODTYPE=QTR_STD&amp;window=popup_no_bar&amp;width=385&amp;height=120&amp;START_MAXIMIZED=FALSE&amp;creator=factset&amp;display_string=Audit"}</definedName>
    <definedName name="_2454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2455__FDSAUDITLINK__" localSheetId="1" hidden="1">{"fdsup://Directions/FactSet Auditing Viewer?action=AUDIT_VALUE&amp;DB=129&amp;ID1=00289620&amp;VALUEID=01001&amp;SDATE=200603&amp;PERIODTYPE=QTR_STD&amp;window=popup_no_bar&amp;width=385&amp;height=120&amp;START_MAXIMIZED=FALSE&amp;creator=factset&amp;display_string=Audit"}</definedName>
    <definedName name="_2455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2456__FDSAUDITLINK__" localSheetId="1" hidden="1">{"fdsup://Directions/FactSet Auditing Viewer?action=AUDIT_VALUE&amp;DB=129&amp;ID1=00289620&amp;VALUEID=13040&amp;SDATE=200603&amp;PERIODTYPE=QTR_STD&amp;window=popup_no_bar&amp;width=385&amp;height=120&amp;START_MAXIMIZED=FALSE&amp;creator=factset&amp;display_string=Audit"}</definedName>
    <definedName name="_2456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2457__FDSAUDITLINK__" localSheetId="1" hidden="1">{"fdsup://Directions/FactSet Auditing Viewer?action=AUDIT_VALUE&amp;DB=129&amp;ID1=87416110&amp;VALUEID=02101&amp;SDATE=200602&amp;PERIODTYPE=QTR_STD&amp;window=popup_no_bar&amp;width=385&amp;height=120&amp;START_MAXIMIZED=FALSE&amp;creator=factset&amp;display_string=Audit"}</definedName>
    <definedName name="_2457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2458__FDSAUDITLINK__" localSheetId="1" hidden="1">{"fdsup://Directions/FactSet Auditing Viewer?action=AUDIT_VALUE&amp;DB=129&amp;ID1=87416110&amp;VALUEID=01001&amp;SDATE=200602&amp;PERIODTYPE=QTR_STD&amp;window=popup_no_bar&amp;width=385&amp;height=120&amp;START_MAXIMIZED=FALSE&amp;creator=factset&amp;display_string=Audit"}</definedName>
    <definedName name="_2458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2459__FDSAUDITLINK__" localSheetId="1" hidden="1">{"fdsup://Directions/FactSet Auditing Viewer?action=AUDIT_VALUE&amp;DB=129&amp;ID1=53271610&amp;VALUEID=02101&amp;SDATE=200602&amp;PERIODTYPE=QTR_STD&amp;window=popup_no_bar&amp;width=385&amp;height=120&amp;START_MAXIMIZED=FALSE&amp;creator=factset&amp;display_string=Audit"}</definedName>
    <definedName name="_2459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246__FDSAUDITLINK__" localSheetId="1" hidden="1">{"fdsup://Directions/FactSet Auditing Viewer?action=AUDIT_VALUE&amp;DB=129&amp;ID1=02553E10&amp;VALUEID=13040&amp;SDATE=200702&amp;PERIODTYPE=QTR_STD&amp;window=popup_no_bar&amp;width=385&amp;height=120&amp;START_MAXIMIZED=FALSE&amp;creator=factset&amp;display_string=Audit"}</definedName>
    <definedName name="_246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2460__FDSAUDITLINK__" localSheetId="1" hidden="1">{"fdsup://Directions/FactSet Auditing Viewer?action=AUDIT_VALUE&amp;DB=129&amp;ID1=53271610&amp;VALUEID=01001&amp;SDATE=200602&amp;PERIODTYPE=QTR_STD&amp;window=popup_no_bar&amp;width=385&amp;height=120&amp;START_MAXIMIZED=FALSE&amp;creator=factset&amp;display_string=Audit"}</definedName>
    <definedName name="_2460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2461__FDSAUDITLINK__" localSheetId="1" hidden="1">{"fdsup://Directions/FactSet Auditing Viewer?action=AUDIT_VALUE&amp;DB=129&amp;ID1=53271610&amp;VALUEID=13040&amp;SDATE=200602&amp;PERIODTYPE=QTR_STD&amp;window=popup_no_bar&amp;width=385&amp;height=120&amp;START_MAXIMIZED=FALSE&amp;creator=factset&amp;display_string=Audit"}</definedName>
    <definedName name="_2461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2462__FDSAUDITLINK__" localSheetId="1" hidden="1">{"fdsup://Directions/FactSet Auditing Viewer?action=AUDIT_VALUE&amp;DB=129&amp;ID1=46612H40&amp;VALUEID=02101&amp;SDATE=200602&amp;PERIODTYPE=QTR_STD&amp;window=popup_no_bar&amp;width=385&amp;height=120&amp;START_MAXIMIZED=FALSE&amp;creator=factset&amp;display_string=Audit"}</definedName>
    <definedName name="_2462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2463__FDSAUDITLINK__" localSheetId="1" hidden="1">{"fdsup://Directions/FactSet Auditing Viewer?action=AUDIT_VALUE&amp;DB=129&amp;ID1=46612H40&amp;VALUEID=01001&amp;SDATE=200602&amp;PERIODTYPE=QTR_STD&amp;window=popup_no_bar&amp;width=385&amp;height=120&amp;START_MAXIMIZED=FALSE&amp;creator=factset&amp;display_string=Audit"}</definedName>
    <definedName name="_2463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2464__FDSAUDITLINK__" localSheetId="1" hidden="1">{"fdsup://Directions/FactSet Auditing Viewer?action=AUDIT_VALUE&amp;DB=129&amp;ID1=46612H40&amp;VALUEID=13040&amp;SDATE=200602&amp;PERIODTYPE=QTR_STD&amp;window=popup_no_bar&amp;width=385&amp;height=120&amp;START_MAXIMIZED=FALSE&amp;creator=factset&amp;display_string=Audit"}</definedName>
    <definedName name="_2464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2465__FDSAUDITLINK__" localSheetId="1" hidden="1">{"fdsup://Directions/FactSet Auditing Viewer?action=AUDIT_VALUE&amp;DB=129&amp;ID1=36476010&amp;VALUEID=02101&amp;SDATE=200602&amp;PERIODTYPE=QTR_STD&amp;window=popup_no_bar&amp;width=385&amp;height=120&amp;START_MAXIMIZED=FALSE&amp;creator=factset&amp;display_string=Audit"}</definedName>
    <definedName name="_2465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2466__FDSAUDITLINK__" localSheetId="1" hidden="1">{"fdsup://Directions/FactSet Auditing Viewer?action=AUDIT_VALUE&amp;DB=129&amp;ID1=36476010&amp;VALUEID=01001&amp;SDATE=200602&amp;PERIODTYPE=QTR_STD&amp;window=popup_no_bar&amp;width=385&amp;height=120&amp;START_MAXIMIZED=FALSE&amp;creator=factset&amp;display_string=Audit"}</definedName>
    <definedName name="_2466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2467__FDSAUDITLINK__" localSheetId="1" hidden="1">{"fdsup://Directions/FactSet Auditing Viewer?action=AUDIT_VALUE&amp;DB=129&amp;ID1=36476010&amp;VALUEID=13040&amp;SDATE=200602&amp;PERIODTYPE=QTR_STD&amp;window=popup_no_bar&amp;width=385&amp;height=120&amp;START_MAXIMIZED=FALSE&amp;creator=factset&amp;display_string=Audit"}</definedName>
    <definedName name="_2467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2468__FDSAUDITLINK__" localSheetId="1" hidden="1">{"fdsup://Directions/FactSet Auditing Viewer?action=AUDIT_VALUE&amp;DB=129&amp;ID1=03611510&amp;VALUEID=02101&amp;SDATE=200602&amp;PERIODTYPE=QTR_STD&amp;window=popup_no_bar&amp;width=385&amp;height=120&amp;START_MAXIMIZED=FALSE&amp;creator=factset&amp;display_string=Audit"}</definedName>
    <definedName name="_2468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2469__FDSAUDITLINK__" localSheetId="1" hidden="1">{"fdsup://Directions/FactSet Auditing Viewer?action=AUDIT_VALUE&amp;DB=129&amp;ID1=03611510&amp;VALUEID=01001&amp;SDATE=200602&amp;PERIODTYPE=QTR_STD&amp;window=popup_no_bar&amp;width=385&amp;height=120&amp;START_MAXIMIZED=FALSE&amp;creator=factset&amp;display_string=Audit"}</definedName>
    <definedName name="_2469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247__FDSAUDITLINK__" localSheetId="1" hidden="1">{"fdsup://Directions/FactSet Auditing Viewer?action=AUDIT_VALUE&amp;DB=129&amp;ID1=00786510&amp;VALUEID=02101&amp;SDATE=200702&amp;PERIODTYPE=QTR_STD&amp;window=popup_no_bar&amp;width=385&amp;height=120&amp;START_MAXIMIZED=FALSE&amp;creator=factset&amp;display_string=Audit"}</definedName>
    <definedName name="_247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2470__FDSAUDITLINK__" localSheetId="1" hidden="1">{"fdsup://Directions/FactSet Auditing Viewer?action=AUDIT_VALUE&amp;DB=129&amp;ID1=03611510&amp;VALUEID=13040&amp;SDATE=200602&amp;PERIODTYPE=QTR_STD&amp;window=popup_no_bar&amp;width=385&amp;height=120&amp;START_MAXIMIZED=FALSE&amp;creator=factset&amp;display_string=Audit"}</definedName>
    <definedName name="_2470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2471__FDSAUDITLINK__" localSheetId="1" hidden="1">{"fdsup://Directions/FactSet Auditing Viewer?action=AUDIT_VALUE&amp;DB=129&amp;ID1=16890510&amp;VALUEID=02101&amp;SDATE=200602&amp;PERIODTYPE=QTR_STD&amp;window=popup_no_bar&amp;width=385&amp;height=120&amp;START_MAXIMIZED=FALSE&amp;creator=factset&amp;display_string=Audit"}</definedName>
    <definedName name="_2471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2472__FDSAUDITLINK__" localSheetId="1" hidden="1">{"fdsup://Directions/FactSet Auditing Viewer?action=AUDIT_VALUE&amp;DB=129&amp;ID1=16890510&amp;VALUEID=01001&amp;SDATE=200602&amp;PERIODTYPE=QTR_STD&amp;window=popup_no_bar&amp;width=385&amp;height=120&amp;START_MAXIMIZED=FALSE&amp;creator=factset&amp;display_string=Audit"}</definedName>
    <definedName name="_2472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2473__FDSAUDITLINK__" localSheetId="1" hidden="1">{"fdsup://Directions/FactSet Auditing Viewer?action=AUDIT_VALUE&amp;DB=129&amp;ID1=91704710&amp;VALUEID=02101&amp;SDATE=200602&amp;PERIODTYPE=QTR_STD&amp;window=popup_no_bar&amp;width=385&amp;height=120&amp;START_MAXIMIZED=FALSE&amp;creator=factset&amp;display_string=Audit"}</definedName>
    <definedName name="_2473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2474__FDSAUDITLINK__" localSheetId="1" hidden="1">{"fdsup://Directions/FactSet Auditing Viewer?action=AUDIT_VALUE&amp;DB=129&amp;ID1=91704710&amp;VALUEID=01001&amp;SDATE=200602&amp;PERIODTYPE=QTR_STD&amp;window=popup_no_bar&amp;width=385&amp;height=120&amp;START_MAXIMIZED=FALSE&amp;creator=factset&amp;display_string=Audit"}</definedName>
    <definedName name="_2474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2475__FDSAUDITLINK__" localSheetId="1" hidden="1">{"fdsup://Directions/FactSet Auditing Viewer?action=AUDIT_VALUE&amp;DB=129&amp;ID1=91704710&amp;VALUEID=13040&amp;SDATE=200602&amp;PERIODTYPE=QTR_STD&amp;window=popup_no_bar&amp;width=385&amp;height=120&amp;START_MAXIMIZED=FALSE&amp;creator=factset&amp;display_string=Audit"}</definedName>
    <definedName name="_2475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2476__FDSAUDITLINK__" localSheetId="1"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2476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2477__FDSAUDITLINK__" localSheetId="1" hidden="1">{"fdsup://Directions/FactSet Auditing Viewer?action=AUDIT_VALUE&amp;DB=129&amp;ID1=00786510&amp;VALUEID=02101&amp;SDATE=200602&amp;PERIODTYPE=QTR_STD&amp;window=popup_no_bar&amp;width=385&amp;height=120&amp;START_MAXIMIZED=FALSE&amp;creator=factset&amp;display_string=Audit"}</definedName>
    <definedName name="_2477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2478__FDSAUDITLINK__" localSheetId="1" hidden="1">{"fdsup://Directions/FactSet Auditing Viewer?action=AUDIT_VALUE&amp;DB=129&amp;ID1=00786510&amp;VALUEID=01001&amp;SDATE=200602&amp;PERIODTYPE=QTR_STD&amp;window=popup_no_bar&amp;width=385&amp;height=120&amp;START_MAXIMIZED=FALSE&amp;creator=factset&amp;display_string=Audit"}</definedName>
    <definedName name="_2478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2479__FDSAUDITLINK__" localSheetId="1" hidden="1">{"fdsup://Directions/FactSet Auditing Viewer?action=AUDIT_VALUE&amp;DB=129&amp;ID1=00786510&amp;VALUEID=13040&amp;SDATE=200602&amp;PERIODTYPE=QTR_STD&amp;window=popup_no_bar&amp;width=385&amp;height=120&amp;START_MAXIMIZED=FALSE&amp;creator=factset&amp;display_string=Audit"}</definedName>
    <definedName name="_2479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248__FDSAUDITLINK__" localSheetId="1" hidden="1">{"fdsup://Directions/FactSet Auditing Viewer?action=AUDIT_VALUE&amp;DB=129&amp;ID1=00786510&amp;VALUEID=01001&amp;SDATE=200702&amp;PERIODTYPE=QTR_STD&amp;window=popup_no_bar&amp;width=385&amp;height=120&amp;START_MAXIMIZED=FALSE&amp;creator=factset&amp;display_string=Audit"}</definedName>
    <definedName name="_248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2480__FDSAUDITLINK__" localSheetId="1" hidden="1">{"fdsup://Directions/FactSet Auditing Viewer?action=AUDIT_VALUE&amp;DB=129&amp;ID1=00289620&amp;VALUEID=02101&amp;SDATE=200602&amp;PERIODTYPE=QTR_STD&amp;window=popup_no_bar&amp;width=385&amp;height=120&amp;START_MAXIMIZED=FALSE&amp;creator=factset&amp;display_string=Audit"}</definedName>
    <definedName name="_2480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2481__FDSAUDITLINK__" localSheetId="1" hidden="1">{"fdsup://Directions/FactSet Auditing Viewer?action=AUDIT_VALUE&amp;DB=129&amp;ID1=00289620&amp;VALUEID=01001&amp;SDATE=200602&amp;PERIODTYPE=QTR_STD&amp;window=popup_no_bar&amp;width=385&amp;height=120&amp;START_MAXIMIZED=FALSE&amp;creator=factset&amp;display_string=Audit"}</definedName>
    <definedName name="_2481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2482__FDSAUDITLINK__" localSheetId="1" hidden="1">{"fdsup://Directions/FactSet Auditing Viewer?action=AUDIT_VALUE&amp;DB=129&amp;ID1=00289620&amp;VALUEID=13040&amp;SDATE=200602&amp;PERIODTYPE=QTR_STD&amp;window=popup_no_bar&amp;width=385&amp;height=120&amp;START_MAXIMIZED=FALSE&amp;creator=factset&amp;display_string=Audit"}</definedName>
    <definedName name="_2482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2483__FDSAUDITLINK__" localSheetId="1" hidden="1">{"fdsup://Directions/FactSet Auditing Viewer?action=AUDIT_VALUE&amp;DB=129&amp;ID1=87416110&amp;VALUEID=02101&amp;SDATE=200601&amp;PERIODTYPE=QTR_STD&amp;window=popup_no_bar&amp;width=385&amp;height=120&amp;START_MAXIMIZED=FALSE&amp;creator=factset&amp;display_string=Audit"}</definedName>
    <definedName name="_2483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2484__FDSAUDITLINK__" localSheetId="1" hidden="1">{"fdsup://Directions/FactSet Auditing Viewer?action=AUDIT_VALUE&amp;DB=129&amp;ID1=87416110&amp;VALUEID=01001&amp;SDATE=200601&amp;PERIODTYPE=QTR_STD&amp;window=popup_no_bar&amp;width=385&amp;height=120&amp;START_MAXIMIZED=FALSE&amp;creator=factset&amp;display_string=Audit"}</definedName>
    <definedName name="_2484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2485__FDSAUDITLINK__" localSheetId="1" hidden="1">{"fdsup://Directions/FactSet Auditing Viewer?action=AUDIT_VALUE&amp;DB=129&amp;ID1=87416110&amp;VALUEID=13040&amp;SDATE=200601&amp;PERIODTYPE=QTR_STD&amp;window=popup_no_bar&amp;width=385&amp;height=120&amp;START_MAXIMIZED=FALSE&amp;creator=factset&amp;display_string=Audit"}</definedName>
    <definedName name="_2485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2486__FDSAUDITLINK__" localSheetId="1"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2486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2487__FDSAUDITLINK__" localSheetId="1" hidden="1">{"fdsup://Directions/FactSet Auditing Viewer?action=AUDIT_VALUE&amp;DB=129&amp;ID1=53271610&amp;VALUEID=02101&amp;SDATE=200601&amp;PERIODTYPE=QTR_STD&amp;window=popup_no_bar&amp;width=385&amp;height=120&amp;START_MAXIMIZED=FALSE&amp;creator=factset&amp;display_string=Audit"}</definedName>
    <definedName name="_2487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2488__FDSAUDITLINK__" localSheetId="1" hidden="1">{"fdsup://Directions/FactSet Auditing Viewer?action=AUDIT_VALUE&amp;DB=129&amp;ID1=53271610&amp;VALUEID=01001&amp;SDATE=200601&amp;PERIODTYPE=QTR_STD&amp;window=popup_no_bar&amp;width=385&amp;height=120&amp;START_MAXIMIZED=FALSE&amp;creator=factset&amp;display_string=Audit"}</definedName>
    <definedName name="_2488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2489__FDSAUDITLINK__" localSheetId="1" hidden="1">{"fdsup://Directions/FactSet Auditing Viewer?action=AUDIT_VALUE&amp;DB=129&amp;ID1=53271610&amp;VALUEID=13040&amp;SDATE=200601&amp;PERIODTYPE=QTR_STD&amp;window=popup_no_bar&amp;width=385&amp;height=120&amp;START_MAXIMIZED=FALSE&amp;creator=factset&amp;display_string=Audit"}</definedName>
    <definedName name="_2489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249__FDSAUDITLINK__" localSheetId="1" hidden="1">{"fdsup://Directions/FactSet Auditing Viewer?action=AUDIT_VALUE&amp;DB=129&amp;ID1=00786510&amp;VALUEID=13040&amp;SDATE=200702&amp;PERIODTYPE=QTR_STD&amp;window=popup_no_bar&amp;width=385&amp;height=120&amp;START_MAXIMIZED=FALSE&amp;creator=factset&amp;display_string=Audit"}</definedName>
    <definedName name="_249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2490__FDSAUDITLINK__" localSheetId="1" hidden="1">{"fdsup://Directions/FactSet Auditing Viewer?action=AUDIT_VALUE&amp;DB=129&amp;ID1=46612H40&amp;VALUEID=02101&amp;SDATE=200601&amp;PERIODTYPE=QTR_STD&amp;window=popup_no_bar&amp;width=385&amp;height=120&amp;START_MAXIMIZED=FALSE&amp;creator=factset&amp;display_string=Audit"}</definedName>
    <definedName name="_2490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2491__FDSAUDITLINK__" localSheetId="1" hidden="1">{"fdsup://Directions/FactSet Auditing Viewer?action=AUDIT_VALUE&amp;DB=129&amp;ID1=46612H40&amp;VALUEID=01001&amp;SDATE=200601&amp;PERIODTYPE=QTR_STD&amp;window=popup_no_bar&amp;width=385&amp;height=120&amp;START_MAXIMIZED=FALSE&amp;creator=factset&amp;display_string=Audit"}</definedName>
    <definedName name="_2491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2492__FDSAUDITLINK__" localSheetId="1" hidden="1">{"fdsup://Directions/FactSet Auditing Viewer?action=AUDIT_VALUE&amp;DB=129&amp;ID1=46612H40&amp;VALUEID=13040&amp;SDATE=200601&amp;PERIODTYPE=QTR_STD&amp;window=popup_no_bar&amp;width=385&amp;height=120&amp;START_MAXIMIZED=FALSE&amp;creator=factset&amp;display_string=Audit"}</definedName>
    <definedName name="_2492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2493__FDSAUDITLINK__" localSheetId="1" hidden="1">{"fdsup://Directions/FactSet Auditing Viewer?action=AUDIT_VALUE&amp;DB=129&amp;ID1=36476010&amp;VALUEID=02101&amp;SDATE=200601&amp;PERIODTYPE=QTR_STD&amp;window=popup_no_bar&amp;width=385&amp;height=120&amp;START_MAXIMIZED=FALSE&amp;creator=factset&amp;display_string=Audit"}</definedName>
    <definedName name="_2493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2494__FDSAUDITLINK__" localSheetId="1" hidden="1">{"fdsup://Directions/FactSet Auditing Viewer?action=AUDIT_VALUE&amp;DB=129&amp;ID1=36476010&amp;VALUEID=01001&amp;SDATE=200601&amp;PERIODTYPE=QTR_STD&amp;window=popup_no_bar&amp;width=385&amp;height=120&amp;START_MAXIMIZED=FALSE&amp;creator=factset&amp;display_string=Audit"}</definedName>
    <definedName name="_2494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2495__FDSAUDITLINK__" localSheetId="1" hidden="1">{"fdsup://Directions/FactSet Auditing Viewer?action=AUDIT_VALUE&amp;DB=129&amp;ID1=36476010&amp;VALUEID=13040&amp;SDATE=200601&amp;PERIODTYPE=QTR_STD&amp;window=popup_no_bar&amp;width=385&amp;height=120&amp;START_MAXIMIZED=FALSE&amp;creator=factset&amp;display_string=Audit"}</definedName>
    <definedName name="_2495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2496__FDSAUDITLINK__" localSheetId="1" hidden="1">{"fdsup://Directions/FactSet Auditing Viewer?action=AUDIT_VALUE&amp;DB=129&amp;ID1=03611510&amp;VALUEID=02101&amp;SDATE=200601&amp;PERIODTYPE=QTR_STD&amp;window=popup_no_bar&amp;width=385&amp;height=120&amp;START_MAXIMIZED=FALSE&amp;creator=factset&amp;display_string=Audit"}</definedName>
    <definedName name="_2496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2497__FDSAUDITLINK__" localSheetId="1" hidden="1">{"fdsup://Directions/FactSet Auditing Viewer?action=AUDIT_VALUE&amp;DB=129&amp;ID1=03611510&amp;VALUEID=13040&amp;SDATE=200601&amp;PERIODTYPE=QTR_STD&amp;window=popup_no_bar&amp;width=385&amp;height=120&amp;START_MAXIMIZED=FALSE&amp;creator=factset&amp;display_string=Audit"}</definedName>
    <definedName name="_2497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2498__FDSAUDITLINK__" localSheetId="1" hidden="1">{"fdsup://Directions/FactSet Auditing Viewer?action=AUDIT_VALUE&amp;DB=129&amp;ID1=16890510&amp;VALUEID=02101&amp;SDATE=200601&amp;PERIODTYPE=QTR_STD&amp;window=popup_no_bar&amp;width=385&amp;height=120&amp;START_MAXIMIZED=FALSE&amp;creator=factset&amp;display_string=Audit"}</definedName>
    <definedName name="_2498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2499__FDSAUDITLINK__" localSheetId="1" hidden="1">{"fdsup://Directions/FactSet Auditing Viewer?action=AUDIT_VALUE&amp;DB=129&amp;ID1=16890510&amp;VALUEID=01001&amp;SDATE=200601&amp;PERIODTYPE=QTR_STD&amp;window=popup_no_bar&amp;width=385&amp;height=120&amp;START_MAXIMIZED=FALSE&amp;creator=factset&amp;display_string=Audit"}</definedName>
    <definedName name="_2499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25__FDSAUDITLINK__" localSheetId="1" hidden="1">{"fdsup://Directions/FactSet Auditing Viewer?action=AUDIT_VALUE&amp;DB=129&amp;ID1=03611510&amp;VALUEID=01001&amp;SDATE=200904&amp;PERIODTYPE=QTR_STD&amp;window=popup_no_bar&amp;width=385&amp;height=120&amp;START_MAXIMIZED=FALSE&amp;creator=factset&amp;display_string=Audit"}</definedName>
    <definedName name="_25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250__FDSAUDITLINK__" localSheetId="1" hidden="1">{"fdsup://Directions/FactSet Auditing Viewer?action=AUDIT_VALUE&amp;DB=129&amp;ID1=00289620&amp;VALUEID=02101&amp;SDATE=200702&amp;PERIODTYPE=QTR_STD&amp;window=popup_no_bar&amp;width=385&amp;height=120&amp;START_MAXIMIZED=FALSE&amp;creator=factset&amp;display_string=Audit"}</definedName>
    <definedName name="_250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2500__FDSAUDITLINK__" localSheetId="1" hidden="1">{"fdsup://Directions/FactSet Auditing Viewer?action=AUDIT_VALUE&amp;DB=129&amp;ID1=91704710&amp;VALUEID=02101&amp;SDATE=200601&amp;PERIODTYPE=QTR_STD&amp;window=popup_no_bar&amp;width=385&amp;height=120&amp;START_MAXIMIZED=FALSE&amp;creator=factset&amp;display_string=Audit"}</definedName>
    <definedName name="_2500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2501__FDSAUDITLINK__" localSheetId="1" hidden="1">{"fdsup://Directions/FactSet Auditing Viewer?action=AUDIT_VALUE&amp;DB=129&amp;ID1=91704710&amp;VALUEID=01001&amp;SDATE=200601&amp;PERIODTYPE=QTR_STD&amp;window=popup_no_bar&amp;width=385&amp;height=120&amp;START_MAXIMIZED=FALSE&amp;creator=factset&amp;display_string=Audit"}</definedName>
    <definedName name="_2501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2502__FDSAUDITLINK__" localSheetId="1" hidden="1">{"fdsup://Directions/FactSet Auditing Viewer?action=AUDIT_VALUE&amp;DB=129&amp;ID1=91704710&amp;VALUEID=13040&amp;SDATE=200601&amp;PERIODTYPE=QTR_STD&amp;window=popup_no_bar&amp;width=385&amp;height=120&amp;START_MAXIMIZED=FALSE&amp;creator=factset&amp;display_string=Audit"}</definedName>
    <definedName name="_2502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2503__FDSAUDITLINK__" localSheetId="1" hidden="1">{"fdsup://Directions/FactSet Auditing Viewer?action=AUDIT_VALUE&amp;DB=129&amp;ID1=02553E10&amp;VALUEID=02101&amp;SDATE=200601&amp;PERIODTYPE=QTR_STD&amp;window=popup_no_bar&amp;width=385&amp;height=120&amp;START_MAXIMIZED=FALSE&amp;creator=factset&amp;display_string=Audit"}</definedName>
    <definedName name="_2503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2504__FDSAUDITLINK__" localSheetId="1" hidden="1">{"fdsup://Directions/FactSet Auditing Viewer?action=AUDIT_VALUE&amp;DB=129&amp;ID1=02553E10&amp;VALUEID=01001&amp;SDATE=200601&amp;PERIODTYPE=QTR_STD&amp;window=popup_no_bar&amp;width=385&amp;height=120&amp;START_MAXIMIZED=FALSE&amp;creator=factset&amp;display_string=Audit"}</definedName>
    <definedName name="_2504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2505__FDSAUDITLINK__" localSheetId="1" hidden="1">{"fdsup://Directions/FactSet Auditing Viewer?action=AUDIT_VALUE&amp;DB=129&amp;ID1=02553E10&amp;VALUEID=13040&amp;SDATE=200601&amp;PERIODTYPE=QTR_STD&amp;window=popup_no_bar&amp;width=385&amp;height=120&amp;START_MAXIMIZED=FALSE&amp;creator=factset&amp;display_string=Audit"}</definedName>
    <definedName name="_2505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2506__FDSAUDITLINK__" localSheetId="1"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2506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2507__FDSAUDITLINK__" localSheetId="1" hidden="1">{"fdsup://Directions/FactSet Auditing Viewer?action=AUDIT_VALUE&amp;DB=129&amp;ID1=00786510&amp;VALUEID=02101&amp;SDATE=200601&amp;PERIODTYPE=QTR_STD&amp;window=popup_no_bar&amp;width=385&amp;height=120&amp;START_MAXIMIZED=FALSE&amp;creator=factset&amp;display_string=Audit"}</definedName>
    <definedName name="_2507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2508__FDSAUDITLINK__" localSheetId="1" hidden="1">{"fdsup://Directions/FactSet Auditing Viewer?action=AUDIT_VALUE&amp;DB=129&amp;ID1=00786510&amp;VALUEID=01001&amp;SDATE=200601&amp;PERIODTYPE=QTR_STD&amp;window=popup_no_bar&amp;width=385&amp;height=120&amp;START_MAXIMIZED=FALSE&amp;creator=factset&amp;display_string=Audit"}</definedName>
    <definedName name="_2508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2509__FDSAUDITLINK__" localSheetId="1" hidden="1">{"fdsup://Directions/FactSet Auditing Viewer?action=AUDIT_VALUE&amp;DB=129&amp;ID1=00786510&amp;VALUEID=13040&amp;SDATE=200601&amp;PERIODTYPE=QTR_STD&amp;window=popup_no_bar&amp;width=385&amp;height=120&amp;START_MAXIMIZED=FALSE&amp;creator=factset&amp;display_string=Audit"}</definedName>
    <definedName name="_2509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251__FDSAUDITLINK__" localSheetId="1" hidden="1">{"fdsup://Directions/FactSet Auditing Viewer?action=AUDIT_VALUE&amp;DB=129&amp;ID1=00289620&amp;VALUEID=01001&amp;SDATE=200702&amp;PERIODTYPE=QTR_STD&amp;window=popup_no_bar&amp;width=385&amp;height=120&amp;START_MAXIMIZED=FALSE&amp;creator=factset&amp;display_string=Audit"}</definedName>
    <definedName name="_251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2510__FDSAUDITLINK__" localSheetId="1" hidden="1">{"fdsup://Directions/FactSet Auditing Viewer?action=AUDIT_VALUE&amp;DB=129&amp;ID1=00289620&amp;VALUEID=02101&amp;SDATE=200601&amp;PERIODTYPE=QTR_STD&amp;window=popup_no_bar&amp;width=385&amp;height=120&amp;START_MAXIMIZED=FALSE&amp;creator=factset&amp;display_string=Audit"}</definedName>
    <definedName name="_2510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2511__FDSAUDITLINK__" localSheetId="1" hidden="1">{"fdsup://Directions/FactSet Auditing Viewer?action=AUDIT_VALUE&amp;DB=129&amp;ID1=00289620&amp;VALUEID=01001&amp;SDATE=200601&amp;PERIODTYPE=QTR_STD&amp;window=popup_no_bar&amp;width=385&amp;height=120&amp;START_MAXIMIZED=FALSE&amp;creator=factset&amp;display_string=Audit"}</definedName>
    <definedName name="_2511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2512__FDSAUDITLINK__" localSheetId="1" hidden="1">{"fdsup://Directions/FactSet Auditing Viewer?action=AUDIT_VALUE&amp;DB=129&amp;ID1=00289620&amp;VALUEID=13040&amp;SDATE=200601&amp;PERIODTYPE=QTR_STD&amp;window=popup_no_bar&amp;width=385&amp;height=120&amp;START_MAXIMIZED=FALSE&amp;creator=factset&amp;display_string=Audit"}</definedName>
    <definedName name="_2512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2513__FDSAUDITLINK__" localSheetId="1"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2513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2514__FDSAUDITLINK__" localSheetId="1"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2514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2515__FDSAUDITLINK__" localSheetId="1"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2515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2516__FDSAUDITLINK__" localSheetId="1" hidden="1">{"fdsup://Directions/FactSet Auditing Viewer?action=AUDIT_VALUE&amp;DB=129&amp;ID1=03611510&amp;VALUEID=13040&amp;SDATE=200503&amp;PERIODTYPE=QTR_STD&amp;window=popup_no_bar&amp;width=385&amp;height=120&amp;START_MAXIMIZED=FALSE&amp;creator=factset&amp;display_string=Audit"}</definedName>
    <definedName name="_2516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2517__FDSAUDITLINK__" localSheetId="1"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2517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2518__FDSAUDITLINK__" localSheetId="1"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2518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2519__FDSAUDITLINK__" localSheetId="1" hidden="1">{"fdsup://Directions/FactSet Auditing Viewer?action=AUDIT_VALUE&amp;DB=129&amp;ID1=03611510&amp;VALUEID=13040&amp;SDATE=200502&amp;PERIODTYPE=QTR_STD&amp;window=popup_no_bar&amp;width=385&amp;height=120&amp;START_MAXIMIZED=FALSE&amp;creator=factset&amp;display_string=Audit"}</definedName>
    <definedName name="_2519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252__FDSAUDITLINK__" localSheetId="1" hidden="1">{"fdsup://Directions/FactSet Auditing Viewer?action=AUDIT_VALUE&amp;DB=129&amp;ID1=87416110&amp;VALUEID=02101&amp;SDATE=200701&amp;PERIODTYPE=QTR_STD&amp;window=popup_no_bar&amp;width=385&amp;height=120&amp;START_MAXIMIZED=FALSE&amp;creator=factset&amp;display_string=Audit"}</definedName>
    <definedName name="_252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2520__FDSAUDITLINK__" localSheetId="1"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2520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2521__FDSAUDITLINK__" localSheetId="1"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2521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2522__FDSAUDITLINK__" localSheetId="1" hidden="1">{"fdsup://Directions/FactSet Auditing Viewer?action=AUDIT_VALUE&amp;DB=129&amp;ID1=03611510&amp;VALUEID=13040&amp;SDATE=200501&amp;PERIODTYPE=QTR_STD&amp;window=popup_no_bar&amp;width=385&amp;height=120&amp;START_MAXIMIZED=FALSE&amp;creator=factset&amp;display_string=Audit"}</definedName>
    <definedName name="_2522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2523__FDSAUDITLINK__" localSheetId="1"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2523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2524__FDSAUDITLINK__" localSheetId="1" hidden="1">{"fdsup://Directions/FactSet Auditing Viewer?action=AUDIT_VALUE&amp;DB=129&amp;ID1=16890510&amp;VALUEID=13040&amp;SDATE=200602&amp;PERIODTYPE=QTR_STD&amp;window=popup_no_bar&amp;width=385&amp;height=120&amp;START_MAXIMIZED=FALSE&amp;creator=factset&amp;display_string=Audit"}</definedName>
    <definedName name="_2524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2525__FDSAUDITLINK__" localSheetId="1" hidden="1">{"fdsup://Directions/FactSet Auditing Viewer?action=AUDIT_VALUE&amp;DB=129&amp;ID1=16890510&amp;VALUEID=13040&amp;SDATE=200601&amp;PERIODTYPE=QTR_STD&amp;window=popup_no_bar&amp;width=385&amp;height=120&amp;START_MAXIMIZED=FALSE&amp;creator=factset&amp;display_string=Audit"}</definedName>
    <definedName name="_2525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2526__FDSAUDITLINK__" localSheetId="1" hidden="1">{"fdsup://Directions/FactSet Auditing Viewer?action=AUDIT_VALUE&amp;DB=129&amp;ID1=16890510&amp;VALUEID=13040&amp;SDATE=200603&amp;PERIODTYPE=QTR_STD&amp;window=popup_no_bar&amp;width=385&amp;height=120&amp;START_MAXIMIZED=FALSE&amp;creator=factset&amp;display_string=Audit"}</definedName>
    <definedName name="_2526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2527__FDSAUDITLINK__" localSheetId="1" hidden="1">{"fdsup://Directions/FactSet Auditing Viewer?action=AUDIT_VALUE&amp;DB=129&amp;ID1=16890510&amp;VALUEID=13040&amp;SDATE=200702&amp;PERIODTYPE=QTR_STD&amp;window=popup_no_bar&amp;width=385&amp;height=120&amp;START_MAXIMIZED=FALSE&amp;creator=factset&amp;display_string=Audit"}</definedName>
    <definedName name="_2527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2528__FDSAUDITLINK__" localSheetId="1" hidden="1">{"fdsup://Directions/FactSet Auditing Viewer?action=AUDIT_VALUE&amp;DB=129&amp;ID1=16890510&amp;VALUEID=13040&amp;SDATE=200701&amp;PERIODTYPE=QTR_STD&amp;window=popup_no_bar&amp;width=385&amp;height=120&amp;START_MAXIMIZED=FALSE&amp;creator=factset&amp;display_string=Audit"}</definedName>
    <definedName name="_2528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2529__FDSAUDITLINK__" localSheetId="1" hidden="1">{"fdsup://Directions/FactSet Auditing Viewer?action=AUDIT_VALUE&amp;DB=129&amp;ID1=16890510&amp;VALUEID=13040&amp;SDATE=200703&amp;PERIODTYPE=QTR_STD&amp;window=popup_no_bar&amp;width=385&amp;height=120&amp;START_MAXIMIZED=FALSE&amp;creator=factset&amp;display_string=Audit"}</definedName>
    <definedName name="_2529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253__FDSAUDITLINK__" localSheetId="1" hidden="1">{"fdsup://Directions/FactSet Auditing Viewer?action=AUDIT_VALUE&amp;DB=129&amp;ID1=87416110&amp;VALUEID=01001&amp;SDATE=200701&amp;PERIODTYPE=QTR_STD&amp;window=popup_no_bar&amp;width=385&amp;height=120&amp;START_MAXIMIZED=FALSE&amp;creator=factset&amp;display_string=Audit"}</definedName>
    <definedName name="_253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2530__FDSAUDITLINK__" localSheetId="1" hidden="1">{"fdsup://Directions/FactSet Auditing Viewer?action=AUDIT_VALUE&amp;DB=129&amp;ID1=16890510&amp;VALUEID=13040&amp;SDATE=200802&amp;PERIODTYPE=QTR_STD&amp;window=popup_no_bar&amp;width=385&amp;height=120&amp;START_MAXIMIZED=FALSE&amp;creator=factset&amp;display_string=Audit"}</definedName>
    <definedName name="_2530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2531__FDSAUDITLINK__" localSheetId="1" hidden="1">{"fdsup://Directions/FactSet Auditing Viewer?action=AUDIT_VALUE&amp;DB=129&amp;ID1=16890510&amp;VALUEID=13040&amp;SDATE=200801&amp;PERIODTYPE=QTR_STD&amp;window=popup_no_bar&amp;width=385&amp;height=120&amp;START_MAXIMIZED=FALSE&amp;creator=factset&amp;display_string=Audit"}</definedName>
    <definedName name="_2531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2532__FDSAUDITLINK__" localSheetId="1" hidden="1">{"fdsup://Directions/FactSet Auditing Viewer?action=AUDIT_VALUE&amp;DB=129&amp;ID1=16890510&amp;VALUEID=13040&amp;SDATE=200803&amp;PERIODTYPE=QTR_STD&amp;window=popup_no_bar&amp;width=385&amp;height=120&amp;START_MAXIMIZED=FALSE&amp;creator=factset&amp;display_string=Audit"}</definedName>
    <definedName name="_2532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2533__FDSAUDITLINK__" localSheetId="1" hidden="1">{"fdsup://Directions/FactSet Auditing Viewer?action=AUDIT_VALUE&amp;DB=129&amp;ID1=16890510&amp;VALUEID=13040&amp;SDATE=200902&amp;PERIODTYPE=QTR_STD&amp;window=popup_no_bar&amp;width=385&amp;height=120&amp;START_MAXIMIZED=FALSE&amp;creator=factset&amp;display_string=Audit"}</definedName>
    <definedName name="_2533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2534__FDSAUDITLINK__" localSheetId="1" hidden="1">{"fdsup://Directions/FactSet Auditing Viewer?action=AUDIT_VALUE&amp;DB=129&amp;ID1=16890510&amp;VALUEID=13040&amp;SDATE=200903&amp;PERIODTYPE=QTR_STD&amp;window=popup_no_bar&amp;width=385&amp;height=120&amp;START_MAXIMIZED=FALSE&amp;creator=factset&amp;display_string=Audit"}</definedName>
    <definedName name="_2534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2535__FDSAUDITLINK__" localSheetId="1" hidden="1">{"fdsup://Directions/FactSet Auditing Viewer?action=AUDIT_VALUE&amp;DB=129&amp;ID1=16890510&amp;VALUEID=13040&amp;SDATE=201001&amp;PERIODTYPE=QTR_STD&amp;window=popup_no_bar&amp;width=385&amp;height=120&amp;START_MAXIMIZED=FALSE&amp;creator=factset&amp;display_string=Audit"}</definedName>
    <definedName name="_2535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2536__FDSAUDITLINK__" localSheetId="1" hidden="1">{"fdsup://Directions/FactSet Auditing Viewer?action=AUDIT_VALUE&amp;DB=129&amp;ID1=40377710&amp;VALUEID=01001&amp;SDATE=200601&amp;PERIODTYPE=QTR_STD&amp;window=popup_no_bar&amp;width=385&amp;height=120&amp;START_MAXIMIZED=FALSE&amp;creator=factset&amp;display_string=Audit"}</definedName>
    <definedName name="_2536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2537__FDSAUDITLINK__" localSheetId="1" hidden="1">{"fdsup://Directions/FactSet Auditing Viewer?action=AUDIT_VALUE&amp;DB=129&amp;ID1=40377710&amp;VALUEID=02101&amp;SDATE=200601&amp;PERIODTYPE=QTR_STD&amp;window=popup_no_bar&amp;width=385&amp;height=120&amp;START_MAXIMIZED=FALSE&amp;creator=factset&amp;display_string=Audit"}</definedName>
    <definedName name="_2537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2538__FDSAUDITLINK__" localSheetId="1" hidden="1">{"fdsup://Directions/FactSet Auditing Viewer?action=AUDIT_VALUE&amp;DB=129&amp;ID1=40377710&amp;VALUEID=01001&amp;SDATE=200602&amp;PERIODTYPE=QTR_STD&amp;window=popup_no_bar&amp;width=385&amp;height=120&amp;START_MAXIMIZED=FALSE&amp;creator=factset&amp;display_string=Audit"}</definedName>
    <definedName name="_2538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2539__FDSAUDITLINK__" localSheetId="1" hidden="1">{"fdsup://Directions/FactSet Auditing Viewer?action=AUDIT_VALUE&amp;DB=129&amp;ID1=40377710&amp;VALUEID=02101&amp;SDATE=200602&amp;PERIODTYPE=QTR_STD&amp;window=popup_no_bar&amp;width=385&amp;height=120&amp;START_MAXIMIZED=FALSE&amp;creator=factset&amp;display_string=Audit"}</definedName>
    <definedName name="_2539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254__FDSAUDITLINK__" localSheetId="1" hidden="1">{"fdsup://Directions/FactSet Auditing Viewer?action=AUDIT_VALUE&amp;DB=129&amp;ID1=53271610&amp;VALUEID=02101&amp;SDATE=200701&amp;PERIODTYPE=QTR_STD&amp;window=popup_no_bar&amp;width=385&amp;height=120&amp;START_MAXIMIZED=FALSE&amp;creator=factset&amp;display_string=Audit"}</definedName>
    <definedName name="_254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2540__FDSAUDITLINK__" localSheetId="1" hidden="1">{"fdsup://Directions/FactSet Auditing Viewer?action=AUDIT_VALUE&amp;DB=129&amp;ID1=40377710&amp;VALUEID=01001&amp;SDATE=200603&amp;PERIODTYPE=QTR_STD&amp;window=popup_no_bar&amp;width=385&amp;height=120&amp;START_MAXIMIZED=FALSE&amp;creator=factset&amp;display_string=Audit"}</definedName>
    <definedName name="_2540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2541__FDSAUDITLINK__" localSheetId="1" hidden="1">{"fdsup://Directions/FactSet Auditing Viewer?action=AUDIT_VALUE&amp;DB=129&amp;ID1=40377710&amp;VALUEID=02101&amp;SDATE=200603&amp;PERIODTYPE=QTR_STD&amp;window=popup_no_bar&amp;width=385&amp;height=120&amp;START_MAXIMIZED=FALSE&amp;creator=factset&amp;display_string=Audit"}</definedName>
    <definedName name="_2541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2542__FDSAUDITLINK__" localSheetId="1" hidden="1">{"fdsup://Directions/FactSet Auditing Viewer?action=AUDIT_VALUE&amp;DB=129&amp;ID1=40377710&amp;VALUEID=01001&amp;SDATE=200604&amp;PERIODTYPE=QTR_STD&amp;window=popup_no_bar&amp;width=385&amp;height=120&amp;START_MAXIMIZED=FALSE&amp;creator=factset&amp;display_string=Audit"}</definedName>
    <definedName name="_2542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2543__FDSAUDITLINK__" localSheetId="1" hidden="1">{"fdsup://Directions/FactSet Auditing Viewer?action=AUDIT_VALUE&amp;DB=129&amp;ID1=40377710&amp;VALUEID=01001&amp;SDATE=200701&amp;PERIODTYPE=QTR_STD&amp;window=popup_no_bar&amp;width=385&amp;height=120&amp;START_MAXIMIZED=FALSE&amp;creator=factset&amp;display_string=Audit"}</definedName>
    <definedName name="_2543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2544__FDSAUDITLINK__" localSheetId="1" hidden="1">{"fdsup://Directions/FactSet Auditing Viewer?action=AUDIT_VALUE&amp;DB=129&amp;ID1=40377710&amp;VALUEID=02101&amp;SDATE=200701&amp;PERIODTYPE=QTR_STD&amp;window=popup_no_bar&amp;width=385&amp;height=120&amp;START_MAXIMIZED=FALSE&amp;creator=factset&amp;display_string=Audit"}</definedName>
    <definedName name="_2544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2545__FDSAUDITLINK__" localSheetId="1" hidden="1">{"fdsup://Directions/FactSet Auditing Viewer?action=AUDIT_VALUE&amp;DB=129&amp;ID1=40377710&amp;VALUEID=01001&amp;SDATE=200702&amp;PERIODTYPE=QTR_STD&amp;window=popup_no_bar&amp;width=385&amp;height=120&amp;START_MAXIMIZED=FALSE&amp;creator=factset&amp;display_string=Audit"}</definedName>
    <definedName name="_2545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2546__FDSAUDITLINK__" localSheetId="1" hidden="1">{"fdsup://Directions/FactSet Auditing Viewer?action=AUDIT_VALUE&amp;DB=129&amp;ID1=40377710&amp;VALUEID=02101&amp;SDATE=200702&amp;PERIODTYPE=QTR_STD&amp;window=popup_no_bar&amp;width=385&amp;height=120&amp;START_MAXIMIZED=FALSE&amp;creator=factset&amp;display_string=Audit"}</definedName>
    <definedName name="_2546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2547__FDSAUDITLINK__" localSheetId="1" hidden="1">{"fdsup://Directions/FactSet Auditing Viewer?action=AUDIT_VALUE&amp;DB=129&amp;ID1=40377710&amp;VALUEID=01001&amp;SDATE=200703&amp;PERIODTYPE=QTR_STD&amp;window=popup_no_bar&amp;width=385&amp;height=120&amp;START_MAXIMIZED=FALSE&amp;creator=factset&amp;display_string=Audit"}</definedName>
    <definedName name="_2547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2548__FDSAUDITLINK__" localSheetId="1" hidden="1">{"fdsup://Directions/FactSet Auditing Viewer?action=AUDIT_VALUE&amp;DB=129&amp;ID1=40377710&amp;VALUEID=02101&amp;SDATE=200703&amp;PERIODTYPE=QTR_STD&amp;window=popup_no_bar&amp;width=385&amp;height=120&amp;START_MAXIMIZED=FALSE&amp;creator=factset&amp;display_string=Audit"}</definedName>
    <definedName name="_2548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2549__FDSAUDITLINK__" localSheetId="1" hidden="1">{"fdsup://Directions/FactSet Auditing Viewer?action=AUDIT_VALUE&amp;DB=129&amp;ID1=40377710&amp;VALUEID=01001&amp;SDATE=200704&amp;PERIODTYPE=QTR_STD&amp;window=popup_no_bar&amp;width=385&amp;height=120&amp;START_MAXIMIZED=FALSE&amp;creator=factset&amp;display_string=Audit"}</definedName>
    <definedName name="_2549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255__FDSAUDITLINK__" localSheetId="1" hidden="1">{"fdsup://Directions/FactSet Auditing Viewer?action=AUDIT_VALUE&amp;DB=129&amp;ID1=53271610&amp;VALUEID=01001&amp;SDATE=200701&amp;PERIODTYPE=QTR_STD&amp;window=popup_no_bar&amp;width=385&amp;height=120&amp;START_MAXIMIZED=FALSE&amp;creator=factset&amp;display_string=Audit"}</definedName>
    <definedName name="_255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2550__FDSAUDITLINK__" localSheetId="1" hidden="1">{"fdsup://Directions/FactSet Auditing Viewer?action=AUDIT_VALUE&amp;DB=129&amp;ID1=40377710&amp;VALUEID=01001&amp;SDATE=200801&amp;PERIODTYPE=QTR_STD&amp;window=popup_no_bar&amp;width=385&amp;height=120&amp;START_MAXIMIZED=FALSE&amp;creator=factset&amp;display_string=Audit"}</definedName>
    <definedName name="_2550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2551__FDSAUDITLINK__" localSheetId="1" hidden="1">{"fdsup://Directions/FactSet Auditing Viewer?action=AUDIT_VALUE&amp;DB=129&amp;ID1=40377710&amp;VALUEID=02101&amp;SDATE=200801&amp;PERIODTYPE=QTR_STD&amp;window=popup_no_bar&amp;width=385&amp;height=120&amp;START_MAXIMIZED=FALSE&amp;creator=factset&amp;display_string=Audit"}</definedName>
    <definedName name="_2551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2552__FDSAUDITLINK__" localSheetId="1" hidden="1">{"fdsup://Directions/FactSet Auditing Viewer?action=AUDIT_VALUE&amp;DB=129&amp;ID1=40377710&amp;VALUEID=01001&amp;SDATE=200802&amp;PERIODTYPE=QTR_STD&amp;window=popup_no_bar&amp;width=385&amp;height=120&amp;START_MAXIMIZED=FALSE&amp;creator=factset&amp;display_string=Audit"}</definedName>
    <definedName name="_2552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2553__FDSAUDITLINK__" localSheetId="1" hidden="1">{"fdsup://Directions/FactSet Auditing Viewer?action=AUDIT_VALUE&amp;DB=129&amp;ID1=40377710&amp;VALUEID=02101&amp;SDATE=200802&amp;PERIODTYPE=QTR_STD&amp;window=popup_no_bar&amp;width=385&amp;height=120&amp;START_MAXIMIZED=FALSE&amp;creator=factset&amp;display_string=Audit"}</definedName>
    <definedName name="_2553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2554__FDSAUDITLINK__" localSheetId="1" hidden="1">{"fdsup://Directions/FactSet Auditing Viewer?action=AUDIT_VALUE&amp;DB=129&amp;ID1=40377710&amp;VALUEID=01001&amp;SDATE=200803&amp;PERIODTYPE=QTR_STD&amp;window=popup_no_bar&amp;width=385&amp;height=120&amp;START_MAXIMIZED=FALSE&amp;creator=factset&amp;display_string=Audit"}</definedName>
    <definedName name="_2554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2555__FDSAUDITLINK__" localSheetId="1" hidden="1">{"fdsup://Directions/FactSet Auditing Viewer?action=AUDIT_VALUE&amp;DB=129&amp;ID1=40377710&amp;VALUEID=02101&amp;SDATE=200803&amp;PERIODTYPE=QTR_STD&amp;window=popup_no_bar&amp;width=385&amp;height=120&amp;START_MAXIMIZED=FALSE&amp;creator=factset&amp;display_string=Audit"}</definedName>
    <definedName name="_2555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2556__FDSAUDITLINK__" localSheetId="1" hidden="1">{"fdsup://Directions/FactSet Auditing Viewer?action=AUDIT_VALUE&amp;DB=129&amp;ID1=40377710&amp;VALUEID=01001&amp;SDATE=200804&amp;PERIODTYPE=QTR_STD&amp;window=popup_no_bar&amp;width=385&amp;height=120&amp;START_MAXIMIZED=FALSE&amp;creator=factset&amp;display_string=Audit"}</definedName>
    <definedName name="_2556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2557__FDSAUDITLINK__" localSheetId="1" hidden="1">{"fdsup://Directions/FactSet Auditing Viewer?action=AUDIT_VALUE&amp;DB=129&amp;ID1=40377710&amp;VALUEID=01001&amp;SDATE=200901&amp;PERIODTYPE=QTR_STD&amp;window=popup_no_bar&amp;width=385&amp;height=120&amp;START_MAXIMIZED=FALSE&amp;creator=factset&amp;display_string=Audit"}</definedName>
    <definedName name="_2557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2558__FDSAUDITLINK__" localSheetId="1" hidden="1">{"fdsup://Directions/FactSet Auditing Viewer?action=AUDIT_VALUE&amp;DB=129&amp;ID1=40377710&amp;VALUEID=02101&amp;SDATE=200901&amp;PERIODTYPE=QTR_STD&amp;window=popup_no_bar&amp;width=385&amp;height=120&amp;START_MAXIMIZED=FALSE&amp;creator=factset&amp;display_string=Audit"}</definedName>
    <definedName name="_2558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2559__FDSAUDITLINK__" localSheetId="1" hidden="1">{"fdsup://Directions/FactSet Auditing Viewer?action=AUDIT_VALUE&amp;DB=129&amp;ID1=40377710&amp;VALUEID=01001&amp;SDATE=200902&amp;PERIODTYPE=QTR_STD&amp;window=popup_no_bar&amp;width=385&amp;height=120&amp;START_MAXIMIZED=FALSE&amp;creator=factset&amp;display_string=Audit"}</definedName>
    <definedName name="_2559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256__FDSAUDITLINK__" localSheetId="1" hidden="1">{"fdsup://Directions/FactSet Auditing Viewer?action=AUDIT_VALUE&amp;DB=129&amp;ID1=53271610&amp;VALUEID=13040&amp;SDATE=200701&amp;PERIODTYPE=QTR_STD&amp;window=popup_no_bar&amp;width=385&amp;height=120&amp;START_MAXIMIZED=FALSE&amp;creator=factset&amp;display_string=Audit"}</definedName>
    <definedName name="_256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2560__FDSAUDITLINK__" localSheetId="1" hidden="1">{"fdsup://Directions/FactSet Auditing Viewer?action=AUDIT_VALUE&amp;DB=129&amp;ID1=40377710&amp;VALUEID=02101&amp;SDATE=200902&amp;PERIODTYPE=QTR_STD&amp;window=popup_no_bar&amp;width=385&amp;height=120&amp;START_MAXIMIZED=FALSE&amp;creator=factset&amp;display_string=Audit"}</definedName>
    <definedName name="_2560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2561__FDSAUDITLINK__" localSheetId="1" hidden="1">{"fdsup://Directions/FactSet Auditing Viewer?action=AUDIT_VALUE&amp;DB=129&amp;ID1=40377710&amp;VALUEID=01001&amp;SDATE=200903&amp;PERIODTYPE=QTR_STD&amp;window=popup_no_bar&amp;width=385&amp;height=120&amp;START_MAXIMIZED=FALSE&amp;creator=factset&amp;display_string=Audit"}</definedName>
    <definedName name="_2561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2562__FDSAUDITLINK__" localSheetId="1" hidden="1">{"fdsup://Directions/FactSet Auditing Viewer?action=AUDIT_VALUE&amp;DB=129&amp;ID1=40377710&amp;VALUEID=02101&amp;SDATE=200903&amp;PERIODTYPE=QTR_STD&amp;window=popup_no_bar&amp;width=385&amp;height=120&amp;START_MAXIMIZED=FALSE&amp;creator=factset&amp;display_string=Audit"}</definedName>
    <definedName name="_2562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2563__FDSAUDITLINK__" localSheetId="1" hidden="1">{"fdsup://Directions/FactSet Auditing Viewer?action=AUDIT_VALUE&amp;DB=129&amp;ID1=40377710&amp;VALUEID=01001&amp;SDATE=200904&amp;PERIODTYPE=QTR_STD&amp;window=popup_no_bar&amp;width=385&amp;height=120&amp;START_MAXIMIZED=FALSE&amp;creator=factset&amp;display_string=Audit"}</definedName>
    <definedName name="_2563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2564__FDSAUDITLINK__" localSheetId="1" hidden="1">{"fdsup://Directions/FactSet Auditing Viewer?action=AUDIT_VALUE&amp;DB=129&amp;ID1=40377710&amp;VALUEID=02101&amp;SDATE=201001&amp;PERIODTYPE=QTR_STD&amp;window=popup_no_bar&amp;width=385&amp;height=120&amp;START_MAXIMIZED=FALSE&amp;creator=factset&amp;display_string=Audit"}</definedName>
    <definedName name="_2564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2565__FDSAUDITLINK__" localSheetId="1"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2565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2566__FDSAUDITLINK__" localSheetId="1"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2566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2567__FDSAUDITLINK__" localSheetId="1"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2567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2568__FDSAUDITLINK__" localSheetId="1"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2568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2569__FDSAUDITLINK__" localSheetId="1"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2569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257__FDSAUDITLINK__" localSheetId="1" hidden="1">{"fdsup://Directions/FactSet Auditing Viewer?action=AUDIT_VALUE&amp;DB=129&amp;ID1=46612H40&amp;VALUEID=02101&amp;SDATE=200701&amp;PERIODTYPE=QTR_STD&amp;window=popup_no_bar&amp;width=385&amp;height=120&amp;START_MAXIMIZED=FALSE&amp;creator=factset&amp;display_string=Audit"}</definedName>
    <definedName name="_257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2570__FDSAUDITLINK__" localSheetId="1"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2570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2571__FDSAUDITLINK__" localSheetId="1"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2571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2572__FDSAUDITLINK__" localSheetId="1"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2572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2573__FDSAUDITLINK__" localSheetId="1"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2573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2574__FDSAUDITLINK__" localSheetId="1"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2574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2575__FDSAUDITLINK__" localSheetId="1"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2575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2576__FDSAUDITLINK__" localSheetId="1"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2576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2577__FDSAUDITLINK__" localSheetId="1"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2577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2578__FDSAUDITLINK__" localSheetId="1"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2578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2579__FDSAUDITLINK__" localSheetId="1"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2579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258__FDSAUDITLINK__" localSheetId="1" hidden="1">{"fdsup://Directions/FactSet Auditing Viewer?action=AUDIT_VALUE&amp;DB=129&amp;ID1=46612H40&amp;VALUEID=01001&amp;SDATE=200701&amp;PERIODTYPE=QTR_STD&amp;window=popup_no_bar&amp;width=385&amp;height=120&amp;START_MAXIMIZED=FALSE&amp;creator=factset&amp;display_string=Audit"}</definedName>
    <definedName name="_258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2580__FDSAUDITLINK__" localSheetId="1"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2580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2581__FDSAUDITLINK__" localSheetId="1"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2581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2582__FDSAUDITLINK__" localSheetId="1"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2582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2583__FDSAUDITLINK__" localSheetId="1"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2583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2584__FDSAUDITLINK__" localSheetId="1"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2584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2585__FDSAUDITLINK__" localSheetId="1"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2585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2586__FDSAUDITLINK__" localSheetId="1"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2586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2587__FDSAUDITLINK__" localSheetId="1"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2587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2588__FDSAUDITLINK__" localSheetId="1"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2588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2589__FDSAUDITLINK__" localSheetId="1"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2589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259__FDSAUDITLINK__" localSheetId="1" hidden="1">{"fdsup://Directions/FactSet Auditing Viewer?action=AUDIT_VALUE&amp;DB=129&amp;ID1=46612H40&amp;VALUEID=13040&amp;SDATE=200701&amp;PERIODTYPE=QTR_STD&amp;window=popup_no_bar&amp;width=385&amp;height=120&amp;START_MAXIMIZED=FALSE&amp;creator=factset&amp;display_string=Audit"}</definedName>
    <definedName name="_259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2590__FDSAUDITLINK__" localSheetId="1"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2590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2591__FDSAUDITLINK__" localSheetId="1"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2591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2592__FDSAUDITLINK__" localSheetId="1" hidden="1">{"fdsup://Directions/FactSet Auditing Viewer?action=AUDIT_VALUE&amp;DB=129&amp;ID1=40377710&amp;VALUEID=13040&amp;SDATE=200802&amp;PERIODTYPE=QTR_STD&amp;window=popup_no_bar&amp;width=385&amp;height=120&amp;START_MAXIMIZED=FALSE&amp;creator=factset&amp;display_string=Audit"}</definedName>
    <definedName name="_2592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2593__FDSAUDITLINK__" localSheetId="1"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2593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2594__FDSAUDITLINK__" localSheetId="1" hidden="1">{"fdsup://Directions/FactSet Auditing Viewer?action=AUDIT_VALUE&amp;DB=129&amp;ID1=40377710&amp;VALUEID=13040&amp;SDATE=200803&amp;PERIODTYPE=QTR_STD&amp;window=popup_no_bar&amp;width=385&amp;height=120&amp;START_MAXIMIZED=FALSE&amp;creator=factset&amp;display_string=Audit"}</definedName>
    <definedName name="_2594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2595__FDSAUDITLINK__" localSheetId="1"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2595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2596__FDSAUDITLINK__" localSheetId="1"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2596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2597__FDSAUDITLINK__" localSheetId="1" hidden="1">{"fdsup://Directions/FactSet Auditing Viewer?action=AUDIT_VALUE&amp;DB=129&amp;ID1=40377710&amp;VALUEID=13040&amp;SDATE=200901&amp;PERIODTYPE=QTR_STD&amp;window=popup_no_bar&amp;width=385&amp;height=120&amp;START_MAXIMIZED=FALSE&amp;creator=factset&amp;display_string=Audit"}</definedName>
    <definedName name="_2597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2598__FDSAUDITLINK__" localSheetId="1"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2598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2599__FDSAUDITLINK__" localSheetId="1" hidden="1">{"fdsup://Directions/FactSet Auditing Viewer?action=AUDIT_VALUE&amp;DB=129&amp;ID1=40377710&amp;VALUEID=13040&amp;SDATE=201001&amp;PERIODTYPE=QTR_STD&amp;window=popup_no_bar&amp;width=385&amp;height=120&amp;START_MAXIMIZED=FALSE&amp;creator=factset&amp;display_string=Audit"}</definedName>
    <definedName name="_2599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26__FDSAUDITLINK__" localSheetId="1" hidden="1">{"fdsup://Directions/FactSet Auditing Viewer?action=AUDIT_VALUE&amp;DB=129&amp;ID1=16890510&amp;VALUEID=01001&amp;SDATE=200904&amp;PERIODTYPE=QTR_STD&amp;window=popup_no_bar&amp;width=385&amp;height=120&amp;START_MAXIMIZED=FALSE&amp;creator=factset&amp;display_string=Audit"}</definedName>
    <definedName name="_26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260__FDSAUDITLINK__" localSheetId="1" hidden="1">{"fdsup://Directions/FactSet Auditing Viewer?action=AUDIT_VALUE&amp;DB=129&amp;ID1=36476010&amp;VALUEID=02101&amp;SDATE=200701&amp;PERIODTYPE=QTR_STD&amp;window=popup_no_bar&amp;width=385&amp;height=120&amp;START_MAXIMIZED=FALSE&amp;creator=factset&amp;display_string=Audit"}</definedName>
    <definedName name="_260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2600__FDSAUDITLINK__" localSheetId="1" hidden="1">{"fdsup://Directions/FactSet Auditing Viewer?action=AUDIT_VALUE&amp;DB=129&amp;ID1=40377710&amp;VALUEID=13040&amp;SDATE=200602&amp;PERIODTYPE=QTR_STD&amp;window=popup_no_bar&amp;width=385&amp;height=120&amp;START_MAXIMIZED=FALSE&amp;creator=factset&amp;display_string=Audit"}</definedName>
    <definedName name="_2600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2601__FDSAUDITLINK__" localSheetId="1" hidden="1">{"fdsup://Directions/FactSet Auditing Viewer?action=AUDIT_VALUE&amp;DB=129&amp;ID1=40377710&amp;VALUEID=13040&amp;SDATE=200601&amp;PERIODTYPE=QTR_STD&amp;window=popup_no_bar&amp;width=385&amp;height=120&amp;START_MAXIMIZED=FALSE&amp;creator=factset&amp;display_string=Audit"}</definedName>
    <definedName name="_2601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2602__FDSAUDITLINK__" localSheetId="1"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2602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2603__FDSAUDITLINK__" localSheetId="1" hidden="1">{"fdsup://Directions/FactSet Auditing Viewer?action=AUDIT_VALUE&amp;DB=129&amp;ID1=40377710&amp;VALUEID=13040&amp;SDATE=200603&amp;PERIODTYPE=QTR_STD&amp;window=popup_no_bar&amp;width=385&amp;height=120&amp;START_MAXIMIZED=FALSE&amp;creator=factset&amp;display_string=Audit"}</definedName>
    <definedName name="_2603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2604__FDSAUDITLINK__" localSheetId="1" hidden="1">{"fdsup://Directions/FactSet Auditing Viewer?action=AUDIT_VALUE&amp;DB=129&amp;ID1=40377710&amp;VALUEID=13040&amp;SDATE=200702&amp;PERIODTYPE=QTR_STD&amp;window=popup_no_bar&amp;width=385&amp;height=120&amp;START_MAXIMIZED=FALSE&amp;creator=factset&amp;display_string=Audit"}</definedName>
    <definedName name="_2604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2605__FDSAUDITLINK__" localSheetId="1" hidden="1">{"fdsup://Directions/FactSet Auditing Viewer?action=AUDIT_VALUE&amp;DB=129&amp;ID1=40377710&amp;VALUEID=13040&amp;SDATE=200701&amp;PERIODTYPE=QTR_STD&amp;window=popup_no_bar&amp;width=385&amp;height=120&amp;START_MAXIMIZED=FALSE&amp;creator=factset&amp;display_string=Audit"}</definedName>
    <definedName name="_2605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2606__FDSAUDITLINK__" localSheetId="1"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2606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2607__FDSAUDITLINK__" localSheetId="1" hidden="1">{"fdsup://Directions/FactSet Auditing Viewer?action=AUDIT_VALUE&amp;DB=129&amp;ID1=40377710&amp;VALUEID=13040&amp;SDATE=200703&amp;PERIODTYPE=QTR_STD&amp;window=popup_no_bar&amp;width=385&amp;height=120&amp;START_MAXIMIZED=FALSE&amp;creator=factset&amp;display_string=Audit"}</definedName>
    <definedName name="_2607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2608__FDSAUDITLINK__" localSheetId="1" hidden="1">{"fdsup://Directions/FactSet Auditing Viewer?action=AUDIT_VALUE&amp;DB=129&amp;ID1=40377710&amp;VALUEID=13040&amp;SDATE=200801&amp;PERIODTYPE=QTR_STD&amp;window=popup_no_bar&amp;width=385&amp;height=120&amp;START_MAXIMIZED=FALSE&amp;creator=factset&amp;display_string=Audit"}</definedName>
    <definedName name="_2608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2609__FDSAUDITLINK__" localSheetId="1" hidden="1">{"fdsup://Directions/FactSet Auditing Viewer?action=AUDIT_VALUE&amp;DB=129&amp;ID1=40377710&amp;VALUEID=13040&amp;SDATE=200704&amp;PERIODTYPE=QTR_STD&amp;window=popup_no_bar&amp;width=385&amp;height=120&amp;START_MAXIMIZED=FALSE&amp;creator=factset&amp;display_string=Audit"}</definedName>
    <definedName name="_2609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261__FDSAUDITLINK__" localSheetId="1" hidden="1">{"fdsup://Directions/FactSet Auditing Viewer?action=AUDIT_VALUE&amp;DB=129&amp;ID1=36476010&amp;VALUEID=01001&amp;SDATE=200701&amp;PERIODTYPE=QTR_STD&amp;window=popup_no_bar&amp;width=385&amp;height=120&amp;START_MAXIMIZED=FALSE&amp;creator=factset&amp;display_string=Audit"}</definedName>
    <definedName name="_261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2610__FDSAUDITLINK__" localSheetId="1"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2610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2611__FDSAUDITLINK__" localSheetId="1" hidden="1">{"fdsup://Directions/FactSet Auditing Viewer?action=AUDIT_VALUE&amp;DB=129&amp;ID1=40377710&amp;VALUEID=13040&amp;SDATE=200903&amp;PERIODTYPE=QTR_STD&amp;window=popup_no_bar&amp;width=385&amp;height=120&amp;START_MAXIMIZED=FALSE&amp;creator=factset&amp;display_string=Audit"}</definedName>
    <definedName name="_2611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2612__FDSAUDITLINK__" localSheetId="1" hidden="1">{"fdsup://Directions/FactSet Auditing Viewer?action=AUDIT_VALUE&amp;DB=129&amp;ID1=40377710&amp;VALUEID=13040&amp;SDATE=200902&amp;PERIODTYPE=QTR_STD&amp;window=popup_no_bar&amp;width=385&amp;height=120&amp;START_MAXIMIZED=FALSE&amp;creator=factset&amp;display_string=Audit"}</definedName>
    <definedName name="_2612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2613__FDSAUDITLINK__" localSheetId="1" hidden="1">{"fdsup://Directions/FactSet Auditing Viewer?action=AUDIT_VALUE&amp;DB=129&amp;ID1=58711810&amp;VALUEID=01001&amp;SDATE=200601&amp;PERIODTYPE=QTR_STD&amp;window=popup_no_bar&amp;width=385&amp;height=120&amp;START_MAXIMIZED=FALSE&amp;creator=factset&amp;display_string=Audit"}</definedName>
    <definedName name="_2613__FDSAUDITLINK__" hidden="1">{"fdsup://Directions/FactSet Auditing Viewer?action=AUDIT_VALUE&amp;DB=129&amp;ID1=58711810&amp;VALUEID=01001&amp;SDATE=200601&amp;PERIODTYPE=QTR_STD&amp;window=popup_no_bar&amp;width=385&amp;height=120&amp;START_MAXIMIZED=FALSE&amp;creator=factset&amp;display_string=Audit"}</definedName>
    <definedName name="_2614__FDSAUDITLINK__" localSheetId="1" hidden="1">{"fdsup://Directions/FactSet Auditing Viewer?action=AUDIT_VALUE&amp;DB=129&amp;ID1=58711810&amp;VALUEID=02101&amp;SDATE=200601&amp;PERIODTYPE=QTR_STD&amp;window=popup_no_bar&amp;width=385&amp;height=120&amp;START_MAXIMIZED=FALSE&amp;creator=factset&amp;display_string=Audit"}</definedName>
    <definedName name="_2614__FDSAUDITLINK__" hidden="1">{"fdsup://Directions/FactSet Auditing Viewer?action=AUDIT_VALUE&amp;DB=129&amp;ID1=58711810&amp;VALUEID=02101&amp;SDATE=200601&amp;PERIODTYPE=QTR_STD&amp;window=popup_no_bar&amp;width=385&amp;height=120&amp;START_MAXIMIZED=FALSE&amp;creator=factset&amp;display_string=Audit"}</definedName>
    <definedName name="_2615__FDSAUDITLINK__" localSheetId="1" hidden="1">{"fdsup://Directions/FactSet Auditing Viewer?action=AUDIT_VALUE&amp;DB=129&amp;ID1=58711810&amp;VALUEID=01001&amp;SDATE=200602&amp;PERIODTYPE=QTR_STD&amp;window=popup_no_bar&amp;width=385&amp;height=120&amp;START_MAXIMIZED=FALSE&amp;creator=factset&amp;display_string=Audit"}</definedName>
    <definedName name="_2615__FDSAUDITLINK__" hidden="1">{"fdsup://Directions/FactSet Auditing Viewer?action=AUDIT_VALUE&amp;DB=129&amp;ID1=58711810&amp;VALUEID=01001&amp;SDATE=200602&amp;PERIODTYPE=QTR_STD&amp;window=popup_no_bar&amp;width=385&amp;height=120&amp;START_MAXIMIZED=FALSE&amp;creator=factset&amp;display_string=Audit"}</definedName>
    <definedName name="_2616__FDSAUDITLINK__" localSheetId="1" hidden="1">{"fdsup://Directions/FactSet Auditing Viewer?action=AUDIT_VALUE&amp;DB=129&amp;ID1=58711810&amp;VALUEID=02101&amp;SDATE=200602&amp;PERIODTYPE=QTR_STD&amp;window=popup_no_bar&amp;width=385&amp;height=120&amp;START_MAXIMIZED=FALSE&amp;creator=factset&amp;display_string=Audit"}</definedName>
    <definedName name="_2616__FDSAUDITLINK__" hidden="1">{"fdsup://Directions/FactSet Auditing Viewer?action=AUDIT_VALUE&amp;DB=129&amp;ID1=58711810&amp;VALUEID=02101&amp;SDATE=200602&amp;PERIODTYPE=QTR_STD&amp;window=popup_no_bar&amp;width=385&amp;height=120&amp;START_MAXIMIZED=FALSE&amp;creator=factset&amp;display_string=Audit"}</definedName>
    <definedName name="_2617__FDSAUDITLINK__" localSheetId="1" hidden="1">{"fdsup://Directions/FactSet Auditing Viewer?action=AUDIT_VALUE&amp;DB=129&amp;ID1=58711810&amp;VALUEID=01001&amp;SDATE=200603&amp;PERIODTYPE=QTR_STD&amp;window=popup_no_bar&amp;width=385&amp;height=120&amp;START_MAXIMIZED=FALSE&amp;creator=factset&amp;display_string=Audit"}</definedName>
    <definedName name="_2617__FDSAUDITLINK__" hidden="1">{"fdsup://Directions/FactSet Auditing Viewer?action=AUDIT_VALUE&amp;DB=129&amp;ID1=58711810&amp;VALUEID=01001&amp;SDATE=200603&amp;PERIODTYPE=QTR_STD&amp;window=popup_no_bar&amp;width=385&amp;height=120&amp;START_MAXIMIZED=FALSE&amp;creator=factset&amp;display_string=Audit"}</definedName>
    <definedName name="_2618__FDSAUDITLINK__" localSheetId="1" hidden="1">{"fdsup://Directions/FactSet Auditing Viewer?action=AUDIT_VALUE&amp;DB=129&amp;ID1=58711810&amp;VALUEID=02101&amp;SDATE=200603&amp;PERIODTYPE=QTR_STD&amp;window=popup_no_bar&amp;width=385&amp;height=120&amp;START_MAXIMIZED=FALSE&amp;creator=factset&amp;display_string=Audit"}</definedName>
    <definedName name="_2618__FDSAUDITLINK__" hidden="1">{"fdsup://Directions/FactSet Auditing Viewer?action=AUDIT_VALUE&amp;DB=129&amp;ID1=58711810&amp;VALUEID=02101&amp;SDATE=200603&amp;PERIODTYPE=QTR_STD&amp;window=popup_no_bar&amp;width=385&amp;height=120&amp;START_MAXIMIZED=FALSE&amp;creator=factset&amp;display_string=Audit"}</definedName>
    <definedName name="_2619__FDSAUDITLINK__" localSheetId="1" hidden="1">{"fdsup://Directions/FactSet Auditing Viewer?action=AUDIT_VALUE&amp;DB=129&amp;ID1=58711810&amp;VALUEID=01001&amp;SDATE=200604&amp;PERIODTYPE=QTR_STD&amp;window=popup_no_bar&amp;width=385&amp;height=120&amp;START_MAXIMIZED=FALSE&amp;creator=factset&amp;display_string=Audit"}</definedName>
    <definedName name="_2619__FDSAUDITLINK__" hidden="1">{"fdsup://Directions/FactSet Auditing Viewer?action=AUDIT_VALUE&amp;DB=129&amp;ID1=58711810&amp;VALUEID=01001&amp;SDATE=200604&amp;PERIODTYPE=QTR_STD&amp;window=popup_no_bar&amp;width=385&amp;height=120&amp;START_MAXIMIZED=FALSE&amp;creator=factset&amp;display_string=Audit"}</definedName>
    <definedName name="_262__FDSAUDITLINK__" localSheetId="1" hidden="1">{"fdsup://Directions/FactSet Auditing Viewer?action=AUDIT_VALUE&amp;DB=129&amp;ID1=36476010&amp;VALUEID=13040&amp;SDATE=200701&amp;PERIODTYPE=QTR_STD&amp;window=popup_no_bar&amp;width=385&amp;height=120&amp;START_MAXIMIZED=FALSE&amp;creator=factset&amp;display_string=Audit"}</definedName>
    <definedName name="_262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2620__FDSAUDITLINK__" localSheetId="1" hidden="1">{"fdsup://Directions/FactSet Auditing Viewer?action=AUDIT_VALUE&amp;DB=129&amp;ID1=58711810&amp;VALUEID=01001&amp;SDATE=200701&amp;PERIODTYPE=QTR_STD&amp;window=popup_no_bar&amp;width=385&amp;height=120&amp;START_MAXIMIZED=FALSE&amp;creator=factset&amp;display_string=Audit"}</definedName>
    <definedName name="_2620__FDSAUDITLINK__" hidden="1">{"fdsup://Directions/FactSet Auditing Viewer?action=AUDIT_VALUE&amp;DB=129&amp;ID1=58711810&amp;VALUEID=01001&amp;SDATE=200701&amp;PERIODTYPE=QTR_STD&amp;window=popup_no_bar&amp;width=385&amp;height=120&amp;START_MAXIMIZED=FALSE&amp;creator=factset&amp;display_string=Audit"}</definedName>
    <definedName name="_2621__FDSAUDITLINK__" localSheetId="1" hidden="1">{"fdsup://Directions/FactSet Auditing Viewer?action=AUDIT_VALUE&amp;DB=129&amp;ID1=58711810&amp;VALUEID=02101&amp;SDATE=200701&amp;PERIODTYPE=QTR_STD&amp;window=popup_no_bar&amp;width=385&amp;height=120&amp;START_MAXIMIZED=FALSE&amp;creator=factset&amp;display_string=Audit"}</definedName>
    <definedName name="_2621__FDSAUDITLINK__" hidden="1">{"fdsup://Directions/FactSet Auditing Viewer?action=AUDIT_VALUE&amp;DB=129&amp;ID1=58711810&amp;VALUEID=02101&amp;SDATE=200701&amp;PERIODTYPE=QTR_STD&amp;window=popup_no_bar&amp;width=385&amp;height=120&amp;START_MAXIMIZED=FALSE&amp;creator=factset&amp;display_string=Audit"}</definedName>
    <definedName name="_2622__FDSAUDITLINK__" localSheetId="1" hidden="1">{"fdsup://Directions/FactSet Auditing Viewer?action=AUDIT_VALUE&amp;DB=129&amp;ID1=58711810&amp;VALUEID=01001&amp;SDATE=200702&amp;PERIODTYPE=QTR_STD&amp;window=popup_no_bar&amp;width=385&amp;height=120&amp;START_MAXIMIZED=FALSE&amp;creator=factset&amp;display_string=Audit"}</definedName>
    <definedName name="_2622__FDSAUDITLINK__" hidden="1">{"fdsup://Directions/FactSet Auditing Viewer?action=AUDIT_VALUE&amp;DB=129&amp;ID1=58711810&amp;VALUEID=01001&amp;SDATE=200702&amp;PERIODTYPE=QTR_STD&amp;window=popup_no_bar&amp;width=385&amp;height=120&amp;START_MAXIMIZED=FALSE&amp;creator=factset&amp;display_string=Audit"}</definedName>
    <definedName name="_2623__FDSAUDITLINK__" localSheetId="1" hidden="1">{"fdsup://Directions/FactSet Auditing Viewer?action=AUDIT_VALUE&amp;DB=129&amp;ID1=58711810&amp;VALUEID=02101&amp;SDATE=200702&amp;PERIODTYPE=QTR_STD&amp;window=popup_no_bar&amp;width=385&amp;height=120&amp;START_MAXIMIZED=FALSE&amp;creator=factset&amp;display_string=Audit"}</definedName>
    <definedName name="_2623__FDSAUDITLINK__" hidden="1">{"fdsup://Directions/FactSet Auditing Viewer?action=AUDIT_VALUE&amp;DB=129&amp;ID1=58711810&amp;VALUEID=02101&amp;SDATE=200702&amp;PERIODTYPE=QTR_STD&amp;window=popup_no_bar&amp;width=385&amp;height=120&amp;START_MAXIMIZED=FALSE&amp;creator=factset&amp;display_string=Audit"}</definedName>
    <definedName name="_2624__FDSAUDITLINK__" localSheetId="1" hidden="1">{"fdsup://Directions/FactSet Auditing Viewer?action=AUDIT_VALUE&amp;DB=129&amp;ID1=58711810&amp;VALUEID=01001&amp;SDATE=200703&amp;PERIODTYPE=QTR_STD&amp;window=popup_no_bar&amp;width=385&amp;height=120&amp;START_MAXIMIZED=FALSE&amp;creator=factset&amp;display_string=Audit"}</definedName>
    <definedName name="_2624__FDSAUDITLINK__" hidden="1">{"fdsup://Directions/FactSet Auditing Viewer?action=AUDIT_VALUE&amp;DB=129&amp;ID1=58711810&amp;VALUEID=01001&amp;SDATE=200703&amp;PERIODTYPE=QTR_STD&amp;window=popup_no_bar&amp;width=385&amp;height=120&amp;START_MAXIMIZED=FALSE&amp;creator=factset&amp;display_string=Audit"}</definedName>
    <definedName name="_2625__FDSAUDITLINK__" localSheetId="1" hidden="1">{"fdsup://Directions/FactSet Auditing Viewer?action=AUDIT_VALUE&amp;DB=129&amp;ID1=58711810&amp;VALUEID=02101&amp;SDATE=200703&amp;PERIODTYPE=QTR_STD&amp;window=popup_no_bar&amp;width=385&amp;height=120&amp;START_MAXIMIZED=FALSE&amp;creator=factset&amp;display_string=Audit"}</definedName>
    <definedName name="_2625__FDSAUDITLINK__" hidden="1">{"fdsup://Directions/FactSet Auditing Viewer?action=AUDIT_VALUE&amp;DB=129&amp;ID1=58711810&amp;VALUEID=02101&amp;SDATE=200703&amp;PERIODTYPE=QTR_STD&amp;window=popup_no_bar&amp;width=385&amp;height=120&amp;START_MAXIMIZED=FALSE&amp;creator=factset&amp;display_string=Audit"}</definedName>
    <definedName name="_2626__FDSAUDITLINK__" localSheetId="1" hidden="1">{"fdsup://Directions/FactSet Auditing Viewer?action=AUDIT_VALUE&amp;DB=129&amp;ID1=58711810&amp;VALUEID=01001&amp;SDATE=200704&amp;PERIODTYPE=QTR_STD&amp;window=popup_no_bar&amp;width=385&amp;height=120&amp;START_MAXIMIZED=FALSE&amp;creator=factset&amp;display_string=Audit"}</definedName>
    <definedName name="_2626__FDSAUDITLINK__" hidden="1">{"fdsup://Directions/FactSet Auditing Viewer?action=AUDIT_VALUE&amp;DB=129&amp;ID1=58711810&amp;VALUEID=01001&amp;SDATE=200704&amp;PERIODTYPE=QTR_STD&amp;window=popup_no_bar&amp;width=385&amp;height=120&amp;START_MAXIMIZED=FALSE&amp;creator=factset&amp;display_string=Audit"}</definedName>
    <definedName name="_2627__FDSAUDITLINK__" localSheetId="1" hidden="1">{"fdsup://Directions/FactSet Auditing Viewer?action=AUDIT_VALUE&amp;DB=129&amp;ID1=58711810&amp;VALUEID=01001&amp;SDATE=200801&amp;PERIODTYPE=QTR_STD&amp;window=popup_no_bar&amp;width=385&amp;height=120&amp;START_MAXIMIZED=FALSE&amp;creator=factset&amp;display_string=Audit"}</definedName>
    <definedName name="_2627__FDSAUDITLINK__" hidden="1">{"fdsup://Directions/FactSet Auditing Viewer?action=AUDIT_VALUE&amp;DB=129&amp;ID1=58711810&amp;VALUEID=01001&amp;SDATE=200801&amp;PERIODTYPE=QTR_STD&amp;window=popup_no_bar&amp;width=385&amp;height=120&amp;START_MAXIMIZED=FALSE&amp;creator=factset&amp;display_string=Audit"}</definedName>
    <definedName name="_2628__FDSAUDITLINK__" localSheetId="1" hidden="1">{"fdsup://Directions/FactSet Auditing Viewer?action=AUDIT_VALUE&amp;DB=129&amp;ID1=58711810&amp;VALUEID=02101&amp;SDATE=200801&amp;PERIODTYPE=QTR_STD&amp;window=popup_no_bar&amp;width=385&amp;height=120&amp;START_MAXIMIZED=FALSE&amp;creator=factset&amp;display_string=Audit"}</definedName>
    <definedName name="_2628__FDSAUDITLINK__" hidden="1">{"fdsup://Directions/FactSet Auditing Viewer?action=AUDIT_VALUE&amp;DB=129&amp;ID1=58711810&amp;VALUEID=02101&amp;SDATE=200801&amp;PERIODTYPE=QTR_STD&amp;window=popup_no_bar&amp;width=385&amp;height=120&amp;START_MAXIMIZED=FALSE&amp;creator=factset&amp;display_string=Audit"}</definedName>
    <definedName name="_2629__FDSAUDITLINK__" localSheetId="1" hidden="1">{"fdsup://Directions/FactSet Auditing Viewer?action=AUDIT_VALUE&amp;DB=129&amp;ID1=58711810&amp;VALUEID=01001&amp;SDATE=200802&amp;PERIODTYPE=QTR_STD&amp;window=popup_no_bar&amp;width=385&amp;height=120&amp;START_MAXIMIZED=FALSE&amp;creator=factset&amp;display_string=Audit"}</definedName>
    <definedName name="_2629__FDSAUDITLINK__" hidden="1">{"fdsup://Directions/FactSet Auditing Viewer?action=AUDIT_VALUE&amp;DB=129&amp;ID1=58711810&amp;VALUEID=01001&amp;SDATE=200802&amp;PERIODTYPE=QTR_STD&amp;window=popup_no_bar&amp;width=385&amp;height=120&amp;START_MAXIMIZED=FALSE&amp;creator=factset&amp;display_string=Audit"}</definedName>
    <definedName name="_263__FDSAUDITLINK__" localSheetId="1" hidden="1">{"fdsup://Directions/FactSet Auditing Viewer?action=AUDIT_VALUE&amp;DB=129&amp;ID1=03611510&amp;VALUEID=02101&amp;SDATE=200701&amp;PERIODTYPE=QTR_STD&amp;window=popup_no_bar&amp;width=385&amp;height=120&amp;START_MAXIMIZED=FALSE&amp;creator=factset&amp;display_string=Audit"}</definedName>
    <definedName name="_263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2630__FDSAUDITLINK__" localSheetId="1" hidden="1">{"fdsup://Directions/FactSet Auditing Viewer?action=AUDIT_VALUE&amp;DB=129&amp;ID1=58711810&amp;VALUEID=02101&amp;SDATE=200802&amp;PERIODTYPE=QTR_STD&amp;window=popup_no_bar&amp;width=385&amp;height=120&amp;START_MAXIMIZED=FALSE&amp;creator=factset&amp;display_string=Audit"}</definedName>
    <definedName name="_2630__FDSAUDITLINK__" hidden="1">{"fdsup://Directions/FactSet Auditing Viewer?action=AUDIT_VALUE&amp;DB=129&amp;ID1=58711810&amp;VALUEID=02101&amp;SDATE=200802&amp;PERIODTYPE=QTR_STD&amp;window=popup_no_bar&amp;width=385&amp;height=120&amp;START_MAXIMIZED=FALSE&amp;creator=factset&amp;display_string=Audit"}</definedName>
    <definedName name="_2631__FDSAUDITLINK__" localSheetId="1" hidden="1">{"fdsup://Directions/FactSet Auditing Viewer?action=AUDIT_VALUE&amp;DB=129&amp;ID1=58711810&amp;VALUEID=01001&amp;SDATE=200803&amp;PERIODTYPE=QTR_STD&amp;window=popup_no_bar&amp;width=385&amp;height=120&amp;START_MAXIMIZED=FALSE&amp;creator=factset&amp;display_string=Audit"}</definedName>
    <definedName name="_2631__FDSAUDITLINK__" hidden="1">{"fdsup://Directions/FactSet Auditing Viewer?action=AUDIT_VALUE&amp;DB=129&amp;ID1=58711810&amp;VALUEID=01001&amp;SDATE=200803&amp;PERIODTYPE=QTR_STD&amp;window=popup_no_bar&amp;width=385&amp;height=120&amp;START_MAXIMIZED=FALSE&amp;creator=factset&amp;display_string=Audit"}</definedName>
    <definedName name="_2632__FDSAUDITLINK__" localSheetId="1" hidden="1">{"fdsup://Directions/FactSet Auditing Viewer?action=AUDIT_VALUE&amp;DB=129&amp;ID1=58711810&amp;VALUEID=02101&amp;SDATE=200803&amp;PERIODTYPE=QTR_STD&amp;window=popup_no_bar&amp;width=385&amp;height=120&amp;START_MAXIMIZED=FALSE&amp;creator=factset&amp;display_string=Audit"}</definedName>
    <definedName name="_2632__FDSAUDITLINK__" hidden="1">{"fdsup://Directions/FactSet Auditing Viewer?action=AUDIT_VALUE&amp;DB=129&amp;ID1=58711810&amp;VALUEID=02101&amp;SDATE=200803&amp;PERIODTYPE=QTR_STD&amp;window=popup_no_bar&amp;width=385&amp;height=120&amp;START_MAXIMIZED=FALSE&amp;creator=factset&amp;display_string=Audit"}</definedName>
    <definedName name="_2633__FDSAUDITLINK__" localSheetId="1" hidden="1">{"fdsup://Directions/FactSet Auditing Viewer?action=AUDIT_VALUE&amp;DB=129&amp;ID1=58711810&amp;VALUEID=01001&amp;SDATE=200804&amp;PERIODTYPE=QTR_STD&amp;window=popup_no_bar&amp;width=385&amp;height=120&amp;START_MAXIMIZED=FALSE&amp;creator=factset&amp;display_string=Audit"}</definedName>
    <definedName name="_2633__FDSAUDITLINK__" hidden="1">{"fdsup://Directions/FactSet Auditing Viewer?action=AUDIT_VALUE&amp;DB=129&amp;ID1=58711810&amp;VALUEID=01001&amp;SDATE=200804&amp;PERIODTYPE=QTR_STD&amp;window=popup_no_bar&amp;width=385&amp;height=120&amp;START_MAXIMIZED=FALSE&amp;creator=factset&amp;display_string=Audit"}</definedName>
    <definedName name="_2634__FDSAUDITLINK__" localSheetId="1" hidden="1">{"fdsup://Directions/FactSet Auditing Viewer?action=AUDIT_VALUE&amp;DB=129&amp;ID1=58711810&amp;VALUEID=01001&amp;SDATE=200902&amp;PERIODTYPE=QTR_STD&amp;window=popup_no_bar&amp;width=385&amp;height=120&amp;START_MAXIMIZED=FALSE&amp;creator=factset&amp;display_string=Audit"}</definedName>
    <definedName name="_2634__FDSAUDITLINK__" hidden="1">{"fdsup://Directions/FactSet Auditing Viewer?action=AUDIT_VALUE&amp;DB=129&amp;ID1=58711810&amp;VALUEID=01001&amp;SDATE=200902&amp;PERIODTYPE=QTR_STD&amp;window=popup_no_bar&amp;width=385&amp;height=120&amp;START_MAXIMIZED=FALSE&amp;creator=factset&amp;display_string=Audit"}</definedName>
    <definedName name="_2635__FDSAUDITLINK__" localSheetId="1" hidden="1">{"fdsup://Directions/FactSet Auditing Viewer?action=AUDIT_VALUE&amp;DB=129&amp;ID1=58711810&amp;VALUEID=02101&amp;SDATE=200902&amp;PERIODTYPE=QTR_STD&amp;window=popup_no_bar&amp;width=385&amp;height=120&amp;START_MAXIMIZED=FALSE&amp;creator=factset&amp;display_string=Audit"}</definedName>
    <definedName name="_2635__FDSAUDITLINK__" hidden="1">{"fdsup://Directions/FactSet Auditing Viewer?action=AUDIT_VALUE&amp;DB=129&amp;ID1=58711810&amp;VALUEID=02101&amp;SDATE=200902&amp;PERIODTYPE=QTR_STD&amp;window=popup_no_bar&amp;width=385&amp;height=120&amp;START_MAXIMIZED=FALSE&amp;creator=factset&amp;display_string=Audit"}</definedName>
    <definedName name="_2636__FDSAUDITLINK__" localSheetId="1" hidden="1">{"fdsup://Directions/FactSet Auditing Viewer?action=AUDIT_VALUE&amp;DB=129&amp;ID1=58711810&amp;VALUEID=01001&amp;SDATE=200903&amp;PERIODTYPE=QTR_STD&amp;window=popup_no_bar&amp;width=385&amp;height=120&amp;START_MAXIMIZED=FALSE&amp;creator=factset&amp;display_string=Audit"}</definedName>
    <definedName name="_2636__FDSAUDITLINK__" hidden="1">{"fdsup://Directions/FactSet Auditing Viewer?action=AUDIT_VALUE&amp;DB=129&amp;ID1=58711810&amp;VALUEID=01001&amp;SDATE=200903&amp;PERIODTYPE=QTR_STD&amp;window=popup_no_bar&amp;width=385&amp;height=120&amp;START_MAXIMIZED=FALSE&amp;creator=factset&amp;display_string=Audit"}</definedName>
    <definedName name="_2637__FDSAUDITLINK__" localSheetId="1" hidden="1">{"fdsup://Directions/FactSet Auditing Viewer?action=AUDIT_VALUE&amp;DB=129&amp;ID1=58711810&amp;VALUEID=02101&amp;SDATE=200903&amp;PERIODTYPE=QTR_STD&amp;window=popup_no_bar&amp;width=385&amp;height=120&amp;START_MAXIMIZED=FALSE&amp;creator=factset&amp;display_string=Audit"}</definedName>
    <definedName name="_2637__FDSAUDITLINK__" hidden="1">{"fdsup://Directions/FactSet Auditing Viewer?action=AUDIT_VALUE&amp;DB=129&amp;ID1=58711810&amp;VALUEID=02101&amp;SDATE=200903&amp;PERIODTYPE=QTR_STD&amp;window=popup_no_bar&amp;width=385&amp;height=120&amp;START_MAXIMIZED=FALSE&amp;creator=factset&amp;display_string=Audit"}</definedName>
    <definedName name="_2638__FDSAUDITLINK__" localSheetId="1" hidden="1">{"fdsup://Directions/FactSet Auditing Viewer?action=AUDIT_VALUE&amp;DB=129&amp;ID1=58711810&amp;VALUEID=01001&amp;SDATE=200904&amp;PERIODTYPE=QTR_STD&amp;window=popup_no_bar&amp;width=385&amp;height=120&amp;START_MAXIMIZED=FALSE&amp;creator=factset&amp;display_string=Audit"}</definedName>
    <definedName name="_2638__FDSAUDITLINK__" hidden="1">{"fdsup://Directions/FactSet Auditing Viewer?action=AUDIT_VALUE&amp;DB=129&amp;ID1=58711810&amp;VALUEID=01001&amp;SDATE=200904&amp;PERIODTYPE=QTR_STD&amp;window=popup_no_bar&amp;width=385&amp;height=120&amp;START_MAXIMIZED=FALSE&amp;creator=factset&amp;display_string=Audit"}</definedName>
    <definedName name="_2639__FDSAUDITLINK__" localSheetId="1" hidden="1">{"fdsup://Directions/FactSet Auditing Viewer?action=AUDIT_VALUE&amp;DB=129&amp;ID1=58711810&amp;VALUEID=02101&amp;SDATE=201001&amp;PERIODTYPE=QTR_STD&amp;window=popup_no_bar&amp;width=385&amp;height=120&amp;START_MAXIMIZED=FALSE&amp;creator=factset&amp;display_string=Audit"}</definedName>
    <definedName name="_2639__FDSAUDITLINK__" hidden="1">{"fdsup://Directions/FactSet Auditing Viewer?action=AUDIT_VALUE&amp;DB=129&amp;ID1=58711810&amp;VALUEID=02101&amp;SDATE=201001&amp;PERIODTYPE=QTR_STD&amp;window=popup_no_bar&amp;width=385&amp;height=120&amp;START_MAXIMIZED=FALSE&amp;creator=factset&amp;display_string=Audit"}</definedName>
    <definedName name="_264__FDSAUDITLINK__" localSheetId="1" hidden="1">{"fdsup://Directions/FactSet Auditing Viewer?action=AUDIT_VALUE&amp;DB=129&amp;ID1=03611510&amp;VALUEID=01001&amp;SDATE=200701&amp;PERIODTYPE=QTR_STD&amp;window=popup_no_bar&amp;width=385&amp;height=120&amp;START_MAXIMIZED=FALSE&amp;creator=factset&amp;display_string=Audit"}</definedName>
    <definedName name="_264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2640__FDSAUDITLINK__" localSheetId="1"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2640__FDSAUDITLINK__"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2641__FDSAUDITLINK__" localSheetId="1"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2641__FDSAUDITLINK__"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2642__FDSAUDITLINK__" localSheetId="1"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2642__FDSAUDITLINK__"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2643__FDSAUDITLINK__" localSheetId="1"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2643__FDSAUDITLINK__"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2644__FDSAUDITLINK__" localSheetId="1"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2644__FDSAUDITLINK__"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2645__FDSAUDITLINK__" localSheetId="1"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2645__FDSAUDITLINK__"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2646__FDSAUDITLINK__" localSheetId="1"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2646__FDSAUDITLINK__"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2647__FDSAUDITLINK__" localSheetId="1"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2647__FDSAUDITLINK__"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2648__FDSAUDITLINK__" localSheetId="1"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2648__FDSAUDITLINK__"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2649__FDSAUDITLINK__" localSheetId="1"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2649__FDSAUDITLINK__"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265__FDSAUDITLINK__" localSheetId="1" hidden="1">{"fdsup://Directions/FactSet Auditing Viewer?action=AUDIT_VALUE&amp;DB=129&amp;ID1=03611510&amp;VALUEID=13040&amp;SDATE=200701&amp;PERIODTYPE=QTR_STD&amp;window=popup_no_bar&amp;width=385&amp;height=120&amp;START_MAXIMIZED=FALSE&amp;creator=factset&amp;display_string=Audit"}</definedName>
    <definedName name="_265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2650__FDSAUDITLINK__" localSheetId="1"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2650__FDSAUDITLINK__"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2651__FDSAUDITLINK__" localSheetId="1"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2651__FDSAUDITLINK__"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2652__FDSAUDITLINK__" localSheetId="1"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2652__FDSAUDITLINK__"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2653__FDSAUDITLINK__" localSheetId="1"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2653__FDSAUDITLINK__"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2654__FDSAUDITLINK__" localSheetId="1"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2654__FDSAUDITLINK__"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2655__FDSAUDITLINK__" localSheetId="1"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2655__FDSAUDITLINK__"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2656__FDSAUDITLINK__" localSheetId="1"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2656__FDSAUDITLINK__"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2657__FDSAUDITLINK__" localSheetId="1"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2657__FDSAUDITLINK__"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2658__FDSAUDITLINK__" localSheetId="1"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2658__FDSAUDITLINK__"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2659__FDSAUDITLINK__" localSheetId="1"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2659__FDSAUDITLINK__"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266__FDSAUDITLINK__" localSheetId="1" hidden="1">{"fdsup://Directions/FactSet Auditing Viewer?action=AUDIT_VALUE&amp;DB=129&amp;ID1=16890510&amp;VALUEID=02101&amp;SDATE=200701&amp;PERIODTYPE=QTR_STD&amp;window=popup_no_bar&amp;width=385&amp;height=120&amp;START_MAXIMIZED=FALSE&amp;creator=factset&amp;display_string=Audit"}</definedName>
    <definedName name="_266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2660__FDSAUDITLINK__" localSheetId="1"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2660__FDSAUDITLINK__"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2661__FDSAUDITLINK__" localSheetId="1"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2661__FDSAUDITLINK__"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2662__FDSAUDITLINK__" localSheetId="1"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2662__FDSAUDITLINK__"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2663__FDSAUDITLINK__" localSheetId="1"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2663__FDSAUDITLINK__"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2664__FDSAUDITLINK__" localSheetId="1"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2664__FDSAUDITLINK__"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2665__FDSAUDITLINK__" localSheetId="1"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2665__FDSAUDITLINK__"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2666__FDSAUDITLINK__" localSheetId="1"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2666__FDSAUDITLINK__"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2667__FDSAUDITLINK__" localSheetId="1" hidden="1">{"fdsup://Directions/FactSet Auditing Viewer?action=AUDIT_VALUE&amp;DB=129&amp;ID1=58711810&amp;VALUEID=13040&amp;SDATE=200702&amp;PERIODTYPE=QTR_STD&amp;window=popup_no_bar&amp;width=385&amp;height=120&amp;START_MAXIMIZED=FALSE&amp;creator=factset&amp;display_string=Audit"}</definedName>
    <definedName name="_2667__FDSAUDITLINK__" hidden="1">{"fdsup://Directions/FactSet Auditing Viewer?action=AUDIT_VALUE&amp;DB=129&amp;ID1=58711810&amp;VALUEID=13040&amp;SDATE=200702&amp;PERIODTYPE=QTR_STD&amp;window=popup_no_bar&amp;width=385&amp;height=120&amp;START_MAXIMIZED=FALSE&amp;creator=factset&amp;display_string=Audit"}</definedName>
    <definedName name="_2668__FDSAUDITLINK__" localSheetId="1" hidden="1">{"fdsup://Directions/FactSet Auditing Viewer?action=AUDIT_VALUE&amp;DB=129&amp;ID1=58711810&amp;VALUEID=13040&amp;SDATE=200701&amp;PERIODTYPE=QTR_STD&amp;window=popup_no_bar&amp;width=385&amp;height=120&amp;START_MAXIMIZED=FALSE&amp;creator=factset&amp;display_string=Audit"}</definedName>
    <definedName name="_2668__FDSAUDITLINK__" hidden="1">{"fdsup://Directions/FactSet Auditing Viewer?action=AUDIT_VALUE&amp;DB=129&amp;ID1=58711810&amp;VALUEID=13040&amp;SDATE=200701&amp;PERIODTYPE=QTR_STD&amp;window=popup_no_bar&amp;width=385&amp;height=120&amp;START_MAXIMIZED=FALSE&amp;creator=factset&amp;display_string=Audit"}</definedName>
    <definedName name="_2669__FDSAUDITLINK__" localSheetId="1" hidden="1">{"fdsup://Directions/FactSet Auditing Viewer?action=AUDIT_VALUE&amp;DB=129&amp;ID1=58711810&amp;VALUEID=13040&amp;SDATE=200703&amp;PERIODTYPE=QTR_STD&amp;window=popup_no_bar&amp;width=385&amp;height=120&amp;START_MAXIMIZED=FALSE&amp;creator=factset&amp;display_string=Audit"}</definedName>
    <definedName name="_2669__FDSAUDITLINK__" hidden="1">{"fdsup://Directions/FactSet Auditing Viewer?action=AUDIT_VALUE&amp;DB=129&amp;ID1=58711810&amp;VALUEID=13040&amp;SDATE=200703&amp;PERIODTYPE=QTR_STD&amp;window=popup_no_bar&amp;width=385&amp;height=120&amp;START_MAXIMIZED=FALSE&amp;creator=factset&amp;display_string=Audit"}</definedName>
    <definedName name="_267__FDSAUDITLINK__" localSheetId="1" hidden="1">{"fdsup://Directions/FactSet Auditing Viewer?action=AUDIT_VALUE&amp;DB=129&amp;ID1=16890510&amp;VALUEID=01001&amp;SDATE=200701&amp;PERIODTYPE=QTR_STD&amp;window=popup_no_bar&amp;width=385&amp;height=120&amp;START_MAXIMIZED=FALSE&amp;creator=factset&amp;display_string=Audit"}</definedName>
    <definedName name="_267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2670__FDSAUDITLINK__" localSheetId="1" hidden="1">{"fdsup://Directions/FactSet Auditing Viewer?action=AUDIT_VALUE&amp;DB=129&amp;ID1=58711810&amp;VALUEID=13040&amp;SDATE=200802&amp;PERIODTYPE=QTR_STD&amp;window=popup_no_bar&amp;width=385&amp;height=120&amp;START_MAXIMIZED=FALSE&amp;creator=factset&amp;display_string=Audit"}</definedName>
    <definedName name="_2670__FDSAUDITLINK__" hidden="1">{"fdsup://Directions/FactSet Auditing Viewer?action=AUDIT_VALUE&amp;DB=129&amp;ID1=58711810&amp;VALUEID=13040&amp;SDATE=200802&amp;PERIODTYPE=QTR_STD&amp;window=popup_no_bar&amp;width=385&amp;height=120&amp;START_MAXIMIZED=FALSE&amp;creator=factset&amp;display_string=Audit"}</definedName>
    <definedName name="_2671__FDSAUDITLINK__" localSheetId="1" hidden="1">{"fdsup://Directions/FactSet Auditing Viewer?action=AUDIT_VALUE&amp;DB=129&amp;ID1=58711810&amp;VALUEID=13040&amp;SDATE=200801&amp;PERIODTYPE=QTR_STD&amp;window=popup_no_bar&amp;width=385&amp;height=120&amp;START_MAXIMIZED=FALSE&amp;creator=factset&amp;display_string=Audit"}</definedName>
    <definedName name="_2671__FDSAUDITLINK__" hidden="1">{"fdsup://Directions/FactSet Auditing Viewer?action=AUDIT_VALUE&amp;DB=129&amp;ID1=58711810&amp;VALUEID=13040&amp;SDATE=200801&amp;PERIODTYPE=QTR_STD&amp;window=popup_no_bar&amp;width=385&amp;height=120&amp;START_MAXIMIZED=FALSE&amp;creator=factset&amp;display_string=Audit"}</definedName>
    <definedName name="_2672__FDSAUDITLINK__" localSheetId="1"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2672__FDSAUDITLINK__"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2673__FDSAUDITLINK__" localSheetId="1" hidden="1">{"fdsup://Directions/FactSet Auditing Viewer?action=AUDIT_VALUE&amp;DB=129&amp;ID1=58711810&amp;VALUEID=13040&amp;SDATE=200803&amp;PERIODTYPE=QTR_STD&amp;window=popup_no_bar&amp;width=385&amp;height=120&amp;START_MAXIMIZED=FALSE&amp;creator=factset&amp;display_string=Audit"}</definedName>
    <definedName name="_2673__FDSAUDITLINK__" hidden="1">{"fdsup://Directions/FactSet Auditing Viewer?action=AUDIT_VALUE&amp;DB=129&amp;ID1=58711810&amp;VALUEID=13040&amp;SDATE=200803&amp;PERIODTYPE=QTR_STD&amp;window=popup_no_bar&amp;width=385&amp;height=120&amp;START_MAXIMIZED=FALSE&amp;creator=factset&amp;display_string=Audit"}</definedName>
    <definedName name="_2674__FDSAUDITLINK__" localSheetId="1" hidden="1">{"fdsup://Directions/FactSet Auditing Viewer?action=AUDIT_VALUE&amp;DB=129&amp;ID1=58711810&amp;VALUEID=13040&amp;SDATE=200902&amp;PERIODTYPE=QTR_STD&amp;window=popup_no_bar&amp;width=385&amp;height=120&amp;START_MAXIMIZED=FALSE&amp;creator=factset&amp;display_string=Audit"}</definedName>
    <definedName name="_2674__FDSAUDITLINK__" hidden="1">{"fdsup://Directions/FactSet Auditing Viewer?action=AUDIT_VALUE&amp;DB=129&amp;ID1=58711810&amp;VALUEID=13040&amp;SDATE=200902&amp;PERIODTYPE=QTR_STD&amp;window=popup_no_bar&amp;width=385&amp;height=120&amp;START_MAXIMIZED=FALSE&amp;creator=factset&amp;display_string=Audit"}</definedName>
    <definedName name="_2675__FDSAUDITLINK__" localSheetId="1"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2675__FDSAUDITLINK__"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2676__FDSAUDITLINK__" localSheetId="1" hidden="1">{"fdsup://Directions/FactSet Auditing Viewer?action=AUDIT_VALUE&amp;DB=129&amp;ID1=58711810&amp;VALUEID=13040&amp;SDATE=200903&amp;PERIODTYPE=QTR_STD&amp;window=popup_no_bar&amp;width=385&amp;height=120&amp;START_MAXIMIZED=FALSE&amp;creator=factset&amp;display_string=Audit"}</definedName>
    <definedName name="_2676__FDSAUDITLINK__" hidden="1">{"fdsup://Directions/FactSet Auditing Viewer?action=AUDIT_VALUE&amp;DB=129&amp;ID1=58711810&amp;VALUEID=13040&amp;SDATE=200903&amp;PERIODTYPE=QTR_STD&amp;window=popup_no_bar&amp;width=385&amp;height=120&amp;START_MAXIMIZED=FALSE&amp;creator=factset&amp;display_string=Audit"}</definedName>
    <definedName name="_2677__FDSAUDITLINK__" localSheetId="1" hidden="1">{"fdsup://Directions/FactSet Auditing Viewer?action=AUDIT_VALUE&amp;DB=129&amp;ID1=58711810&amp;VALUEID=13040&amp;SDATE=200602&amp;PERIODTYPE=QTR_STD&amp;window=popup_no_bar&amp;width=385&amp;height=120&amp;START_MAXIMIZED=FALSE&amp;creator=factset&amp;display_string=Audit"}</definedName>
    <definedName name="_2677__FDSAUDITLINK__" hidden="1">{"fdsup://Directions/FactSet Auditing Viewer?action=AUDIT_VALUE&amp;DB=129&amp;ID1=58711810&amp;VALUEID=13040&amp;SDATE=200602&amp;PERIODTYPE=QTR_STD&amp;window=popup_no_bar&amp;width=385&amp;height=120&amp;START_MAXIMIZED=FALSE&amp;creator=factset&amp;display_string=Audit"}</definedName>
    <definedName name="_2678__FDSAUDITLINK__" localSheetId="1" hidden="1">{"fdsup://Directions/FactSet Auditing Viewer?action=AUDIT_VALUE&amp;DB=129&amp;ID1=58711810&amp;VALUEID=13040&amp;SDATE=200601&amp;PERIODTYPE=QTR_STD&amp;window=popup_no_bar&amp;width=385&amp;height=120&amp;START_MAXIMIZED=FALSE&amp;creator=factset&amp;display_string=Audit"}</definedName>
    <definedName name="_2678__FDSAUDITLINK__" hidden="1">{"fdsup://Directions/FactSet Auditing Viewer?action=AUDIT_VALUE&amp;DB=129&amp;ID1=58711810&amp;VALUEID=13040&amp;SDATE=200601&amp;PERIODTYPE=QTR_STD&amp;window=popup_no_bar&amp;width=385&amp;height=120&amp;START_MAXIMIZED=FALSE&amp;creator=factset&amp;display_string=Audit"}</definedName>
    <definedName name="_2679__FDSAUDITLINK__" localSheetId="1"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2679__FDSAUDITLINK__"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268__FDSAUDITLINK__" localSheetId="1" hidden="1">{"fdsup://Directions/FactSet Auditing Viewer?action=AUDIT_VALUE&amp;DB=129&amp;ID1=91704710&amp;VALUEID=02101&amp;SDATE=200701&amp;PERIODTYPE=QTR_STD&amp;window=popup_no_bar&amp;width=385&amp;height=120&amp;START_MAXIMIZED=FALSE&amp;creator=factset&amp;display_string=Audit"}</definedName>
    <definedName name="_268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2680__FDSAUDITLINK__" localSheetId="1" hidden="1">{"fdsup://Directions/FactSet Auditing Viewer?action=AUDIT_VALUE&amp;DB=129&amp;ID1=58711810&amp;VALUEID=13040&amp;SDATE=200603&amp;PERIODTYPE=QTR_STD&amp;window=popup_no_bar&amp;width=385&amp;height=120&amp;START_MAXIMIZED=FALSE&amp;creator=factset&amp;display_string=Audit"}</definedName>
    <definedName name="_2680__FDSAUDITLINK__" hidden="1">{"fdsup://Directions/FactSet Auditing Viewer?action=AUDIT_VALUE&amp;DB=129&amp;ID1=58711810&amp;VALUEID=13040&amp;SDATE=200603&amp;PERIODTYPE=QTR_STD&amp;window=popup_no_bar&amp;width=385&amp;height=120&amp;START_MAXIMIZED=FALSE&amp;creator=factset&amp;display_string=Audit"}</definedName>
    <definedName name="_2681__FDSAUDITLINK__" localSheetId="1"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2681__FDSAUDITLINK__"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2682__FDSAUDITLINK__" localSheetId="1" hidden="1">{"fdsup://Directions/FactSet Auditing Viewer?action=AUDIT_VALUE&amp;DB=129&amp;ID1=58711810&amp;VALUEID=13040&amp;SDATE=201001&amp;PERIODTYPE=QTR_STD&amp;window=popup_no_bar&amp;width=385&amp;height=120&amp;START_MAXIMIZED=FALSE&amp;creator=factset&amp;display_string=Audit"}</definedName>
    <definedName name="_2682__FDSAUDITLINK__" hidden="1">{"fdsup://Directions/FactSet Auditing Viewer?action=AUDIT_VALUE&amp;DB=129&amp;ID1=58711810&amp;VALUEID=13040&amp;SDATE=201001&amp;PERIODTYPE=QTR_STD&amp;window=popup_no_bar&amp;width=385&amp;height=120&amp;START_MAXIMIZED=FALSE&amp;creator=factset&amp;display_string=Audit"}</definedName>
    <definedName name="_2683__FDSAUDITLINK__" localSheetId="1" hidden="1">{"fdsup://Directions/FactSet Auditing Viewer?action=AUDIT_VALUE&amp;DB=129&amp;ID1=58711810&amp;VALUEID=13040&amp;SDATE=200904&amp;PERIODTYPE=QTR_STD&amp;window=popup_no_bar&amp;width=385&amp;height=120&amp;START_MAXIMIZED=FALSE&amp;creator=factset&amp;display_string=Audit"}</definedName>
    <definedName name="_2683__FDSAUDITLINK__" hidden="1">{"fdsup://Directions/FactSet Auditing Viewer?action=AUDIT_VALUE&amp;DB=129&amp;ID1=58711810&amp;VALUEID=13040&amp;SDATE=200904&amp;PERIODTYPE=QTR_STD&amp;window=popup_no_bar&amp;width=385&amp;height=120&amp;START_MAXIMIZED=FALSE&amp;creator=factset&amp;display_string=Audit"}</definedName>
    <definedName name="_2684__FDSAUDITLINK__" localSheetId="1"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2684__FDSAUDITLINK__"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2685__FDSAUDITLINK__" localSheetId="1" hidden="1">{"fdsup://Directions/FactSet Auditing Viewer?action=AUDIT_VALUE&amp;DB=129&amp;ID1=87416110&amp;VALUEID=01001&amp;SDATE=201001&amp;PERIODTYPE=QTR_STD&amp;window=popup_no_bar&amp;width=385&amp;height=120&amp;START_MAXIMIZED=FALSE&amp;creator=factset&amp;display_string=Audit"}</definedName>
    <definedName name="_2685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2686__FDSAUDITLINK__" localSheetId="1" hidden="1">{"fdsup://Directions/FactSet Auditing Viewer?action=AUDIT_VALUE&amp;DB=129&amp;ID1=58711810&amp;VALUEID=01001&amp;SDATE=201001&amp;PERIODTYPE=QTR_STD&amp;window=popup_no_bar&amp;width=385&amp;height=120&amp;START_MAXIMIZED=FALSE&amp;creator=factset&amp;display_string=Audit"}</definedName>
    <definedName name="_2686__FDSAUDITLINK__" hidden="1">{"fdsup://Directions/FactSet Auditing Viewer?action=AUDIT_VALUE&amp;DB=129&amp;ID1=58711810&amp;VALUEID=01001&amp;SDATE=201001&amp;PERIODTYPE=QTR_STD&amp;window=popup_no_bar&amp;width=385&amp;height=120&amp;START_MAXIMIZED=FALSE&amp;creator=factset&amp;display_string=Audit"}</definedName>
    <definedName name="_2687__FDSAUDITLINK__" localSheetId="1" hidden="1">{"fdsup://Directions/FactSet Auditing Viewer?action=AUDIT_VALUE&amp;DB=129&amp;ID1=53271610&amp;VALUEID=01001&amp;SDATE=201001&amp;PERIODTYPE=QTR_STD&amp;window=popup_no_bar&amp;width=385&amp;height=120&amp;START_MAXIMIZED=FALSE&amp;creator=factset&amp;display_string=Audit"}</definedName>
    <definedName name="_2687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2688__FDSAUDITLINK__" localSheetId="1" hidden="1">{"fdsup://Directions/FactSet Auditing Viewer?action=AUDIT_VALUE&amp;DB=129&amp;ID1=46612H40&amp;VALUEID=01001&amp;SDATE=201001&amp;PERIODTYPE=QTR_STD&amp;window=popup_no_bar&amp;width=385&amp;height=120&amp;START_MAXIMIZED=FALSE&amp;creator=factset&amp;display_string=Audit"}</definedName>
    <definedName name="_2688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2689__FDSAUDITLINK__" localSheetId="1" hidden="1">{"fdsup://Directions/FactSet Auditing Viewer?action=AUDIT_VALUE&amp;DB=129&amp;ID1=36476010&amp;VALUEID=01001&amp;SDATE=201001&amp;PERIODTYPE=QTR_STD&amp;window=popup_no_bar&amp;width=385&amp;height=120&amp;START_MAXIMIZED=FALSE&amp;creator=factset&amp;display_string=Audit"}</definedName>
    <definedName name="_2689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269__FDSAUDITLINK__" localSheetId="1" hidden="1">{"fdsup://Directions/FactSet Auditing Viewer?action=AUDIT_VALUE&amp;DB=129&amp;ID1=91704710&amp;VALUEID=01001&amp;SDATE=200701&amp;PERIODTYPE=QTR_STD&amp;window=popup_no_bar&amp;width=385&amp;height=120&amp;START_MAXIMIZED=FALSE&amp;creator=factset&amp;display_string=Audit"}</definedName>
    <definedName name="_269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2690__FDSAUDITLINK__" localSheetId="1" hidden="1">{"fdsup://Directions/FactSet Auditing Viewer?action=AUDIT_VALUE&amp;DB=129&amp;ID1=03611510&amp;VALUEID=01001&amp;SDATE=201001&amp;PERIODTYPE=QTR_STD&amp;window=popup_no_bar&amp;width=385&amp;height=120&amp;START_MAXIMIZED=FALSE&amp;creator=factset&amp;display_string=Audit"}</definedName>
    <definedName name="_2690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2691__FDSAUDITLINK__" localSheetId="1" hidden="1">{"fdsup://Directions/FactSet Auditing Viewer?action=AUDIT_VALUE&amp;DB=129&amp;ID1=40377710&amp;VALUEID=01001&amp;SDATE=201001&amp;PERIODTYPE=QTR_STD&amp;window=popup_no_bar&amp;width=385&amp;height=120&amp;START_MAXIMIZED=FALSE&amp;creator=factset&amp;display_string=Audit"}</definedName>
    <definedName name="_2691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2692__FDSAUDITLINK__" localSheetId="1" hidden="1">{"fdsup://Directions/FactSet Auditing Viewer?action=AUDIT_VALUE&amp;DB=129&amp;ID1=16890510&amp;VALUEID=01001&amp;SDATE=201001&amp;PERIODTYPE=QTR_STD&amp;window=popup_no_bar&amp;width=385&amp;height=120&amp;START_MAXIMIZED=FALSE&amp;creator=factset&amp;display_string=Audit"}</definedName>
    <definedName name="_2692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2693__FDSAUDITLINK__" localSheetId="1" hidden="1">{"fdsup://Directions/FactSet Auditing Viewer?action=AUDIT_VALUE&amp;DB=129&amp;ID1=91704710&amp;VALUEID=01001&amp;SDATE=201001&amp;PERIODTYPE=QTR_STD&amp;window=popup_no_bar&amp;width=385&amp;height=120&amp;START_MAXIMIZED=FALSE&amp;creator=factset&amp;display_string=Audit"}</definedName>
    <definedName name="_2693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2694__FDSAUDITLINK__" localSheetId="1" hidden="1">{"fdsup://Directions/FactSet Auditing Viewer?action=AUDIT_VALUE&amp;DB=129&amp;ID1=02553E10&amp;VALUEID=01001&amp;SDATE=201001&amp;PERIODTYPE=QTR_STD&amp;window=popup_no_bar&amp;width=385&amp;height=120&amp;START_MAXIMIZED=FALSE&amp;creator=factset&amp;display_string=Audit"}</definedName>
    <definedName name="_2694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2695__FDSAUDITLINK__" localSheetId="1" hidden="1">{"fdsup://Directions/FactSet Auditing Viewer?action=AUDIT_VALUE&amp;DB=129&amp;ID1=00786510&amp;VALUEID=01001&amp;SDATE=201001&amp;PERIODTYPE=QTR_STD&amp;window=popup_no_bar&amp;width=385&amp;height=120&amp;START_MAXIMIZED=FALSE&amp;creator=factset&amp;display_string=Audit"}</definedName>
    <definedName name="_2695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2696__FDSAUDITLINK__" localSheetId="1" hidden="1">{"fdsup://Directions/FactSet Auditing Viewer?action=AUDIT_VALUE&amp;DB=129&amp;ID1=00289620&amp;VALUEID=01001&amp;SDATE=201001&amp;PERIODTYPE=QTR_STD&amp;window=popup_no_bar&amp;width=385&amp;height=120&amp;START_MAXIMIZED=FALSE&amp;creator=factset&amp;display_string=Audit"}</definedName>
    <definedName name="_2696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2697__FDSAUDITLINK__" localSheetId="1" hidden="1">{"fdsup://Directions/FactSet Auditing Viewer?action=AUDIT_VALUE&amp;DB=129&amp;ID1=26157010&amp;VALUEID=13040&amp;SDATE=200602&amp;PERIODTYPE=QTR_STD&amp;window=popup_no_bar&amp;width=385&amp;height=120&amp;START_MAXIMIZED=FALSE&amp;creator=factset&amp;display_string=Audit"}</definedName>
    <definedName name="_2697__FDSAUDITLINK__" hidden="1">{"fdsup://Directions/FactSet Auditing Viewer?action=AUDIT_VALUE&amp;DB=129&amp;ID1=26157010&amp;VALUEID=13040&amp;SDATE=200602&amp;PERIODTYPE=QTR_STD&amp;window=popup_no_bar&amp;width=385&amp;height=120&amp;START_MAXIMIZED=FALSE&amp;creator=factset&amp;display_string=Audit"}</definedName>
    <definedName name="_2698__FDSAUDITLINK__" localSheetId="1" hidden="1">{"fdsup://Directions/FactSet Auditing Viewer?action=AUDIT_VALUE&amp;DB=129&amp;ID1=26157010&amp;VALUEID=01001&amp;SDATE=200602&amp;PERIODTYPE=QTR_STD&amp;window=popup_no_bar&amp;width=385&amp;height=120&amp;START_MAXIMIZED=FALSE&amp;creator=factset&amp;display_string=Audit"}</definedName>
    <definedName name="_2698__FDSAUDITLINK__" hidden="1">{"fdsup://Directions/FactSet Auditing Viewer?action=AUDIT_VALUE&amp;DB=129&amp;ID1=26157010&amp;VALUEID=01001&amp;SDATE=200602&amp;PERIODTYPE=QTR_STD&amp;window=popup_no_bar&amp;width=385&amp;height=120&amp;START_MAXIMIZED=FALSE&amp;creator=factset&amp;display_string=Audit"}</definedName>
    <definedName name="_2699__FDSAUDITLINK__" localSheetId="1" hidden="1">{"fdsup://Directions/FactSet Auditing Viewer?action=AUDIT_VALUE&amp;DB=129&amp;ID1=26157010&amp;VALUEID=02101&amp;SDATE=200602&amp;PERIODTYPE=QTR_STD&amp;window=popup_no_bar&amp;width=385&amp;height=120&amp;START_MAXIMIZED=FALSE&amp;creator=factset&amp;display_string=Audit"}</definedName>
    <definedName name="_2699__FDSAUDITLINK__" hidden="1">{"fdsup://Directions/FactSet Auditing Viewer?action=AUDIT_VALUE&amp;DB=129&amp;ID1=26157010&amp;VALUEID=02101&amp;SDATE=200602&amp;PERIODTYPE=QTR_STD&amp;window=popup_no_bar&amp;width=385&amp;height=120&amp;START_MAXIMIZED=FALSE&amp;creator=factset&amp;display_string=Audit"}</definedName>
    <definedName name="_27__FDSAUDITLINK__" localSheetId="1" hidden="1">{"fdsup://Directions/FactSet Auditing Viewer?action=AUDIT_VALUE&amp;DB=129&amp;ID1=91704710&amp;VALUEID=01001&amp;SDATE=200904&amp;PERIODTYPE=QTR_STD&amp;window=popup_no_bar&amp;width=385&amp;height=120&amp;START_MAXIMIZED=FALSE&amp;creator=factset&amp;display_string=Audit"}</definedName>
    <definedName name="_27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270__FDSAUDITLINK__" localSheetId="1" hidden="1">{"fdsup://Directions/FactSet Auditing Viewer?action=AUDIT_VALUE&amp;DB=129&amp;ID1=91704710&amp;VALUEID=13040&amp;SDATE=200701&amp;PERIODTYPE=QTR_STD&amp;window=popup_no_bar&amp;width=385&amp;height=120&amp;START_MAXIMIZED=FALSE&amp;creator=factset&amp;display_string=Audit"}</definedName>
    <definedName name="_270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2700__FDSAUDITLINK__" localSheetId="1" hidden="1">{"fdsup://Directions/FactSet Auditing Viewer?action=AUDIT_VALUE&amp;DB=129&amp;ID1=26157010&amp;VALUEID=13040&amp;SDATE=200603&amp;PERIODTYPE=QTR_STD&amp;window=popup_no_bar&amp;width=385&amp;height=120&amp;START_MAXIMIZED=FALSE&amp;creator=factset&amp;display_string=Audit"}</definedName>
    <definedName name="_2700__FDSAUDITLINK__" hidden="1">{"fdsup://Directions/FactSet Auditing Viewer?action=AUDIT_VALUE&amp;DB=129&amp;ID1=26157010&amp;VALUEID=13040&amp;SDATE=200603&amp;PERIODTYPE=QTR_STD&amp;window=popup_no_bar&amp;width=385&amp;height=120&amp;START_MAXIMIZED=FALSE&amp;creator=factset&amp;display_string=Audit"}</definedName>
    <definedName name="_2701__FDSAUDITLINK__" localSheetId="1" hidden="1">{"fdsup://Directions/FactSet Auditing Viewer?action=AUDIT_VALUE&amp;DB=129&amp;ID1=26157010&amp;VALUEID=01001&amp;SDATE=200603&amp;PERIODTYPE=QTR_STD&amp;window=popup_no_bar&amp;width=385&amp;height=120&amp;START_MAXIMIZED=FALSE&amp;creator=factset&amp;display_string=Audit"}</definedName>
    <definedName name="_2701__FDSAUDITLINK__" hidden="1">{"fdsup://Directions/FactSet Auditing Viewer?action=AUDIT_VALUE&amp;DB=129&amp;ID1=26157010&amp;VALUEID=01001&amp;SDATE=200603&amp;PERIODTYPE=QTR_STD&amp;window=popup_no_bar&amp;width=385&amp;height=120&amp;START_MAXIMIZED=FALSE&amp;creator=factset&amp;display_string=Audit"}</definedName>
    <definedName name="_2702__FDSAUDITLINK__" localSheetId="1" hidden="1">{"fdsup://Directions/FactSet Auditing Viewer?action=AUDIT_VALUE&amp;DB=129&amp;ID1=26157010&amp;VALUEID=02101&amp;SDATE=200603&amp;PERIODTYPE=QTR_STD&amp;window=popup_no_bar&amp;width=385&amp;height=120&amp;START_MAXIMIZED=FALSE&amp;creator=factset&amp;display_string=Audit"}</definedName>
    <definedName name="_2702__FDSAUDITLINK__" hidden="1">{"fdsup://Directions/FactSet Auditing Viewer?action=AUDIT_VALUE&amp;DB=129&amp;ID1=26157010&amp;VALUEID=02101&amp;SDATE=200603&amp;PERIODTYPE=QTR_STD&amp;window=popup_no_bar&amp;width=385&amp;height=120&amp;START_MAXIMIZED=FALSE&amp;creator=factset&amp;display_string=Audit"}</definedName>
    <definedName name="_2703__FDSAUDITLINK__" localSheetId="1" hidden="1">{"fdsup://Directions/FactSet Auditing Viewer?action=AUDIT_VALUE&amp;DB=129&amp;ID1=26157010&amp;VALUEID=13040&amp;SDATE=200701&amp;PERIODTYPE=QTR_STD&amp;window=popup_no_bar&amp;width=385&amp;height=120&amp;START_MAXIMIZED=FALSE&amp;creator=factset&amp;display_string=Audit"}</definedName>
    <definedName name="_2703__FDSAUDITLINK__" hidden="1">{"fdsup://Directions/FactSet Auditing Viewer?action=AUDIT_VALUE&amp;DB=129&amp;ID1=26157010&amp;VALUEID=13040&amp;SDATE=200701&amp;PERIODTYPE=QTR_STD&amp;window=popup_no_bar&amp;width=385&amp;height=120&amp;START_MAXIMIZED=FALSE&amp;creator=factset&amp;display_string=Audit"}</definedName>
    <definedName name="_2704__FDSAUDITLINK__" localSheetId="1" hidden="1">{"fdsup://Directions/FactSet Auditing Viewer?action=AUDIT_VALUE&amp;DB=129&amp;ID1=26157010&amp;VALUEID=01001&amp;SDATE=200701&amp;PERIODTYPE=QTR_STD&amp;window=popup_no_bar&amp;width=385&amp;height=120&amp;START_MAXIMIZED=FALSE&amp;creator=factset&amp;display_string=Audit"}</definedName>
    <definedName name="_2704__FDSAUDITLINK__" hidden="1">{"fdsup://Directions/FactSet Auditing Viewer?action=AUDIT_VALUE&amp;DB=129&amp;ID1=26157010&amp;VALUEID=01001&amp;SDATE=200701&amp;PERIODTYPE=QTR_STD&amp;window=popup_no_bar&amp;width=385&amp;height=120&amp;START_MAXIMIZED=FALSE&amp;creator=factset&amp;display_string=Audit"}</definedName>
    <definedName name="_2705__FDSAUDITLINK__" localSheetId="1" hidden="1">{"fdsup://Directions/FactSet Auditing Viewer?action=AUDIT_VALUE&amp;DB=129&amp;ID1=26157010&amp;VALUEID=02101&amp;SDATE=200701&amp;PERIODTYPE=QTR_STD&amp;window=popup_no_bar&amp;width=385&amp;height=120&amp;START_MAXIMIZED=FALSE&amp;creator=factset&amp;display_string=Audit"}</definedName>
    <definedName name="_2705__FDSAUDITLINK__" hidden="1">{"fdsup://Directions/FactSet Auditing Viewer?action=AUDIT_VALUE&amp;DB=129&amp;ID1=26157010&amp;VALUEID=02101&amp;SDATE=200701&amp;PERIODTYPE=QTR_STD&amp;window=popup_no_bar&amp;width=385&amp;height=120&amp;START_MAXIMIZED=FALSE&amp;creator=factset&amp;display_string=Audit"}</definedName>
    <definedName name="_2706__FDSAUDITLINK__" localSheetId="1" hidden="1">{"fdsup://Directions/FactSet Auditing Viewer?action=AUDIT_VALUE&amp;DB=129&amp;ID1=26157010&amp;VALUEID=13040&amp;SDATE=200702&amp;PERIODTYPE=QTR_STD&amp;window=popup_no_bar&amp;width=385&amp;height=120&amp;START_MAXIMIZED=FALSE&amp;creator=factset&amp;display_string=Audit"}</definedName>
    <definedName name="_2706__FDSAUDITLINK__" hidden="1">{"fdsup://Directions/FactSet Auditing Viewer?action=AUDIT_VALUE&amp;DB=129&amp;ID1=26157010&amp;VALUEID=13040&amp;SDATE=200702&amp;PERIODTYPE=QTR_STD&amp;window=popup_no_bar&amp;width=385&amp;height=120&amp;START_MAXIMIZED=FALSE&amp;creator=factset&amp;display_string=Audit"}</definedName>
    <definedName name="_2707__FDSAUDITLINK__" localSheetId="1" hidden="1">{"fdsup://Directions/FactSet Auditing Viewer?action=AUDIT_VALUE&amp;DB=129&amp;ID1=26157010&amp;VALUEID=01001&amp;SDATE=200702&amp;PERIODTYPE=QTR_STD&amp;window=popup_no_bar&amp;width=385&amp;height=120&amp;START_MAXIMIZED=FALSE&amp;creator=factset&amp;display_string=Audit"}</definedName>
    <definedName name="_2707__FDSAUDITLINK__" hidden="1">{"fdsup://Directions/FactSet Auditing Viewer?action=AUDIT_VALUE&amp;DB=129&amp;ID1=26157010&amp;VALUEID=01001&amp;SDATE=200702&amp;PERIODTYPE=QTR_STD&amp;window=popup_no_bar&amp;width=385&amp;height=120&amp;START_MAXIMIZED=FALSE&amp;creator=factset&amp;display_string=Audit"}</definedName>
    <definedName name="_2708__FDSAUDITLINK__" localSheetId="1" hidden="1">{"fdsup://Directions/FactSet Auditing Viewer?action=AUDIT_VALUE&amp;DB=129&amp;ID1=26157010&amp;VALUEID=02101&amp;SDATE=200702&amp;PERIODTYPE=QTR_STD&amp;window=popup_no_bar&amp;width=385&amp;height=120&amp;START_MAXIMIZED=FALSE&amp;creator=factset&amp;display_string=Audit"}</definedName>
    <definedName name="_2708__FDSAUDITLINK__" hidden="1">{"fdsup://Directions/FactSet Auditing Viewer?action=AUDIT_VALUE&amp;DB=129&amp;ID1=26157010&amp;VALUEID=02101&amp;SDATE=200702&amp;PERIODTYPE=QTR_STD&amp;window=popup_no_bar&amp;width=385&amp;height=120&amp;START_MAXIMIZED=FALSE&amp;creator=factset&amp;display_string=Audit"}</definedName>
    <definedName name="_2709__FDSAUDITLINK__" localSheetId="1" hidden="1">{"fdsup://Directions/FactSet Auditing Viewer?action=AUDIT_VALUE&amp;DB=129&amp;ID1=26157010&amp;VALUEID=13040&amp;SDATE=200703&amp;PERIODTYPE=QTR_STD&amp;window=popup_no_bar&amp;width=385&amp;height=120&amp;START_MAXIMIZED=FALSE&amp;creator=factset&amp;display_string=Audit"}</definedName>
    <definedName name="_2709__FDSAUDITLINK__" hidden="1">{"fdsup://Directions/FactSet Auditing Viewer?action=AUDIT_VALUE&amp;DB=129&amp;ID1=26157010&amp;VALUEID=13040&amp;SDATE=200703&amp;PERIODTYPE=QTR_STD&amp;window=popup_no_bar&amp;width=385&amp;height=120&amp;START_MAXIMIZED=FALSE&amp;creator=factset&amp;display_string=Audit"}</definedName>
    <definedName name="_271__FDSAUDITLINK__" localSheetId="1" hidden="1">{"fdsup://Directions/FactSet Auditing Viewer?action=AUDIT_VALUE&amp;DB=129&amp;ID1=02553E10&amp;VALUEID=02101&amp;SDATE=200701&amp;PERIODTYPE=QTR_STD&amp;window=popup_no_bar&amp;width=385&amp;height=120&amp;START_MAXIMIZED=FALSE&amp;creator=factset&amp;display_string=Audit"}</definedName>
    <definedName name="_271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2710__FDSAUDITLINK__" localSheetId="1" hidden="1">{"fdsup://Directions/FactSet Auditing Viewer?action=AUDIT_VALUE&amp;DB=129&amp;ID1=26157010&amp;VALUEID=01001&amp;SDATE=200703&amp;PERIODTYPE=QTR_STD&amp;window=popup_no_bar&amp;width=385&amp;height=120&amp;START_MAXIMIZED=FALSE&amp;creator=factset&amp;display_string=Audit"}</definedName>
    <definedName name="_2710__FDSAUDITLINK__" hidden="1">{"fdsup://Directions/FactSet Auditing Viewer?action=AUDIT_VALUE&amp;DB=129&amp;ID1=26157010&amp;VALUEID=01001&amp;SDATE=200703&amp;PERIODTYPE=QTR_STD&amp;window=popup_no_bar&amp;width=385&amp;height=120&amp;START_MAXIMIZED=FALSE&amp;creator=factset&amp;display_string=Audit"}</definedName>
    <definedName name="_2711__FDSAUDITLINK__" localSheetId="1" hidden="1">{"fdsup://Directions/FactSet Auditing Viewer?action=AUDIT_VALUE&amp;DB=129&amp;ID1=26157010&amp;VALUEID=02101&amp;SDATE=200703&amp;PERIODTYPE=QTR_STD&amp;window=popup_no_bar&amp;width=385&amp;height=120&amp;START_MAXIMIZED=FALSE&amp;creator=factset&amp;display_string=Audit"}</definedName>
    <definedName name="_2711__FDSAUDITLINK__" hidden="1">{"fdsup://Directions/FactSet Auditing Viewer?action=AUDIT_VALUE&amp;DB=129&amp;ID1=26157010&amp;VALUEID=02101&amp;SDATE=200703&amp;PERIODTYPE=QTR_STD&amp;window=popup_no_bar&amp;width=385&amp;height=120&amp;START_MAXIMIZED=FALSE&amp;creator=factset&amp;display_string=Audit"}</definedName>
    <definedName name="_2712__FDSAUDITLINK__" localSheetId="1" hidden="1">{"fdsup://Directions/FactSet Auditing Viewer?action=AUDIT_VALUE&amp;DB=129&amp;ID1=26157010&amp;VALUEID=01001&amp;SDATE=200704&amp;PERIODTYPE=QTR_STD&amp;window=popup_no_bar&amp;width=385&amp;height=120&amp;START_MAXIMIZED=FALSE&amp;creator=factset&amp;display_string=Audit"}</definedName>
    <definedName name="_2712__FDSAUDITLINK__" hidden="1">{"fdsup://Directions/FactSet Auditing Viewer?action=AUDIT_VALUE&amp;DB=129&amp;ID1=26157010&amp;VALUEID=01001&amp;SDATE=200704&amp;PERIODTYPE=QTR_STD&amp;window=popup_no_bar&amp;width=385&amp;height=120&amp;START_MAXIMIZED=FALSE&amp;creator=factset&amp;display_string=Audit"}</definedName>
    <definedName name="_2713__FDSAUDITLINK__" localSheetId="1" hidden="1">{"fdsup://Directions/FactSet Auditing Viewer?action=AUDIT_VALUE&amp;DB=129&amp;ID1=26157010&amp;VALUEID=13040&amp;SDATE=200801&amp;PERIODTYPE=QTR_STD&amp;window=popup_no_bar&amp;width=385&amp;height=120&amp;START_MAXIMIZED=FALSE&amp;creator=factset&amp;display_string=Audit"}</definedName>
    <definedName name="_2713__FDSAUDITLINK__" hidden="1">{"fdsup://Directions/FactSet Auditing Viewer?action=AUDIT_VALUE&amp;DB=129&amp;ID1=26157010&amp;VALUEID=13040&amp;SDATE=200801&amp;PERIODTYPE=QTR_STD&amp;window=popup_no_bar&amp;width=385&amp;height=120&amp;START_MAXIMIZED=FALSE&amp;creator=factset&amp;display_string=Audit"}</definedName>
    <definedName name="_2714__FDSAUDITLINK__" localSheetId="1" hidden="1">{"fdsup://Directions/FactSet Auditing Viewer?action=AUDIT_VALUE&amp;DB=129&amp;ID1=26157010&amp;VALUEID=01001&amp;SDATE=200801&amp;PERIODTYPE=QTR_STD&amp;window=popup_no_bar&amp;width=385&amp;height=120&amp;START_MAXIMIZED=FALSE&amp;creator=factset&amp;display_string=Audit"}</definedName>
    <definedName name="_2714__FDSAUDITLINK__" hidden="1">{"fdsup://Directions/FactSet Auditing Viewer?action=AUDIT_VALUE&amp;DB=129&amp;ID1=26157010&amp;VALUEID=01001&amp;SDATE=200801&amp;PERIODTYPE=QTR_STD&amp;window=popup_no_bar&amp;width=385&amp;height=120&amp;START_MAXIMIZED=FALSE&amp;creator=factset&amp;display_string=Audit"}</definedName>
    <definedName name="_2715__FDSAUDITLINK__" localSheetId="1" hidden="1">{"fdsup://Directions/FactSet Auditing Viewer?action=AUDIT_VALUE&amp;DB=129&amp;ID1=26157010&amp;VALUEID=02101&amp;SDATE=200801&amp;PERIODTYPE=QTR_STD&amp;window=popup_no_bar&amp;width=385&amp;height=120&amp;START_MAXIMIZED=FALSE&amp;creator=factset&amp;display_string=Audit"}</definedName>
    <definedName name="_2715__FDSAUDITLINK__" hidden="1">{"fdsup://Directions/FactSet Auditing Viewer?action=AUDIT_VALUE&amp;DB=129&amp;ID1=26157010&amp;VALUEID=02101&amp;SDATE=200801&amp;PERIODTYPE=QTR_STD&amp;window=popup_no_bar&amp;width=385&amp;height=120&amp;START_MAXIMIZED=FALSE&amp;creator=factset&amp;display_string=Audit"}</definedName>
    <definedName name="_2716__FDSAUDITLINK__" localSheetId="1" hidden="1">{"fdsup://Directions/FactSet Auditing Viewer?action=AUDIT_VALUE&amp;DB=129&amp;ID1=26157010&amp;VALUEID=01001&amp;SDATE=200802&amp;PERIODTYPE=QTR_STD&amp;window=popup_no_bar&amp;width=385&amp;height=120&amp;START_MAXIMIZED=FALSE&amp;creator=factset&amp;display_string=Audit"}</definedName>
    <definedName name="_2716__FDSAUDITLINK__" hidden="1">{"fdsup://Directions/FactSet Auditing Viewer?action=AUDIT_VALUE&amp;DB=129&amp;ID1=26157010&amp;VALUEID=01001&amp;SDATE=200802&amp;PERIODTYPE=QTR_STD&amp;window=popup_no_bar&amp;width=385&amp;height=120&amp;START_MAXIMIZED=FALSE&amp;creator=factset&amp;display_string=Audit"}</definedName>
    <definedName name="_2717__FDSAUDITLINK__" localSheetId="1" hidden="1">{"fdsup://Directions/FactSet Auditing Viewer?action=AUDIT_VALUE&amp;DB=129&amp;ID1=26157010&amp;VALUEID=02101&amp;SDATE=200802&amp;PERIODTYPE=QTR_STD&amp;window=popup_no_bar&amp;width=385&amp;height=120&amp;START_MAXIMIZED=FALSE&amp;creator=factset&amp;display_string=Audit"}</definedName>
    <definedName name="_2717__FDSAUDITLINK__" hidden="1">{"fdsup://Directions/FactSet Auditing Viewer?action=AUDIT_VALUE&amp;DB=129&amp;ID1=26157010&amp;VALUEID=02101&amp;SDATE=200802&amp;PERIODTYPE=QTR_STD&amp;window=popup_no_bar&amp;width=385&amp;height=120&amp;START_MAXIMIZED=FALSE&amp;creator=factset&amp;display_string=Audit"}</definedName>
    <definedName name="_2718__FDSAUDITLINK__" localSheetId="1" hidden="1">{"fdsup://Directions/FactSet Auditing Viewer?action=AUDIT_VALUE&amp;DB=129&amp;ID1=26157010&amp;VALUEID=13040&amp;SDATE=200803&amp;PERIODTYPE=QTR_STD&amp;window=popup_no_bar&amp;width=385&amp;height=120&amp;START_MAXIMIZED=FALSE&amp;creator=factset&amp;display_string=Audit"}</definedName>
    <definedName name="_2718__FDSAUDITLINK__" hidden="1">{"fdsup://Directions/FactSet Auditing Viewer?action=AUDIT_VALUE&amp;DB=129&amp;ID1=26157010&amp;VALUEID=13040&amp;SDATE=200803&amp;PERIODTYPE=QTR_STD&amp;window=popup_no_bar&amp;width=385&amp;height=120&amp;START_MAXIMIZED=FALSE&amp;creator=factset&amp;display_string=Audit"}</definedName>
    <definedName name="_2719__FDSAUDITLINK__" localSheetId="1" hidden="1">{"fdsup://Directions/FactSet Auditing Viewer?action=AUDIT_VALUE&amp;DB=129&amp;ID1=26157010&amp;VALUEID=01001&amp;SDATE=200803&amp;PERIODTYPE=QTR_STD&amp;window=popup_no_bar&amp;width=385&amp;height=120&amp;START_MAXIMIZED=FALSE&amp;creator=factset&amp;display_string=Audit"}</definedName>
    <definedName name="_2719__FDSAUDITLINK__" hidden="1">{"fdsup://Directions/FactSet Auditing Viewer?action=AUDIT_VALUE&amp;DB=129&amp;ID1=26157010&amp;VALUEID=01001&amp;SDATE=200803&amp;PERIODTYPE=QTR_STD&amp;window=popup_no_bar&amp;width=385&amp;height=120&amp;START_MAXIMIZED=FALSE&amp;creator=factset&amp;display_string=Audit"}</definedName>
    <definedName name="_272__FDSAUDITLINK__" localSheetId="1" hidden="1">{"fdsup://Directions/FactSet Auditing Viewer?action=AUDIT_VALUE&amp;DB=129&amp;ID1=02553E10&amp;VALUEID=01001&amp;SDATE=200701&amp;PERIODTYPE=QTR_STD&amp;window=popup_no_bar&amp;width=385&amp;height=120&amp;START_MAXIMIZED=FALSE&amp;creator=factset&amp;display_string=Audit"}</definedName>
    <definedName name="_272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2720__FDSAUDITLINK__" localSheetId="1" hidden="1">{"fdsup://Directions/FactSet Auditing Viewer?action=AUDIT_VALUE&amp;DB=129&amp;ID1=26157010&amp;VALUEID=02101&amp;SDATE=200803&amp;PERIODTYPE=QTR_STD&amp;window=popup_no_bar&amp;width=385&amp;height=120&amp;START_MAXIMIZED=FALSE&amp;creator=factset&amp;display_string=Audit"}</definedName>
    <definedName name="_2720__FDSAUDITLINK__" hidden="1">{"fdsup://Directions/FactSet Auditing Viewer?action=AUDIT_VALUE&amp;DB=129&amp;ID1=26157010&amp;VALUEID=02101&amp;SDATE=200803&amp;PERIODTYPE=QTR_STD&amp;window=popup_no_bar&amp;width=385&amp;height=120&amp;START_MAXIMIZED=FALSE&amp;creator=factset&amp;display_string=Audit"}</definedName>
    <definedName name="_2721__FDSAUDITLINK__" localSheetId="1" hidden="1">{"fdsup://Directions/FactSet Auditing Viewer?action=AUDIT_VALUE&amp;DB=129&amp;ID1=26157010&amp;VALUEID=13040&amp;SDATE=200901&amp;PERIODTYPE=QTR_STD&amp;window=popup_no_bar&amp;width=385&amp;height=120&amp;START_MAXIMIZED=FALSE&amp;creator=factset&amp;display_string=Audit"}</definedName>
    <definedName name="_2721__FDSAUDITLINK__" hidden="1">{"fdsup://Directions/FactSet Auditing Viewer?action=AUDIT_VALUE&amp;DB=129&amp;ID1=26157010&amp;VALUEID=13040&amp;SDATE=200901&amp;PERIODTYPE=QTR_STD&amp;window=popup_no_bar&amp;width=385&amp;height=120&amp;START_MAXIMIZED=FALSE&amp;creator=factset&amp;display_string=Audit"}</definedName>
    <definedName name="_2722__FDSAUDITLINK__" localSheetId="1" hidden="1">{"fdsup://Directions/FactSet Auditing Viewer?action=AUDIT_VALUE&amp;DB=129&amp;ID1=26157010&amp;VALUEID=01001&amp;SDATE=200901&amp;PERIODTYPE=QTR_STD&amp;window=popup_no_bar&amp;width=385&amp;height=120&amp;START_MAXIMIZED=FALSE&amp;creator=factset&amp;display_string=Audit"}</definedName>
    <definedName name="_2722__FDSAUDITLINK__" hidden="1">{"fdsup://Directions/FactSet Auditing Viewer?action=AUDIT_VALUE&amp;DB=129&amp;ID1=26157010&amp;VALUEID=01001&amp;SDATE=200901&amp;PERIODTYPE=QTR_STD&amp;window=popup_no_bar&amp;width=385&amp;height=120&amp;START_MAXIMIZED=FALSE&amp;creator=factset&amp;display_string=Audit"}</definedName>
    <definedName name="_2723__FDSAUDITLINK__" localSheetId="1" hidden="1">{"fdsup://Directions/FactSet Auditing Viewer?action=AUDIT_VALUE&amp;DB=129&amp;ID1=26157010&amp;VALUEID=02101&amp;SDATE=200901&amp;PERIODTYPE=QTR_STD&amp;window=popup_no_bar&amp;width=385&amp;height=120&amp;START_MAXIMIZED=FALSE&amp;creator=factset&amp;display_string=Audit"}</definedName>
    <definedName name="_2723__FDSAUDITLINK__" hidden="1">{"fdsup://Directions/FactSet Auditing Viewer?action=AUDIT_VALUE&amp;DB=129&amp;ID1=26157010&amp;VALUEID=02101&amp;SDATE=200901&amp;PERIODTYPE=QTR_STD&amp;window=popup_no_bar&amp;width=385&amp;height=120&amp;START_MAXIMIZED=FALSE&amp;creator=factset&amp;display_string=Audit"}</definedName>
    <definedName name="_2724__FDSAUDITLINK__" localSheetId="1" hidden="1">{"fdsup://Directions/FactSet Auditing Viewer?action=AUDIT_VALUE&amp;DB=129&amp;ID1=26157010&amp;VALUEID=13040&amp;SDATE=200902&amp;PERIODTYPE=QTR_STD&amp;window=popup_no_bar&amp;width=385&amp;height=120&amp;START_MAXIMIZED=FALSE&amp;creator=factset&amp;display_string=Audit"}</definedName>
    <definedName name="_2724__FDSAUDITLINK__" hidden="1">{"fdsup://Directions/FactSet Auditing Viewer?action=AUDIT_VALUE&amp;DB=129&amp;ID1=26157010&amp;VALUEID=13040&amp;SDATE=200902&amp;PERIODTYPE=QTR_STD&amp;window=popup_no_bar&amp;width=385&amp;height=120&amp;START_MAXIMIZED=FALSE&amp;creator=factset&amp;display_string=Audit"}</definedName>
    <definedName name="_2725__FDSAUDITLINK__" localSheetId="1" hidden="1">{"fdsup://Directions/FactSet Auditing Viewer?action=AUDIT_VALUE&amp;DB=129&amp;ID1=26157010&amp;VALUEID=01001&amp;SDATE=200902&amp;PERIODTYPE=QTR_STD&amp;window=popup_no_bar&amp;width=385&amp;height=120&amp;START_MAXIMIZED=FALSE&amp;creator=factset&amp;display_string=Audit"}</definedName>
    <definedName name="_2725__FDSAUDITLINK__" hidden="1">{"fdsup://Directions/FactSet Auditing Viewer?action=AUDIT_VALUE&amp;DB=129&amp;ID1=26157010&amp;VALUEID=01001&amp;SDATE=200902&amp;PERIODTYPE=QTR_STD&amp;window=popup_no_bar&amp;width=385&amp;height=120&amp;START_MAXIMIZED=FALSE&amp;creator=factset&amp;display_string=Audit"}</definedName>
    <definedName name="_2726__FDSAUDITLINK__" localSheetId="1" hidden="1">{"fdsup://Directions/FactSet Auditing Viewer?action=AUDIT_VALUE&amp;DB=129&amp;ID1=26157010&amp;VALUEID=02101&amp;SDATE=200902&amp;PERIODTYPE=QTR_STD&amp;window=popup_no_bar&amp;width=385&amp;height=120&amp;START_MAXIMIZED=FALSE&amp;creator=factset&amp;display_string=Audit"}</definedName>
    <definedName name="_2726__FDSAUDITLINK__" hidden="1">{"fdsup://Directions/FactSet Auditing Viewer?action=AUDIT_VALUE&amp;DB=129&amp;ID1=26157010&amp;VALUEID=02101&amp;SDATE=200902&amp;PERIODTYPE=QTR_STD&amp;window=popup_no_bar&amp;width=385&amp;height=120&amp;START_MAXIMIZED=FALSE&amp;creator=factset&amp;display_string=Audit"}</definedName>
    <definedName name="_2727__FDSAUDITLINK__" localSheetId="1" hidden="1">{"fdsup://Directions/FactSet Auditing Viewer?action=AUDIT_VALUE&amp;DB=129&amp;ID1=26157010&amp;VALUEID=01001&amp;SDATE=200904&amp;PERIODTYPE=QTR_STD&amp;window=popup_no_bar&amp;width=385&amp;height=120&amp;START_MAXIMIZED=FALSE&amp;creator=factset&amp;display_string=Audit"}</definedName>
    <definedName name="_2727__FDSAUDITLINK__" hidden="1">{"fdsup://Directions/FactSet Auditing Viewer?action=AUDIT_VALUE&amp;DB=129&amp;ID1=26157010&amp;VALUEID=01001&amp;SDATE=200904&amp;PERIODTYPE=QTR_STD&amp;window=popup_no_bar&amp;width=385&amp;height=120&amp;START_MAXIMIZED=FALSE&amp;creator=factset&amp;display_string=Audit"}</definedName>
    <definedName name="_2728__FDSAUDITLINK__" localSheetId="1" hidden="1">{"fdsup://Directions/FactSet Auditing Viewer?action=AUDIT_VALUE&amp;DB=129&amp;ID1=26157010&amp;VALUEID=13040&amp;SDATE=201001&amp;PERIODTYPE=QTR_STD&amp;window=popup_no_bar&amp;width=385&amp;height=120&amp;START_MAXIMIZED=FALSE&amp;creator=factset&amp;display_string=Audit"}</definedName>
    <definedName name="_2728__FDSAUDITLINK__" hidden="1">{"fdsup://Directions/FactSet Auditing Viewer?action=AUDIT_VALUE&amp;DB=129&amp;ID1=26157010&amp;VALUEID=13040&amp;SDATE=201001&amp;PERIODTYPE=QTR_STD&amp;window=popup_no_bar&amp;width=385&amp;height=120&amp;START_MAXIMIZED=FALSE&amp;creator=factset&amp;display_string=Audit"}</definedName>
    <definedName name="_2729__FDSAUDITLINK__" localSheetId="1" hidden="1">{"fdsup://Directions/FactSet Auditing Viewer?action=AUDIT_VALUE&amp;DB=129&amp;ID1=26157010&amp;VALUEID=01001&amp;SDATE=201001&amp;PERIODTYPE=QTR_STD&amp;window=popup_no_bar&amp;width=385&amp;height=120&amp;START_MAXIMIZED=FALSE&amp;creator=factset&amp;display_string=Audit"}</definedName>
    <definedName name="_2729__FDSAUDITLINK__" hidden="1">{"fdsup://Directions/FactSet Auditing Viewer?action=AUDIT_VALUE&amp;DB=129&amp;ID1=26157010&amp;VALUEID=01001&amp;SDATE=201001&amp;PERIODTYPE=QTR_STD&amp;window=popup_no_bar&amp;width=385&amp;height=120&amp;START_MAXIMIZED=FALSE&amp;creator=factset&amp;display_string=Audit"}</definedName>
    <definedName name="_273__FDSAUDITLINK__" localSheetId="1" hidden="1">{"fdsup://Directions/FactSet Auditing Viewer?action=AUDIT_VALUE&amp;DB=129&amp;ID1=02553E10&amp;VALUEID=13040&amp;SDATE=200701&amp;PERIODTYPE=QTR_STD&amp;window=popup_no_bar&amp;width=385&amp;height=120&amp;START_MAXIMIZED=FALSE&amp;creator=factset&amp;display_string=Audit"}</definedName>
    <definedName name="_273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2730__FDSAUDITLINK__" localSheetId="1" hidden="1">{"fdsup://Directions/FactSet Auditing Viewer?action=AUDIT_VALUE&amp;DB=129&amp;ID1=26157010&amp;VALUEID=02101&amp;SDATE=201001&amp;PERIODTYPE=QTR_STD&amp;window=popup_no_bar&amp;width=385&amp;height=120&amp;START_MAXIMIZED=FALSE&amp;creator=factset&amp;display_string=Audit"}</definedName>
    <definedName name="_2730__FDSAUDITLINK__" hidden="1">{"fdsup://Directions/FactSet Auditing Viewer?action=AUDIT_VALUE&amp;DB=129&amp;ID1=26157010&amp;VALUEID=02101&amp;SDATE=201001&amp;PERIODTYPE=QTR_STD&amp;window=popup_no_bar&amp;width=385&amp;height=120&amp;START_MAXIMIZED=FALSE&amp;creator=factset&amp;display_string=Audit"}</definedName>
    <definedName name="_2731__FDSAUDITLINK__" localSheetId="1" hidden="1">{"fdsup://Directions/FactSet Auditing Viewer?action=AUDIT_VALUE&amp;DB=129&amp;ID1=26157010&amp;VALUEID=01001&amp;SDATE=201002&amp;PERIODTYPE=QTR_STD&amp;window=popup_no_bar&amp;width=385&amp;height=120&amp;START_MAXIMIZED=FALSE&amp;creator=factset&amp;display_string=Audit"}</definedName>
    <definedName name="_2731__FDSAUDITLINK__" hidden="1">{"fdsup://Directions/FactSet Auditing Viewer?action=AUDIT_VALUE&amp;DB=129&amp;ID1=26157010&amp;VALUEID=01001&amp;SDATE=201002&amp;PERIODTYPE=QTR_STD&amp;window=popup_no_bar&amp;width=385&amp;height=120&amp;START_MAXIMIZED=FALSE&amp;creator=factset&amp;display_string=Audit"}</definedName>
    <definedName name="_2732__FDSAUDITLINK__" localSheetId="1" hidden="1">{"fdsup://Directions/FactSet Auditing Viewer?action=AUDIT_VALUE&amp;DB=129&amp;ID1=26157010&amp;VALUEID=02101&amp;SDATE=201002&amp;PERIODTYPE=QTR_STD&amp;window=popup_no_bar&amp;width=385&amp;height=120&amp;START_MAXIMIZED=FALSE&amp;creator=factset&amp;display_string=Audit"}</definedName>
    <definedName name="_2732__FDSAUDITLINK__" hidden="1">{"fdsup://Directions/FactSet Auditing Viewer?action=AUDIT_VALUE&amp;DB=129&amp;ID1=26157010&amp;VALUEID=02101&amp;SDATE=201002&amp;PERIODTYPE=QTR_STD&amp;window=popup_no_bar&amp;width=385&amp;height=120&amp;START_MAXIMIZED=FALSE&amp;creator=factset&amp;display_string=Audit"}</definedName>
    <definedName name="_2733__FDSAUDITLINK__" localSheetId="1" hidden="1">{"fdsup://Directions/FactSet Auditing Viewer?action=AUDIT_VALUE&amp;DB=129&amp;ID1=26157010&amp;VALUEID=13040&amp;SDATE=201003&amp;PERIODTYPE=QTR_STD&amp;window=popup_no_bar&amp;width=385&amp;height=120&amp;START_MAXIMIZED=FALSE&amp;creator=factset&amp;display_string=Audit"}</definedName>
    <definedName name="_2733__FDSAUDITLINK__" hidden="1">{"fdsup://Directions/FactSet Auditing Viewer?action=AUDIT_VALUE&amp;DB=129&amp;ID1=26157010&amp;VALUEID=13040&amp;SDATE=201003&amp;PERIODTYPE=QTR_STD&amp;window=popup_no_bar&amp;width=385&amp;height=120&amp;START_MAXIMIZED=FALSE&amp;creator=factset&amp;display_string=Audit"}</definedName>
    <definedName name="_2734__FDSAUDITLINK__" localSheetId="1" hidden="1">{"fdsup://Directions/FactSet Auditing Viewer?action=AUDIT_VALUE&amp;DB=129&amp;ID1=26157010&amp;VALUEID=01001&amp;SDATE=201003&amp;PERIODTYPE=QTR_STD&amp;window=popup_no_bar&amp;width=385&amp;height=120&amp;START_MAXIMIZED=FALSE&amp;creator=factset&amp;display_string=Audit"}</definedName>
    <definedName name="_2734__FDSAUDITLINK__" hidden="1">{"fdsup://Directions/FactSet Auditing Viewer?action=AUDIT_VALUE&amp;DB=129&amp;ID1=26157010&amp;VALUEID=01001&amp;SDATE=201003&amp;PERIODTYPE=QTR_STD&amp;window=popup_no_bar&amp;width=385&amp;height=120&amp;START_MAXIMIZED=FALSE&amp;creator=factset&amp;display_string=Audit"}</definedName>
    <definedName name="_2735__FDSAUDITLINK__" localSheetId="1" hidden="1">{"fdsup://Directions/FactSet Auditing Viewer?action=AUDIT_VALUE&amp;DB=129&amp;ID1=26157010&amp;VALUEID=02101&amp;SDATE=201003&amp;PERIODTYPE=QTR_STD&amp;window=popup_no_bar&amp;width=385&amp;height=120&amp;START_MAXIMIZED=FALSE&amp;creator=factset&amp;display_string=Audit"}</definedName>
    <definedName name="_2735__FDSAUDITLINK__" hidden="1">{"fdsup://Directions/FactSet Auditing Viewer?action=AUDIT_VALUE&amp;DB=129&amp;ID1=26157010&amp;VALUEID=02101&amp;SDATE=201003&amp;PERIODTYPE=QTR_STD&amp;window=popup_no_bar&amp;width=385&amp;height=120&amp;START_MAXIMIZED=FALSE&amp;creator=factset&amp;display_string=Audit"}</definedName>
    <definedName name="_2736__FDSAUDITLINK__" localSheetId="1" hidden="1">{"fdsup://directions/FAT Viewer?action=UPDATE&amp;creator=factset&amp;DYN_ARGS=TRUE&amp;DOC_NAME=FAT:FQL_AUDITING_CLIENT_TEMPLATE.FAT&amp;display_string=Audit&amp;VAR:KEY=TMTSRWJYFA&amp;VAR:QUERY=RkZfUlRfU0ZfVE9UX0dST1NTKFFUUiwtNDQp&amp;WINDOW=FIRST_POPUP&amp;HEIGHT=450&amp;WIDTH=450&amp;START_MA","XIMIZED=FALSE&amp;VAR:CALENDAR=US&amp;VAR:SYMBOL=DBRN&amp;VAR:INDEX=0"}</definedName>
    <definedName name="_2736__FDSAUDITLINK__" hidden="1">{"fdsup://directions/FAT Viewer?action=UPDATE&amp;creator=factset&amp;DYN_ARGS=TRUE&amp;DOC_NAME=FAT:FQL_AUDITING_CLIENT_TEMPLATE.FAT&amp;display_string=Audit&amp;VAR:KEY=TMTSRWJYFA&amp;VAR:QUERY=RkZfUlRfU0ZfVE9UX0dST1NTKFFUUiwtNDQp&amp;WINDOW=FIRST_POPUP&amp;HEIGHT=450&amp;WIDTH=450&amp;START_MA","XIMIZED=FALSE&amp;VAR:CALENDAR=US&amp;VAR:SYMBOL=DBRN&amp;VAR:INDEX=0"}</definedName>
    <definedName name="_2737__FDSAUDITLINK__" localSheetId="1" hidden="1">{"fdsup://directions/FAT Viewer?action=UPDATE&amp;creator=factset&amp;DYN_ARGS=TRUE&amp;DOC_NAME=FAT:FQL_AUDITING_CLIENT_TEMPLATE.FAT&amp;display_string=Audit&amp;VAR:KEY=ZGPAREJEDG&amp;VAR:QUERY=RkZfUlRfU0ZfVE9UX0dST1NTKFFUUiwtNDMp&amp;WINDOW=FIRST_POPUP&amp;HEIGHT=450&amp;WIDTH=450&amp;START_MA","XIMIZED=FALSE&amp;VAR:CALENDAR=US&amp;VAR:SYMBOL=DBRN&amp;VAR:INDEX=0"}</definedName>
    <definedName name="_2737__FDSAUDITLINK__" hidden="1">{"fdsup://directions/FAT Viewer?action=UPDATE&amp;creator=factset&amp;DYN_ARGS=TRUE&amp;DOC_NAME=FAT:FQL_AUDITING_CLIENT_TEMPLATE.FAT&amp;display_string=Audit&amp;VAR:KEY=ZGPAREJEDG&amp;VAR:QUERY=RkZfUlRfU0ZfVE9UX0dST1NTKFFUUiwtNDMp&amp;WINDOW=FIRST_POPUP&amp;HEIGHT=450&amp;WIDTH=450&amp;START_MA","XIMIZED=FALSE&amp;VAR:CALENDAR=US&amp;VAR:SYMBOL=DBRN&amp;VAR:INDEX=0"}</definedName>
    <definedName name="_2738__FDSAUDITLINK__" localSheetId="1" hidden="1">{"fdsup://directions/FAT Viewer?action=UPDATE&amp;creator=factset&amp;DYN_ARGS=TRUE&amp;DOC_NAME=FAT:FQL_AUDITING_CLIENT_TEMPLATE.FAT&amp;display_string=Audit&amp;VAR:KEY=VOXSREHORM&amp;VAR:QUERY=RkZfUlRfU0ZfVE9UX0dST1NTKFFUUiwtNDIp&amp;WINDOW=FIRST_POPUP&amp;HEIGHT=450&amp;WIDTH=450&amp;START_MA","XIMIZED=FALSE&amp;VAR:CALENDAR=US&amp;VAR:SYMBOL=DBRN&amp;VAR:INDEX=0"}</definedName>
    <definedName name="_2738__FDSAUDITLINK__" hidden="1">{"fdsup://directions/FAT Viewer?action=UPDATE&amp;creator=factset&amp;DYN_ARGS=TRUE&amp;DOC_NAME=FAT:FQL_AUDITING_CLIENT_TEMPLATE.FAT&amp;display_string=Audit&amp;VAR:KEY=VOXSREHORM&amp;VAR:QUERY=RkZfUlRfU0ZfVE9UX0dST1NTKFFUUiwtNDIp&amp;WINDOW=FIRST_POPUP&amp;HEIGHT=450&amp;WIDTH=450&amp;START_MA","XIMIZED=FALSE&amp;VAR:CALENDAR=US&amp;VAR:SYMBOL=DBRN&amp;VAR:INDEX=0"}</definedName>
    <definedName name="_2739__FDSAUDITLINK__" localSheetId="1" hidden="1">{"fdsup://directions/FAT Viewer?action=UPDATE&amp;creator=factset&amp;DYN_ARGS=TRUE&amp;DOC_NAME=FAT:FQL_AUDITING_CLIENT_TEMPLATE.FAT&amp;display_string=Audit&amp;VAR:KEY=VWNGJWDSNC&amp;VAR:QUERY=RkZfUlRfU0ZfVE9UX0dST1NTKFFUUiwtNDEp&amp;WINDOW=FIRST_POPUP&amp;HEIGHT=450&amp;WIDTH=450&amp;START_MA","XIMIZED=FALSE&amp;VAR:CALENDAR=US&amp;VAR:SYMBOL=DBRN&amp;VAR:INDEX=0"}</definedName>
    <definedName name="_2739__FDSAUDITLINK__" hidden="1">{"fdsup://directions/FAT Viewer?action=UPDATE&amp;creator=factset&amp;DYN_ARGS=TRUE&amp;DOC_NAME=FAT:FQL_AUDITING_CLIENT_TEMPLATE.FAT&amp;display_string=Audit&amp;VAR:KEY=VWNGJWDSNC&amp;VAR:QUERY=RkZfUlRfU0ZfVE9UX0dST1NTKFFUUiwtNDEp&amp;WINDOW=FIRST_POPUP&amp;HEIGHT=450&amp;WIDTH=450&amp;START_MA","XIMIZED=FALSE&amp;VAR:CALENDAR=US&amp;VAR:SYMBOL=DBRN&amp;VAR:INDEX=0"}</definedName>
    <definedName name="_274__FDSAUDITLINK__" localSheetId="1" hidden="1">{"fdsup://Directions/FactSet Auditing Viewer?action=AUDIT_VALUE&amp;DB=129&amp;ID1=00786510&amp;VALUEID=02101&amp;SDATE=200701&amp;PERIODTYPE=QTR_STD&amp;window=popup_no_bar&amp;width=385&amp;height=120&amp;START_MAXIMIZED=FALSE&amp;creator=factset&amp;display_string=Audit"}</definedName>
    <definedName name="_274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2740__FDSAUDITLINK__" localSheetId="1" hidden="1">{"fdsup://directions/FAT Viewer?action=UPDATE&amp;creator=factset&amp;DYN_ARGS=TRUE&amp;DOC_NAME=FAT:FQL_AUDITING_CLIENT_TEMPLATE.FAT&amp;display_string=Audit&amp;VAR:KEY=JGJWPYNKXE&amp;VAR:QUERY=RkZfUlRfU0ZfVE9UX0dST1NTKFFUUiwtNDAp&amp;WINDOW=FIRST_POPUP&amp;HEIGHT=450&amp;WIDTH=450&amp;START_MA","XIMIZED=FALSE&amp;VAR:CALENDAR=US&amp;VAR:SYMBOL=DBRN&amp;VAR:INDEX=0"}</definedName>
    <definedName name="_2740__FDSAUDITLINK__" hidden="1">{"fdsup://directions/FAT Viewer?action=UPDATE&amp;creator=factset&amp;DYN_ARGS=TRUE&amp;DOC_NAME=FAT:FQL_AUDITING_CLIENT_TEMPLATE.FAT&amp;display_string=Audit&amp;VAR:KEY=JGJWPYNKXE&amp;VAR:QUERY=RkZfUlRfU0ZfVE9UX0dST1NTKFFUUiwtNDAp&amp;WINDOW=FIRST_POPUP&amp;HEIGHT=450&amp;WIDTH=450&amp;START_MA","XIMIZED=FALSE&amp;VAR:CALENDAR=US&amp;VAR:SYMBOL=DBRN&amp;VAR:INDEX=0"}</definedName>
    <definedName name="_2741__FDSAUDITLINK__" localSheetId="1" hidden="1">{"fdsup://directions/FAT Viewer?action=UPDATE&amp;creator=factset&amp;DYN_ARGS=TRUE&amp;DOC_NAME=FAT:FQL_AUDITING_CLIENT_TEMPLATE.FAT&amp;display_string=Audit&amp;VAR:KEY=DCROFUZQNW&amp;VAR:QUERY=RkZfUlRfU0ZfVE9UX0dST1NTKFFUUiwtMzkp&amp;WINDOW=FIRST_POPUP&amp;HEIGHT=450&amp;WIDTH=450&amp;START_MA","XIMIZED=FALSE&amp;VAR:CALENDAR=US&amp;VAR:SYMBOL=DBRN&amp;VAR:INDEX=0"}</definedName>
    <definedName name="_2741__FDSAUDITLINK__" hidden="1">{"fdsup://directions/FAT Viewer?action=UPDATE&amp;creator=factset&amp;DYN_ARGS=TRUE&amp;DOC_NAME=FAT:FQL_AUDITING_CLIENT_TEMPLATE.FAT&amp;display_string=Audit&amp;VAR:KEY=DCROFUZQNW&amp;VAR:QUERY=RkZfUlRfU0ZfVE9UX0dST1NTKFFUUiwtMzkp&amp;WINDOW=FIRST_POPUP&amp;HEIGHT=450&amp;WIDTH=450&amp;START_MA","XIMIZED=FALSE&amp;VAR:CALENDAR=US&amp;VAR:SYMBOL=DBRN&amp;VAR:INDEX=0"}</definedName>
    <definedName name="_2742__FDSAUDITLINK__" localSheetId="1" hidden="1">{"fdsup://directions/FAT Viewer?action=UPDATE&amp;creator=factset&amp;DYN_ARGS=TRUE&amp;DOC_NAME=FAT:FQL_AUDITING_CLIENT_TEMPLATE.FAT&amp;display_string=Audit&amp;VAR:KEY=NGTSNGJMPW&amp;VAR:QUERY=RkZfUlRfU0ZfVE9UX0dST1NTKFFUUiwtMzgp&amp;WINDOW=FIRST_POPUP&amp;HEIGHT=450&amp;WIDTH=450&amp;START_MA","XIMIZED=FALSE&amp;VAR:CALENDAR=US&amp;VAR:SYMBOL=DBRN&amp;VAR:INDEX=0"}</definedName>
    <definedName name="_2742__FDSAUDITLINK__" hidden="1">{"fdsup://directions/FAT Viewer?action=UPDATE&amp;creator=factset&amp;DYN_ARGS=TRUE&amp;DOC_NAME=FAT:FQL_AUDITING_CLIENT_TEMPLATE.FAT&amp;display_string=Audit&amp;VAR:KEY=NGTSNGJMPW&amp;VAR:QUERY=RkZfUlRfU0ZfVE9UX0dST1NTKFFUUiwtMzgp&amp;WINDOW=FIRST_POPUP&amp;HEIGHT=450&amp;WIDTH=450&amp;START_MA","XIMIZED=FALSE&amp;VAR:CALENDAR=US&amp;VAR:SYMBOL=DBRN&amp;VAR:INDEX=0"}</definedName>
    <definedName name="_2743__FDSAUDITLINK__" localSheetId="1" hidden="1">{"fdsup://directions/FAT Viewer?action=UPDATE&amp;creator=factset&amp;DYN_ARGS=TRUE&amp;DOC_NAME=FAT:FQL_AUDITING_CLIENT_TEMPLATE.FAT&amp;display_string=Audit&amp;VAR:KEY=LYVOVQVWJK&amp;VAR:QUERY=RkZfUlRfU0ZfVE9UX0dST1NTKFFUUiwtMzcp&amp;WINDOW=FIRST_POPUP&amp;HEIGHT=450&amp;WIDTH=450&amp;START_MA","XIMIZED=FALSE&amp;VAR:CALENDAR=US&amp;VAR:SYMBOL=DBRN&amp;VAR:INDEX=0"}</definedName>
    <definedName name="_2743__FDSAUDITLINK__" hidden="1">{"fdsup://directions/FAT Viewer?action=UPDATE&amp;creator=factset&amp;DYN_ARGS=TRUE&amp;DOC_NAME=FAT:FQL_AUDITING_CLIENT_TEMPLATE.FAT&amp;display_string=Audit&amp;VAR:KEY=LYVOVQVWJK&amp;VAR:QUERY=RkZfUlRfU0ZfVE9UX0dST1NTKFFUUiwtMzcp&amp;WINDOW=FIRST_POPUP&amp;HEIGHT=450&amp;WIDTH=450&amp;START_MA","XIMIZED=FALSE&amp;VAR:CALENDAR=US&amp;VAR:SYMBOL=DBRN&amp;VAR:INDEX=0"}</definedName>
    <definedName name="_2744__FDSAUDITLINK__" localSheetId="1" hidden="1">{"fdsup://directions/FAT Viewer?action=UPDATE&amp;creator=factset&amp;DYN_ARGS=TRUE&amp;DOC_NAME=FAT:FQL_AUDITING_CLIENT_TEMPLATE.FAT&amp;display_string=Audit&amp;VAR:KEY=NGTGVKJKLU&amp;VAR:QUERY=RkZfUlRfU0ZfVE9UX0dST1NTKFFUUiwtMzYp&amp;WINDOW=FIRST_POPUP&amp;HEIGHT=450&amp;WIDTH=450&amp;START_MA","XIMIZED=FALSE&amp;VAR:CALENDAR=US&amp;VAR:SYMBOL=DBRN&amp;VAR:INDEX=0"}</definedName>
    <definedName name="_2744__FDSAUDITLINK__" hidden="1">{"fdsup://directions/FAT Viewer?action=UPDATE&amp;creator=factset&amp;DYN_ARGS=TRUE&amp;DOC_NAME=FAT:FQL_AUDITING_CLIENT_TEMPLATE.FAT&amp;display_string=Audit&amp;VAR:KEY=NGTGVKJKLU&amp;VAR:QUERY=RkZfUlRfU0ZfVE9UX0dST1NTKFFUUiwtMzYp&amp;WINDOW=FIRST_POPUP&amp;HEIGHT=450&amp;WIDTH=450&amp;START_MA","XIMIZED=FALSE&amp;VAR:CALENDAR=US&amp;VAR:SYMBOL=DBRN&amp;VAR:INDEX=0"}</definedName>
    <definedName name="_2745__FDSAUDITLINK__" localSheetId="1" hidden="1">{"fdsup://directions/FAT Viewer?action=UPDATE&amp;creator=factset&amp;DYN_ARGS=TRUE&amp;DOC_NAME=FAT:FQL_AUDITING_CLIENT_TEMPLATE.FAT&amp;display_string=Audit&amp;VAR:KEY=RUPKHALQHU&amp;VAR:QUERY=RkZfUlRfU0ZfVE9UX0dST1NTKFFUUiwtMzUp&amp;WINDOW=FIRST_POPUP&amp;HEIGHT=450&amp;WIDTH=450&amp;START_MA","XIMIZED=FALSE&amp;VAR:CALENDAR=US&amp;VAR:SYMBOL=DBRN&amp;VAR:INDEX=0"}</definedName>
    <definedName name="_2745__FDSAUDITLINK__" hidden="1">{"fdsup://directions/FAT Viewer?action=UPDATE&amp;creator=factset&amp;DYN_ARGS=TRUE&amp;DOC_NAME=FAT:FQL_AUDITING_CLIENT_TEMPLATE.FAT&amp;display_string=Audit&amp;VAR:KEY=RUPKHALQHU&amp;VAR:QUERY=RkZfUlRfU0ZfVE9UX0dST1NTKFFUUiwtMzUp&amp;WINDOW=FIRST_POPUP&amp;HEIGHT=450&amp;WIDTH=450&amp;START_MA","XIMIZED=FALSE&amp;VAR:CALENDAR=US&amp;VAR:SYMBOL=DBRN&amp;VAR:INDEX=0"}</definedName>
    <definedName name="_2746__FDSAUDITLINK__" localSheetId="1" hidden="1">{"fdsup://directions/FAT Viewer?action=UPDATE&amp;creator=factset&amp;DYN_ARGS=TRUE&amp;DOC_NAME=FAT:FQL_AUDITING_CLIENT_TEMPLATE.FAT&amp;display_string=Audit&amp;VAR:KEY=NKVOJYFWZI&amp;VAR:QUERY=RkZfUlRfU0ZfVE9UX0dST1NTKFFUUiwtMzQp&amp;WINDOW=FIRST_POPUP&amp;HEIGHT=450&amp;WIDTH=450&amp;START_MA","XIMIZED=FALSE&amp;VAR:CALENDAR=US&amp;VAR:SYMBOL=DBRN&amp;VAR:INDEX=0"}</definedName>
    <definedName name="_2746__FDSAUDITLINK__" hidden="1">{"fdsup://directions/FAT Viewer?action=UPDATE&amp;creator=factset&amp;DYN_ARGS=TRUE&amp;DOC_NAME=FAT:FQL_AUDITING_CLIENT_TEMPLATE.FAT&amp;display_string=Audit&amp;VAR:KEY=NKVOJYFWZI&amp;VAR:QUERY=RkZfUlRfU0ZfVE9UX0dST1NTKFFUUiwtMzQp&amp;WINDOW=FIRST_POPUP&amp;HEIGHT=450&amp;WIDTH=450&amp;START_MA","XIMIZED=FALSE&amp;VAR:CALENDAR=US&amp;VAR:SYMBOL=DBRN&amp;VAR:INDEX=0"}</definedName>
    <definedName name="_2747__FDSAUDITLINK__" localSheetId="1" hidden="1">{"fdsup://directions/FAT Viewer?action=UPDATE&amp;creator=factset&amp;DYN_ARGS=TRUE&amp;DOC_NAME=FAT:FQL_AUDITING_CLIENT_TEMPLATE.FAT&amp;display_string=Audit&amp;VAR:KEY=XCPADWPADE&amp;VAR:QUERY=RkZfUlRfU0ZfVE9UX0dST1NTKFFUUiwtMzMp&amp;WINDOW=FIRST_POPUP&amp;HEIGHT=450&amp;WIDTH=450&amp;START_MA","XIMIZED=FALSE&amp;VAR:CALENDAR=US&amp;VAR:SYMBOL=DBRN&amp;VAR:INDEX=0"}</definedName>
    <definedName name="_2747__FDSAUDITLINK__" hidden="1">{"fdsup://directions/FAT Viewer?action=UPDATE&amp;creator=factset&amp;DYN_ARGS=TRUE&amp;DOC_NAME=FAT:FQL_AUDITING_CLIENT_TEMPLATE.FAT&amp;display_string=Audit&amp;VAR:KEY=XCPADWPADE&amp;VAR:QUERY=RkZfUlRfU0ZfVE9UX0dST1NTKFFUUiwtMzMp&amp;WINDOW=FIRST_POPUP&amp;HEIGHT=450&amp;WIDTH=450&amp;START_MA","XIMIZED=FALSE&amp;VAR:CALENDAR=US&amp;VAR:SYMBOL=DBRN&amp;VAR:INDEX=0"}</definedName>
    <definedName name="_2748__FDSAUDITLINK__" localSheetId="1" hidden="1">{"fdsup://directions/FAT Viewer?action=UPDATE&amp;creator=factset&amp;DYN_ARGS=TRUE&amp;DOC_NAME=FAT:FQL_AUDITING_CLIENT_TEMPLATE.FAT&amp;display_string=Audit&amp;VAR:KEY=RKTCJUHCJM&amp;VAR:QUERY=RkZfUlRfU0ZfVE9UX0dST1NTKFFUUiwtMzIp&amp;WINDOW=FIRST_POPUP&amp;HEIGHT=450&amp;WIDTH=450&amp;START_MA","XIMIZED=FALSE&amp;VAR:CALENDAR=US&amp;VAR:SYMBOL=DBRN&amp;VAR:INDEX=0"}</definedName>
    <definedName name="_2748__FDSAUDITLINK__" hidden="1">{"fdsup://directions/FAT Viewer?action=UPDATE&amp;creator=factset&amp;DYN_ARGS=TRUE&amp;DOC_NAME=FAT:FQL_AUDITING_CLIENT_TEMPLATE.FAT&amp;display_string=Audit&amp;VAR:KEY=RKTCJUHCJM&amp;VAR:QUERY=RkZfUlRfU0ZfVE9UX0dST1NTKFFUUiwtMzIp&amp;WINDOW=FIRST_POPUP&amp;HEIGHT=450&amp;WIDTH=450&amp;START_MA","XIMIZED=FALSE&amp;VAR:CALENDAR=US&amp;VAR:SYMBOL=DBRN&amp;VAR:INDEX=0"}</definedName>
    <definedName name="_2749__FDSAUDITLINK__" localSheetId="1" hidden="1">{"fdsup://directions/FAT Viewer?action=UPDATE&amp;creator=factset&amp;DYN_ARGS=TRUE&amp;DOC_NAME=FAT:FQL_AUDITING_CLIENT_TEMPLATE.FAT&amp;display_string=Audit&amp;VAR:KEY=VQBUBCVANQ&amp;VAR:QUERY=RkZfUlRfU0ZfVE9UX0dST1NTKFFUUiwtMzEp&amp;WINDOW=FIRST_POPUP&amp;HEIGHT=450&amp;WIDTH=450&amp;START_MA","XIMIZED=FALSE&amp;VAR:CALENDAR=US&amp;VAR:SYMBOL=DBRN&amp;VAR:INDEX=0"}</definedName>
    <definedName name="_2749__FDSAUDITLINK__" hidden="1">{"fdsup://directions/FAT Viewer?action=UPDATE&amp;creator=factset&amp;DYN_ARGS=TRUE&amp;DOC_NAME=FAT:FQL_AUDITING_CLIENT_TEMPLATE.FAT&amp;display_string=Audit&amp;VAR:KEY=VQBUBCVANQ&amp;VAR:QUERY=RkZfUlRfU0ZfVE9UX0dST1NTKFFUUiwtMzEp&amp;WINDOW=FIRST_POPUP&amp;HEIGHT=450&amp;WIDTH=450&amp;START_MA","XIMIZED=FALSE&amp;VAR:CALENDAR=US&amp;VAR:SYMBOL=DBRN&amp;VAR:INDEX=0"}</definedName>
    <definedName name="_275__FDSAUDITLINK__" localSheetId="1" hidden="1">{"fdsup://Directions/FactSet Auditing Viewer?action=AUDIT_VALUE&amp;DB=129&amp;ID1=00786510&amp;VALUEID=01001&amp;SDATE=200701&amp;PERIODTYPE=QTR_STD&amp;window=popup_no_bar&amp;width=385&amp;height=120&amp;START_MAXIMIZED=FALSE&amp;creator=factset&amp;display_string=Audit"}</definedName>
    <definedName name="_275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2750__FDSAUDITLINK__" localSheetId="1" hidden="1">{"fdsup://directions/FAT Viewer?action=UPDATE&amp;creator=factset&amp;DYN_ARGS=TRUE&amp;DOC_NAME=FAT:FQL_AUDITING_CLIENT_TEMPLATE.FAT&amp;display_string=Audit&amp;VAR:KEY=LIBWRWZOFE&amp;VAR:QUERY=RkZfUlRfU0ZfVE9UX0dST1NTKFFUUiwtMzAp&amp;WINDOW=FIRST_POPUP&amp;HEIGHT=450&amp;WIDTH=450&amp;START_MA","XIMIZED=FALSE&amp;VAR:CALENDAR=US&amp;VAR:SYMBOL=DBRN&amp;VAR:INDEX=0"}</definedName>
    <definedName name="_2750__FDSAUDITLINK__" hidden="1">{"fdsup://directions/FAT Viewer?action=UPDATE&amp;creator=factset&amp;DYN_ARGS=TRUE&amp;DOC_NAME=FAT:FQL_AUDITING_CLIENT_TEMPLATE.FAT&amp;display_string=Audit&amp;VAR:KEY=LIBWRWZOFE&amp;VAR:QUERY=RkZfUlRfU0ZfVE9UX0dST1NTKFFUUiwtMzAp&amp;WINDOW=FIRST_POPUP&amp;HEIGHT=450&amp;WIDTH=450&amp;START_MA","XIMIZED=FALSE&amp;VAR:CALENDAR=US&amp;VAR:SYMBOL=DBRN&amp;VAR:INDEX=0"}</definedName>
    <definedName name="_2751__FDSAUDITLINK__" localSheetId="1" hidden="1">{"fdsup://directions/FAT Viewer?action=UPDATE&amp;creator=factset&amp;DYN_ARGS=TRUE&amp;DOC_NAME=FAT:FQL_AUDITING_CLIENT_TEMPLATE.FAT&amp;display_string=Audit&amp;VAR:KEY=HMDIRANAZM&amp;VAR:QUERY=RkZfUlRfU0ZfVE9UX0dST1NTKFFUUiwtMjkp&amp;WINDOW=FIRST_POPUP&amp;HEIGHT=450&amp;WIDTH=450&amp;START_MA","XIMIZED=FALSE&amp;VAR:CALENDAR=US&amp;VAR:SYMBOL=DBRN&amp;VAR:INDEX=0"}</definedName>
    <definedName name="_2751__FDSAUDITLINK__" hidden="1">{"fdsup://directions/FAT Viewer?action=UPDATE&amp;creator=factset&amp;DYN_ARGS=TRUE&amp;DOC_NAME=FAT:FQL_AUDITING_CLIENT_TEMPLATE.FAT&amp;display_string=Audit&amp;VAR:KEY=HMDIRANAZM&amp;VAR:QUERY=RkZfUlRfU0ZfVE9UX0dST1NTKFFUUiwtMjkp&amp;WINDOW=FIRST_POPUP&amp;HEIGHT=450&amp;WIDTH=450&amp;START_MA","XIMIZED=FALSE&amp;VAR:CALENDAR=US&amp;VAR:SYMBOL=DBRN&amp;VAR:INDEX=0"}</definedName>
    <definedName name="_2752__FDSAUDITLINK__" localSheetId="1" hidden="1">{"fdsup://directions/FAT Viewer?action=UPDATE&amp;creator=factset&amp;DYN_ARGS=TRUE&amp;DOC_NAME=FAT:FQL_AUDITING_CLIENT_TEMPLATE.FAT&amp;display_string=Audit&amp;VAR:KEY=BUPMXCPCFM&amp;VAR:QUERY=RkZfUlRfU0ZfVE9UX0dST1NTKFFUUiwtMjgp&amp;WINDOW=FIRST_POPUP&amp;HEIGHT=450&amp;WIDTH=450&amp;START_MA","XIMIZED=FALSE&amp;VAR:CALENDAR=US&amp;VAR:SYMBOL=DBRN&amp;VAR:INDEX=0"}</definedName>
    <definedName name="_2752__FDSAUDITLINK__" hidden="1">{"fdsup://directions/FAT Viewer?action=UPDATE&amp;creator=factset&amp;DYN_ARGS=TRUE&amp;DOC_NAME=FAT:FQL_AUDITING_CLIENT_TEMPLATE.FAT&amp;display_string=Audit&amp;VAR:KEY=BUPMXCPCFM&amp;VAR:QUERY=RkZfUlRfU0ZfVE9UX0dST1NTKFFUUiwtMjgp&amp;WINDOW=FIRST_POPUP&amp;HEIGHT=450&amp;WIDTH=450&amp;START_MA","XIMIZED=FALSE&amp;VAR:CALENDAR=US&amp;VAR:SYMBOL=DBRN&amp;VAR:INDEX=0"}</definedName>
    <definedName name="_2753__FDSAUDITLINK__" localSheetId="1" hidden="1">{"fdsup://directions/FAT Viewer?action=UPDATE&amp;creator=factset&amp;DYN_ARGS=TRUE&amp;DOC_NAME=FAT:FQL_AUDITING_CLIENT_TEMPLATE.FAT&amp;display_string=Audit&amp;VAR:KEY=ZEJGTYHGNY&amp;VAR:QUERY=RkZfUlRfU0ZfVE9UX0dST1NTKFFUUiwtMjcp&amp;WINDOW=FIRST_POPUP&amp;HEIGHT=450&amp;WIDTH=450&amp;START_MA","XIMIZED=FALSE&amp;VAR:CALENDAR=US&amp;VAR:SYMBOL=DBRN&amp;VAR:INDEX=0"}</definedName>
    <definedName name="_2753__FDSAUDITLINK__" hidden="1">{"fdsup://directions/FAT Viewer?action=UPDATE&amp;creator=factset&amp;DYN_ARGS=TRUE&amp;DOC_NAME=FAT:FQL_AUDITING_CLIENT_TEMPLATE.FAT&amp;display_string=Audit&amp;VAR:KEY=ZEJGTYHGNY&amp;VAR:QUERY=RkZfUlRfU0ZfVE9UX0dST1NTKFFUUiwtMjcp&amp;WINDOW=FIRST_POPUP&amp;HEIGHT=450&amp;WIDTH=450&amp;START_MA","XIMIZED=FALSE&amp;VAR:CALENDAR=US&amp;VAR:SYMBOL=DBRN&amp;VAR:INDEX=0"}</definedName>
    <definedName name="_2754__FDSAUDITLINK__" localSheetId="1" hidden="1">{"fdsup://directions/FAT Viewer?action=UPDATE&amp;creator=factset&amp;DYN_ARGS=TRUE&amp;DOC_NAME=FAT:FQL_AUDITING_CLIENT_TEMPLATE.FAT&amp;display_string=Audit&amp;VAR:KEY=ZMXYXARSHK&amp;VAR:QUERY=RkZfUlRfU0ZfVE9UX0dST1NTKFFUUiwtMjYp&amp;WINDOW=FIRST_POPUP&amp;HEIGHT=450&amp;WIDTH=450&amp;START_MA","XIMIZED=FALSE&amp;VAR:CALENDAR=US&amp;VAR:SYMBOL=DBRN&amp;VAR:INDEX=0"}</definedName>
    <definedName name="_2754__FDSAUDITLINK__" hidden="1">{"fdsup://directions/FAT Viewer?action=UPDATE&amp;creator=factset&amp;DYN_ARGS=TRUE&amp;DOC_NAME=FAT:FQL_AUDITING_CLIENT_TEMPLATE.FAT&amp;display_string=Audit&amp;VAR:KEY=ZMXYXARSHK&amp;VAR:QUERY=RkZfUlRfU0ZfVE9UX0dST1NTKFFUUiwtMjYp&amp;WINDOW=FIRST_POPUP&amp;HEIGHT=450&amp;WIDTH=450&amp;START_MA","XIMIZED=FALSE&amp;VAR:CALENDAR=US&amp;VAR:SYMBOL=DBRN&amp;VAR:INDEX=0"}</definedName>
    <definedName name="_2755__FDSAUDITLINK__" localSheetId="1" hidden="1">{"fdsup://directions/FAT Viewer?action=UPDATE&amp;creator=factset&amp;DYN_ARGS=TRUE&amp;DOC_NAME=FAT:FQL_AUDITING_CLIENT_TEMPLATE.FAT&amp;display_string=Audit&amp;VAR:KEY=ZGDMXCXMLA&amp;VAR:QUERY=RkZfUlRfU0ZfVE9UX0dST1NTKFFUUiwtMjUp&amp;WINDOW=FIRST_POPUP&amp;HEIGHT=450&amp;WIDTH=450&amp;START_MA","XIMIZED=FALSE&amp;VAR:CALENDAR=US&amp;VAR:SYMBOL=DBRN&amp;VAR:INDEX=0"}</definedName>
    <definedName name="_2755__FDSAUDITLINK__" hidden="1">{"fdsup://directions/FAT Viewer?action=UPDATE&amp;creator=factset&amp;DYN_ARGS=TRUE&amp;DOC_NAME=FAT:FQL_AUDITING_CLIENT_TEMPLATE.FAT&amp;display_string=Audit&amp;VAR:KEY=ZGDMXCXMLA&amp;VAR:QUERY=RkZfUlRfU0ZfVE9UX0dST1NTKFFUUiwtMjUp&amp;WINDOW=FIRST_POPUP&amp;HEIGHT=450&amp;WIDTH=450&amp;START_MA","XIMIZED=FALSE&amp;VAR:CALENDAR=US&amp;VAR:SYMBOL=DBRN&amp;VAR:INDEX=0"}</definedName>
    <definedName name="_2756__FDSAUDITLINK__" localSheetId="1" hidden="1">{"fdsup://directions/FAT Viewer?action=UPDATE&amp;creator=factset&amp;DYN_ARGS=TRUE&amp;DOC_NAME=FAT:FQL_AUDITING_CLIENT_TEMPLATE.FAT&amp;display_string=Audit&amp;VAR:KEY=RAPUZEXQDA&amp;VAR:QUERY=RkZfUlRfU0ZfVE9UX0dST1NTKFFUUiwtMjQp&amp;WINDOW=FIRST_POPUP&amp;HEIGHT=450&amp;WIDTH=450&amp;START_MA","XIMIZED=FALSE&amp;VAR:CALENDAR=US&amp;VAR:SYMBOL=DBRN&amp;VAR:INDEX=0"}</definedName>
    <definedName name="_2756__FDSAUDITLINK__" hidden="1">{"fdsup://directions/FAT Viewer?action=UPDATE&amp;creator=factset&amp;DYN_ARGS=TRUE&amp;DOC_NAME=FAT:FQL_AUDITING_CLIENT_TEMPLATE.FAT&amp;display_string=Audit&amp;VAR:KEY=RAPUZEXQDA&amp;VAR:QUERY=RkZfUlRfU0ZfVE9UX0dST1NTKFFUUiwtMjQp&amp;WINDOW=FIRST_POPUP&amp;HEIGHT=450&amp;WIDTH=450&amp;START_MA","XIMIZED=FALSE&amp;VAR:CALENDAR=US&amp;VAR:SYMBOL=DBRN&amp;VAR:INDEX=0"}</definedName>
    <definedName name="_2757__FDSAUDITLINK__" localSheetId="1" hidden="1">{"fdsup://directions/FAT Viewer?action=UPDATE&amp;creator=factset&amp;DYN_ARGS=TRUE&amp;DOC_NAME=FAT:FQL_AUDITING_CLIENT_TEMPLATE.FAT&amp;display_string=Audit&amp;VAR:KEY=FUPMROVYPW&amp;VAR:QUERY=RkZfUlRfU0ZfVE9UX0dST1NTKFFUUiwtMjMp&amp;WINDOW=FIRST_POPUP&amp;HEIGHT=450&amp;WIDTH=450&amp;START_MA","XIMIZED=FALSE&amp;VAR:CALENDAR=US&amp;VAR:SYMBOL=DBRN&amp;VAR:INDEX=0"}</definedName>
    <definedName name="_2757__FDSAUDITLINK__" hidden="1">{"fdsup://directions/FAT Viewer?action=UPDATE&amp;creator=factset&amp;DYN_ARGS=TRUE&amp;DOC_NAME=FAT:FQL_AUDITING_CLIENT_TEMPLATE.FAT&amp;display_string=Audit&amp;VAR:KEY=FUPMROVYPW&amp;VAR:QUERY=RkZfUlRfU0ZfVE9UX0dST1NTKFFUUiwtMjMp&amp;WINDOW=FIRST_POPUP&amp;HEIGHT=450&amp;WIDTH=450&amp;START_MA","XIMIZED=FALSE&amp;VAR:CALENDAR=US&amp;VAR:SYMBOL=DBRN&amp;VAR:INDEX=0"}</definedName>
    <definedName name="_2758__FDSAUDITLINK__" localSheetId="1" hidden="1">{"fdsup://directions/FAT Viewer?action=UPDATE&amp;creator=factset&amp;DYN_ARGS=TRUE&amp;DOC_NAME=FAT:FQL_AUDITING_CLIENT_TEMPLATE.FAT&amp;display_string=Audit&amp;VAR:KEY=PCHYVEJMZO&amp;VAR:QUERY=RkZfUlRfU0ZfVE9UX0dST1NTKFFUUiwtMjIp&amp;WINDOW=FIRST_POPUP&amp;HEIGHT=450&amp;WIDTH=450&amp;START_MA","XIMIZED=FALSE&amp;VAR:CALENDAR=US&amp;VAR:SYMBOL=DBRN&amp;VAR:INDEX=0"}</definedName>
    <definedName name="_2758__FDSAUDITLINK__" hidden="1">{"fdsup://directions/FAT Viewer?action=UPDATE&amp;creator=factset&amp;DYN_ARGS=TRUE&amp;DOC_NAME=FAT:FQL_AUDITING_CLIENT_TEMPLATE.FAT&amp;display_string=Audit&amp;VAR:KEY=PCHYVEJMZO&amp;VAR:QUERY=RkZfUlRfU0ZfVE9UX0dST1NTKFFUUiwtMjIp&amp;WINDOW=FIRST_POPUP&amp;HEIGHT=450&amp;WIDTH=450&amp;START_MA","XIMIZED=FALSE&amp;VAR:CALENDAR=US&amp;VAR:SYMBOL=DBRN&amp;VAR:INDEX=0"}</definedName>
    <definedName name="_2759__FDSAUDITLINK__" localSheetId="1" hidden="1">{"fdsup://directions/FAT Viewer?action=UPDATE&amp;creator=factset&amp;DYN_ARGS=TRUE&amp;DOC_NAME=FAT:FQL_AUDITING_CLIENT_TEMPLATE.FAT&amp;display_string=Audit&amp;VAR:KEY=PEBSFAHQFE&amp;VAR:QUERY=RkZfUlRfU0ZfVE9UX0dST1NTKFFUUiwtMjEp&amp;WINDOW=FIRST_POPUP&amp;HEIGHT=450&amp;WIDTH=450&amp;START_MA","XIMIZED=FALSE&amp;VAR:CALENDAR=US&amp;VAR:SYMBOL=DBRN&amp;VAR:INDEX=0"}</definedName>
    <definedName name="_2759__FDSAUDITLINK__" hidden="1">{"fdsup://directions/FAT Viewer?action=UPDATE&amp;creator=factset&amp;DYN_ARGS=TRUE&amp;DOC_NAME=FAT:FQL_AUDITING_CLIENT_TEMPLATE.FAT&amp;display_string=Audit&amp;VAR:KEY=PEBSFAHQFE&amp;VAR:QUERY=RkZfUlRfU0ZfVE9UX0dST1NTKFFUUiwtMjEp&amp;WINDOW=FIRST_POPUP&amp;HEIGHT=450&amp;WIDTH=450&amp;START_MA","XIMIZED=FALSE&amp;VAR:CALENDAR=US&amp;VAR:SYMBOL=DBRN&amp;VAR:INDEX=0"}</definedName>
    <definedName name="_276__FDSAUDITLINK__" localSheetId="1" hidden="1">{"fdsup://Directions/FactSet Auditing Viewer?action=AUDIT_VALUE&amp;DB=129&amp;ID1=00786510&amp;VALUEID=13040&amp;SDATE=200701&amp;PERIODTYPE=QTR_STD&amp;window=popup_no_bar&amp;width=385&amp;height=120&amp;START_MAXIMIZED=FALSE&amp;creator=factset&amp;display_string=Audit"}</definedName>
    <definedName name="_276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2760__FDSAUDITLINK__" localSheetId="1" hidden="1">{"fdsup://directions/FAT Viewer?action=UPDATE&amp;creator=factset&amp;DYN_ARGS=TRUE&amp;DOC_NAME=FAT:FQL_AUDITING_CLIENT_TEMPLATE.FAT&amp;display_string=Audit&amp;VAR:KEY=XAHOVYTITS&amp;VAR:QUERY=RkZfUlRfU0ZfVE9UX0dST1NTKFFUUiwtMjAp&amp;WINDOW=FIRST_POPUP&amp;HEIGHT=450&amp;WIDTH=450&amp;START_MA","XIMIZED=FALSE&amp;VAR:CALENDAR=US&amp;VAR:SYMBOL=DBRN&amp;VAR:INDEX=0"}</definedName>
    <definedName name="_2760__FDSAUDITLINK__" hidden="1">{"fdsup://directions/FAT Viewer?action=UPDATE&amp;creator=factset&amp;DYN_ARGS=TRUE&amp;DOC_NAME=FAT:FQL_AUDITING_CLIENT_TEMPLATE.FAT&amp;display_string=Audit&amp;VAR:KEY=XAHOVYTITS&amp;VAR:QUERY=RkZfUlRfU0ZfVE9UX0dST1NTKFFUUiwtMjAp&amp;WINDOW=FIRST_POPUP&amp;HEIGHT=450&amp;WIDTH=450&amp;START_MA","XIMIZED=FALSE&amp;VAR:CALENDAR=US&amp;VAR:SYMBOL=DBRN&amp;VAR:INDEX=0"}</definedName>
    <definedName name="_2761__FDSAUDITLINK__" localSheetId="1" hidden="1">{"fdsup://directions/FAT Viewer?action=UPDATE&amp;creator=factset&amp;DYN_ARGS=TRUE&amp;DOC_NAME=FAT:FQL_AUDITING_CLIENT_TEMPLATE.FAT&amp;display_string=Audit&amp;VAR:KEY=PCZURWLAJY&amp;VAR:QUERY=RkZfUlRfU0ZfVE9UX0dST1NTKFFUUiwtMTkp&amp;WINDOW=FIRST_POPUP&amp;HEIGHT=450&amp;WIDTH=450&amp;START_MA","XIMIZED=FALSE&amp;VAR:CALENDAR=US&amp;VAR:SYMBOL=DBRN&amp;VAR:INDEX=0"}</definedName>
    <definedName name="_2761__FDSAUDITLINK__" hidden="1">{"fdsup://directions/FAT Viewer?action=UPDATE&amp;creator=factset&amp;DYN_ARGS=TRUE&amp;DOC_NAME=FAT:FQL_AUDITING_CLIENT_TEMPLATE.FAT&amp;display_string=Audit&amp;VAR:KEY=PCZURWLAJY&amp;VAR:QUERY=RkZfUlRfU0ZfVE9UX0dST1NTKFFUUiwtMTkp&amp;WINDOW=FIRST_POPUP&amp;HEIGHT=450&amp;WIDTH=450&amp;START_MA","XIMIZED=FALSE&amp;VAR:CALENDAR=US&amp;VAR:SYMBOL=DBRN&amp;VAR:INDEX=0"}</definedName>
    <definedName name="_2762__FDSAUDITLINK__" localSheetId="1" hidden="1">{"fdsup://directions/FAT Viewer?action=UPDATE&amp;creator=factset&amp;DYN_ARGS=TRUE&amp;DOC_NAME=FAT:FQL_AUDITING_CLIENT_TEMPLATE.FAT&amp;display_string=Audit&amp;VAR:KEY=PWNQRKFAJI&amp;VAR:QUERY=RkZfUlRfU0ZfVE9UX0dST1NTKFFUUiwtMTgp&amp;WINDOW=FIRST_POPUP&amp;HEIGHT=450&amp;WIDTH=450&amp;START_MA","XIMIZED=FALSE&amp;VAR:CALENDAR=US&amp;VAR:SYMBOL=DBRN&amp;VAR:INDEX=0"}</definedName>
    <definedName name="_2762__FDSAUDITLINK__" hidden="1">{"fdsup://directions/FAT Viewer?action=UPDATE&amp;creator=factset&amp;DYN_ARGS=TRUE&amp;DOC_NAME=FAT:FQL_AUDITING_CLIENT_TEMPLATE.FAT&amp;display_string=Audit&amp;VAR:KEY=PWNQRKFAJI&amp;VAR:QUERY=RkZfUlRfU0ZfVE9UX0dST1NTKFFUUiwtMTgp&amp;WINDOW=FIRST_POPUP&amp;HEIGHT=450&amp;WIDTH=450&amp;START_MA","XIMIZED=FALSE&amp;VAR:CALENDAR=US&amp;VAR:SYMBOL=DBRN&amp;VAR:INDEX=0"}</definedName>
    <definedName name="_2763__FDSAUDITLINK__" localSheetId="1" hidden="1">{"fdsup://directions/FAT Viewer?action=UPDATE&amp;creator=factset&amp;DYN_ARGS=TRUE&amp;DOC_NAME=FAT:FQL_AUDITING_CLIENT_TEMPLATE.FAT&amp;display_string=Audit&amp;VAR:KEY=VEJSFSLURG&amp;VAR:QUERY=RkZfUlRfU0ZfVE9UX0dST1NTKFFUUiwtMTcp&amp;WINDOW=FIRST_POPUP&amp;HEIGHT=450&amp;WIDTH=450&amp;START_MA","XIMIZED=FALSE&amp;VAR:CALENDAR=US&amp;VAR:SYMBOL=DBRN&amp;VAR:INDEX=0"}</definedName>
    <definedName name="_2763__FDSAUDITLINK__" hidden="1">{"fdsup://directions/FAT Viewer?action=UPDATE&amp;creator=factset&amp;DYN_ARGS=TRUE&amp;DOC_NAME=FAT:FQL_AUDITING_CLIENT_TEMPLATE.FAT&amp;display_string=Audit&amp;VAR:KEY=VEJSFSLURG&amp;VAR:QUERY=RkZfUlRfU0ZfVE9UX0dST1NTKFFUUiwtMTcp&amp;WINDOW=FIRST_POPUP&amp;HEIGHT=450&amp;WIDTH=450&amp;START_MA","XIMIZED=FALSE&amp;VAR:CALENDAR=US&amp;VAR:SYMBOL=DBRN&amp;VAR:INDEX=0"}</definedName>
    <definedName name="_2764__FDSAUDITLINK__" localSheetId="1" hidden="1">{"fdsup://directions/FAT Viewer?action=UPDATE&amp;creator=factset&amp;DYN_ARGS=TRUE&amp;DOC_NAME=FAT:FQL_AUDITING_CLIENT_TEMPLATE.FAT&amp;display_string=Audit&amp;VAR:KEY=VMZSFOTIPO&amp;VAR:QUERY=RkZfUlRfU0ZfVE9UX0dST1NTKFFUUiwtMTYp&amp;WINDOW=FIRST_POPUP&amp;HEIGHT=450&amp;WIDTH=450&amp;START_MA","XIMIZED=FALSE&amp;VAR:CALENDAR=US&amp;VAR:SYMBOL=DBRN&amp;VAR:INDEX=0"}</definedName>
    <definedName name="_2764__FDSAUDITLINK__" hidden="1">{"fdsup://directions/FAT Viewer?action=UPDATE&amp;creator=factset&amp;DYN_ARGS=TRUE&amp;DOC_NAME=FAT:FQL_AUDITING_CLIENT_TEMPLATE.FAT&amp;display_string=Audit&amp;VAR:KEY=VMZSFOTIPO&amp;VAR:QUERY=RkZfUlRfU0ZfVE9UX0dST1NTKFFUUiwtMTYp&amp;WINDOW=FIRST_POPUP&amp;HEIGHT=450&amp;WIDTH=450&amp;START_MA","XIMIZED=FALSE&amp;VAR:CALENDAR=US&amp;VAR:SYMBOL=DBRN&amp;VAR:INDEX=0"}</definedName>
    <definedName name="_2765__FDSAUDITLINK__" localSheetId="1" hidden="1">{"fdsup://directions/FAT Viewer?action=UPDATE&amp;creator=factset&amp;DYN_ARGS=TRUE&amp;DOC_NAME=FAT:FQL_AUDITING_CLIENT_TEMPLATE.FAT&amp;display_string=Audit&amp;VAR:KEY=NYTEXIPWHK&amp;VAR:QUERY=RkZfUlRfU0ZfVE9UX0dST1NTKFFUUiwtMTUp&amp;WINDOW=FIRST_POPUP&amp;HEIGHT=450&amp;WIDTH=450&amp;START_MA","XIMIZED=FALSE&amp;VAR:CALENDAR=US&amp;VAR:SYMBOL=DBRN&amp;VAR:INDEX=0"}</definedName>
    <definedName name="_2765__FDSAUDITLINK__" hidden="1">{"fdsup://directions/FAT Viewer?action=UPDATE&amp;creator=factset&amp;DYN_ARGS=TRUE&amp;DOC_NAME=FAT:FQL_AUDITING_CLIENT_TEMPLATE.FAT&amp;display_string=Audit&amp;VAR:KEY=NYTEXIPWHK&amp;VAR:QUERY=RkZfUlRfU0ZfVE9UX0dST1NTKFFUUiwtMTUp&amp;WINDOW=FIRST_POPUP&amp;HEIGHT=450&amp;WIDTH=450&amp;START_MA","XIMIZED=FALSE&amp;VAR:CALENDAR=US&amp;VAR:SYMBOL=DBRN&amp;VAR:INDEX=0"}</definedName>
    <definedName name="_2766__FDSAUDITLINK__" localSheetId="1" hidden="1">{"fdsup://directions/FAT Viewer?action=UPDATE&amp;creator=factset&amp;DYN_ARGS=TRUE&amp;DOC_NAME=FAT:FQL_AUDITING_CLIENT_TEMPLATE.FAT&amp;display_string=Audit&amp;VAR:KEY=DSVMZSVMZO&amp;VAR:QUERY=RkZfUlRfU0ZfVE9UX0dST1NTKFFUUiwtMTQp&amp;WINDOW=FIRST_POPUP&amp;HEIGHT=450&amp;WIDTH=450&amp;START_MA","XIMIZED=FALSE&amp;VAR:CALENDAR=US&amp;VAR:SYMBOL=DBRN&amp;VAR:INDEX=0"}</definedName>
    <definedName name="_2766__FDSAUDITLINK__" hidden="1">{"fdsup://directions/FAT Viewer?action=UPDATE&amp;creator=factset&amp;DYN_ARGS=TRUE&amp;DOC_NAME=FAT:FQL_AUDITING_CLIENT_TEMPLATE.FAT&amp;display_string=Audit&amp;VAR:KEY=DSVMZSVMZO&amp;VAR:QUERY=RkZfUlRfU0ZfVE9UX0dST1NTKFFUUiwtMTQp&amp;WINDOW=FIRST_POPUP&amp;HEIGHT=450&amp;WIDTH=450&amp;START_MA","XIMIZED=FALSE&amp;VAR:CALENDAR=US&amp;VAR:SYMBOL=DBRN&amp;VAR:INDEX=0"}</definedName>
    <definedName name="_2767__FDSAUDITLINK__" localSheetId="1" hidden="1">{"fdsup://directions/FAT Viewer?action=UPDATE&amp;creator=factset&amp;DYN_ARGS=TRUE&amp;DOC_NAME=FAT:FQL_AUDITING_CLIENT_TEMPLATE.FAT&amp;display_string=Audit&amp;VAR:KEY=VQXSJSNKJG&amp;VAR:QUERY=RkZfUlRfU0ZfVE9UX0dST1NTKFFUUiwtMTMp&amp;WINDOW=FIRST_POPUP&amp;HEIGHT=450&amp;WIDTH=450&amp;START_MA","XIMIZED=FALSE&amp;VAR:CALENDAR=US&amp;VAR:SYMBOL=DBRN&amp;VAR:INDEX=0"}</definedName>
    <definedName name="_2767__FDSAUDITLINK__" hidden="1">{"fdsup://directions/FAT Viewer?action=UPDATE&amp;creator=factset&amp;DYN_ARGS=TRUE&amp;DOC_NAME=FAT:FQL_AUDITING_CLIENT_TEMPLATE.FAT&amp;display_string=Audit&amp;VAR:KEY=VQXSJSNKJG&amp;VAR:QUERY=RkZfUlRfU0ZfVE9UX0dST1NTKFFUUiwtMTMp&amp;WINDOW=FIRST_POPUP&amp;HEIGHT=450&amp;WIDTH=450&amp;START_MA","XIMIZED=FALSE&amp;VAR:CALENDAR=US&amp;VAR:SYMBOL=DBRN&amp;VAR:INDEX=0"}</definedName>
    <definedName name="_2768__FDSAUDITLINK__" localSheetId="1" hidden="1">{"fdsup://directions/FAT Viewer?action=UPDATE&amp;creator=factset&amp;DYN_ARGS=TRUE&amp;DOC_NAME=FAT:FQL_AUDITING_CLIENT_TEMPLATE.FAT&amp;display_string=Audit&amp;VAR:KEY=PUFCXIVAXG&amp;VAR:QUERY=RkZfUlRfU0ZfVE9UX0dST1NTKFFUUiwtMTIp&amp;WINDOW=FIRST_POPUP&amp;HEIGHT=450&amp;WIDTH=450&amp;START_MA","XIMIZED=FALSE&amp;VAR:CALENDAR=US&amp;VAR:SYMBOL=DBRN&amp;VAR:INDEX=0"}</definedName>
    <definedName name="_2768__FDSAUDITLINK__" hidden="1">{"fdsup://directions/FAT Viewer?action=UPDATE&amp;creator=factset&amp;DYN_ARGS=TRUE&amp;DOC_NAME=FAT:FQL_AUDITING_CLIENT_TEMPLATE.FAT&amp;display_string=Audit&amp;VAR:KEY=PUFCXIVAXG&amp;VAR:QUERY=RkZfUlRfU0ZfVE9UX0dST1NTKFFUUiwtMTIp&amp;WINDOW=FIRST_POPUP&amp;HEIGHT=450&amp;WIDTH=450&amp;START_MA","XIMIZED=FALSE&amp;VAR:CALENDAR=US&amp;VAR:SYMBOL=DBRN&amp;VAR:INDEX=0"}</definedName>
    <definedName name="_2769__FDSAUDITLINK__" localSheetId="1" hidden="1">{"fdsup://directions/FAT Viewer?action=UPDATE&amp;creator=factset&amp;DYN_ARGS=TRUE&amp;DOC_NAME=FAT:FQL_AUDITING_CLIENT_TEMPLATE.FAT&amp;display_string=Audit&amp;VAR:KEY=DUPETUHELY&amp;VAR:QUERY=RkZfUlRfU0ZfVE9UX0dST1NTKFFUUiwtMTEp&amp;WINDOW=FIRST_POPUP&amp;HEIGHT=450&amp;WIDTH=450&amp;START_MA","XIMIZED=FALSE&amp;VAR:CALENDAR=US&amp;VAR:SYMBOL=DBRN&amp;VAR:INDEX=0"}</definedName>
    <definedName name="_2769__FDSAUDITLINK__" hidden="1">{"fdsup://directions/FAT Viewer?action=UPDATE&amp;creator=factset&amp;DYN_ARGS=TRUE&amp;DOC_NAME=FAT:FQL_AUDITING_CLIENT_TEMPLATE.FAT&amp;display_string=Audit&amp;VAR:KEY=DUPETUHELY&amp;VAR:QUERY=RkZfUlRfU0ZfVE9UX0dST1NTKFFUUiwtMTEp&amp;WINDOW=FIRST_POPUP&amp;HEIGHT=450&amp;WIDTH=450&amp;START_MA","XIMIZED=FALSE&amp;VAR:CALENDAR=US&amp;VAR:SYMBOL=DBRN&amp;VAR:INDEX=0"}</definedName>
    <definedName name="_277__FDSAUDITLINK__" localSheetId="1" hidden="1">{"fdsup://Directions/FactSet Auditing Viewer?action=AUDIT_VALUE&amp;DB=129&amp;ID1=00289620&amp;VALUEID=02101&amp;SDATE=200701&amp;PERIODTYPE=QTR_STD&amp;window=popup_no_bar&amp;width=385&amp;height=120&amp;START_MAXIMIZED=FALSE&amp;creator=factset&amp;display_string=Audit"}</definedName>
    <definedName name="_277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2770__FDSAUDITLINK__" localSheetId="1" hidden="1">{"fdsup://directions/FAT Viewer?action=UPDATE&amp;creator=factset&amp;DYN_ARGS=TRUE&amp;DOC_NAME=FAT:FQL_AUDITING_CLIENT_TEMPLATE.FAT&amp;display_string=Audit&amp;VAR:KEY=NSVOPELSHM&amp;VAR:QUERY=RkZfUlRfU0ZfVE9UX0dST1NTKFFUUiwtMTAp&amp;WINDOW=FIRST_POPUP&amp;HEIGHT=450&amp;WIDTH=450&amp;START_MA","XIMIZED=FALSE&amp;VAR:CALENDAR=US&amp;VAR:SYMBOL=DBRN&amp;VAR:INDEX=0"}</definedName>
    <definedName name="_2770__FDSAUDITLINK__" hidden="1">{"fdsup://directions/FAT Viewer?action=UPDATE&amp;creator=factset&amp;DYN_ARGS=TRUE&amp;DOC_NAME=FAT:FQL_AUDITING_CLIENT_TEMPLATE.FAT&amp;display_string=Audit&amp;VAR:KEY=NSVOPELSHM&amp;VAR:QUERY=RkZfUlRfU0ZfVE9UX0dST1NTKFFUUiwtMTAp&amp;WINDOW=FIRST_POPUP&amp;HEIGHT=450&amp;WIDTH=450&amp;START_MA","XIMIZED=FALSE&amp;VAR:CALENDAR=US&amp;VAR:SYMBOL=DBRN&amp;VAR:INDEX=0"}</definedName>
    <definedName name="_2771__FDSAUDITLINK__" localSheetId="1" hidden="1">{"fdsup://directions/FAT Viewer?action=UPDATE&amp;creator=factset&amp;DYN_ARGS=TRUE&amp;DOC_NAME=FAT:FQL_AUDITING_CLIENT_TEMPLATE.FAT&amp;display_string=Audit&amp;VAR:KEY=LUJMZERCNC&amp;VAR:QUERY=RkZfUlRfU0ZfVE9UX0dST1NTKFFUUiwtOSk=&amp;WINDOW=FIRST_POPUP&amp;HEIGHT=450&amp;WIDTH=450&amp;START_MA","XIMIZED=FALSE&amp;VAR:CALENDAR=US&amp;VAR:SYMBOL=DBRN&amp;VAR:INDEX=0"}</definedName>
    <definedName name="_2771__FDSAUDITLINK__" hidden="1">{"fdsup://directions/FAT Viewer?action=UPDATE&amp;creator=factset&amp;DYN_ARGS=TRUE&amp;DOC_NAME=FAT:FQL_AUDITING_CLIENT_TEMPLATE.FAT&amp;display_string=Audit&amp;VAR:KEY=LUJMZERCNC&amp;VAR:QUERY=RkZfUlRfU0ZfVE9UX0dST1NTKFFUUiwtOSk=&amp;WINDOW=FIRST_POPUP&amp;HEIGHT=450&amp;WIDTH=450&amp;START_MA","XIMIZED=FALSE&amp;VAR:CALENDAR=US&amp;VAR:SYMBOL=DBRN&amp;VAR:INDEX=0"}</definedName>
    <definedName name="_2772__FDSAUDITLINK__" localSheetId="1" hidden="1">{"fdsup://directions/FAT Viewer?action=UPDATE&amp;creator=factset&amp;DYN_ARGS=TRUE&amp;DOC_NAME=FAT:FQL_AUDITING_CLIENT_TEMPLATE.FAT&amp;display_string=Audit&amp;VAR:KEY=TMDOHSFIJW&amp;VAR:QUERY=RkZfUlRfU0ZfVE9UX0dST1NTKFFUUiwtOCk=&amp;WINDOW=FIRST_POPUP&amp;HEIGHT=450&amp;WIDTH=450&amp;START_MA","XIMIZED=FALSE&amp;VAR:CALENDAR=US&amp;VAR:SYMBOL=DBRN&amp;VAR:INDEX=0"}</definedName>
    <definedName name="_2772__FDSAUDITLINK__" hidden="1">{"fdsup://directions/FAT Viewer?action=UPDATE&amp;creator=factset&amp;DYN_ARGS=TRUE&amp;DOC_NAME=FAT:FQL_AUDITING_CLIENT_TEMPLATE.FAT&amp;display_string=Audit&amp;VAR:KEY=TMDOHSFIJW&amp;VAR:QUERY=RkZfUlRfU0ZfVE9UX0dST1NTKFFUUiwtOCk=&amp;WINDOW=FIRST_POPUP&amp;HEIGHT=450&amp;WIDTH=450&amp;START_MA","XIMIZED=FALSE&amp;VAR:CALENDAR=US&amp;VAR:SYMBOL=DBRN&amp;VAR:INDEX=0"}</definedName>
    <definedName name="_2773__FDSAUDITLINK__" localSheetId="1" hidden="1">{"fdsup://directions/FAT Viewer?action=UPDATE&amp;creator=factset&amp;DYN_ARGS=TRUE&amp;DOC_NAME=FAT:FQL_AUDITING_CLIENT_TEMPLATE.FAT&amp;display_string=Audit&amp;VAR:KEY=HYDSPKZIXU&amp;VAR:QUERY=RkZfUlRfU0ZfVE9UX0dST1NTKFFUUiwtNyk=&amp;WINDOW=FIRST_POPUP&amp;HEIGHT=450&amp;WIDTH=450&amp;START_MA","XIMIZED=FALSE&amp;VAR:CALENDAR=US&amp;VAR:SYMBOL=DBRN&amp;VAR:INDEX=0"}</definedName>
    <definedName name="_2773__FDSAUDITLINK__" hidden="1">{"fdsup://directions/FAT Viewer?action=UPDATE&amp;creator=factset&amp;DYN_ARGS=TRUE&amp;DOC_NAME=FAT:FQL_AUDITING_CLIENT_TEMPLATE.FAT&amp;display_string=Audit&amp;VAR:KEY=HYDSPKZIXU&amp;VAR:QUERY=RkZfUlRfU0ZfVE9UX0dST1NTKFFUUiwtNyk=&amp;WINDOW=FIRST_POPUP&amp;HEIGHT=450&amp;WIDTH=450&amp;START_MA","XIMIZED=FALSE&amp;VAR:CALENDAR=US&amp;VAR:SYMBOL=DBRN&amp;VAR:INDEX=0"}</definedName>
    <definedName name="_2774__FDSAUDITLINK__" localSheetId="1" hidden="1">{"fdsup://directions/FAT Viewer?action=UPDATE&amp;creator=factset&amp;DYN_ARGS=TRUE&amp;DOC_NAME=FAT:FQL_AUDITING_CLIENT_TEMPLATE.FAT&amp;display_string=Audit&amp;VAR:KEY=DUDYFUJIHE&amp;VAR:QUERY=RkZfUlRfU0ZfVE9UX0dST1NTKFFUUiwtNik=&amp;WINDOW=FIRST_POPUP&amp;HEIGHT=450&amp;WIDTH=450&amp;START_MA","XIMIZED=FALSE&amp;VAR:CALENDAR=US&amp;VAR:SYMBOL=DBRN&amp;VAR:INDEX=0"}</definedName>
    <definedName name="_2774__FDSAUDITLINK__" hidden="1">{"fdsup://directions/FAT Viewer?action=UPDATE&amp;creator=factset&amp;DYN_ARGS=TRUE&amp;DOC_NAME=FAT:FQL_AUDITING_CLIENT_TEMPLATE.FAT&amp;display_string=Audit&amp;VAR:KEY=DUDYFUJIHE&amp;VAR:QUERY=RkZfUlRfU0ZfVE9UX0dST1NTKFFUUiwtNik=&amp;WINDOW=FIRST_POPUP&amp;HEIGHT=450&amp;WIDTH=450&amp;START_MA","XIMIZED=FALSE&amp;VAR:CALENDAR=US&amp;VAR:SYMBOL=DBRN&amp;VAR:INDEX=0"}</definedName>
    <definedName name="_2775__FDSAUDITLINK__" localSheetId="1" hidden="1">{"fdsup://directions/FAT Viewer?action=UPDATE&amp;creator=factset&amp;DYN_ARGS=TRUE&amp;DOC_NAME=FAT:FQL_AUDITING_CLIENT_TEMPLATE.FAT&amp;display_string=Audit&amp;VAR:KEY=BMXMBQZYBW&amp;VAR:QUERY=RkZfUlRfU0ZfVE9UX0dST1NTKFFUUiwtNSk=&amp;WINDOW=FIRST_POPUP&amp;HEIGHT=450&amp;WIDTH=450&amp;START_MA","XIMIZED=FALSE&amp;VAR:CALENDAR=US&amp;VAR:SYMBOL=DBRN&amp;VAR:INDEX=0"}</definedName>
    <definedName name="_2775__FDSAUDITLINK__" hidden="1">{"fdsup://directions/FAT Viewer?action=UPDATE&amp;creator=factset&amp;DYN_ARGS=TRUE&amp;DOC_NAME=FAT:FQL_AUDITING_CLIENT_TEMPLATE.FAT&amp;display_string=Audit&amp;VAR:KEY=BMXMBQZYBW&amp;VAR:QUERY=RkZfUlRfU0ZfVE9UX0dST1NTKFFUUiwtNSk=&amp;WINDOW=FIRST_POPUP&amp;HEIGHT=450&amp;WIDTH=450&amp;START_MA","XIMIZED=FALSE&amp;VAR:CALENDAR=US&amp;VAR:SYMBOL=DBRN&amp;VAR:INDEX=0"}</definedName>
    <definedName name="_2776__FDSAUDITLINK__" localSheetId="1" hidden="1">{"fdsup://directions/FAT Viewer?action=UPDATE&amp;creator=factset&amp;DYN_ARGS=TRUE&amp;DOC_NAME=FAT:FQL_AUDITING_CLIENT_TEMPLATE.FAT&amp;display_string=Audit&amp;VAR:KEY=FMXGVCLQVA&amp;VAR:QUERY=RkZfUlRfU0ZfVE9UX0dST1NTKFFUUiwtNCk=&amp;WINDOW=FIRST_POPUP&amp;HEIGHT=450&amp;WIDTH=450&amp;START_MA","XIMIZED=FALSE&amp;VAR:CALENDAR=US&amp;VAR:SYMBOL=DBRN&amp;VAR:INDEX=0"}</definedName>
    <definedName name="_2776__FDSAUDITLINK__" hidden="1">{"fdsup://directions/FAT Viewer?action=UPDATE&amp;creator=factset&amp;DYN_ARGS=TRUE&amp;DOC_NAME=FAT:FQL_AUDITING_CLIENT_TEMPLATE.FAT&amp;display_string=Audit&amp;VAR:KEY=FMXGVCLQVA&amp;VAR:QUERY=RkZfUlRfU0ZfVE9UX0dST1NTKFFUUiwtNCk=&amp;WINDOW=FIRST_POPUP&amp;HEIGHT=450&amp;WIDTH=450&amp;START_MA","XIMIZED=FALSE&amp;VAR:CALENDAR=US&amp;VAR:SYMBOL=DBRN&amp;VAR:INDEX=0"}</definedName>
    <definedName name="_2777__FDSAUDITLINK__" localSheetId="1" hidden="1">{"fdsup://directions/FAT Viewer?action=UPDATE&amp;creator=factset&amp;DYN_ARGS=TRUE&amp;DOC_NAME=FAT:FQL_AUDITING_CLIENT_TEMPLATE.FAT&amp;display_string=Audit&amp;VAR:KEY=JKNULCRGRS&amp;VAR:QUERY=RkZfUlRfU0ZfVE9UX0dST1NTKFFUUiwtMyk=&amp;WINDOW=FIRST_POPUP&amp;HEIGHT=450&amp;WIDTH=450&amp;START_MA","XIMIZED=FALSE&amp;VAR:CALENDAR=US&amp;VAR:SYMBOL=DBRN&amp;VAR:INDEX=0"}</definedName>
    <definedName name="_2777__FDSAUDITLINK__" hidden="1">{"fdsup://directions/FAT Viewer?action=UPDATE&amp;creator=factset&amp;DYN_ARGS=TRUE&amp;DOC_NAME=FAT:FQL_AUDITING_CLIENT_TEMPLATE.FAT&amp;display_string=Audit&amp;VAR:KEY=JKNULCRGRS&amp;VAR:QUERY=RkZfUlRfU0ZfVE9UX0dST1NTKFFUUiwtMyk=&amp;WINDOW=FIRST_POPUP&amp;HEIGHT=450&amp;WIDTH=450&amp;START_MA","XIMIZED=FALSE&amp;VAR:CALENDAR=US&amp;VAR:SYMBOL=DBRN&amp;VAR:INDEX=0"}</definedName>
    <definedName name="_2778__FDSAUDITLINK__" localSheetId="1" hidden="1">{"fdsup://directions/FAT Viewer?action=UPDATE&amp;creator=factset&amp;DYN_ARGS=TRUE&amp;DOC_NAME=FAT:FQL_AUDITING_CLIENT_TEMPLATE.FAT&amp;display_string=Audit&amp;VAR:KEY=TIRMXCDUPO&amp;VAR:QUERY=RkZfUlRfU0ZfVE9UX0dST1NTKFFUUiwtMik=&amp;WINDOW=FIRST_POPUP&amp;HEIGHT=450&amp;WIDTH=450&amp;START_MA","XIMIZED=FALSE&amp;VAR:CALENDAR=US&amp;VAR:SYMBOL=DBRN&amp;VAR:INDEX=0"}</definedName>
    <definedName name="_2778__FDSAUDITLINK__" hidden="1">{"fdsup://directions/FAT Viewer?action=UPDATE&amp;creator=factset&amp;DYN_ARGS=TRUE&amp;DOC_NAME=FAT:FQL_AUDITING_CLIENT_TEMPLATE.FAT&amp;display_string=Audit&amp;VAR:KEY=TIRMXCDUPO&amp;VAR:QUERY=RkZfUlRfU0ZfVE9UX0dST1NTKFFUUiwtMik=&amp;WINDOW=FIRST_POPUP&amp;HEIGHT=450&amp;WIDTH=450&amp;START_MA","XIMIZED=FALSE&amp;VAR:CALENDAR=US&amp;VAR:SYMBOL=DBRN&amp;VAR:INDEX=0"}</definedName>
    <definedName name="_2779__FDSAUDITLINK__" localSheetId="1" hidden="1">{"fdsup://directions/FAT Viewer?action=UPDATE&amp;creator=factset&amp;DYN_ARGS=TRUE&amp;DOC_NAME=FAT:FQL_AUDITING_CLIENT_TEMPLATE.FAT&amp;display_string=Audit&amp;VAR:KEY=XMFIZGVCXS&amp;VAR:QUERY=RkZfUlRfU0ZfVE9UX0dST1NTKFFUUiwtMSk=&amp;WINDOW=FIRST_POPUP&amp;HEIGHT=450&amp;WIDTH=450&amp;START_MA","XIMIZED=FALSE&amp;VAR:CALENDAR=US&amp;VAR:SYMBOL=DBRN&amp;VAR:INDEX=0"}</definedName>
    <definedName name="_2779__FDSAUDITLINK__" hidden="1">{"fdsup://directions/FAT Viewer?action=UPDATE&amp;creator=factset&amp;DYN_ARGS=TRUE&amp;DOC_NAME=FAT:FQL_AUDITING_CLIENT_TEMPLATE.FAT&amp;display_string=Audit&amp;VAR:KEY=XMFIZGVCXS&amp;VAR:QUERY=RkZfUlRfU0ZfVE9UX0dST1NTKFFUUiwtMSk=&amp;WINDOW=FIRST_POPUP&amp;HEIGHT=450&amp;WIDTH=450&amp;START_MA","XIMIZED=FALSE&amp;VAR:CALENDAR=US&amp;VAR:SYMBOL=DBRN&amp;VAR:INDEX=0"}</definedName>
    <definedName name="_278__FDSAUDITLINK__" localSheetId="1" hidden="1">{"fdsup://Directions/FactSet Auditing Viewer?action=AUDIT_VALUE&amp;DB=129&amp;ID1=00289620&amp;VALUEID=01001&amp;SDATE=200701&amp;PERIODTYPE=QTR_STD&amp;window=popup_no_bar&amp;width=385&amp;height=120&amp;START_MAXIMIZED=FALSE&amp;creator=factset&amp;display_string=Audit"}</definedName>
    <definedName name="_278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2780__FDSAUDITLINK__" localSheetId="1" hidden="1">{"fdsup://directions/FAT Viewer?action=UPDATE&amp;creator=factset&amp;DYN_ARGS=TRUE&amp;DOC_NAME=FAT:FQL_AUDITING_CLIENT_TEMPLATE.FAT&amp;display_string=Audit&amp;VAR:KEY=FCXIFIFAHG&amp;VAR:QUERY=RkZfUlRfU0ZfVE9UX0dST1NTKFFUUiwwKQ==&amp;WINDOW=FIRST_POPUP&amp;HEIGHT=450&amp;WIDTH=450&amp;START_MA","XIMIZED=FALSE&amp;VAR:CALENDAR=US&amp;VAR:SYMBOL=DBRN&amp;VAR:INDEX=0"}</definedName>
    <definedName name="_2780__FDSAUDITLINK__" hidden="1">{"fdsup://directions/FAT Viewer?action=UPDATE&amp;creator=factset&amp;DYN_ARGS=TRUE&amp;DOC_NAME=FAT:FQL_AUDITING_CLIENT_TEMPLATE.FAT&amp;display_string=Audit&amp;VAR:KEY=FCXIFIFAHG&amp;VAR:QUERY=RkZfUlRfU0ZfVE9UX0dST1NTKFFUUiwwKQ==&amp;WINDOW=FIRST_POPUP&amp;HEIGHT=450&amp;WIDTH=450&amp;START_MA","XIMIZED=FALSE&amp;VAR:CALENDAR=US&amp;VAR:SYMBOL=DBRN&amp;VAR:INDEX=0"}</definedName>
    <definedName name="_2781__FDSAUDITLINK__" localSheetId="1" hidden="1">{"fdsup://directions/FAT Viewer?action=UPDATE&amp;creator=factset&amp;DYN_ARGS=TRUE&amp;DOC_NAME=FAT:FQL_AUDITING_CLIENT_TEMPLATE.FAT&amp;display_string=Audit&amp;VAR:KEY=FCXIFIFAHG&amp;VAR:QUERY=RkZfUlRfU0ZfVE9UX0dST1NTKFFUUiwwKQ==&amp;WINDOW=FIRST_POPUP&amp;HEIGHT=450&amp;WIDTH=450&amp;START_MA","XIMIZED=FALSE&amp;VAR:CALENDAR=US&amp;VAR:SYMBOL=DBRN&amp;VAR:INDEX=0"}</definedName>
    <definedName name="_2781__FDSAUDITLINK__" hidden="1">{"fdsup://directions/FAT Viewer?action=UPDATE&amp;creator=factset&amp;DYN_ARGS=TRUE&amp;DOC_NAME=FAT:FQL_AUDITING_CLIENT_TEMPLATE.FAT&amp;display_string=Audit&amp;VAR:KEY=FCXIFIFAHG&amp;VAR:QUERY=RkZfUlRfU0ZfVE9UX0dST1NTKFFUUiwwKQ==&amp;WINDOW=FIRST_POPUP&amp;HEIGHT=450&amp;WIDTH=450&amp;START_MA","XIMIZED=FALSE&amp;VAR:CALENDAR=US&amp;VAR:SYMBOL=DBRN&amp;VAR:INDEX=0"}</definedName>
    <definedName name="_2782__FDSAUDITLINK__" localSheetId="1" hidden="1">{"fdsup://directions/FAT Viewer?action=UPDATE&amp;creator=factset&amp;DYN_ARGS=TRUE&amp;DOC_NAME=FAT:FQL_AUDITING_CLIENT_TEMPLATE.FAT&amp;display_string=Audit&amp;VAR:KEY=XMFIZGVCXS&amp;VAR:QUERY=RkZfUlRfU0ZfVE9UX0dST1NTKFFUUiwtMSk=&amp;WINDOW=FIRST_POPUP&amp;HEIGHT=450&amp;WIDTH=450&amp;START_MA","XIMIZED=FALSE&amp;VAR:CALENDAR=US&amp;VAR:SYMBOL=DBRN&amp;VAR:INDEX=0"}</definedName>
    <definedName name="_2782__FDSAUDITLINK__" hidden="1">{"fdsup://directions/FAT Viewer?action=UPDATE&amp;creator=factset&amp;DYN_ARGS=TRUE&amp;DOC_NAME=FAT:FQL_AUDITING_CLIENT_TEMPLATE.FAT&amp;display_string=Audit&amp;VAR:KEY=XMFIZGVCXS&amp;VAR:QUERY=RkZfUlRfU0ZfVE9UX0dST1NTKFFUUiwtMSk=&amp;WINDOW=FIRST_POPUP&amp;HEIGHT=450&amp;WIDTH=450&amp;START_MA","XIMIZED=FALSE&amp;VAR:CALENDAR=US&amp;VAR:SYMBOL=DBRN&amp;VAR:INDEX=0"}</definedName>
    <definedName name="_2783__FDSAUDITLINK__" localSheetId="1" hidden="1">{"fdsup://directions/FAT Viewer?action=UPDATE&amp;creator=factset&amp;DYN_ARGS=TRUE&amp;DOC_NAME=FAT:FQL_AUDITING_CLIENT_TEMPLATE.FAT&amp;display_string=Audit&amp;VAR:KEY=TIRMXCDUPO&amp;VAR:QUERY=RkZfUlRfU0ZfVE9UX0dST1NTKFFUUiwtMik=&amp;WINDOW=FIRST_POPUP&amp;HEIGHT=450&amp;WIDTH=450&amp;START_MA","XIMIZED=FALSE&amp;VAR:CALENDAR=US&amp;VAR:SYMBOL=DBRN&amp;VAR:INDEX=0"}</definedName>
    <definedName name="_2783__FDSAUDITLINK__" hidden="1">{"fdsup://directions/FAT Viewer?action=UPDATE&amp;creator=factset&amp;DYN_ARGS=TRUE&amp;DOC_NAME=FAT:FQL_AUDITING_CLIENT_TEMPLATE.FAT&amp;display_string=Audit&amp;VAR:KEY=TIRMXCDUPO&amp;VAR:QUERY=RkZfUlRfU0ZfVE9UX0dST1NTKFFUUiwtMik=&amp;WINDOW=FIRST_POPUP&amp;HEIGHT=450&amp;WIDTH=450&amp;START_MA","XIMIZED=FALSE&amp;VAR:CALENDAR=US&amp;VAR:SYMBOL=DBRN&amp;VAR:INDEX=0"}</definedName>
    <definedName name="_279__FDSAUDITLINK__" localSheetId="1" hidden="1">{"fdsup://Directions/FactSet Auditing Viewer?action=AUDIT_VALUE&amp;DB=129&amp;ID1=00289620&amp;VALUEID=13040&amp;SDATE=200701&amp;PERIODTYPE=QTR_STD&amp;window=popup_no_bar&amp;width=385&amp;height=120&amp;START_MAXIMIZED=FALSE&amp;creator=factset&amp;display_string=Audit"}</definedName>
    <definedName name="_279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28__FDSAUDITLINK__" localSheetId="1" hidden="1">{"fdsup://Directions/FactSet Auditing Viewer?action=AUDIT_VALUE&amp;DB=129&amp;ID1=02553E10&amp;VALUEID=01001&amp;SDATE=200904&amp;PERIODTYPE=QTR_STD&amp;window=popup_no_bar&amp;width=385&amp;height=120&amp;START_MAXIMIZED=FALSE&amp;creator=factset&amp;display_string=Audit"}</definedName>
    <definedName name="_28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280__FDSAUDITLINK__" localSheetId="1" hidden="1">{"fdsup://Directions/FactSet Auditing Viewer?action=AUDIT_VALUE&amp;DB=129&amp;ID1=87416110&amp;VALUEID=01001&amp;SDATE=200604&amp;PERIODTYPE=QTR_STD&amp;window=popup_no_bar&amp;width=385&amp;height=120&amp;START_MAXIMIZED=FALSE&amp;creator=factset&amp;display_string=Audit"}</definedName>
    <definedName name="_280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281__FDSAUDITLINK__" localSheetId="1" hidden="1">{"fdsup://Directions/FactSet Auditing Viewer?action=AUDIT_VALUE&amp;DB=129&amp;ID1=46612H40&amp;VALUEID=01001&amp;SDATE=200604&amp;PERIODTYPE=QTR_STD&amp;window=popup_no_bar&amp;width=385&amp;height=120&amp;START_MAXIMIZED=FALSE&amp;creator=factset&amp;display_string=Audit"}</definedName>
    <definedName name="_281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282__FDSAUDITLINK__" localSheetId="1" hidden="1">{"fdsup://Directions/FactSet Auditing Viewer?action=AUDIT_VALUE&amp;DB=129&amp;ID1=36476010&amp;VALUEID=01001&amp;SDATE=200604&amp;PERIODTYPE=QTR_STD&amp;window=popup_no_bar&amp;width=385&amp;height=120&amp;START_MAXIMIZED=FALSE&amp;creator=factset&amp;display_string=Audit"}</definedName>
    <definedName name="_282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283__FDSAUDITLINK__" localSheetId="1" hidden="1">{"fdsup://Directions/FactSet Auditing Viewer?action=AUDIT_VALUE&amp;DB=129&amp;ID1=03611510&amp;VALUEID=01001&amp;SDATE=200604&amp;PERIODTYPE=QTR_STD&amp;window=popup_no_bar&amp;width=385&amp;height=120&amp;START_MAXIMIZED=FALSE&amp;creator=factset&amp;display_string=Audit"}</definedName>
    <definedName name="_283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284__FDSAUDITLINK__" localSheetId="1" hidden="1">{"fdsup://Directions/FactSet Auditing Viewer?action=AUDIT_VALUE&amp;DB=129&amp;ID1=16890510&amp;VALUEID=01001&amp;SDATE=200604&amp;PERIODTYPE=QTR_STD&amp;window=popup_no_bar&amp;width=385&amp;height=120&amp;START_MAXIMIZED=FALSE&amp;creator=factset&amp;display_string=Audit"}</definedName>
    <definedName name="_284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285__FDSAUDITLINK__" localSheetId="1"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285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286__FDSAUDITLINK__" localSheetId="1" hidden="1">{"fdsup://Directions/FactSet Auditing Viewer?action=AUDIT_VALUE&amp;DB=129&amp;ID1=00786510&amp;VALUEID=01001&amp;SDATE=200604&amp;PERIODTYPE=QTR_STD&amp;window=popup_no_bar&amp;width=385&amp;height=120&amp;START_MAXIMIZED=FALSE&amp;creator=factset&amp;display_string=Audit"}</definedName>
    <definedName name="_286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287__FDSAUDITLINK__" localSheetId="1" hidden="1">{"fdsup://Directions/FactSet Auditing Viewer?action=AUDIT_VALUE&amp;DB=129&amp;ID1=87416110&amp;VALUEID=02101&amp;SDATE=200603&amp;PERIODTYPE=QTR_STD&amp;window=popup_no_bar&amp;width=385&amp;height=120&amp;START_MAXIMIZED=FALSE&amp;creator=factset&amp;display_string=Audit"}</definedName>
    <definedName name="_287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288__FDSAUDITLINK__" localSheetId="1" hidden="1">{"fdsup://Directions/FactSet Auditing Viewer?action=AUDIT_VALUE&amp;DB=129&amp;ID1=87416110&amp;VALUEID=01001&amp;SDATE=200603&amp;PERIODTYPE=QTR_STD&amp;window=popup_no_bar&amp;width=385&amp;height=120&amp;START_MAXIMIZED=FALSE&amp;creator=factset&amp;display_string=Audit"}</definedName>
    <definedName name="_288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289__FDSAUDITLINK__" localSheetId="1" hidden="1">{"fdsup://Directions/FactSet Auditing Viewer?action=AUDIT_VALUE&amp;DB=129&amp;ID1=53271610&amp;VALUEID=02101&amp;SDATE=200603&amp;PERIODTYPE=QTR_STD&amp;window=popup_no_bar&amp;width=385&amp;height=120&amp;START_MAXIMIZED=FALSE&amp;creator=factset&amp;display_string=Audit"}</definedName>
    <definedName name="_289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29__FDSAUDITLINK__" localSheetId="1" hidden="1">{"fdsup://Directions/FactSet Auditing Viewer?action=AUDIT_VALUE&amp;DB=129&amp;ID1=00786510&amp;VALUEID=01001&amp;SDATE=200904&amp;PERIODTYPE=QTR_STD&amp;window=popup_no_bar&amp;width=385&amp;height=120&amp;START_MAXIMIZED=FALSE&amp;creator=factset&amp;display_string=Audit"}</definedName>
    <definedName name="_29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290__FDSAUDITLINK__" localSheetId="1" hidden="1">{"fdsup://Directions/FactSet Auditing Viewer?action=AUDIT_VALUE&amp;DB=129&amp;ID1=53271610&amp;VALUEID=01001&amp;SDATE=200603&amp;PERIODTYPE=QTR_STD&amp;window=popup_no_bar&amp;width=385&amp;height=120&amp;START_MAXIMIZED=FALSE&amp;creator=factset&amp;display_string=Audit"}</definedName>
    <definedName name="_290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291__FDSAUDITLINK__" localSheetId="1" hidden="1">{"fdsup://Directions/FactSet Auditing Viewer?action=AUDIT_VALUE&amp;DB=129&amp;ID1=53271610&amp;VALUEID=13040&amp;SDATE=200603&amp;PERIODTYPE=QTR_STD&amp;window=popup_no_bar&amp;width=385&amp;height=120&amp;START_MAXIMIZED=FALSE&amp;creator=factset&amp;display_string=Audit"}</definedName>
    <definedName name="_291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292__FDSAUDITLINK__" localSheetId="1" hidden="1">{"fdsup://Directions/FactSet Auditing Viewer?action=AUDIT_VALUE&amp;DB=129&amp;ID1=46612H40&amp;VALUEID=02101&amp;SDATE=200603&amp;PERIODTYPE=QTR_STD&amp;window=popup_no_bar&amp;width=385&amp;height=120&amp;START_MAXIMIZED=FALSE&amp;creator=factset&amp;display_string=Audit"}</definedName>
    <definedName name="_292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293__FDSAUDITLINK__" localSheetId="1" hidden="1">{"fdsup://Directions/FactSet Auditing Viewer?action=AUDIT_VALUE&amp;DB=129&amp;ID1=46612H40&amp;VALUEID=01001&amp;SDATE=200603&amp;PERIODTYPE=QTR_STD&amp;window=popup_no_bar&amp;width=385&amp;height=120&amp;START_MAXIMIZED=FALSE&amp;creator=factset&amp;display_string=Audit"}</definedName>
    <definedName name="_293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294__FDSAUDITLINK__" localSheetId="1" hidden="1">{"fdsup://Directions/FactSet Auditing Viewer?action=AUDIT_VALUE&amp;DB=129&amp;ID1=46612H40&amp;VALUEID=13040&amp;SDATE=200603&amp;PERIODTYPE=QTR_STD&amp;window=popup_no_bar&amp;width=385&amp;height=120&amp;START_MAXIMIZED=FALSE&amp;creator=factset&amp;display_string=Audit"}</definedName>
    <definedName name="_294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295__FDSAUDITLINK__" localSheetId="1" hidden="1">{"fdsup://Directions/FactSet Auditing Viewer?action=AUDIT_VALUE&amp;DB=129&amp;ID1=36476010&amp;VALUEID=02101&amp;SDATE=200603&amp;PERIODTYPE=QTR_STD&amp;window=popup_no_bar&amp;width=385&amp;height=120&amp;START_MAXIMIZED=FALSE&amp;creator=factset&amp;display_string=Audit"}</definedName>
    <definedName name="_295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296__FDSAUDITLINK__" localSheetId="1" hidden="1">{"fdsup://Directions/FactSet Auditing Viewer?action=AUDIT_VALUE&amp;DB=129&amp;ID1=36476010&amp;VALUEID=01001&amp;SDATE=200603&amp;PERIODTYPE=QTR_STD&amp;window=popup_no_bar&amp;width=385&amp;height=120&amp;START_MAXIMIZED=FALSE&amp;creator=factset&amp;display_string=Audit"}</definedName>
    <definedName name="_296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297__FDSAUDITLINK__" localSheetId="1" hidden="1">{"fdsup://Directions/FactSet Auditing Viewer?action=AUDIT_VALUE&amp;DB=129&amp;ID1=36476010&amp;VALUEID=13040&amp;SDATE=200603&amp;PERIODTYPE=QTR_STD&amp;window=popup_no_bar&amp;width=385&amp;height=120&amp;START_MAXIMIZED=FALSE&amp;creator=factset&amp;display_string=Audit"}</definedName>
    <definedName name="_297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298__FDSAUDITLINK__" localSheetId="1" hidden="1">{"fdsup://Directions/FactSet Auditing Viewer?action=AUDIT_VALUE&amp;DB=129&amp;ID1=03611510&amp;VALUEID=02101&amp;SDATE=200603&amp;PERIODTYPE=QTR_STD&amp;window=popup_no_bar&amp;width=385&amp;height=120&amp;START_MAXIMIZED=FALSE&amp;creator=factset&amp;display_string=Audit"}</definedName>
    <definedName name="_298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299__FDSAUDITLINK__" localSheetId="1" hidden="1">{"fdsup://Directions/FactSet Auditing Viewer?action=AUDIT_VALUE&amp;DB=129&amp;ID1=03611510&amp;VALUEID=01001&amp;SDATE=200603&amp;PERIODTYPE=QTR_STD&amp;window=popup_no_bar&amp;width=385&amp;height=120&amp;START_MAXIMIZED=FALSE&amp;creator=factset&amp;display_string=Audit"}</definedName>
    <definedName name="_299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3__FDSAUDITLINK__" localSheetId="1"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3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30__FDSAUDITLINK__" localSheetId="1" hidden="1">{"fdsup://Directions/FactSet Auditing Viewer?action=AUDIT_VALUE&amp;DB=129&amp;ID1=87416110&amp;VALUEID=02101&amp;SDATE=200903&amp;PERIODTYPE=QTR_STD&amp;window=popup_no_bar&amp;width=385&amp;height=120&amp;START_MAXIMIZED=FALSE&amp;creator=factset&amp;display_string=Audit"}</definedName>
    <definedName name="_30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300__FDSAUDITLINK__" localSheetId="1" hidden="1">{"fdsup://Directions/FactSet Auditing Viewer?action=AUDIT_VALUE&amp;DB=129&amp;ID1=03611510&amp;VALUEID=13040&amp;SDATE=200603&amp;PERIODTYPE=QTR_STD&amp;window=popup_no_bar&amp;width=385&amp;height=120&amp;START_MAXIMIZED=FALSE&amp;creator=factset&amp;display_string=Audit"}</definedName>
    <definedName name="_300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301__FDSAUDITLINK__" localSheetId="1" hidden="1">{"fdsup://Directions/FactSet Auditing Viewer?action=AUDIT_VALUE&amp;DB=129&amp;ID1=16890510&amp;VALUEID=02101&amp;SDATE=200603&amp;PERIODTYPE=QTR_STD&amp;window=popup_no_bar&amp;width=385&amp;height=120&amp;START_MAXIMIZED=FALSE&amp;creator=factset&amp;display_string=Audit"}</definedName>
    <definedName name="_301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302__FDSAUDITLINK__" localSheetId="1" hidden="1">{"fdsup://Directions/FactSet Auditing Viewer?action=AUDIT_VALUE&amp;DB=129&amp;ID1=16890510&amp;VALUEID=01001&amp;SDATE=200603&amp;PERIODTYPE=QTR_STD&amp;window=popup_no_bar&amp;width=385&amp;height=120&amp;START_MAXIMIZED=FALSE&amp;creator=factset&amp;display_string=Audit"}</definedName>
    <definedName name="_302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303__FDSAUDITLINK__" localSheetId="1" hidden="1">{"fdsup://Directions/FactSet Auditing Viewer?action=AUDIT_VALUE&amp;DB=129&amp;ID1=91704710&amp;VALUEID=02101&amp;SDATE=200603&amp;PERIODTYPE=QTR_STD&amp;window=popup_no_bar&amp;width=385&amp;height=120&amp;START_MAXIMIZED=FALSE&amp;creator=factset&amp;display_string=Audit"}</definedName>
    <definedName name="_303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304__FDSAUDITLINK__" localSheetId="1" hidden="1">{"fdsup://Directions/FactSet Auditing Viewer?action=AUDIT_VALUE&amp;DB=129&amp;ID1=91704710&amp;VALUEID=01001&amp;SDATE=200603&amp;PERIODTYPE=QTR_STD&amp;window=popup_no_bar&amp;width=385&amp;height=120&amp;START_MAXIMIZED=FALSE&amp;creator=factset&amp;display_string=Audit"}</definedName>
    <definedName name="_304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305__FDSAUDITLINK__" localSheetId="1" hidden="1">{"fdsup://Directions/FactSet Auditing Viewer?action=AUDIT_VALUE&amp;DB=129&amp;ID1=91704710&amp;VALUEID=13040&amp;SDATE=200603&amp;PERIODTYPE=QTR_STD&amp;window=popup_no_bar&amp;width=385&amp;height=120&amp;START_MAXIMIZED=FALSE&amp;creator=factset&amp;display_string=Audit"}</definedName>
    <definedName name="_305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306__FDSAUDITLINK__" localSheetId="1"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306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307__FDSAUDITLINK__" localSheetId="1" hidden="1">{"fdsup://Directions/FactSet Auditing Viewer?action=AUDIT_VALUE&amp;DB=129&amp;ID1=00786510&amp;VALUEID=02101&amp;SDATE=200603&amp;PERIODTYPE=QTR_STD&amp;window=popup_no_bar&amp;width=385&amp;height=120&amp;START_MAXIMIZED=FALSE&amp;creator=factset&amp;display_string=Audit"}</definedName>
    <definedName name="_307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308__FDSAUDITLINK__" localSheetId="1" hidden="1">{"fdsup://Directions/FactSet Auditing Viewer?action=AUDIT_VALUE&amp;DB=129&amp;ID1=00786510&amp;VALUEID=01001&amp;SDATE=200603&amp;PERIODTYPE=QTR_STD&amp;window=popup_no_bar&amp;width=385&amp;height=120&amp;START_MAXIMIZED=FALSE&amp;creator=factset&amp;display_string=Audit"}</definedName>
    <definedName name="_308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309__FDSAUDITLINK__" localSheetId="1" hidden="1">{"fdsup://Directions/FactSet Auditing Viewer?action=AUDIT_VALUE&amp;DB=129&amp;ID1=00786510&amp;VALUEID=13040&amp;SDATE=200603&amp;PERIODTYPE=QTR_STD&amp;window=popup_no_bar&amp;width=385&amp;height=120&amp;START_MAXIMIZED=FALSE&amp;creator=factset&amp;display_string=Audit"}</definedName>
    <definedName name="_309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31__FDSAUDITLINK__" localSheetId="1" hidden="1">{"fdsup://Directions/FactSet Auditing Viewer?action=AUDIT_VALUE&amp;DB=129&amp;ID1=87416110&amp;VALUEID=01001&amp;SDATE=200903&amp;PERIODTYPE=QTR_STD&amp;window=popup_no_bar&amp;width=385&amp;height=120&amp;START_MAXIMIZED=FALSE&amp;creator=factset&amp;display_string=Audit"}</definedName>
    <definedName name="_31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310__FDSAUDITLINK__" localSheetId="1" hidden="1">{"fdsup://Directions/FactSet Auditing Viewer?action=AUDIT_VALUE&amp;DB=129&amp;ID1=00289620&amp;VALUEID=02101&amp;SDATE=200603&amp;PERIODTYPE=QTR_STD&amp;window=popup_no_bar&amp;width=385&amp;height=120&amp;START_MAXIMIZED=FALSE&amp;creator=factset&amp;display_string=Audit"}</definedName>
    <definedName name="_310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311__FDSAUDITLINK__" localSheetId="1" hidden="1">{"fdsup://Directions/FactSet Auditing Viewer?action=AUDIT_VALUE&amp;DB=129&amp;ID1=00289620&amp;VALUEID=01001&amp;SDATE=200603&amp;PERIODTYPE=QTR_STD&amp;window=popup_no_bar&amp;width=385&amp;height=120&amp;START_MAXIMIZED=FALSE&amp;creator=factset&amp;display_string=Audit"}</definedName>
    <definedName name="_311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312__FDSAUDITLINK__" localSheetId="1" hidden="1">{"fdsup://Directions/FactSet Auditing Viewer?action=AUDIT_VALUE&amp;DB=129&amp;ID1=00289620&amp;VALUEID=13040&amp;SDATE=200603&amp;PERIODTYPE=QTR_STD&amp;window=popup_no_bar&amp;width=385&amp;height=120&amp;START_MAXIMIZED=FALSE&amp;creator=factset&amp;display_string=Audit"}</definedName>
    <definedName name="_312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313__FDSAUDITLINK__" localSheetId="1" hidden="1">{"fdsup://Directions/FactSet Auditing Viewer?action=AUDIT_VALUE&amp;DB=129&amp;ID1=87416110&amp;VALUEID=02101&amp;SDATE=200602&amp;PERIODTYPE=QTR_STD&amp;window=popup_no_bar&amp;width=385&amp;height=120&amp;START_MAXIMIZED=FALSE&amp;creator=factset&amp;display_string=Audit"}</definedName>
    <definedName name="_313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314__FDSAUDITLINK__" localSheetId="1" hidden="1">{"fdsup://Directions/FactSet Auditing Viewer?action=AUDIT_VALUE&amp;DB=129&amp;ID1=87416110&amp;VALUEID=01001&amp;SDATE=200602&amp;PERIODTYPE=QTR_STD&amp;window=popup_no_bar&amp;width=385&amp;height=120&amp;START_MAXIMIZED=FALSE&amp;creator=factset&amp;display_string=Audit"}</definedName>
    <definedName name="_314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315__FDSAUDITLINK__" localSheetId="1" hidden="1">{"fdsup://Directions/FactSet Auditing Viewer?action=AUDIT_VALUE&amp;DB=129&amp;ID1=53271610&amp;VALUEID=02101&amp;SDATE=200602&amp;PERIODTYPE=QTR_STD&amp;window=popup_no_bar&amp;width=385&amp;height=120&amp;START_MAXIMIZED=FALSE&amp;creator=factset&amp;display_string=Audit"}</definedName>
    <definedName name="_315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316__FDSAUDITLINK__" localSheetId="1" hidden="1">{"fdsup://Directions/FactSet Auditing Viewer?action=AUDIT_VALUE&amp;DB=129&amp;ID1=53271610&amp;VALUEID=01001&amp;SDATE=200602&amp;PERIODTYPE=QTR_STD&amp;window=popup_no_bar&amp;width=385&amp;height=120&amp;START_MAXIMIZED=FALSE&amp;creator=factset&amp;display_string=Audit"}</definedName>
    <definedName name="_316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317__FDSAUDITLINK__" localSheetId="1" hidden="1">{"fdsup://Directions/FactSet Auditing Viewer?action=AUDIT_VALUE&amp;DB=129&amp;ID1=53271610&amp;VALUEID=13040&amp;SDATE=200602&amp;PERIODTYPE=QTR_STD&amp;window=popup_no_bar&amp;width=385&amp;height=120&amp;START_MAXIMIZED=FALSE&amp;creator=factset&amp;display_string=Audit"}</definedName>
    <definedName name="_317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318__FDSAUDITLINK__" localSheetId="1" hidden="1">{"fdsup://Directions/FactSet Auditing Viewer?action=AUDIT_VALUE&amp;DB=129&amp;ID1=46612H40&amp;VALUEID=02101&amp;SDATE=200602&amp;PERIODTYPE=QTR_STD&amp;window=popup_no_bar&amp;width=385&amp;height=120&amp;START_MAXIMIZED=FALSE&amp;creator=factset&amp;display_string=Audit"}</definedName>
    <definedName name="_318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319__FDSAUDITLINK__" localSheetId="1" hidden="1">{"fdsup://Directions/FactSet Auditing Viewer?action=AUDIT_VALUE&amp;DB=129&amp;ID1=46612H40&amp;VALUEID=01001&amp;SDATE=200602&amp;PERIODTYPE=QTR_STD&amp;window=popup_no_bar&amp;width=385&amp;height=120&amp;START_MAXIMIZED=FALSE&amp;creator=factset&amp;display_string=Audit"}</definedName>
    <definedName name="_319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32__FDSAUDITLINK__" localSheetId="1" hidden="1">{"fdsup://Directions/FactSet Auditing Viewer?action=AUDIT_VALUE&amp;DB=129&amp;ID1=87416110&amp;VALUEID=13040&amp;SDATE=200903&amp;PERIODTYPE=QTR_STD&amp;window=popup_no_bar&amp;width=385&amp;height=120&amp;START_MAXIMIZED=FALSE&amp;creator=factset&amp;display_string=Audit"}</definedName>
    <definedName name="_32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320__FDSAUDITLINK__" localSheetId="1" hidden="1">{"fdsup://Directions/FactSet Auditing Viewer?action=AUDIT_VALUE&amp;DB=129&amp;ID1=46612H40&amp;VALUEID=13040&amp;SDATE=200602&amp;PERIODTYPE=QTR_STD&amp;window=popup_no_bar&amp;width=385&amp;height=120&amp;START_MAXIMIZED=FALSE&amp;creator=factset&amp;display_string=Audit"}</definedName>
    <definedName name="_320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321__FDSAUDITLINK__" localSheetId="1" hidden="1">{"fdsup://Directions/FactSet Auditing Viewer?action=AUDIT_VALUE&amp;DB=129&amp;ID1=36476010&amp;VALUEID=02101&amp;SDATE=200602&amp;PERIODTYPE=QTR_STD&amp;window=popup_no_bar&amp;width=385&amp;height=120&amp;START_MAXIMIZED=FALSE&amp;creator=factset&amp;display_string=Audit"}</definedName>
    <definedName name="_321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322__FDSAUDITLINK__" localSheetId="1" hidden="1">{"fdsup://Directions/FactSet Auditing Viewer?action=AUDIT_VALUE&amp;DB=129&amp;ID1=36476010&amp;VALUEID=01001&amp;SDATE=200602&amp;PERIODTYPE=QTR_STD&amp;window=popup_no_bar&amp;width=385&amp;height=120&amp;START_MAXIMIZED=FALSE&amp;creator=factset&amp;display_string=Audit"}</definedName>
    <definedName name="_322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323__FDSAUDITLINK__" localSheetId="1" hidden="1">{"fdsup://Directions/FactSet Auditing Viewer?action=AUDIT_VALUE&amp;DB=129&amp;ID1=36476010&amp;VALUEID=13040&amp;SDATE=200602&amp;PERIODTYPE=QTR_STD&amp;window=popup_no_bar&amp;width=385&amp;height=120&amp;START_MAXIMIZED=FALSE&amp;creator=factset&amp;display_string=Audit"}</definedName>
    <definedName name="_323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324__FDSAUDITLINK__" localSheetId="1" hidden="1">{"fdsup://Directions/FactSet Auditing Viewer?action=AUDIT_VALUE&amp;DB=129&amp;ID1=03611510&amp;VALUEID=02101&amp;SDATE=200602&amp;PERIODTYPE=QTR_STD&amp;window=popup_no_bar&amp;width=385&amp;height=120&amp;START_MAXIMIZED=FALSE&amp;creator=factset&amp;display_string=Audit"}</definedName>
    <definedName name="_324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325__FDSAUDITLINK__" localSheetId="1" hidden="1">{"fdsup://Directions/FactSet Auditing Viewer?action=AUDIT_VALUE&amp;DB=129&amp;ID1=03611510&amp;VALUEID=01001&amp;SDATE=200602&amp;PERIODTYPE=QTR_STD&amp;window=popup_no_bar&amp;width=385&amp;height=120&amp;START_MAXIMIZED=FALSE&amp;creator=factset&amp;display_string=Audit"}</definedName>
    <definedName name="_325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326__FDSAUDITLINK__" localSheetId="1" hidden="1">{"fdsup://Directions/FactSet Auditing Viewer?action=AUDIT_VALUE&amp;DB=129&amp;ID1=03611510&amp;VALUEID=13040&amp;SDATE=200602&amp;PERIODTYPE=QTR_STD&amp;window=popup_no_bar&amp;width=385&amp;height=120&amp;START_MAXIMIZED=FALSE&amp;creator=factset&amp;display_string=Audit"}</definedName>
    <definedName name="_326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327__FDSAUDITLINK__" localSheetId="1" hidden="1">{"fdsup://Directions/FactSet Auditing Viewer?action=AUDIT_VALUE&amp;DB=129&amp;ID1=16890510&amp;VALUEID=02101&amp;SDATE=200602&amp;PERIODTYPE=QTR_STD&amp;window=popup_no_bar&amp;width=385&amp;height=120&amp;START_MAXIMIZED=FALSE&amp;creator=factset&amp;display_string=Audit"}</definedName>
    <definedName name="_327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328__FDSAUDITLINK__" localSheetId="1" hidden="1">{"fdsup://Directions/FactSet Auditing Viewer?action=AUDIT_VALUE&amp;DB=129&amp;ID1=16890510&amp;VALUEID=01001&amp;SDATE=200602&amp;PERIODTYPE=QTR_STD&amp;window=popup_no_bar&amp;width=385&amp;height=120&amp;START_MAXIMIZED=FALSE&amp;creator=factset&amp;display_string=Audit"}</definedName>
    <definedName name="_328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329__FDSAUDITLINK__" localSheetId="1" hidden="1">{"fdsup://Directions/FactSet Auditing Viewer?action=AUDIT_VALUE&amp;DB=129&amp;ID1=91704710&amp;VALUEID=02101&amp;SDATE=200602&amp;PERIODTYPE=QTR_STD&amp;window=popup_no_bar&amp;width=385&amp;height=120&amp;START_MAXIMIZED=FALSE&amp;creator=factset&amp;display_string=Audit"}</definedName>
    <definedName name="_329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33__FDSAUDITLINK__" localSheetId="1"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33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330__FDSAUDITLINK__" localSheetId="1" hidden="1">{"fdsup://Directions/FactSet Auditing Viewer?action=AUDIT_VALUE&amp;DB=129&amp;ID1=91704710&amp;VALUEID=01001&amp;SDATE=200602&amp;PERIODTYPE=QTR_STD&amp;window=popup_no_bar&amp;width=385&amp;height=120&amp;START_MAXIMIZED=FALSE&amp;creator=factset&amp;display_string=Audit"}</definedName>
    <definedName name="_330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331__FDSAUDITLINK__" localSheetId="1" hidden="1">{"fdsup://Directions/FactSet Auditing Viewer?action=AUDIT_VALUE&amp;DB=129&amp;ID1=91704710&amp;VALUEID=13040&amp;SDATE=200602&amp;PERIODTYPE=QTR_STD&amp;window=popup_no_bar&amp;width=385&amp;height=120&amp;START_MAXIMIZED=FALSE&amp;creator=factset&amp;display_string=Audit"}</definedName>
    <definedName name="_331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332__FDSAUDITLINK__" localSheetId="1"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332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333__FDSAUDITLINK__" localSheetId="1" hidden="1">{"fdsup://Directions/FactSet Auditing Viewer?action=AUDIT_VALUE&amp;DB=129&amp;ID1=00786510&amp;VALUEID=02101&amp;SDATE=200602&amp;PERIODTYPE=QTR_STD&amp;window=popup_no_bar&amp;width=385&amp;height=120&amp;START_MAXIMIZED=FALSE&amp;creator=factset&amp;display_string=Audit"}</definedName>
    <definedName name="_333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334__FDSAUDITLINK__" localSheetId="1" hidden="1">{"fdsup://Directions/FactSet Auditing Viewer?action=AUDIT_VALUE&amp;DB=129&amp;ID1=00786510&amp;VALUEID=01001&amp;SDATE=200602&amp;PERIODTYPE=QTR_STD&amp;window=popup_no_bar&amp;width=385&amp;height=120&amp;START_MAXIMIZED=FALSE&amp;creator=factset&amp;display_string=Audit"}</definedName>
    <definedName name="_334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335__FDSAUDITLINK__" localSheetId="1" hidden="1">{"fdsup://Directions/FactSet Auditing Viewer?action=AUDIT_VALUE&amp;DB=129&amp;ID1=00786510&amp;VALUEID=13040&amp;SDATE=200602&amp;PERIODTYPE=QTR_STD&amp;window=popup_no_bar&amp;width=385&amp;height=120&amp;START_MAXIMIZED=FALSE&amp;creator=factset&amp;display_string=Audit"}</definedName>
    <definedName name="_335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336__FDSAUDITLINK__" localSheetId="1" hidden="1">{"fdsup://Directions/FactSet Auditing Viewer?action=AUDIT_VALUE&amp;DB=129&amp;ID1=00289620&amp;VALUEID=02101&amp;SDATE=200602&amp;PERIODTYPE=QTR_STD&amp;window=popup_no_bar&amp;width=385&amp;height=120&amp;START_MAXIMIZED=FALSE&amp;creator=factset&amp;display_string=Audit"}</definedName>
    <definedName name="_336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337__FDSAUDITLINK__" localSheetId="1" hidden="1">{"fdsup://Directions/FactSet Auditing Viewer?action=AUDIT_VALUE&amp;DB=129&amp;ID1=00289620&amp;VALUEID=01001&amp;SDATE=200602&amp;PERIODTYPE=QTR_STD&amp;window=popup_no_bar&amp;width=385&amp;height=120&amp;START_MAXIMIZED=FALSE&amp;creator=factset&amp;display_string=Audit"}</definedName>
    <definedName name="_337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338__FDSAUDITLINK__" localSheetId="1" hidden="1">{"fdsup://Directions/FactSet Auditing Viewer?action=AUDIT_VALUE&amp;DB=129&amp;ID1=00289620&amp;VALUEID=13040&amp;SDATE=200602&amp;PERIODTYPE=QTR_STD&amp;window=popup_no_bar&amp;width=385&amp;height=120&amp;START_MAXIMIZED=FALSE&amp;creator=factset&amp;display_string=Audit"}</definedName>
    <definedName name="_338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339__FDSAUDITLINK__" localSheetId="1" hidden="1">{"fdsup://Directions/FactSet Auditing Viewer?action=AUDIT_VALUE&amp;DB=129&amp;ID1=87416110&amp;VALUEID=02101&amp;SDATE=200601&amp;PERIODTYPE=QTR_STD&amp;window=popup_no_bar&amp;width=385&amp;height=120&amp;START_MAXIMIZED=FALSE&amp;creator=factset&amp;display_string=Audit"}</definedName>
    <definedName name="_339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34__FDSAUDITLINK__" localSheetId="1" hidden="1">{"fdsup://Directions/FactSet Auditing Viewer?action=AUDIT_VALUE&amp;DB=129&amp;ID1=53271610&amp;VALUEID=02101&amp;SDATE=200903&amp;PERIODTYPE=QTR_STD&amp;window=popup_no_bar&amp;width=385&amp;height=120&amp;START_MAXIMIZED=FALSE&amp;creator=factset&amp;display_string=Audit"}</definedName>
    <definedName name="_34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340__FDSAUDITLINK__" localSheetId="1" hidden="1">{"fdsup://Directions/FactSet Auditing Viewer?action=AUDIT_VALUE&amp;DB=129&amp;ID1=87416110&amp;VALUEID=01001&amp;SDATE=200601&amp;PERIODTYPE=QTR_STD&amp;window=popup_no_bar&amp;width=385&amp;height=120&amp;START_MAXIMIZED=FALSE&amp;creator=factset&amp;display_string=Audit"}</definedName>
    <definedName name="_340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341__FDSAUDITLINK__" localSheetId="1" hidden="1">{"fdsup://Directions/FactSet Auditing Viewer?action=AUDIT_VALUE&amp;DB=129&amp;ID1=87416110&amp;VALUEID=13040&amp;SDATE=200601&amp;PERIODTYPE=QTR_STD&amp;window=popup_no_bar&amp;width=385&amp;height=120&amp;START_MAXIMIZED=FALSE&amp;creator=factset&amp;display_string=Audit"}</definedName>
    <definedName name="_341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342__FDSAUDITLINK__" localSheetId="1"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342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343__FDSAUDITLINK__" localSheetId="1" hidden="1">{"fdsup://Directions/FactSet Auditing Viewer?action=AUDIT_VALUE&amp;DB=129&amp;ID1=53271610&amp;VALUEID=02101&amp;SDATE=200601&amp;PERIODTYPE=QTR_STD&amp;window=popup_no_bar&amp;width=385&amp;height=120&amp;START_MAXIMIZED=FALSE&amp;creator=factset&amp;display_string=Audit"}</definedName>
    <definedName name="_343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344__FDSAUDITLINK__" localSheetId="1" hidden="1">{"fdsup://Directions/FactSet Auditing Viewer?action=AUDIT_VALUE&amp;DB=129&amp;ID1=53271610&amp;VALUEID=01001&amp;SDATE=200601&amp;PERIODTYPE=QTR_STD&amp;window=popup_no_bar&amp;width=385&amp;height=120&amp;START_MAXIMIZED=FALSE&amp;creator=factset&amp;display_string=Audit"}</definedName>
    <definedName name="_344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345__FDSAUDITLINK__" localSheetId="1" hidden="1">{"fdsup://Directions/FactSet Auditing Viewer?action=AUDIT_VALUE&amp;DB=129&amp;ID1=53271610&amp;VALUEID=13040&amp;SDATE=200601&amp;PERIODTYPE=QTR_STD&amp;window=popup_no_bar&amp;width=385&amp;height=120&amp;START_MAXIMIZED=FALSE&amp;creator=factset&amp;display_string=Audit"}</definedName>
    <definedName name="_345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346__FDSAUDITLINK__" localSheetId="1" hidden="1">{"fdsup://Directions/FactSet Auditing Viewer?action=AUDIT_VALUE&amp;DB=129&amp;ID1=46612H40&amp;VALUEID=02101&amp;SDATE=200601&amp;PERIODTYPE=QTR_STD&amp;window=popup_no_bar&amp;width=385&amp;height=120&amp;START_MAXIMIZED=FALSE&amp;creator=factset&amp;display_string=Audit"}</definedName>
    <definedName name="_346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347__FDSAUDITLINK__" localSheetId="1" hidden="1">{"fdsup://Directions/FactSet Auditing Viewer?action=AUDIT_VALUE&amp;DB=129&amp;ID1=46612H40&amp;VALUEID=01001&amp;SDATE=200601&amp;PERIODTYPE=QTR_STD&amp;window=popup_no_bar&amp;width=385&amp;height=120&amp;START_MAXIMIZED=FALSE&amp;creator=factset&amp;display_string=Audit"}</definedName>
    <definedName name="_347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348__FDSAUDITLINK__" localSheetId="1" hidden="1">{"fdsup://Directions/FactSet Auditing Viewer?action=AUDIT_VALUE&amp;DB=129&amp;ID1=46612H40&amp;VALUEID=13040&amp;SDATE=200601&amp;PERIODTYPE=QTR_STD&amp;window=popup_no_bar&amp;width=385&amp;height=120&amp;START_MAXIMIZED=FALSE&amp;creator=factset&amp;display_string=Audit"}</definedName>
    <definedName name="_348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349__FDSAUDITLINK__" localSheetId="1" hidden="1">{"fdsup://Directions/FactSet Auditing Viewer?action=AUDIT_VALUE&amp;DB=129&amp;ID1=36476010&amp;VALUEID=02101&amp;SDATE=200601&amp;PERIODTYPE=QTR_STD&amp;window=popup_no_bar&amp;width=385&amp;height=120&amp;START_MAXIMIZED=FALSE&amp;creator=factset&amp;display_string=Audit"}</definedName>
    <definedName name="_349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35__FDSAUDITLINK__" localSheetId="1" hidden="1">{"fdsup://Directions/FactSet Auditing Viewer?action=AUDIT_VALUE&amp;DB=129&amp;ID1=53271610&amp;VALUEID=01001&amp;SDATE=200903&amp;PERIODTYPE=QTR_STD&amp;window=popup_no_bar&amp;width=385&amp;height=120&amp;START_MAXIMIZED=FALSE&amp;creator=factset&amp;display_string=Audit"}</definedName>
    <definedName name="_35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350__FDSAUDITLINK__" localSheetId="1" hidden="1">{"fdsup://Directions/FactSet Auditing Viewer?action=AUDIT_VALUE&amp;DB=129&amp;ID1=36476010&amp;VALUEID=01001&amp;SDATE=200601&amp;PERIODTYPE=QTR_STD&amp;window=popup_no_bar&amp;width=385&amp;height=120&amp;START_MAXIMIZED=FALSE&amp;creator=factset&amp;display_string=Audit"}</definedName>
    <definedName name="_350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351__FDSAUDITLINK__" localSheetId="1" hidden="1">{"fdsup://Directions/FactSet Auditing Viewer?action=AUDIT_VALUE&amp;DB=129&amp;ID1=36476010&amp;VALUEID=13040&amp;SDATE=200601&amp;PERIODTYPE=QTR_STD&amp;window=popup_no_bar&amp;width=385&amp;height=120&amp;START_MAXIMIZED=FALSE&amp;creator=factset&amp;display_string=Audit"}</definedName>
    <definedName name="_351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352__FDSAUDITLINK__" localSheetId="1" hidden="1">{"fdsup://Directions/FactSet Auditing Viewer?action=AUDIT_VALUE&amp;DB=129&amp;ID1=03611510&amp;VALUEID=02101&amp;SDATE=200601&amp;PERIODTYPE=QTR_STD&amp;window=popup_no_bar&amp;width=385&amp;height=120&amp;START_MAXIMIZED=FALSE&amp;creator=factset&amp;display_string=Audit"}</definedName>
    <definedName name="_352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353__FDSAUDITLINK__" localSheetId="1" hidden="1">{"fdsup://Directions/FactSet Auditing Viewer?action=AUDIT_VALUE&amp;DB=129&amp;ID1=03611510&amp;VALUEID=13040&amp;SDATE=200601&amp;PERIODTYPE=QTR_STD&amp;window=popup_no_bar&amp;width=385&amp;height=120&amp;START_MAXIMIZED=FALSE&amp;creator=factset&amp;display_string=Audit"}</definedName>
    <definedName name="_353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354__FDSAUDITLINK__" localSheetId="1" hidden="1">{"fdsup://Directions/FactSet Auditing Viewer?action=AUDIT_VALUE&amp;DB=129&amp;ID1=16890510&amp;VALUEID=02101&amp;SDATE=200601&amp;PERIODTYPE=QTR_STD&amp;window=popup_no_bar&amp;width=385&amp;height=120&amp;START_MAXIMIZED=FALSE&amp;creator=factset&amp;display_string=Audit"}</definedName>
    <definedName name="_354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355__FDSAUDITLINK__" localSheetId="1" hidden="1">{"fdsup://Directions/FactSet Auditing Viewer?action=AUDIT_VALUE&amp;DB=129&amp;ID1=16890510&amp;VALUEID=01001&amp;SDATE=200601&amp;PERIODTYPE=QTR_STD&amp;window=popup_no_bar&amp;width=385&amp;height=120&amp;START_MAXIMIZED=FALSE&amp;creator=factset&amp;display_string=Audit"}</definedName>
    <definedName name="_355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356__FDSAUDITLINK__" localSheetId="1" hidden="1">{"fdsup://Directions/FactSet Auditing Viewer?action=AUDIT_VALUE&amp;DB=129&amp;ID1=91704710&amp;VALUEID=02101&amp;SDATE=200601&amp;PERIODTYPE=QTR_STD&amp;window=popup_no_bar&amp;width=385&amp;height=120&amp;START_MAXIMIZED=FALSE&amp;creator=factset&amp;display_string=Audit"}</definedName>
    <definedName name="_356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357__FDSAUDITLINK__" localSheetId="1" hidden="1">{"fdsup://Directions/FactSet Auditing Viewer?action=AUDIT_VALUE&amp;DB=129&amp;ID1=91704710&amp;VALUEID=01001&amp;SDATE=200601&amp;PERIODTYPE=QTR_STD&amp;window=popup_no_bar&amp;width=385&amp;height=120&amp;START_MAXIMIZED=FALSE&amp;creator=factset&amp;display_string=Audit"}</definedName>
    <definedName name="_357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358__FDSAUDITLINK__" localSheetId="1" hidden="1">{"fdsup://Directions/FactSet Auditing Viewer?action=AUDIT_VALUE&amp;DB=129&amp;ID1=91704710&amp;VALUEID=13040&amp;SDATE=200601&amp;PERIODTYPE=QTR_STD&amp;window=popup_no_bar&amp;width=385&amp;height=120&amp;START_MAXIMIZED=FALSE&amp;creator=factset&amp;display_string=Audit"}</definedName>
    <definedName name="_358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359__FDSAUDITLINK__" localSheetId="1" hidden="1">{"fdsup://Directions/FactSet Auditing Viewer?action=AUDIT_VALUE&amp;DB=129&amp;ID1=02553E10&amp;VALUEID=02101&amp;SDATE=200601&amp;PERIODTYPE=QTR_STD&amp;window=popup_no_bar&amp;width=385&amp;height=120&amp;START_MAXIMIZED=FALSE&amp;creator=factset&amp;display_string=Audit"}</definedName>
    <definedName name="_359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36__FDSAUDITLINK__" localSheetId="1" hidden="1">{"fdsup://Directions/FactSet Auditing Viewer?action=AUDIT_VALUE&amp;DB=129&amp;ID1=53271610&amp;VALUEID=13040&amp;SDATE=200903&amp;PERIODTYPE=QTR_STD&amp;window=popup_no_bar&amp;width=385&amp;height=120&amp;START_MAXIMIZED=FALSE&amp;creator=factset&amp;display_string=Audit"}</definedName>
    <definedName name="_36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360__FDSAUDITLINK__" localSheetId="1" hidden="1">{"fdsup://Directions/FactSet Auditing Viewer?action=AUDIT_VALUE&amp;DB=129&amp;ID1=02553E10&amp;VALUEID=01001&amp;SDATE=200601&amp;PERIODTYPE=QTR_STD&amp;window=popup_no_bar&amp;width=385&amp;height=120&amp;START_MAXIMIZED=FALSE&amp;creator=factset&amp;display_string=Audit"}</definedName>
    <definedName name="_360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361__FDSAUDITLINK__" localSheetId="1" hidden="1">{"fdsup://Directions/FactSet Auditing Viewer?action=AUDIT_VALUE&amp;DB=129&amp;ID1=02553E10&amp;VALUEID=13040&amp;SDATE=200601&amp;PERIODTYPE=QTR_STD&amp;window=popup_no_bar&amp;width=385&amp;height=120&amp;START_MAXIMIZED=FALSE&amp;creator=factset&amp;display_string=Audit"}</definedName>
    <definedName name="_361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362__FDSAUDITLINK__" localSheetId="1"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362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363__FDSAUDITLINK__" localSheetId="1" hidden="1">{"fdsup://Directions/FactSet Auditing Viewer?action=AUDIT_VALUE&amp;DB=129&amp;ID1=00786510&amp;VALUEID=02101&amp;SDATE=200601&amp;PERIODTYPE=QTR_STD&amp;window=popup_no_bar&amp;width=385&amp;height=120&amp;START_MAXIMIZED=FALSE&amp;creator=factset&amp;display_string=Audit"}</definedName>
    <definedName name="_363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364__FDSAUDITLINK__" localSheetId="1" hidden="1">{"fdsup://Directions/FactSet Auditing Viewer?action=AUDIT_VALUE&amp;DB=129&amp;ID1=00786510&amp;VALUEID=01001&amp;SDATE=200601&amp;PERIODTYPE=QTR_STD&amp;window=popup_no_bar&amp;width=385&amp;height=120&amp;START_MAXIMIZED=FALSE&amp;creator=factset&amp;display_string=Audit"}</definedName>
    <definedName name="_364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365__FDSAUDITLINK__" localSheetId="1" hidden="1">{"fdsup://Directions/FactSet Auditing Viewer?action=AUDIT_VALUE&amp;DB=129&amp;ID1=00786510&amp;VALUEID=13040&amp;SDATE=200601&amp;PERIODTYPE=QTR_STD&amp;window=popup_no_bar&amp;width=385&amp;height=120&amp;START_MAXIMIZED=FALSE&amp;creator=factset&amp;display_string=Audit"}</definedName>
    <definedName name="_365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366__FDSAUDITLINK__" localSheetId="1" hidden="1">{"fdsup://Directions/FactSet Auditing Viewer?action=AUDIT_VALUE&amp;DB=129&amp;ID1=00289620&amp;VALUEID=02101&amp;SDATE=200601&amp;PERIODTYPE=QTR_STD&amp;window=popup_no_bar&amp;width=385&amp;height=120&amp;START_MAXIMIZED=FALSE&amp;creator=factset&amp;display_string=Audit"}</definedName>
    <definedName name="_366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367__FDSAUDITLINK__" localSheetId="1" hidden="1">{"fdsup://Directions/FactSet Auditing Viewer?action=AUDIT_VALUE&amp;DB=129&amp;ID1=00289620&amp;VALUEID=01001&amp;SDATE=200601&amp;PERIODTYPE=QTR_STD&amp;window=popup_no_bar&amp;width=385&amp;height=120&amp;START_MAXIMIZED=FALSE&amp;creator=factset&amp;display_string=Audit"}</definedName>
    <definedName name="_367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368__FDSAUDITLINK__" localSheetId="1" hidden="1">{"fdsup://Directions/FactSet Auditing Viewer?action=AUDIT_VALUE&amp;DB=129&amp;ID1=00289620&amp;VALUEID=13040&amp;SDATE=200601&amp;PERIODTYPE=QTR_STD&amp;window=popup_no_bar&amp;width=385&amp;height=120&amp;START_MAXIMIZED=FALSE&amp;creator=factset&amp;display_string=Audit"}</definedName>
    <definedName name="_368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369__FDSAUDITLINK__" localSheetId="1"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369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37__FDSAUDITLINK__" localSheetId="1" hidden="1">{"fdsup://Directions/FactSet Auditing Viewer?action=AUDIT_VALUE&amp;DB=129&amp;ID1=46612H40&amp;VALUEID=02101&amp;SDATE=200903&amp;PERIODTYPE=QTR_STD&amp;window=popup_no_bar&amp;width=385&amp;height=120&amp;START_MAXIMIZED=FALSE&amp;creator=factset&amp;display_string=Audit"}</definedName>
    <definedName name="_37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370__FDSAUDITLINK__" localSheetId="1"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370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371__FDSAUDITLINK__" localSheetId="1"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371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372__FDSAUDITLINK__" localSheetId="1" hidden="1">{"fdsup://Directions/FactSet Auditing Viewer?action=AUDIT_VALUE&amp;DB=129&amp;ID1=03611510&amp;VALUEID=13040&amp;SDATE=200503&amp;PERIODTYPE=QTR_STD&amp;window=popup_no_bar&amp;width=385&amp;height=120&amp;START_MAXIMIZED=FALSE&amp;creator=factset&amp;display_string=Audit"}</definedName>
    <definedName name="_372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373__FDSAUDITLINK__" localSheetId="1"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373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374__FDSAUDITLINK__" localSheetId="1"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374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375__FDSAUDITLINK__" localSheetId="1" hidden="1">{"fdsup://Directions/FactSet Auditing Viewer?action=AUDIT_VALUE&amp;DB=129&amp;ID1=03611510&amp;VALUEID=13040&amp;SDATE=200502&amp;PERIODTYPE=QTR_STD&amp;window=popup_no_bar&amp;width=385&amp;height=120&amp;START_MAXIMIZED=FALSE&amp;creator=factset&amp;display_string=Audit"}</definedName>
    <definedName name="_375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376__FDSAUDITLINK__" localSheetId="1"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376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377__FDSAUDITLINK__" localSheetId="1"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377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378__FDSAUDITLINK__" localSheetId="1" hidden="1">{"fdsup://Directions/FactSet Auditing Viewer?action=AUDIT_VALUE&amp;DB=129&amp;ID1=03611510&amp;VALUEID=13040&amp;SDATE=200501&amp;PERIODTYPE=QTR_STD&amp;window=popup_no_bar&amp;width=385&amp;height=120&amp;START_MAXIMIZED=FALSE&amp;creator=factset&amp;display_string=Audit"}</definedName>
    <definedName name="_378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379__FDSAUDITLINK__" localSheetId="1"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379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38__FDSAUDITLINK__" localSheetId="1" hidden="1">{"fdsup://Directions/FactSet Auditing Viewer?action=AUDIT_VALUE&amp;DB=129&amp;ID1=46612H40&amp;VALUEID=01001&amp;SDATE=200903&amp;PERIODTYPE=QTR_STD&amp;window=popup_no_bar&amp;width=385&amp;height=120&amp;START_MAXIMIZED=FALSE&amp;creator=factset&amp;display_string=Audit"}</definedName>
    <definedName name="_38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380__FDSAUDITLINK__" localSheetId="1" hidden="1">{"fdsup://Directions/FactSet Auditing Viewer?action=AUDIT_VALUE&amp;DB=129&amp;ID1=16890510&amp;VALUEID=13040&amp;SDATE=200602&amp;PERIODTYPE=QTR_STD&amp;window=popup_no_bar&amp;width=385&amp;height=120&amp;START_MAXIMIZED=FALSE&amp;creator=factset&amp;display_string=Audit"}</definedName>
    <definedName name="_380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381__FDSAUDITLINK__" localSheetId="1" hidden="1">{"fdsup://Directions/FactSet Auditing Viewer?action=AUDIT_VALUE&amp;DB=129&amp;ID1=16890510&amp;VALUEID=13040&amp;SDATE=200601&amp;PERIODTYPE=QTR_STD&amp;window=popup_no_bar&amp;width=385&amp;height=120&amp;START_MAXIMIZED=FALSE&amp;creator=factset&amp;display_string=Audit"}</definedName>
    <definedName name="_381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382__FDSAUDITLINK__" localSheetId="1" hidden="1">{"fdsup://Directions/FactSet Auditing Viewer?action=AUDIT_VALUE&amp;DB=129&amp;ID1=16890510&amp;VALUEID=13040&amp;SDATE=200603&amp;PERIODTYPE=QTR_STD&amp;window=popup_no_bar&amp;width=385&amp;height=120&amp;START_MAXIMIZED=FALSE&amp;creator=factset&amp;display_string=Audit"}</definedName>
    <definedName name="_382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383__FDSAUDITLINK__" localSheetId="1" hidden="1">{"fdsup://Directions/FactSet Auditing Viewer?action=AUDIT_VALUE&amp;DB=129&amp;ID1=16890510&amp;VALUEID=13040&amp;SDATE=200702&amp;PERIODTYPE=QTR_STD&amp;window=popup_no_bar&amp;width=385&amp;height=120&amp;START_MAXIMIZED=FALSE&amp;creator=factset&amp;display_string=Audit"}</definedName>
    <definedName name="_383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384__FDSAUDITLINK__" localSheetId="1" hidden="1">{"fdsup://Directions/FactSet Auditing Viewer?action=AUDIT_VALUE&amp;DB=129&amp;ID1=16890510&amp;VALUEID=13040&amp;SDATE=200701&amp;PERIODTYPE=QTR_STD&amp;window=popup_no_bar&amp;width=385&amp;height=120&amp;START_MAXIMIZED=FALSE&amp;creator=factset&amp;display_string=Audit"}</definedName>
    <definedName name="_384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385__FDSAUDITLINK__" localSheetId="1" hidden="1">{"fdsup://Directions/FactSet Auditing Viewer?action=AUDIT_VALUE&amp;DB=129&amp;ID1=16890510&amp;VALUEID=13040&amp;SDATE=200703&amp;PERIODTYPE=QTR_STD&amp;window=popup_no_bar&amp;width=385&amp;height=120&amp;START_MAXIMIZED=FALSE&amp;creator=factset&amp;display_string=Audit"}</definedName>
    <definedName name="_385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386__FDSAUDITLINK__" localSheetId="1" hidden="1">{"fdsup://Directions/FactSet Auditing Viewer?action=AUDIT_VALUE&amp;DB=129&amp;ID1=16890510&amp;VALUEID=13040&amp;SDATE=200802&amp;PERIODTYPE=QTR_STD&amp;window=popup_no_bar&amp;width=385&amp;height=120&amp;START_MAXIMIZED=FALSE&amp;creator=factset&amp;display_string=Audit"}</definedName>
    <definedName name="_386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387__FDSAUDITLINK__" localSheetId="1" hidden="1">{"fdsup://Directions/FactSet Auditing Viewer?action=AUDIT_VALUE&amp;DB=129&amp;ID1=16890510&amp;VALUEID=13040&amp;SDATE=200801&amp;PERIODTYPE=QTR_STD&amp;window=popup_no_bar&amp;width=385&amp;height=120&amp;START_MAXIMIZED=FALSE&amp;creator=factset&amp;display_string=Audit"}</definedName>
    <definedName name="_387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388__FDSAUDITLINK__" localSheetId="1" hidden="1">{"fdsup://Directions/FactSet Auditing Viewer?action=AUDIT_VALUE&amp;DB=129&amp;ID1=16890510&amp;VALUEID=13040&amp;SDATE=200803&amp;PERIODTYPE=QTR_STD&amp;window=popup_no_bar&amp;width=385&amp;height=120&amp;START_MAXIMIZED=FALSE&amp;creator=factset&amp;display_string=Audit"}</definedName>
    <definedName name="_388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389__FDSAUDITLINK__" localSheetId="1" hidden="1">{"fdsup://Directions/FactSet Auditing Viewer?action=AUDIT_VALUE&amp;DB=129&amp;ID1=16890510&amp;VALUEID=13040&amp;SDATE=200902&amp;PERIODTYPE=QTR_STD&amp;window=popup_no_bar&amp;width=385&amp;height=120&amp;START_MAXIMIZED=FALSE&amp;creator=factset&amp;display_string=Audit"}</definedName>
    <definedName name="_389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39__FDSAUDITLINK__" localSheetId="1" hidden="1">{"fdsup://Directions/FactSet Auditing Viewer?action=AUDIT_VALUE&amp;DB=129&amp;ID1=46612H40&amp;VALUEID=13040&amp;SDATE=200903&amp;PERIODTYPE=QTR_STD&amp;window=popup_no_bar&amp;width=385&amp;height=120&amp;START_MAXIMIZED=FALSE&amp;creator=factset&amp;display_string=Audit"}</definedName>
    <definedName name="_39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390__FDSAUDITLINK__" localSheetId="1" hidden="1">{"fdsup://Directions/FactSet Auditing Viewer?action=AUDIT_VALUE&amp;DB=129&amp;ID1=16890510&amp;VALUEID=13040&amp;SDATE=200903&amp;PERIODTYPE=QTR_STD&amp;window=popup_no_bar&amp;width=385&amp;height=120&amp;START_MAXIMIZED=FALSE&amp;creator=factset&amp;display_string=Audit"}</definedName>
    <definedName name="_390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391__FDSAUDITLINK__" localSheetId="1" hidden="1">{"fdsup://Directions/FactSet Auditing Viewer?action=AUDIT_VALUE&amp;DB=129&amp;ID1=16890510&amp;VALUEID=13040&amp;SDATE=201001&amp;PERIODTYPE=QTR_STD&amp;window=popup_no_bar&amp;width=385&amp;height=120&amp;START_MAXIMIZED=FALSE&amp;creator=factset&amp;display_string=Audit"}</definedName>
    <definedName name="_391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392__FDSAUDITLINK__" localSheetId="1" hidden="1">{"fdsup://Directions/FactSet Auditing Viewer?action=AUDIT_VALUE&amp;DB=129&amp;ID1=87416110&amp;VALUEID=01001&amp;SDATE=201001&amp;PERIODTYPE=QTR_STD&amp;window=popup_no_bar&amp;width=385&amp;height=120&amp;START_MAXIMIZED=FALSE&amp;creator=factset&amp;display_string=Audit"}</definedName>
    <definedName name="_392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393__FDSAUDITLINK__" localSheetId="1" hidden="1">{"fdsup://Directions/FactSet Auditing Viewer?action=AUDIT_VALUE&amp;DB=129&amp;ID1=46612H40&amp;VALUEID=01001&amp;SDATE=201001&amp;PERIODTYPE=QTR_STD&amp;window=popup_no_bar&amp;width=385&amp;height=120&amp;START_MAXIMIZED=FALSE&amp;creator=factset&amp;display_string=Audit"}</definedName>
    <definedName name="_393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394__FDSAUDITLINK__" localSheetId="1" hidden="1">{"fdsup://Directions/FactSet Auditing Viewer?action=AUDIT_VALUE&amp;DB=129&amp;ID1=03611510&amp;VALUEID=01001&amp;SDATE=201001&amp;PERIODTYPE=QTR_STD&amp;window=popup_no_bar&amp;width=385&amp;height=120&amp;START_MAXIMIZED=FALSE&amp;creator=factset&amp;display_string=Audit"}</definedName>
    <definedName name="_394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395__FDSAUDITLINK__" localSheetId="1" hidden="1">{"fdsup://Directions/FactSet Auditing Viewer?action=AUDIT_VALUE&amp;DB=129&amp;ID1=16890510&amp;VALUEID=01001&amp;SDATE=201001&amp;PERIODTYPE=QTR_STD&amp;window=popup_no_bar&amp;width=385&amp;height=120&amp;START_MAXIMIZED=FALSE&amp;creator=factset&amp;display_string=Audit"}</definedName>
    <definedName name="_395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396__FDSAUDITLINK__" localSheetId="1" hidden="1">{"fdsup://Directions/FactSet Auditing Viewer?action=AUDIT_VALUE&amp;DB=129&amp;ID1=91704710&amp;VALUEID=01001&amp;SDATE=201001&amp;PERIODTYPE=QTR_STD&amp;window=popup_no_bar&amp;width=385&amp;height=120&amp;START_MAXIMIZED=FALSE&amp;creator=factset&amp;display_string=Audit"}</definedName>
    <definedName name="_396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397__FDSAUDITLINK__" localSheetId="1" hidden="1">{"fdsup://Directions/FactSet Auditing Viewer?action=AUDIT_VALUE&amp;DB=129&amp;ID1=02553E10&amp;VALUEID=01001&amp;SDATE=201001&amp;PERIODTYPE=QTR_STD&amp;window=popup_no_bar&amp;width=385&amp;height=120&amp;START_MAXIMIZED=FALSE&amp;creator=factset&amp;display_string=Audit"}</definedName>
    <definedName name="_397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398__FDSAUDITLINK__" localSheetId="1" hidden="1">{"fdsup://Directions/FactSet Auditing Viewer?action=AUDIT_VALUE&amp;DB=129&amp;ID1=00786510&amp;VALUEID=01001&amp;SDATE=201001&amp;PERIODTYPE=QTR_STD&amp;window=popup_no_bar&amp;width=385&amp;height=120&amp;START_MAXIMIZED=FALSE&amp;creator=factset&amp;display_string=Audit"}</definedName>
    <definedName name="_398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399__FDSAUDITLINK__" localSheetId="1" hidden="1">{"fdsup://Directions/FactSet Auditing Viewer?action=AUDIT_VALUE&amp;DB=129&amp;ID1=00289620&amp;VALUEID=01001&amp;SDATE=201001&amp;PERIODTYPE=QTR_STD&amp;window=popup_no_bar&amp;width=385&amp;height=120&amp;START_MAXIMIZED=FALSE&amp;creator=factset&amp;display_string=Audit"}</definedName>
    <definedName name="_399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4__FDSAUDITLINK__" localSheetId="1" hidden="1">{"fdsup://Directions/FactSet Auditing Viewer?action=AUDIT_VALUE&amp;DB=129&amp;ID1=53271610&amp;VALUEID=02101&amp;SDATE=201001&amp;PERIODTYPE=QTR_STD&amp;window=popup_no_bar&amp;width=385&amp;height=120&amp;START_MAXIMIZED=FALSE&amp;creator=factset&amp;display_string=Audit"}</definedName>
    <definedName name="_4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40__FDSAUDITLINK__" localSheetId="1" hidden="1">{"fdsup://Directions/FactSet Auditing Viewer?action=AUDIT_VALUE&amp;DB=129&amp;ID1=36476010&amp;VALUEID=02101&amp;SDATE=200903&amp;PERIODTYPE=QTR_STD&amp;window=popup_no_bar&amp;width=385&amp;height=120&amp;START_MAXIMIZED=FALSE&amp;creator=factset&amp;display_string=Audit"}</definedName>
    <definedName name="_40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400__FDSAUDITLINK__" localSheetId="1" hidden="1">{"fdsup://Directions/FactSet Auditing Viewer?action=AUDIT_VALUE&amp;DB=129&amp;ID1=53271610&amp;VALUEID=01001&amp;SDATE=201001&amp;PERIODTYPE=QTR_STD&amp;window=popup_no_bar&amp;width=385&amp;height=120&amp;START_MAXIMIZED=FALSE&amp;creator=factset&amp;display_string=Audit"}</definedName>
    <definedName name="_400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401__FDSAUDITLINK__" localSheetId="1" hidden="1">{"fdsup://Directions/FactSet Auditing Viewer?action=AUDIT_VALUE&amp;DB=129&amp;ID1=36476010&amp;VALUEID=01001&amp;SDATE=201001&amp;PERIODTYPE=QTR_STD&amp;window=popup_no_bar&amp;width=385&amp;height=120&amp;START_MAXIMIZED=FALSE&amp;creator=factset&amp;display_string=Audit"}</definedName>
    <definedName name="_401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402__FDSAUDITLINK__" localSheetId="1" hidden="1">{"fdsup://Directions/FactSet Auditing Viewer?action=AUDIT_VALUE&amp;DB=129&amp;ID1=16890510&amp;VALUEID=01001&amp;SDATE=200601&amp;PERIODTYPE=QTR_STD&amp;window=popup_no_bar&amp;width=385&amp;height=120&amp;START_MAXIMIZED=FALSE&amp;creator=factset&amp;display_string=Audit"}</definedName>
    <definedName name="_402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403__FDSAUDITLINK__" localSheetId="1" hidden="1">{"fdsup://Directions/FactSet Auditing Viewer?action=AUDIT_VALUE&amp;DB=129&amp;ID1=16890510&amp;VALUEID=02101&amp;SDATE=200601&amp;PERIODTYPE=QTR_STD&amp;window=popup_no_bar&amp;width=385&amp;height=120&amp;START_MAXIMIZED=FALSE&amp;creator=factset&amp;display_string=Audit"}</definedName>
    <definedName name="_403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404__FDSAUDITLINK__" localSheetId="1" hidden="1">{"fdsup://Directions/FactSet Auditing Viewer?action=AUDIT_VALUE&amp;DB=129&amp;ID1=16890510&amp;VALUEID=13040&amp;SDATE=200601&amp;PERIODTYPE=QTR_STD&amp;window=popup_no_bar&amp;width=385&amp;height=120&amp;START_MAXIMIZED=FALSE&amp;creator=factset&amp;display_string=Audit"}</definedName>
    <definedName name="_404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405__FDSAUDITLINK__" localSheetId="1" hidden="1">{"fdsup://Directions/FactSet Auditing Viewer?action=AUDIT_VALUE&amp;DB=129&amp;ID1=16890510&amp;VALUEID=13040&amp;SDATE=200602&amp;PERIODTYPE=QTR_STD&amp;window=popup_no_bar&amp;width=385&amp;height=120&amp;START_MAXIMIZED=FALSE&amp;creator=factset&amp;display_string=Audit"}</definedName>
    <definedName name="_405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406__FDSAUDITLINK__" localSheetId="1" hidden="1">{"fdsup://Directions/FactSet Auditing Viewer?action=AUDIT_VALUE&amp;DB=129&amp;ID1=16890510&amp;VALUEID=01001&amp;SDATE=200602&amp;PERIODTYPE=QTR_STD&amp;window=popup_no_bar&amp;width=385&amp;height=120&amp;START_MAXIMIZED=FALSE&amp;creator=factset&amp;display_string=Audit"}</definedName>
    <definedName name="_406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407__FDSAUDITLINK__" localSheetId="1" hidden="1">{"fdsup://Directions/FactSet Auditing Viewer?action=AUDIT_VALUE&amp;DB=129&amp;ID1=16890510&amp;VALUEID=02101&amp;SDATE=200602&amp;PERIODTYPE=QTR_STD&amp;window=popup_no_bar&amp;width=385&amp;height=120&amp;START_MAXIMIZED=FALSE&amp;creator=factset&amp;display_string=Audit"}</definedName>
    <definedName name="_407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408__FDSAUDITLINK__" localSheetId="1" hidden="1">{"fdsup://Directions/FactSet Auditing Viewer?action=AUDIT_VALUE&amp;DB=129&amp;ID1=16890510&amp;VALUEID=13040&amp;SDATE=200603&amp;PERIODTYPE=QTR_STD&amp;window=popup_no_bar&amp;width=385&amp;height=120&amp;START_MAXIMIZED=FALSE&amp;creator=factset&amp;display_string=Audit"}</definedName>
    <definedName name="_408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409__FDSAUDITLINK__" localSheetId="1" hidden="1">{"fdsup://Directions/FactSet Auditing Viewer?action=AUDIT_VALUE&amp;DB=129&amp;ID1=16890510&amp;VALUEID=01001&amp;SDATE=200603&amp;PERIODTYPE=QTR_STD&amp;window=popup_no_bar&amp;width=385&amp;height=120&amp;START_MAXIMIZED=FALSE&amp;creator=factset&amp;display_string=Audit"}</definedName>
    <definedName name="_409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41__FDSAUDITLINK__" localSheetId="1" hidden="1">{"fdsup://Directions/FactSet Auditing Viewer?action=AUDIT_VALUE&amp;DB=129&amp;ID1=36476010&amp;VALUEID=01001&amp;SDATE=200903&amp;PERIODTYPE=QTR_STD&amp;window=popup_no_bar&amp;width=385&amp;height=120&amp;START_MAXIMIZED=FALSE&amp;creator=factset&amp;display_string=Audit"}</definedName>
    <definedName name="_41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410__FDSAUDITLINK__" localSheetId="1" hidden="1">{"fdsup://Directions/FactSet Auditing Viewer?action=AUDIT_VALUE&amp;DB=129&amp;ID1=16890510&amp;VALUEID=02101&amp;SDATE=200603&amp;PERIODTYPE=QTR_STD&amp;window=popup_no_bar&amp;width=385&amp;height=120&amp;START_MAXIMIZED=FALSE&amp;creator=factset&amp;display_string=Audit"}</definedName>
    <definedName name="_410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411__FDSAUDITLINK__" localSheetId="1" hidden="1">{"fdsup://Directions/FactSet Auditing Viewer?action=AUDIT_VALUE&amp;DB=129&amp;ID1=16890510&amp;VALUEID=01001&amp;SDATE=200604&amp;PERIODTYPE=QTR_STD&amp;window=popup_no_bar&amp;width=385&amp;height=120&amp;START_MAXIMIZED=FALSE&amp;creator=factset&amp;display_string=Audit"}</definedName>
    <definedName name="_411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412__FDSAUDITLINK__" localSheetId="1" hidden="1">{"fdsup://Directions/FactSet Auditing Viewer?action=AUDIT_VALUE&amp;DB=129&amp;ID1=16890510&amp;VALUEID=01001&amp;SDATE=200701&amp;PERIODTYPE=QTR_STD&amp;window=popup_no_bar&amp;width=385&amp;height=120&amp;START_MAXIMIZED=FALSE&amp;creator=factset&amp;display_string=Audit"}</definedName>
    <definedName name="_412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413__FDSAUDITLINK__" localSheetId="1" hidden="1">{"fdsup://Directions/FactSet Auditing Viewer?action=AUDIT_VALUE&amp;DB=129&amp;ID1=16890510&amp;VALUEID=02101&amp;SDATE=200701&amp;PERIODTYPE=QTR_STD&amp;window=popup_no_bar&amp;width=385&amp;height=120&amp;START_MAXIMIZED=FALSE&amp;creator=factset&amp;display_string=Audit"}</definedName>
    <definedName name="_413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414__FDSAUDITLINK__" localSheetId="1" hidden="1">{"fdsup://Directions/FactSet Auditing Viewer?action=AUDIT_VALUE&amp;DB=129&amp;ID1=16890510&amp;VALUEID=13040&amp;SDATE=200701&amp;PERIODTYPE=QTR_STD&amp;window=popup_no_bar&amp;width=385&amp;height=120&amp;START_MAXIMIZED=FALSE&amp;creator=factset&amp;display_string=Audit"}</definedName>
    <definedName name="_414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415__FDSAUDITLINK__" localSheetId="1" hidden="1">{"fdsup://Directions/FactSet Auditing Viewer?action=AUDIT_VALUE&amp;DB=129&amp;ID1=16890510&amp;VALUEID=13040&amp;SDATE=200702&amp;PERIODTYPE=QTR_STD&amp;window=popup_no_bar&amp;width=385&amp;height=120&amp;START_MAXIMIZED=FALSE&amp;creator=factset&amp;display_string=Audit"}</definedName>
    <definedName name="_415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416__FDSAUDITLINK__" localSheetId="1" hidden="1">{"fdsup://Directions/FactSet Auditing Viewer?action=AUDIT_VALUE&amp;DB=129&amp;ID1=16890510&amp;VALUEID=01001&amp;SDATE=200702&amp;PERIODTYPE=QTR_STD&amp;window=popup_no_bar&amp;width=385&amp;height=120&amp;START_MAXIMIZED=FALSE&amp;creator=factset&amp;display_string=Audit"}</definedName>
    <definedName name="_416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417__FDSAUDITLINK__" localSheetId="1" hidden="1">{"fdsup://Directions/FactSet Auditing Viewer?action=AUDIT_VALUE&amp;DB=129&amp;ID1=16890510&amp;VALUEID=02101&amp;SDATE=200702&amp;PERIODTYPE=QTR_STD&amp;window=popup_no_bar&amp;width=385&amp;height=120&amp;START_MAXIMIZED=FALSE&amp;creator=factset&amp;display_string=Audit"}</definedName>
    <definedName name="_417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418__FDSAUDITLINK__" localSheetId="1" hidden="1">{"fdsup://Directions/FactSet Auditing Viewer?action=AUDIT_VALUE&amp;DB=129&amp;ID1=16890510&amp;VALUEID=13040&amp;SDATE=200703&amp;PERIODTYPE=QTR_STD&amp;window=popup_no_bar&amp;width=385&amp;height=120&amp;START_MAXIMIZED=FALSE&amp;creator=factset&amp;display_string=Audit"}</definedName>
    <definedName name="_418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419__FDSAUDITLINK__" localSheetId="1" hidden="1">{"fdsup://Directions/FactSet Auditing Viewer?action=AUDIT_VALUE&amp;DB=129&amp;ID1=16890510&amp;VALUEID=01001&amp;SDATE=200703&amp;PERIODTYPE=QTR_STD&amp;window=popup_no_bar&amp;width=385&amp;height=120&amp;START_MAXIMIZED=FALSE&amp;creator=factset&amp;display_string=Audit"}</definedName>
    <definedName name="_419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42__FDSAUDITLINK__" localSheetId="1" hidden="1">{"fdsup://Directions/FactSet Auditing Viewer?action=AUDIT_VALUE&amp;DB=129&amp;ID1=36476010&amp;VALUEID=13040&amp;SDATE=200903&amp;PERIODTYPE=QTR_STD&amp;window=popup_no_bar&amp;width=385&amp;height=120&amp;START_MAXIMIZED=FALSE&amp;creator=factset&amp;display_string=Audit"}</definedName>
    <definedName name="_42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420__FDSAUDITLINK__" localSheetId="1" hidden="1">{"fdsup://Directions/FactSet Auditing Viewer?action=AUDIT_VALUE&amp;DB=129&amp;ID1=16890510&amp;VALUEID=02101&amp;SDATE=200703&amp;PERIODTYPE=QTR_STD&amp;window=popup_no_bar&amp;width=385&amp;height=120&amp;START_MAXIMIZED=FALSE&amp;creator=factset&amp;display_string=Audit"}</definedName>
    <definedName name="_420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421__FDSAUDITLINK__" localSheetId="1" hidden="1">{"fdsup://Directions/FactSet Auditing Viewer?action=AUDIT_VALUE&amp;DB=129&amp;ID1=16890510&amp;VALUEID=01001&amp;SDATE=200704&amp;PERIODTYPE=QTR_STD&amp;window=popup_no_bar&amp;width=385&amp;height=120&amp;START_MAXIMIZED=FALSE&amp;creator=factset&amp;display_string=Audit"}</definedName>
    <definedName name="_421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422__FDSAUDITLINK__" localSheetId="1" hidden="1">{"fdsup://Directions/FactSet Auditing Viewer?action=AUDIT_VALUE&amp;DB=129&amp;ID1=16890510&amp;VALUEID=01001&amp;SDATE=200801&amp;PERIODTYPE=QTR_STD&amp;window=popup_no_bar&amp;width=385&amp;height=120&amp;START_MAXIMIZED=FALSE&amp;creator=factset&amp;display_string=Audit"}</definedName>
    <definedName name="_422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423__FDSAUDITLINK__" localSheetId="1" hidden="1">{"fdsup://Directions/FactSet Auditing Viewer?action=AUDIT_VALUE&amp;DB=129&amp;ID1=16890510&amp;VALUEID=02101&amp;SDATE=200801&amp;PERIODTYPE=QTR_STD&amp;window=popup_no_bar&amp;width=385&amp;height=120&amp;START_MAXIMIZED=FALSE&amp;creator=factset&amp;display_string=Audit"}</definedName>
    <definedName name="_423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424__FDSAUDITLINK__" localSheetId="1" hidden="1">{"fdsup://Directions/FactSet Auditing Viewer?action=AUDIT_VALUE&amp;DB=129&amp;ID1=16890510&amp;VALUEID=13040&amp;SDATE=200801&amp;PERIODTYPE=QTR_STD&amp;window=popup_no_bar&amp;width=385&amp;height=120&amp;START_MAXIMIZED=FALSE&amp;creator=factset&amp;display_string=Audit"}</definedName>
    <definedName name="_424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425__FDSAUDITLINK__" localSheetId="1" hidden="1">{"fdsup://Directions/FactSet Auditing Viewer?action=AUDIT_VALUE&amp;DB=129&amp;ID1=16890510&amp;VALUEID=13040&amp;SDATE=200802&amp;PERIODTYPE=QTR_STD&amp;window=popup_no_bar&amp;width=385&amp;height=120&amp;START_MAXIMIZED=FALSE&amp;creator=factset&amp;display_string=Audit"}</definedName>
    <definedName name="_425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426__FDSAUDITLINK__" localSheetId="1" hidden="1">{"fdsup://Directions/FactSet Auditing Viewer?action=AUDIT_VALUE&amp;DB=129&amp;ID1=16890510&amp;VALUEID=01001&amp;SDATE=200802&amp;PERIODTYPE=QTR_STD&amp;window=popup_no_bar&amp;width=385&amp;height=120&amp;START_MAXIMIZED=FALSE&amp;creator=factset&amp;display_string=Audit"}</definedName>
    <definedName name="_426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427__FDSAUDITLINK__" localSheetId="1" hidden="1">{"fdsup://Directions/FactSet Auditing Viewer?action=AUDIT_VALUE&amp;DB=129&amp;ID1=16890510&amp;VALUEID=02101&amp;SDATE=200802&amp;PERIODTYPE=QTR_STD&amp;window=popup_no_bar&amp;width=385&amp;height=120&amp;START_MAXIMIZED=FALSE&amp;creator=factset&amp;display_string=Audit"}</definedName>
    <definedName name="_427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428__FDSAUDITLINK__" localSheetId="1" hidden="1">{"fdsup://Directions/FactSet Auditing Viewer?action=AUDIT_VALUE&amp;DB=129&amp;ID1=16890510&amp;VALUEID=13040&amp;SDATE=200803&amp;PERIODTYPE=QTR_STD&amp;window=popup_no_bar&amp;width=385&amp;height=120&amp;START_MAXIMIZED=FALSE&amp;creator=factset&amp;display_string=Audit"}</definedName>
    <definedName name="_428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429__FDSAUDITLINK__" localSheetId="1" hidden="1">{"fdsup://Directions/FactSet Auditing Viewer?action=AUDIT_VALUE&amp;DB=129&amp;ID1=16890510&amp;VALUEID=01001&amp;SDATE=200803&amp;PERIODTYPE=QTR_STD&amp;window=popup_no_bar&amp;width=385&amp;height=120&amp;START_MAXIMIZED=FALSE&amp;creator=factset&amp;display_string=Audit"}</definedName>
    <definedName name="_429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43__FDSAUDITLINK__" localSheetId="1" hidden="1">{"fdsup://Directions/FactSet Auditing Viewer?action=AUDIT_VALUE&amp;DB=129&amp;ID1=03611510&amp;VALUEID=02101&amp;SDATE=200903&amp;PERIODTYPE=QTR_STD&amp;window=popup_no_bar&amp;width=385&amp;height=120&amp;START_MAXIMIZED=FALSE&amp;creator=factset&amp;display_string=Audit"}</definedName>
    <definedName name="_43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430__FDSAUDITLINK__" localSheetId="1" hidden="1">{"fdsup://Directions/FactSet Auditing Viewer?action=AUDIT_VALUE&amp;DB=129&amp;ID1=16890510&amp;VALUEID=02101&amp;SDATE=200803&amp;PERIODTYPE=QTR_STD&amp;window=popup_no_bar&amp;width=385&amp;height=120&amp;START_MAXIMIZED=FALSE&amp;creator=factset&amp;display_string=Audit"}</definedName>
    <definedName name="_430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431__FDSAUDITLINK__" localSheetId="1" hidden="1">{"fdsup://Directions/FactSet Auditing Viewer?action=AUDIT_VALUE&amp;DB=129&amp;ID1=16890510&amp;VALUEID=01001&amp;SDATE=200804&amp;PERIODTYPE=QTR_STD&amp;window=popup_no_bar&amp;width=385&amp;height=120&amp;START_MAXIMIZED=FALSE&amp;creator=factset&amp;display_string=Audit"}</definedName>
    <definedName name="_431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432__FDSAUDITLINK__" localSheetId="1" hidden="1">{"fdsup://Directions/FactSet Auditing Viewer?action=AUDIT_VALUE&amp;DB=129&amp;ID1=16890510&amp;VALUEID=01001&amp;SDATE=200901&amp;PERIODTYPE=QTR_STD&amp;window=popup_no_bar&amp;width=385&amp;height=120&amp;START_MAXIMIZED=FALSE&amp;creator=factset&amp;display_string=Audit"}</definedName>
    <definedName name="_432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433__FDSAUDITLINK__" localSheetId="1" hidden="1">{"fdsup://Directions/FactSet Auditing Viewer?action=AUDIT_VALUE&amp;DB=129&amp;ID1=16890510&amp;VALUEID=02101&amp;SDATE=200901&amp;PERIODTYPE=QTR_STD&amp;window=popup_no_bar&amp;width=385&amp;height=120&amp;START_MAXIMIZED=FALSE&amp;creator=factset&amp;display_string=Audit"}</definedName>
    <definedName name="_433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434__FDSAUDITLINK__" localSheetId="1" hidden="1">{"fdsup://Directions/FactSet Auditing Viewer?action=AUDIT_VALUE&amp;DB=129&amp;ID1=16890510&amp;VALUEID=13040&amp;SDATE=200902&amp;PERIODTYPE=QTR_STD&amp;window=popup_no_bar&amp;width=385&amp;height=120&amp;START_MAXIMIZED=FALSE&amp;creator=factset&amp;display_string=Audit"}</definedName>
    <definedName name="_434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435__FDSAUDITLINK__" localSheetId="1" hidden="1">{"fdsup://Directions/FactSet Auditing Viewer?action=AUDIT_VALUE&amp;DB=129&amp;ID1=16890510&amp;VALUEID=01001&amp;SDATE=200902&amp;PERIODTYPE=QTR_STD&amp;window=popup_no_bar&amp;width=385&amp;height=120&amp;START_MAXIMIZED=FALSE&amp;creator=factset&amp;display_string=Audit"}</definedName>
    <definedName name="_435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436__FDSAUDITLINK__" localSheetId="1" hidden="1">{"fdsup://Directions/FactSet Auditing Viewer?action=AUDIT_VALUE&amp;DB=129&amp;ID1=16890510&amp;VALUEID=02101&amp;SDATE=200902&amp;PERIODTYPE=QTR_STD&amp;window=popup_no_bar&amp;width=385&amp;height=120&amp;START_MAXIMIZED=FALSE&amp;creator=factset&amp;display_string=Audit"}</definedName>
    <definedName name="_436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437__FDSAUDITLINK__" localSheetId="1" hidden="1">{"fdsup://Directions/FactSet Auditing Viewer?action=AUDIT_VALUE&amp;DB=129&amp;ID1=16890510&amp;VALUEID=13040&amp;SDATE=200903&amp;PERIODTYPE=QTR_STD&amp;window=popup_no_bar&amp;width=385&amp;height=120&amp;START_MAXIMIZED=FALSE&amp;creator=factset&amp;display_string=Audit"}</definedName>
    <definedName name="_437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438__FDSAUDITLINK__" localSheetId="1" hidden="1">{"fdsup://Directions/FactSet Auditing Viewer?action=AUDIT_VALUE&amp;DB=129&amp;ID1=16890510&amp;VALUEID=01001&amp;SDATE=200903&amp;PERIODTYPE=QTR_STD&amp;window=popup_no_bar&amp;width=385&amp;height=120&amp;START_MAXIMIZED=FALSE&amp;creator=factset&amp;display_string=Audit"}</definedName>
    <definedName name="_438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439__FDSAUDITLINK__" localSheetId="1" hidden="1">{"fdsup://Directions/FactSet Auditing Viewer?action=AUDIT_VALUE&amp;DB=129&amp;ID1=16890510&amp;VALUEID=02101&amp;SDATE=200903&amp;PERIODTYPE=QTR_STD&amp;window=popup_no_bar&amp;width=385&amp;height=120&amp;START_MAXIMIZED=FALSE&amp;creator=factset&amp;display_string=Audit"}</definedName>
    <definedName name="_439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44__FDSAUDITLINK__" localSheetId="1" hidden="1">{"fdsup://Directions/FactSet Auditing Viewer?action=AUDIT_VALUE&amp;DB=129&amp;ID1=03611510&amp;VALUEID=01001&amp;SDATE=200903&amp;PERIODTYPE=QTR_STD&amp;window=popup_no_bar&amp;width=385&amp;height=120&amp;START_MAXIMIZED=FALSE&amp;creator=factset&amp;display_string=Audit"}</definedName>
    <definedName name="_44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440__FDSAUDITLINK__" localSheetId="1" hidden="1">{"fdsup://Directions/FactSet Auditing Viewer?action=AUDIT_VALUE&amp;DB=129&amp;ID1=16890510&amp;VALUEID=01001&amp;SDATE=200904&amp;PERIODTYPE=QTR_STD&amp;window=popup_no_bar&amp;width=385&amp;height=120&amp;START_MAXIMIZED=FALSE&amp;creator=factset&amp;display_string=Audit"}</definedName>
    <definedName name="_440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441__FDSAUDITLINK__" localSheetId="1" hidden="1">{"fdsup://Directions/FactSet Auditing Viewer?action=AUDIT_VALUE&amp;DB=129&amp;ID1=16890510&amp;VALUEID=13040&amp;SDATE=201001&amp;PERIODTYPE=QTR_STD&amp;window=popup_no_bar&amp;width=385&amp;height=120&amp;START_MAXIMIZED=FALSE&amp;creator=factset&amp;display_string=Audit"}</definedName>
    <definedName name="_441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442__FDSAUDITLINK__" localSheetId="1" hidden="1">{"fdsup://Directions/FactSet Auditing Viewer?action=AUDIT_VALUE&amp;DB=129&amp;ID1=16890510&amp;VALUEID=01001&amp;SDATE=201001&amp;PERIODTYPE=QTR_STD&amp;window=popup_no_bar&amp;width=385&amp;height=120&amp;START_MAXIMIZED=FALSE&amp;creator=factset&amp;display_string=Audit"}</definedName>
    <definedName name="_442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443__FDSAUDITLINK__" localSheetId="1" hidden="1">{"fdsup://Directions/FactSet Auditing Viewer?action=AUDIT_VALUE&amp;DB=129&amp;ID1=16890510&amp;VALUEID=02101&amp;SDATE=201001&amp;PERIODTYPE=QTR_STD&amp;window=popup_no_bar&amp;width=385&amp;height=120&amp;START_MAXIMIZED=FALSE&amp;creator=factset&amp;display_string=Audit"}</definedName>
    <definedName name="_443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444__FDSAUDITLINK__" localSheetId="1" hidden="1">{"fdsup://Directions/FactSet Auditing Viewer?action=AUDIT_VALUE&amp;DB=129&amp;ID1=87416110&amp;VALUEID=02101&amp;SDATE=201001&amp;PERIODTYPE=QTR_STD&amp;window=popup_no_bar&amp;width=385&amp;height=120&amp;START_MAXIMIZED=FALSE&amp;creator=factset&amp;display_string=Audit"}</definedName>
    <definedName name="_444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445__FDSAUDITLINK__" localSheetId="1" hidden="1">{"fdsup://Directions/FactSet Auditing Viewer?action=AUDIT_VALUE&amp;DB=129&amp;ID1=87416110&amp;VALUEID=13040&amp;SDATE=201001&amp;PERIODTYPE=QTR_STD&amp;window=popup_no_bar&amp;width=385&amp;height=120&amp;START_MAXIMIZED=FALSE&amp;creator=factset&amp;display_string=Audit"}</definedName>
    <definedName name="_445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446__FDSAUDITLINK__" localSheetId="1"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446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447__FDSAUDITLINK__" localSheetId="1" hidden="1">{"fdsup://Directions/FactSet Auditing Viewer?action=AUDIT_VALUE&amp;DB=129&amp;ID1=53271610&amp;VALUEID=02101&amp;SDATE=201001&amp;PERIODTYPE=QTR_STD&amp;window=popup_no_bar&amp;width=385&amp;height=120&amp;START_MAXIMIZED=FALSE&amp;creator=factset&amp;display_string=Audit"}</definedName>
    <definedName name="_447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448__FDSAUDITLINK__" localSheetId="1" hidden="1">{"fdsup://Directions/FactSet Auditing Viewer?action=AUDIT_VALUE&amp;DB=129&amp;ID1=53271610&amp;VALUEID=13040&amp;SDATE=201001&amp;PERIODTYPE=QTR_STD&amp;window=popup_no_bar&amp;width=385&amp;height=120&amp;START_MAXIMIZED=FALSE&amp;creator=factset&amp;display_string=Audit"}</definedName>
    <definedName name="_448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449__FDSAUDITLINK__" localSheetId="1" hidden="1">{"fdsup://Directions/FactSet Auditing Viewer?action=AUDIT_VALUE&amp;DB=129&amp;ID1=46612H40&amp;VALUEID=02101&amp;SDATE=201001&amp;PERIODTYPE=QTR_STD&amp;window=popup_no_bar&amp;width=385&amp;height=120&amp;START_MAXIMIZED=FALSE&amp;creator=factset&amp;display_string=Audit"}</definedName>
    <definedName name="_449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45__FDSAUDITLINK__" localSheetId="1" hidden="1">{"fdsup://Directions/FactSet Auditing Viewer?action=AUDIT_VALUE&amp;DB=129&amp;ID1=03611510&amp;VALUEID=13040&amp;SDATE=200903&amp;PERIODTYPE=QTR_STD&amp;window=popup_no_bar&amp;width=385&amp;height=120&amp;START_MAXIMIZED=FALSE&amp;creator=factset&amp;display_string=Audit"}</definedName>
    <definedName name="_45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450__FDSAUDITLINK__" localSheetId="1" hidden="1">{"fdsup://Directions/FactSet Auditing Viewer?action=AUDIT_VALUE&amp;DB=129&amp;ID1=46612H40&amp;VALUEID=13040&amp;SDATE=201001&amp;PERIODTYPE=QTR_STD&amp;window=popup_no_bar&amp;width=385&amp;height=120&amp;START_MAXIMIZED=FALSE&amp;creator=factset&amp;display_string=Audit"}</definedName>
    <definedName name="_450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451__FDSAUDITLINK__" localSheetId="1" hidden="1">{"fdsup://Directions/FactSet Auditing Viewer?action=AUDIT_VALUE&amp;DB=129&amp;ID1=36476010&amp;VALUEID=02101&amp;SDATE=201001&amp;PERIODTYPE=QTR_STD&amp;window=popup_no_bar&amp;width=385&amp;height=120&amp;START_MAXIMIZED=FALSE&amp;creator=factset&amp;display_string=Audit"}</definedName>
    <definedName name="_451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452__FDSAUDITLINK__" localSheetId="1" hidden="1">{"fdsup://Directions/FactSet Auditing Viewer?action=AUDIT_VALUE&amp;DB=129&amp;ID1=36476010&amp;VALUEID=13040&amp;SDATE=201001&amp;PERIODTYPE=QTR_STD&amp;window=popup_no_bar&amp;width=385&amp;height=120&amp;START_MAXIMIZED=FALSE&amp;creator=factset&amp;display_string=Audit"}</definedName>
    <definedName name="_452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453__FDSAUDITLINK__" localSheetId="1" hidden="1">{"fdsup://Directions/FactSet Auditing Viewer?action=AUDIT_VALUE&amp;DB=129&amp;ID1=03611510&amp;VALUEID=02101&amp;SDATE=201001&amp;PERIODTYPE=QTR_STD&amp;window=popup_no_bar&amp;width=385&amp;height=120&amp;START_MAXIMIZED=FALSE&amp;creator=factset&amp;display_string=Audit"}</definedName>
    <definedName name="_453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454__FDSAUDITLINK__" localSheetId="1" hidden="1">{"fdsup://Directions/FactSet Auditing Viewer?action=AUDIT_VALUE&amp;DB=129&amp;ID1=03611510&amp;VALUEID=13040&amp;SDATE=201001&amp;PERIODTYPE=QTR_STD&amp;window=popup_no_bar&amp;width=385&amp;height=120&amp;START_MAXIMIZED=FALSE&amp;creator=factset&amp;display_string=Audit"}</definedName>
    <definedName name="_454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455__FDSAUDITLINK__" localSheetId="1" hidden="1">{"fdsup://Directions/FactSet Auditing Viewer?action=AUDIT_VALUE&amp;DB=129&amp;ID1=16890510&amp;VALUEID=02101&amp;SDATE=201001&amp;PERIODTYPE=QTR_STD&amp;window=popup_no_bar&amp;width=385&amp;height=120&amp;START_MAXIMIZED=FALSE&amp;creator=factset&amp;display_string=Audit"}</definedName>
    <definedName name="_455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456__FDSAUDITLINK__" localSheetId="1" hidden="1">{"fdsup://Directions/FactSet Auditing Viewer?action=AUDIT_VALUE&amp;DB=129&amp;ID1=91704710&amp;VALUEID=02101&amp;SDATE=201001&amp;PERIODTYPE=QTR_STD&amp;window=popup_no_bar&amp;width=385&amp;height=120&amp;START_MAXIMIZED=FALSE&amp;creator=factset&amp;display_string=Audit"}</definedName>
    <definedName name="_456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457__FDSAUDITLINK__" localSheetId="1" hidden="1">{"fdsup://Directions/FactSet Auditing Viewer?action=AUDIT_VALUE&amp;DB=129&amp;ID1=91704710&amp;VALUEID=13040&amp;SDATE=201001&amp;PERIODTYPE=QTR_STD&amp;window=popup_no_bar&amp;width=385&amp;height=120&amp;START_MAXIMIZED=FALSE&amp;creator=factset&amp;display_string=Audit"}</definedName>
    <definedName name="_457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458__FDSAUDITLINK__" localSheetId="1" hidden="1">{"fdsup://Directions/FactSet Auditing Viewer?action=AUDIT_VALUE&amp;DB=129&amp;ID1=02553E10&amp;VALUEID=02101&amp;SDATE=201001&amp;PERIODTYPE=QTR_STD&amp;window=popup_no_bar&amp;width=385&amp;height=120&amp;START_MAXIMIZED=FALSE&amp;creator=factset&amp;display_string=Audit"}</definedName>
    <definedName name="_458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459__FDSAUDITLINK__" localSheetId="1" hidden="1">{"fdsup://Directions/FactSet Auditing Viewer?action=AUDIT_VALUE&amp;DB=129&amp;ID1=02553E10&amp;VALUEID=13040&amp;SDATE=201001&amp;PERIODTYPE=QTR_STD&amp;window=popup_no_bar&amp;width=385&amp;height=120&amp;START_MAXIMIZED=FALSE&amp;creator=factset&amp;display_string=Audit"}</definedName>
    <definedName name="_459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46__FDSAUDITLINK__" localSheetId="1" hidden="1">{"fdsup://Directions/FactSet Auditing Viewer?action=AUDIT_VALUE&amp;DB=129&amp;ID1=16890510&amp;VALUEID=02101&amp;SDATE=200903&amp;PERIODTYPE=QTR_STD&amp;window=popup_no_bar&amp;width=385&amp;height=120&amp;START_MAXIMIZED=FALSE&amp;creator=factset&amp;display_string=Audit"}</definedName>
    <definedName name="_46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460__FDSAUDITLINK__" localSheetId="1" hidden="1">{"fdsup://Directions/FactSet Auditing Viewer?action=AUDIT_VALUE&amp;DB=129&amp;ID1=00786510&amp;VALUEID=02101&amp;SDATE=201001&amp;PERIODTYPE=QTR_STD&amp;window=popup_no_bar&amp;width=385&amp;height=120&amp;START_MAXIMIZED=FALSE&amp;creator=factset&amp;display_string=Audit"}</definedName>
    <definedName name="_460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461__FDSAUDITLINK__" localSheetId="1" hidden="1">{"fdsup://Directions/FactSet Auditing Viewer?action=AUDIT_VALUE&amp;DB=129&amp;ID1=00786510&amp;VALUEID=13040&amp;SDATE=201001&amp;PERIODTYPE=QTR_STD&amp;window=popup_no_bar&amp;width=385&amp;height=120&amp;START_MAXIMIZED=FALSE&amp;creator=factset&amp;display_string=Audit"}</definedName>
    <definedName name="_461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462__FDSAUDITLINK__" localSheetId="1" hidden="1">{"fdsup://Directions/FactSet Auditing Viewer?action=AUDIT_VALUE&amp;DB=129&amp;ID1=00289620&amp;VALUEID=02101&amp;SDATE=201001&amp;PERIODTYPE=QTR_STD&amp;window=popup_no_bar&amp;width=385&amp;height=120&amp;START_MAXIMIZED=FALSE&amp;creator=factset&amp;display_string=Audit"}</definedName>
    <definedName name="_462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463__FDSAUDITLINK__" localSheetId="1" hidden="1">{"fdsup://Directions/FactSet Auditing Viewer?action=AUDIT_VALUE&amp;DB=129&amp;ID1=00289620&amp;VALUEID=13040&amp;SDATE=201001&amp;PERIODTYPE=QTR_STD&amp;window=popup_no_bar&amp;width=385&amp;height=120&amp;START_MAXIMIZED=FALSE&amp;creator=factset&amp;display_string=Audit"}</definedName>
    <definedName name="_463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464__FDSAUDITLINK__" localSheetId="1" hidden="1">{"fdsup://Directions/FactSet Auditing Viewer?action=AUDIT_VALUE&amp;DB=129&amp;ID1=87416110&amp;VALUEID=01001&amp;SDATE=200904&amp;PERIODTYPE=QTR_STD&amp;window=popup_no_bar&amp;width=385&amp;height=120&amp;START_MAXIMIZED=FALSE&amp;creator=factset&amp;display_string=Audit"}</definedName>
    <definedName name="_464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465__FDSAUDITLINK__" localSheetId="1"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465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466__FDSAUDITLINK__" localSheetId="1" hidden="1">{"fdsup://Directions/FactSet Auditing Viewer?action=AUDIT_VALUE&amp;DB=129&amp;ID1=46612H40&amp;VALUEID=01001&amp;SDATE=200904&amp;PERIODTYPE=QTR_STD&amp;window=popup_no_bar&amp;width=385&amp;height=120&amp;START_MAXIMIZED=FALSE&amp;creator=factset&amp;display_string=Audit"}</definedName>
    <definedName name="_466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467__FDSAUDITLINK__" localSheetId="1" hidden="1">{"fdsup://Directions/FactSet Auditing Viewer?action=AUDIT_VALUE&amp;DB=129&amp;ID1=36476010&amp;VALUEID=01001&amp;SDATE=200904&amp;PERIODTYPE=QTR_STD&amp;window=popup_no_bar&amp;width=385&amp;height=120&amp;START_MAXIMIZED=FALSE&amp;creator=factset&amp;display_string=Audit"}</definedName>
    <definedName name="_467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468__FDSAUDITLINK__" localSheetId="1" hidden="1">{"fdsup://Directions/FactSet Auditing Viewer?action=AUDIT_VALUE&amp;DB=129&amp;ID1=03611510&amp;VALUEID=01001&amp;SDATE=200904&amp;PERIODTYPE=QTR_STD&amp;window=popup_no_bar&amp;width=385&amp;height=120&amp;START_MAXIMIZED=FALSE&amp;creator=factset&amp;display_string=Audit"}</definedName>
    <definedName name="_468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469__FDSAUDITLINK__" localSheetId="1" hidden="1">{"fdsup://Directions/FactSet Auditing Viewer?action=AUDIT_VALUE&amp;DB=129&amp;ID1=16890510&amp;VALUEID=01001&amp;SDATE=200904&amp;PERIODTYPE=QTR_STD&amp;window=popup_no_bar&amp;width=385&amp;height=120&amp;START_MAXIMIZED=FALSE&amp;creator=factset&amp;display_string=Audit"}</definedName>
    <definedName name="_469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47__FDSAUDITLINK__" localSheetId="1" hidden="1">{"fdsup://Directions/FactSet Auditing Viewer?action=AUDIT_VALUE&amp;DB=129&amp;ID1=16890510&amp;VALUEID=01001&amp;SDATE=200903&amp;PERIODTYPE=QTR_STD&amp;window=popup_no_bar&amp;width=385&amp;height=120&amp;START_MAXIMIZED=FALSE&amp;creator=factset&amp;display_string=Audit"}</definedName>
    <definedName name="_47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470__FDSAUDITLINK__" localSheetId="1" hidden="1">{"fdsup://Directions/FactSet Auditing Viewer?action=AUDIT_VALUE&amp;DB=129&amp;ID1=91704710&amp;VALUEID=01001&amp;SDATE=200904&amp;PERIODTYPE=QTR_STD&amp;window=popup_no_bar&amp;width=385&amp;height=120&amp;START_MAXIMIZED=FALSE&amp;creator=factset&amp;display_string=Audit"}</definedName>
    <definedName name="_470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471__FDSAUDITLINK__" localSheetId="1" hidden="1">{"fdsup://Directions/FactSet Auditing Viewer?action=AUDIT_VALUE&amp;DB=129&amp;ID1=02553E10&amp;VALUEID=01001&amp;SDATE=200904&amp;PERIODTYPE=QTR_STD&amp;window=popup_no_bar&amp;width=385&amp;height=120&amp;START_MAXIMIZED=FALSE&amp;creator=factset&amp;display_string=Audit"}</definedName>
    <definedName name="_471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472__FDSAUDITLINK__" localSheetId="1" hidden="1">{"fdsup://Directions/FactSet Auditing Viewer?action=AUDIT_VALUE&amp;DB=129&amp;ID1=00786510&amp;VALUEID=01001&amp;SDATE=200904&amp;PERIODTYPE=QTR_STD&amp;window=popup_no_bar&amp;width=385&amp;height=120&amp;START_MAXIMIZED=FALSE&amp;creator=factset&amp;display_string=Audit"}</definedName>
    <definedName name="_472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473__FDSAUDITLINK__" localSheetId="1" hidden="1">{"fdsup://Directions/FactSet Auditing Viewer?action=AUDIT_VALUE&amp;DB=129&amp;ID1=87416110&amp;VALUEID=02101&amp;SDATE=200903&amp;PERIODTYPE=QTR_STD&amp;window=popup_no_bar&amp;width=385&amp;height=120&amp;START_MAXIMIZED=FALSE&amp;creator=factset&amp;display_string=Audit"}</definedName>
    <definedName name="_473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474__FDSAUDITLINK__" localSheetId="1" hidden="1">{"fdsup://Directions/FactSet Auditing Viewer?action=AUDIT_VALUE&amp;DB=129&amp;ID1=87416110&amp;VALUEID=01001&amp;SDATE=200903&amp;PERIODTYPE=QTR_STD&amp;window=popup_no_bar&amp;width=385&amp;height=120&amp;START_MAXIMIZED=FALSE&amp;creator=factset&amp;display_string=Audit"}</definedName>
    <definedName name="_474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475__FDSAUDITLINK__" localSheetId="1" hidden="1">{"fdsup://Directions/FactSet Auditing Viewer?action=AUDIT_VALUE&amp;DB=129&amp;ID1=87416110&amp;VALUEID=13040&amp;SDATE=200903&amp;PERIODTYPE=QTR_STD&amp;window=popup_no_bar&amp;width=385&amp;height=120&amp;START_MAXIMIZED=FALSE&amp;creator=factset&amp;display_string=Audit"}</definedName>
    <definedName name="_475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476__FDSAUDITLINK__" localSheetId="1"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476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477__FDSAUDITLINK__" localSheetId="1" hidden="1">{"fdsup://Directions/FactSet Auditing Viewer?action=AUDIT_VALUE&amp;DB=129&amp;ID1=53271610&amp;VALUEID=02101&amp;SDATE=200903&amp;PERIODTYPE=QTR_STD&amp;window=popup_no_bar&amp;width=385&amp;height=120&amp;START_MAXIMIZED=FALSE&amp;creator=factset&amp;display_string=Audit"}</definedName>
    <definedName name="_477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478__FDSAUDITLINK__" localSheetId="1" hidden="1">{"fdsup://Directions/FactSet Auditing Viewer?action=AUDIT_VALUE&amp;DB=129&amp;ID1=53271610&amp;VALUEID=01001&amp;SDATE=200903&amp;PERIODTYPE=QTR_STD&amp;window=popup_no_bar&amp;width=385&amp;height=120&amp;START_MAXIMIZED=FALSE&amp;creator=factset&amp;display_string=Audit"}</definedName>
    <definedName name="_478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479__FDSAUDITLINK__" localSheetId="1" hidden="1">{"fdsup://Directions/FactSet Auditing Viewer?action=AUDIT_VALUE&amp;DB=129&amp;ID1=53271610&amp;VALUEID=13040&amp;SDATE=200903&amp;PERIODTYPE=QTR_STD&amp;window=popup_no_bar&amp;width=385&amp;height=120&amp;START_MAXIMIZED=FALSE&amp;creator=factset&amp;display_string=Audit"}</definedName>
    <definedName name="_479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48__FDSAUDITLINK__" localSheetId="1" hidden="1">{"fdsup://Directions/FactSet Auditing Viewer?action=AUDIT_VALUE&amp;DB=129&amp;ID1=91704710&amp;VALUEID=02101&amp;SDATE=200903&amp;PERIODTYPE=QTR_STD&amp;window=popup_no_bar&amp;width=385&amp;height=120&amp;START_MAXIMIZED=FALSE&amp;creator=factset&amp;display_string=Audit"}</definedName>
    <definedName name="_48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480__FDSAUDITLINK__" localSheetId="1" hidden="1">{"fdsup://Directions/FactSet Auditing Viewer?action=AUDIT_VALUE&amp;DB=129&amp;ID1=46612H40&amp;VALUEID=02101&amp;SDATE=200903&amp;PERIODTYPE=QTR_STD&amp;window=popup_no_bar&amp;width=385&amp;height=120&amp;START_MAXIMIZED=FALSE&amp;creator=factset&amp;display_string=Audit"}</definedName>
    <definedName name="_480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481__FDSAUDITLINK__" localSheetId="1" hidden="1">{"fdsup://Directions/FactSet Auditing Viewer?action=AUDIT_VALUE&amp;DB=129&amp;ID1=46612H40&amp;VALUEID=01001&amp;SDATE=200903&amp;PERIODTYPE=QTR_STD&amp;window=popup_no_bar&amp;width=385&amp;height=120&amp;START_MAXIMIZED=FALSE&amp;creator=factset&amp;display_string=Audit"}</definedName>
    <definedName name="_481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482__FDSAUDITLINK__" localSheetId="1" hidden="1">{"fdsup://Directions/FactSet Auditing Viewer?action=AUDIT_VALUE&amp;DB=129&amp;ID1=46612H40&amp;VALUEID=13040&amp;SDATE=200903&amp;PERIODTYPE=QTR_STD&amp;window=popup_no_bar&amp;width=385&amp;height=120&amp;START_MAXIMIZED=FALSE&amp;creator=factset&amp;display_string=Audit"}</definedName>
    <definedName name="_482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483__FDSAUDITLINK__" localSheetId="1" hidden="1">{"fdsup://Directions/FactSet Auditing Viewer?action=AUDIT_VALUE&amp;DB=129&amp;ID1=36476010&amp;VALUEID=02101&amp;SDATE=200903&amp;PERIODTYPE=QTR_STD&amp;window=popup_no_bar&amp;width=385&amp;height=120&amp;START_MAXIMIZED=FALSE&amp;creator=factset&amp;display_string=Audit"}</definedName>
    <definedName name="_483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484__FDSAUDITLINK__" localSheetId="1" hidden="1">{"fdsup://Directions/FactSet Auditing Viewer?action=AUDIT_VALUE&amp;DB=129&amp;ID1=36476010&amp;VALUEID=01001&amp;SDATE=200903&amp;PERIODTYPE=QTR_STD&amp;window=popup_no_bar&amp;width=385&amp;height=120&amp;START_MAXIMIZED=FALSE&amp;creator=factset&amp;display_string=Audit"}</definedName>
    <definedName name="_484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485__FDSAUDITLINK__" localSheetId="1" hidden="1">{"fdsup://Directions/FactSet Auditing Viewer?action=AUDIT_VALUE&amp;DB=129&amp;ID1=36476010&amp;VALUEID=13040&amp;SDATE=200903&amp;PERIODTYPE=QTR_STD&amp;window=popup_no_bar&amp;width=385&amp;height=120&amp;START_MAXIMIZED=FALSE&amp;creator=factset&amp;display_string=Audit"}</definedName>
    <definedName name="_485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486__FDSAUDITLINK__" localSheetId="1" hidden="1">{"fdsup://Directions/FactSet Auditing Viewer?action=AUDIT_VALUE&amp;DB=129&amp;ID1=03611510&amp;VALUEID=02101&amp;SDATE=200903&amp;PERIODTYPE=QTR_STD&amp;window=popup_no_bar&amp;width=385&amp;height=120&amp;START_MAXIMIZED=FALSE&amp;creator=factset&amp;display_string=Audit"}</definedName>
    <definedName name="_486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487__FDSAUDITLINK__" localSheetId="1" hidden="1">{"fdsup://Directions/FactSet Auditing Viewer?action=AUDIT_VALUE&amp;DB=129&amp;ID1=03611510&amp;VALUEID=01001&amp;SDATE=200903&amp;PERIODTYPE=QTR_STD&amp;window=popup_no_bar&amp;width=385&amp;height=120&amp;START_MAXIMIZED=FALSE&amp;creator=factset&amp;display_string=Audit"}</definedName>
    <definedName name="_487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488__FDSAUDITLINK__" localSheetId="1" hidden="1">{"fdsup://Directions/FactSet Auditing Viewer?action=AUDIT_VALUE&amp;DB=129&amp;ID1=03611510&amp;VALUEID=13040&amp;SDATE=200903&amp;PERIODTYPE=QTR_STD&amp;window=popup_no_bar&amp;width=385&amp;height=120&amp;START_MAXIMIZED=FALSE&amp;creator=factset&amp;display_string=Audit"}</definedName>
    <definedName name="_488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489__FDSAUDITLINK__" localSheetId="1" hidden="1">{"fdsup://Directions/FactSet Auditing Viewer?action=AUDIT_VALUE&amp;DB=129&amp;ID1=16890510&amp;VALUEID=02101&amp;SDATE=200903&amp;PERIODTYPE=QTR_STD&amp;window=popup_no_bar&amp;width=385&amp;height=120&amp;START_MAXIMIZED=FALSE&amp;creator=factset&amp;display_string=Audit"}</definedName>
    <definedName name="_489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49__FDSAUDITLINK__" localSheetId="1" hidden="1">{"fdsup://Directions/FactSet Auditing Viewer?action=AUDIT_VALUE&amp;DB=129&amp;ID1=91704710&amp;VALUEID=01001&amp;SDATE=200903&amp;PERIODTYPE=QTR_STD&amp;window=popup_no_bar&amp;width=385&amp;height=120&amp;START_MAXIMIZED=FALSE&amp;creator=factset&amp;display_string=Audit"}</definedName>
    <definedName name="_49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490__FDSAUDITLINK__" localSheetId="1" hidden="1">{"fdsup://Directions/FactSet Auditing Viewer?action=AUDIT_VALUE&amp;DB=129&amp;ID1=16890510&amp;VALUEID=01001&amp;SDATE=200903&amp;PERIODTYPE=QTR_STD&amp;window=popup_no_bar&amp;width=385&amp;height=120&amp;START_MAXIMIZED=FALSE&amp;creator=factset&amp;display_string=Audit"}</definedName>
    <definedName name="_490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491__FDSAUDITLINK__" localSheetId="1" hidden="1">{"fdsup://Directions/FactSet Auditing Viewer?action=AUDIT_VALUE&amp;DB=129&amp;ID1=91704710&amp;VALUEID=02101&amp;SDATE=200903&amp;PERIODTYPE=QTR_STD&amp;window=popup_no_bar&amp;width=385&amp;height=120&amp;START_MAXIMIZED=FALSE&amp;creator=factset&amp;display_string=Audit"}</definedName>
    <definedName name="_491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492__FDSAUDITLINK__" localSheetId="1" hidden="1">{"fdsup://Directions/FactSet Auditing Viewer?action=AUDIT_VALUE&amp;DB=129&amp;ID1=91704710&amp;VALUEID=01001&amp;SDATE=200903&amp;PERIODTYPE=QTR_STD&amp;window=popup_no_bar&amp;width=385&amp;height=120&amp;START_MAXIMIZED=FALSE&amp;creator=factset&amp;display_string=Audit"}</definedName>
    <definedName name="_492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493__FDSAUDITLINK__" localSheetId="1" hidden="1">{"fdsup://Directions/FactSet Auditing Viewer?action=AUDIT_VALUE&amp;DB=129&amp;ID1=91704710&amp;VALUEID=13040&amp;SDATE=200903&amp;PERIODTYPE=QTR_STD&amp;window=popup_no_bar&amp;width=385&amp;height=120&amp;START_MAXIMIZED=FALSE&amp;creator=factset&amp;display_string=Audit"}</definedName>
    <definedName name="_493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494__FDSAUDITLINK__" localSheetId="1" hidden="1">{"fdsup://Directions/FactSet Auditing Viewer?action=AUDIT_VALUE&amp;DB=129&amp;ID1=02553E10&amp;VALUEID=02101&amp;SDATE=200903&amp;PERIODTYPE=QTR_STD&amp;window=popup_no_bar&amp;width=385&amp;height=120&amp;START_MAXIMIZED=FALSE&amp;creator=factset&amp;display_string=Audit"}</definedName>
    <definedName name="_494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495__FDSAUDITLINK__" localSheetId="1" hidden="1">{"fdsup://Directions/FactSet Auditing Viewer?action=AUDIT_VALUE&amp;DB=129&amp;ID1=02553E10&amp;VALUEID=01001&amp;SDATE=200903&amp;PERIODTYPE=QTR_STD&amp;window=popup_no_bar&amp;width=385&amp;height=120&amp;START_MAXIMIZED=FALSE&amp;creator=factset&amp;display_string=Audit"}</definedName>
    <definedName name="_495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496__FDSAUDITLINK__" localSheetId="1" hidden="1">{"fdsup://Directions/FactSet Auditing Viewer?action=AUDIT_VALUE&amp;DB=129&amp;ID1=00786510&amp;VALUEID=02101&amp;SDATE=200903&amp;PERIODTYPE=QTR_STD&amp;window=popup_no_bar&amp;width=385&amp;height=120&amp;START_MAXIMIZED=FALSE&amp;creator=factset&amp;display_string=Audit"}</definedName>
    <definedName name="_496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497__FDSAUDITLINK__" localSheetId="1" hidden="1">{"fdsup://Directions/FactSet Auditing Viewer?action=AUDIT_VALUE&amp;DB=129&amp;ID1=00786510&amp;VALUEID=01001&amp;SDATE=200903&amp;PERIODTYPE=QTR_STD&amp;window=popup_no_bar&amp;width=385&amp;height=120&amp;START_MAXIMIZED=FALSE&amp;creator=factset&amp;display_string=Audit"}</definedName>
    <definedName name="_497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498__FDSAUDITLINK__" localSheetId="1" hidden="1">{"fdsup://Directions/FactSet Auditing Viewer?action=AUDIT_VALUE&amp;DB=129&amp;ID1=00786510&amp;VALUEID=13040&amp;SDATE=200903&amp;PERIODTYPE=QTR_STD&amp;window=popup_no_bar&amp;width=385&amp;height=120&amp;START_MAXIMIZED=FALSE&amp;creator=factset&amp;display_string=Audit"}</definedName>
    <definedName name="_498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499__FDSAUDITLINK__" localSheetId="1" hidden="1">{"fdsup://Directions/FactSet Auditing Viewer?action=AUDIT_VALUE&amp;DB=129&amp;ID1=00289620&amp;VALUEID=02101&amp;SDATE=200903&amp;PERIODTYPE=QTR_STD&amp;window=popup_no_bar&amp;width=385&amp;height=120&amp;START_MAXIMIZED=FALSE&amp;creator=factset&amp;display_string=Audit"}</definedName>
    <definedName name="_499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5__123Graph_Aｸﾞﾗﾌ_1" hidden="1">[2]ｾｸﾞﾒﾝﾄ!$E$164:$I$164</definedName>
    <definedName name="_5__FDSAUDITLINK__" localSheetId="1" hidden="1">{"fdsup://Directions/FactSet Auditing Viewer?action=AUDIT_VALUE&amp;DB=129&amp;ID1=53271610&amp;VALUEID=13040&amp;SDATE=201001&amp;PERIODTYPE=QTR_STD&amp;window=popup_no_bar&amp;width=385&amp;height=120&amp;START_MAXIMIZED=FALSE&amp;creator=factset&amp;display_string=Audit"}</definedName>
    <definedName name="_5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50__FDSAUDITLINK__" localSheetId="1" hidden="1">{"fdsup://Directions/FactSet Auditing Viewer?action=AUDIT_VALUE&amp;DB=129&amp;ID1=91704710&amp;VALUEID=13040&amp;SDATE=200903&amp;PERIODTYPE=QTR_STD&amp;window=popup_no_bar&amp;width=385&amp;height=120&amp;START_MAXIMIZED=FALSE&amp;creator=factset&amp;display_string=Audit"}</definedName>
    <definedName name="_50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500__FDSAUDITLINK__" localSheetId="1" hidden="1">{"fdsup://Directions/FactSet Auditing Viewer?action=AUDIT_VALUE&amp;DB=129&amp;ID1=00289620&amp;VALUEID=01001&amp;SDATE=200903&amp;PERIODTYPE=QTR_STD&amp;window=popup_no_bar&amp;width=385&amp;height=120&amp;START_MAXIMIZED=FALSE&amp;creator=factset&amp;display_string=Audit"}</definedName>
    <definedName name="_500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501__FDSAUDITLINK__" localSheetId="1" hidden="1">{"fdsup://Directions/FactSet Auditing Viewer?action=AUDIT_VALUE&amp;DB=129&amp;ID1=00289620&amp;VALUEID=13040&amp;SDATE=200903&amp;PERIODTYPE=QTR_STD&amp;window=popup_no_bar&amp;width=385&amp;height=120&amp;START_MAXIMIZED=FALSE&amp;creator=factset&amp;display_string=Audit"}</definedName>
    <definedName name="_501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502__FDSAUDITLINK__" localSheetId="1" hidden="1">{"fdsup://Directions/FactSet Auditing Viewer?action=AUDIT_VALUE&amp;DB=129&amp;ID1=87416110&amp;VALUEID=02101&amp;SDATE=200902&amp;PERIODTYPE=QTR_STD&amp;window=popup_no_bar&amp;width=385&amp;height=120&amp;START_MAXIMIZED=FALSE&amp;creator=factset&amp;display_string=Audit"}</definedName>
    <definedName name="_502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503__FDSAUDITLINK__" localSheetId="1" hidden="1">{"fdsup://Directions/FactSet Auditing Viewer?action=AUDIT_VALUE&amp;DB=129&amp;ID1=87416110&amp;VALUEID=01001&amp;SDATE=200902&amp;PERIODTYPE=QTR_STD&amp;window=popup_no_bar&amp;width=385&amp;height=120&amp;START_MAXIMIZED=FALSE&amp;creator=factset&amp;display_string=Audit"}</definedName>
    <definedName name="_503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504__FDSAUDITLINK__" localSheetId="1" hidden="1">{"fdsup://Directions/FactSet Auditing Viewer?action=AUDIT_VALUE&amp;DB=129&amp;ID1=53271610&amp;VALUEID=02101&amp;SDATE=200902&amp;PERIODTYPE=QTR_STD&amp;window=popup_no_bar&amp;width=385&amp;height=120&amp;START_MAXIMIZED=FALSE&amp;creator=factset&amp;display_string=Audit"}</definedName>
    <definedName name="_504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505__FDSAUDITLINK__" localSheetId="1" hidden="1">{"fdsup://Directions/FactSet Auditing Viewer?action=AUDIT_VALUE&amp;DB=129&amp;ID1=53271610&amp;VALUEID=01001&amp;SDATE=200902&amp;PERIODTYPE=QTR_STD&amp;window=popup_no_bar&amp;width=385&amp;height=120&amp;START_MAXIMIZED=FALSE&amp;creator=factset&amp;display_string=Audit"}</definedName>
    <definedName name="_505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506__FDSAUDITLINK__" localSheetId="1" hidden="1">{"fdsup://Directions/FactSet Auditing Viewer?action=AUDIT_VALUE&amp;DB=129&amp;ID1=53271610&amp;VALUEID=13040&amp;SDATE=200902&amp;PERIODTYPE=QTR_STD&amp;window=popup_no_bar&amp;width=385&amp;height=120&amp;START_MAXIMIZED=FALSE&amp;creator=factset&amp;display_string=Audit"}</definedName>
    <definedName name="_506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507__FDSAUDITLINK__" localSheetId="1" hidden="1">{"fdsup://Directions/FactSet Auditing Viewer?action=AUDIT_VALUE&amp;DB=129&amp;ID1=46612H40&amp;VALUEID=02101&amp;SDATE=200902&amp;PERIODTYPE=QTR_STD&amp;window=popup_no_bar&amp;width=385&amp;height=120&amp;START_MAXIMIZED=FALSE&amp;creator=factset&amp;display_string=Audit"}</definedName>
    <definedName name="_507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508__FDSAUDITLINK__" localSheetId="1" hidden="1">{"fdsup://Directions/FactSet Auditing Viewer?action=AUDIT_VALUE&amp;DB=129&amp;ID1=46612H40&amp;VALUEID=01001&amp;SDATE=200902&amp;PERIODTYPE=QTR_STD&amp;window=popup_no_bar&amp;width=385&amp;height=120&amp;START_MAXIMIZED=FALSE&amp;creator=factset&amp;display_string=Audit"}</definedName>
    <definedName name="_508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509__FDSAUDITLINK__" localSheetId="1" hidden="1">{"fdsup://Directions/FactSet Auditing Viewer?action=AUDIT_VALUE&amp;DB=129&amp;ID1=46612H40&amp;VALUEID=13040&amp;SDATE=200902&amp;PERIODTYPE=QTR_STD&amp;window=popup_no_bar&amp;width=385&amp;height=120&amp;START_MAXIMIZED=FALSE&amp;creator=factset&amp;display_string=Audit"}</definedName>
    <definedName name="_509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51__FDSAUDITLINK__" localSheetId="1" hidden="1">{"fdsup://Directions/FactSet Auditing Viewer?action=AUDIT_VALUE&amp;DB=129&amp;ID1=02553E10&amp;VALUEID=02101&amp;SDATE=200903&amp;PERIODTYPE=QTR_STD&amp;window=popup_no_bar&amp;width=385&amp;height=120&amp;START_MAXIMIZED=FALSE&amp;creator=factset&amp;display_string=Audit"}</definedName>
    <definedName name="_51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510__FDSAUDITLINK__" localSheetId="1" hidden="1">{"fdsup://Directions/FactSet Auditing Viewer?action=AUDIT_VALUE&amp;DB=129&amp;ID1=36476010&amp;VALUEID=02101&amp;SDATE=200902&amp;PERIODTYPE=QTR_STD&amp;window=popup_no_bar&amp;width=385&amp;height=120&amp;START_MAXIMIZED=FALSE&amp;creator=factset&amp;display_string=Audit"}</definedName>
    <definedName name="_510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511__FDSAUDITLINK__" localSheetId="1" hidden="1">{"fdsup://Directions/FactSet Auditing Viewer?action=AUDIT_VALUE&amp;DB=129&amp;ID1=36476010&amp;VALUEID=01001&amp;SDATE=200902&amp;PERIODTYPE=QTR_STD&amp;window=popup_no_bar&amp;width=385&amp;height=120&amp;START_MAXIMIZED=FALSE&amp;creator=factset&amp;display_string=Audit"}</definedName>
    <definedName name="_511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512__FDSAUDITLINK__" localSheetId="1" hidden="1">{"fdsup://Directions/FactSet Auditing Viewer?action=AUDIT_VALUE&amp;DB=129&amp;ID1=36476010&amp;VALUEID=13040&amp;SDATE=200902&amp;PERIODTYPE=QTR_STD&amp;window=popup_no_bar&amp;width=385&amp;height=120&amp;START_MAXIMIZED=FALSE&amp;creator=factset&amp;display_string=Audit"}</definedName>
    <definedName name="_512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513__FDSAUDITLINK__" localSheetId="1" hidden="1">{"fdsup://Directions/FactSet Auditing Viewer?action=AUDIT_VALUE&amp;DB=129&amp;ID1=03611510&amp;VALUEID=02101&amp;SDATE=200902&amp;PERIODTYPE=QTR_STD&amp;window=popup_no_bar&amp;width=385&amp;height=120&amp;START_MAXIMIZED=FALSE&amp;creator=factset&amp;display_string=Audit"}</definedName>
    <definedName name="_513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514__FDSAUDITLINK__" localSheetId="1" hidden="1">{"fdsup://Directions/FactSet Auditing Viewer?action=AUDIT_VALUE&amp;DB=129&amp;ID1=03611510&amp;VALUEID=01001&amp;SDATE=200902&amp;PERIODTYPE=QTR_STD&amp;window=popup_no_bar&amp;width=385&amp;height=120&amp;START_MAXIMIZED=FALSE&amp;creator=factset&amp;display_string=Audit"}</definedName>
    <definedName name="_514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515__FDSAUDITLINK__" localSheetId="1" hidden="1">{"fdsup://Directions/FactSet Auditing Viewer?action=AUDIT_VALUE&amp;DB=129&amp;ID1=03611510&amp;VALUEID=13040&amp;SDATE=200902&amp;PERIODTYPE=QTR_STD&amp;window=popup_no_bar&amp;width=385&amp;height=120&amp;START_MAXIMIZED=FALSE&amp;creator=factset&amp;display_string=Audit"}</definedName>
    <definedName name="_515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516__FDSAUDITLINK__" localSheetId="1" hidden="1">{"fdsup://Directions/FactSet Auditing Viewer?action=AUDIT_VALUE&amp;DB=129&amp;ID1=16890510&amp;VALUEID=02101&amp;SDATE=200902&amp;PERIODTYPE=QTR_STD&amp;window=popup_no_bar&amp;width=385&amp;height=120&amp;START_MAXIMIZED=FALSE&amp;creator=factset&amp;display_string=Audit"}</definedName>
    <definedName name="_516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517__FDSAUDITLINK__" localSheetId="1" hidden="1">{"fdsup://Directions/FactSet Auditing Viewer?action=AUDIT_VALUE&amp;DB=129&amp;ID1=16890510&amp;VALUEID=01001&amp;SDATE=200902&amp;PERIODTYPE=QTR_STD&amp;window=popup_no_bar&amp;width=385&amp;height=120&amp;START_MAXIMIZED=FALSE&amp;creator=factset&amp;display_string=Audit"}</definedName>
    <definedName name="_517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518__FDSAUDITLINK__" localSheetId="1" hidden="1">{"fdsup://Directions/FactSet Auditing Viewer?action=AUDIT_VALUE&amp;DB=129&amp;ID1=91704710&amp;VALUEID=02101&amp;SDATE=200902&amp;PERIODTYPE=QTR_STD&amp;window=popup_no_bar&amp;width=385&amp;height=120&amp;START_MAXIMIZED=FALSE&amp;creator=factset&amp;display_string=Audit"}</definedName>
    <definedName name="_518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519__FDSAUDITLINK__" localSheetId="1" hidden="1">{"fdsup://Directions/FactSet Auditing Viewer?action=AUDIT_VALUE&amp;DB=129&amp;ID1=91704710&amp;VALUEID=01001&amp;SDATE=200902&amp;PERIODTYPE=QTR_STD&amp;window=popup_no_bar&amp;width=385&amp;height=120&amp;START_MAXIMIZED=FALSE&amp;creator=factset&amp;display_string=Audit"}</definedName>
    <definedName name="_519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52__FDSAUDITLINK__" localSheetId="1" hidden="1">{"fdsup://Directions/FactSet Auditing Viewer?action=AUDIT_VALUE&amp;DB=129&amp;ID1=02553E10&amp;VALUEID=01001&amp;SDATE=200903&amp;PERIODTYPE=QTR_STD&amp;window=popup_no_bar&amp;width=385&amp;height=120&amp;START_MAXIMIZED=FALSE&amp;creator=factset&amp;display_string=Audit"}</definedName>
    <definedName name="_52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520__FDSAUDITLINK__" localSheetId="1" hidden="1">{"fdsup://Directions/FactSet Auditing Viewer?action=AUDIT_VALUE&amp;DB=129&amp;ID1=02553E10&amp;VALUEID=02101&amp;SDATE=200902&amp;PERIODTYPE=QTR_STD&amp;window=popup_no_bar&amp;width=385&amp;height=120&amp;START_MAXIMIZED=FALSE&amp;creator=factset&amp;display_string=Audit"}</definedName>
    <definedName name="_520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521__FDSAUDITLINK__" localSheetId="1" hidden="1">{"fdsup://Directions/FactSet Auditing Viewer?action=AUDIT_VALUE&amp;DB=129&amp;ID1=02553E10&amp;VALUEID=01001&amp;SDATE=200902&amp;PERIODTYPE=QTR_STD&amp;window=popup_no_bar&amp;width=385&amp;height=120&amp;START_MAXIMIZED=FALSE&amp;creator=factset&amp;display_string=Audit"}</definedName>
    <definedName name="_521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522__FDSAUDITLINK__" localSheetId="1" hidden="1">{"fdsup://Directions/FactSet Auditing Viewer?action=AUDIT_VALUE&amp;DB=129&amp;ID1=02553E10&amp;VALUEID=13040&amp;SDATE=200902&amp;PERIODTYPE=QTR_STD&amp;window=popup_no_bar&amp;width=385&amp;height=120&amp;START_MAXIMIZED=FALSE&amp;creator=factset&amp;display_string=Audit"}</definedName>
    <definedName name="_522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523__FDSAUDITLINK__" localSheetId="1" hidden="1">{"fdsup://Directions/FactSet Auditing Viewer?action=AUDIT_VALUE&amp;DB=129&amp;ID1=00786510&amp;VALUEID=02101&amp;SDATE=200902&amp;PERIODTYPE=QTR_STD&amp;window=popup_no_bar&amp;width=385&amp;height=120&amp;START_MAXIMIZED=FALSE&amp;creator=factset&amp;display_string=Audit"}</definedName>
    <definedName name="_523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524__FDSAUDITLINK__" localSheetId="1" hidden="1">{"fdsup://Directions/FactSet Auditing Viewer?action=AUDIT_VALUE&amp;DB=129&amp;ID1=00786510&amp;VALUEID=01001&amp;SDATE=200902&amp;PERIODTYPE=QTR_STD&amp;window=popup_no_bar&amp;width=385&amp;height=120&amp;START_MAXIMIZED=FALSE&amp;creator=factset&amp;display_string=Audit"}</definedName>
    <definedName name="_524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525__FDSAUDITLINK__" localSheetId="1" hidden="1">{"fdsup://Directions/FactSet Auditing Viewer?action=AUDIT_VALUE&amp;DB=129&amp;ID1=00786510&amp;VALUEID=13040&amp;SDATE=200902&amp;PERIODTYPE=QTR_STD&amp;window=popup_no_bar&amp;width=385&amp;height=120&amp;START_MAXIMIZED=FALSE&amp;creator=factset&amp;display_string=Audit"}</definedName>
    <definedName name="_525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526__FDSAUDITLINK__" localSheetId="1" hidden="1">{"fdsup://Directions/FactSet Auditing Viewer?action=AUDIT_VALUE&amp;DB=129&amp;ID1=00289620&amp;VALUEID=02101&amp;SDATE=200902&amp;PERIODTYPE=QTR_STD&amp;window=popup_no_bar&amp;width=385&amp;height=120&amp;START_MAXIMIZED=FALSE&amp;creator=factset&amp;display_string=Audit"}</definedName>
    <definedName name="_526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527__FDSAUDITLINK__" localSheetId="1" hidden="1">{"fdsup://Directions/FactSet Auditing Viewer?action=AUDIT_VALUE&amp;DB=129&amp;ID1=00289620&amp;VALUEID=01001&amp;SDATE=200902&amp;PERIODTYPE=QTR_STD&amp;window=popup_no_bar&amp;width=385&amp;height=120&amp;START_MAXIMIZED=FALSE&amp;creator=factset&amp;display_string=Audit"}</definedName>
    <definedName name="_527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528__FDSAUDITLINK__" localSheetId="1" hidden="1">{"fdsup://Directions/FactSet Auditing Viewer?action=AUDIT_VALUE&amp;DB=129&amp;ID1=00289620&amp;VALUEID=13040&amp;SDATE=200902&amp;PERIODTYPE=QTR_STD&amp;window=popup_no_bar&amp;width=385&amp;height=120&amp;START_MAXIMIZED=FALSE&amp;creator=factset&amp;display_string=Audit"}</definedName>
    <definedName name="_528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529__FDSAUDITLINK__" localSheetId="1" hidden="1">{"fdsup://Directions/FactSet Auditing Viewer?action=AUDIT_VALUE&amp;DB=129&amp;ID1=87416110&amp;VALUEID=02101&amp;SDATE=200901&amp;PERIODTYPE=QTR_STD&amp;window=popup_no_bar&amp;width=385&amp;height=120&amp;START_MAXIMIZED=FALSE&amp;creator=factset&amp;display_string=Audit"}</definedName>
    <definedName name="_529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53__FDSAUDITLINK__" localSheetId="1" hidden="1">{"fdsup://Directions/FactSet Auditing Viewer?action=AUDIT_VALUE&amp;DB=129&amp;ID1=00786510&amp;VALUEID=02101&amp;SDATE=200903&amp;PERIODTYPE=QTR_STD&amp;window=popup_no_bar&amp;width=385&amp;height=120&amp;START_MAXIMIZED=FALSE&amp;creator=factset&amp;display_string=Audit"}</definedName>
    <definedName name="_53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530__FDSAUDITLINK__" localSheetId="1" hidden="1">{"fdsup://Directions/FactSet Auditing Viewer?action=AUDIT_VALUE&amp;DB=129&amp;ID1=87416110&amp;VALUEID=01001&amp;SDATE=200901&amp;PERIODTYPE=QTR_STD&amp;window=popup_no_bar&amp;width=385&amp;height=120&amp;START_MAXIMIZED=FALSE&amp;creator=factset&amp;display_string=Audit"}</definedName>
    <definedName name="_530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531__FDSAUDITLINK__" localSheetId="1" hidden="1">{"fdsup://Directions/FactSet Auditing Viewer?action=AUDIT_VALUE&amp;DB=129&amp;ID1=87416110&amp;VALUEID=13040&amp;SDATE=200901&amp;PERIODTYPE=QTR_STD&amp;window=popup_no_bar&amp;width=385&amp;height=120&amp;START_MAXIMIZED=FALSE&amp;creator=factset&amp;display_string=Audit"}</definedName>
    <definedName name="_531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532__FDSAUDITLINK__" localSheetId="1"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532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533__FDSAUDITLINK__" localSheetId="1" hidden="1">{"fdsup://Directions/FactSet Auditing Viewer?action=AUDIT_VALUE&amp;DB=129&amp;ID1=53271610&amp;VALUEID=13040&amp;SDATE=200901&amp;PERIODTYPE=QTR_STD&amp;window=popup_no_bar&amp;width=385&amp;height=120&amp;START_MAXIMIZED=FALSE&amp;creator=factset&amp;display_string=Audit"}</definedName>
    <definedName name="_533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534__FDSAUDITLINK__" localSheetId="1" hidden="1">{"fdsup://Directions/FactSet Auditing Viewer?action=AUDIT_VALUE&amp;DB=129&amp;ID1=46612H40&amp;VALUEID=02101&amp;SDATE=200901&amp;PERIODTYPE=QTR_STD&amp;window=popup_no_bar&amp;width=385&amp;height=120&amp;START_MAXIMIZED=FALSE&amp;creator=factset&amp;display_string=Audit"}</definedName>
    <definedName name="_534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535__FDSAUDITLINK__" localSheetId="1" hidden="1">{"fdsup://Directions/FactSet Auditing Viewer?action=AUDIT_VALUE&amp;DB=129&amp;ID1=46612H40&amp;VALUEID=01001&amp;SDATE=200901&amp;PERIODTYPE=QTR_STD&amp;window=popup_no_bar&amp;width=385&amp;height=120&amp;START_MAXIMIZED=FALSE&amp;creator=factset&amp;display_string=Audit"}</definedName>
    <definedName name="_535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536__FDSAUDITLINK__" localSheetId="1" hidden="1">{"fdsup://Directions/FactSet Auditing Viewer?action=AUDIT_VALUE&amp;DB=129&amp;ID1=46612H40&amp;VALUEID=13040&amp;SDATE=200901&amp;PERIODTYPE=QTR_STD&amp;window=popup_no_bar&amp;width=385&amp;height=120&amp;START_MAXIMIZED=FALSE&amp;creator=factset&amp;display_string=Audit"}</definedName>
    <definedName name="_536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537__FDSAUDITLINK__" localSheetId="1" hidden="1">{"fdsup://Directions/FactSet Auditing Viewer?action=AUDIT_VALUE&amp;DB=129&amp;ID1=03611510&amp;VALUEID=02101&amp;SDATE=200901&amp;PERIODTYPE=QTR_STD&amp;window=popup_no_bar&amp;width=385&amp;height=120&amp;START_MAXIMIZED=FALSE&amp;creator=factset&amp;display_string=Audit"}</definedName>
    <definedName name="_537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538__FDSAUDITLINK__" localSheetId="1" hidden="1">{"fdsup://Directions/FactSet Auditing Viewer?action=AUDIT_VALUE&amp;DB=129&amp;ID1=03611510&amp;VALUEID=01001&amp;SDATE=200901&amp;PERIODTYPE=QTR_STD&amp;window=popup_no_bar&amp;width=385&amp;height=120&amp;START_MAXIMIZED=FALSE&amp;creator=factset&amp;display_string=Audit"}</definedName>
    <definedName name="_538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539__FDSAUDITLINK__" localSheetId="1" hidden="1">{"fdsup://Directions/FactSet Auditing Viewer?action=AUDIT_VALUE&amp;DB=129&amp;ID1=16890510&amp;VALUEID=02101&amp;SDATE=200901&amp;PERIODTYPE=QTR_STD&amp;window=popup_no_bar&amp;width=385&amp;height=120&amp;START_MAXIMIZED=FALSE&amp;creator=factset&amp;display_string=Audit"}</definedName>
    <definedName name="_539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54__FDSAUDITLINK__" localSheetId="1" hidden="1">{"fdsup://Directions/FactSet Auditing Viewer?action=AUDIT_VALUE&amp;DB=129&amp;ID1=00786510&amp;VALUEID=01001&amp;SDATE=200903&amp;PERIODTYPE=QTR_STD&amp;window=popup_no_bar&amp;width=385&amp;height=120&amp;START_MAXIMIZED=FALSE&amp;creator=factset&amp;display_string=Audit"}</definedName>
    <definedName name="_54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540__FDSAUDITLINK__" localSheetId="1" hidden="1">{"fdsup://Directions/FactSet Auditing Viewer?action=AUDIT_VALUE&amp;DB=129&amp;ID1=16890510&amp;VALUEID=01001&amp;SDATE=200901&amp;PERIODTYPE=QTR_STD&amp;window=popup_no_bar&amp;width=385&amp;height=120&amp;START_MAXIMIZED=FALSE&amp;creator=factset&amp;display_string=Audit"}</definedName>
    <definedName name="_540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541__FDSAUDITLINK__" localSheetId="1" hidden="1">{"fdsup://Directions/FactSet Auditing Viewer?action=AUDIT_VALUE&amp;DB=129&amp;ID1=00786510&amp;VALUEID=02101&amp;SDATE=200901&amp;PERIODTYPE=QTR_STD&amp;window=popup_no_bar&amp;width=385&amp;height=120&amp;START_MAXIMIZED=FALSE&amp;creator=factset&amp;display_string=Audit"}</definedName>
    <definedName name="_541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542__FDSAUDITLINK__" localSheetId="1" hidden="1">{"fdsup://Directions/FactSet Auditing Viewer?action=AUDIT_VALUE&amp;DB=129&amp;ID1=00786510&amp;VALUEID=01001&amp;SDATE=200901&amp;PERIODTYPE=QTR_STD&amp;window=popup_no_bar&amp;width=385&amp;height=120&amp;START_MAXIMIZED=FALSE&amp;creator=factset&amp;display_string=Audit"}</definedName>
    <definedName name="_542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543__FDSAUDITLINK__" localSheetId="1" hidden="1">{"fdsup://Directions/FactSet Auditing Viewer?action=AUDIT_VALUE&amp;DB=129&amp;ID1=00786510&amp;VALUEID=13040&amp;SDATE=200901&amp;PERIODTYPE=QTR_STD&amp;window=popup_no_bar&amp;width=385&amp;height=120&amp;START_MAXIMIZED=FALSE&amp;creator=factset&amp;display_string=Audit"}</definedName>
    <definedName name="_543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544__FDSAUDITLINK__" localSheetId="1" hidden="1">{"fdsup://Directions/FactSet Auditing Viewer?action=AUDIT_VALUE&amp;DB=129&amp;ID1=00289620&amp;VALUEID=13040&amp;SDATE=200901&amp;PERIODTYPE=QTR_STD&amp;window=popup_no_bar&amp;width=385&amp;height=120&amp;START_MAXIMIZED=FALSE&amp;creator=factset&amp;display_string=Audit"}</definedName>
    <definedName name="_544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545__FDSAUDITLINK__" localSheetId="1" hidden="1">{"fdsup://Directions/FactSet Auditing Viewer?action=AUDIT_VALUE&amp;DB=129&amp;ID1=87416110&amp;VALUEID=01001&amp;SDATE=200804&amp;PERIODTYPE=QTR_STD&amp;window=popup_no_bar&amp;width=385&amp;height=120&amp;START_MAXIMIZED=FALSE&amp;creator=factset&amp;display_string=Audit"}</definedName>
    <definedName name="_545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546__FDSAUDITLINK__" localSheetId="1"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546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547__FDSAUDITLINK__" localSheetId="1" hidden="1">{"fdsup://Directions/FactSet Auditing Viewer?action=AUDIT_VALUE&amp;DB=129&amp;ID1=46612H40&amp;VALUEID=01001&amp;SDATE=200804&amp;PERIODTYPE=QTR_STD&amp;window=popup_no_bar&amp;width=385&amp;height=120&amp;START_MAXIMIZED=FALSE&amp;creator=factset&amp;display_string=Audit"}</definedName>
    <definedName name="_547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548__FDSAUDITLINK__" localSheetId="1" hidden="1">{"fdsup://Directions/FactSet Auditing Viewer?action=AUDIT_VALUE&amp;DB=129&amp;ID1=46612H40&amp;VALUEID=13040&amp;SDATE=200804&amp;PERIODTYPE=QTR_STD&amp;window=popup_no_bar&amp;width=385&amp;height=120&amp;START_MAXIMIZED=FALSE&amp;creator=factset&amp;display_string=Audit"}</definedName>
    <definedName name="_548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549__FDSAUDITLINK__" localSheetId="1" hidden="1">{"fdsup://Directions/FactSet Auditing Viewer?action=AUDIT_VALUE&amp;DB=129&amp;ID1=36476010&amp;VALUEID=01001&amp;SDATE=200804&amp;PERIODTYPE=QTR_STD&amp;window=popup_no_bar&amp;width=385&amp;height=120&amp;START_MAXIMIZED=FALSE&amp;creator=factset&amp;display_string=Audit"}</definedName>
    <definedName name="_549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55__FDSAUDITLINK__" localSheetId="1" hidden="1">{"fdsup://Directions/FactSet Auditing Viewer?action=AUDIT_VALUE&amp;DB=129&amp;ID1=00786510&amp;VALUEID=13040&amp;SDATE=200903&amp;PERIODTYPE=QTR_STD&amp;window=popup_no_bar&amp;width=385&amp;height=120&amp;START_MAXIMIZED=FALSE&amp;creator=factset&amp;display_string=Audit"}</definedName>
    <definedName name="_55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550__FDSAUDITLINK__" localSheetId="1" hidden="1">{"fdsup://Directions/FactSet Auditing Viewer?action=AUDIT_VALUE&amp;DB=129&amp;ID1=03611510&amp;VALUEID=01001&amp;SDATE=200804&amp;PERIODTYPE=QTR_STD&amp;window=popup_no_bar&amp;width=385&amp;height=120&amp;START_MAXIMIZED=FALSE&amp;creator=factset&amp;display_string=Audit"}</definedName>
    <definedName name="_550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551__FDSAUDITLINK__" localSheetId="1" hidden="1">{"fdsup://Directions/FactSet Auditing Viewer?action=AUDIT_VALUE&amp;DB=129&amp;ID1=16890510&amp;VALUEID=01001&amp;SDATE=200804&amp;PERIODTYPE=QTR_STD&amp;window=popup_no_bar&amp;width=385&amp;height=120&amp;START_MAXIMIZED=FALSE&amp;creator=factset&amp;display_string=Audit"}</definedName>
    <definedName name="_551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552__FDSAUDITLINK__" localSheetId="1" hidden="1">{"fdsup://Directions/FactSet Auditing Viewer?action=AUDIT_VALUE&amp;DB=129&amp;ID1=00786510&amp;VALUEID=01001&amp;SDATE=200804&amp;PERIODTYPE=QTR_STD&amp;window=popup_no_bar&amp;width=385&amp;height=120&amp;START_MAXIMIZED=FALSE&amp;creator=factset&amp;display_string=Audit"}</definedName>
    <definedName name="_552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553__FDSAUDITLINK__" localSheetId="1" hidden="1">{"fdsup://Directions/FactSet Auditing Viewer?action=AUDIT_VALUE&amp;DB=129&amp;ID1=87416110&amp;VALUEID=02101&amp;SDATE=200803&amp;PERIODTYPE=QTR_STD&amp;window=popup_no_bar&amp;width=385&amp;height=120&amp;START_MAXIMIZED=FALSE&amp;creator=factset&amp;display_string=Audit"}</definedName>
    <definedName name="_553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554__FDSAUDITLINK__" localSheetId="1" hidden="1">{"fdsup://Directions/FactSet Auditing Viewer?action=AUDIT_VALUE&amp;DB=129&amp;ID1=87416110&amp;VALUEID=01001&amp;SDATE=200803&amp;PERIODTYPE=QTR_STD&amp;window=popup_no_bar&amp;width=385&amp;height=120&amp;START_MAXIMIZED=FALSE&amp;creator=factset&amp;display_string=Audit"}</definedName>
    <definedName name="_554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555__FDSAUDITLINK__" localSheetId="1" hidden="1">{"fdsup://Directions/FactSet Auditing Viewer?action=AUDIT_VALUE&amp;DB=129&amp;ID1=87416110&amp;VALUEID=13040&amp;SDATE=200803&amp;PERIODTYPE=QTR_STD&amp;window=popup_no_bar&amp;width=385&amp;height=120&amp;START_MAXIMIZED=FALSE&amp;creator=factset&amp;display_string=Audit"}</definedName>
    <definedName name="_555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556__FDSAUDITLINK__" localSheetId="1"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556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557__FDSAUDITLINK__" localSheetId="1" hidden="1">{"fdsup://Directions/FactSet Auditing Viewer?action=AUDIT_VALUE&amp;DB=129&amp;ID1=46612H40&amp;VALUEID=02101&amp;SDATE=200803&amp;PERIODTYPE=QTR_STD&amp;window=popup_no_bar&amp;width=385&amp;height=120&amp;START_MAXIMIZED=FALSE&amp;creator=factset&amp;display_string=Audit"}</definedName>
    <definedName name="_557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558__FDSAUDITLINK__" localSheetId="1" hidden="1">{"fdsup://Directions/FactSet Auditing Viewer?action=AUDIT_VALUE&amp;DB=129&amp;ID1=46612H40&amp;VALUEID=01001&amp;SDATE=200803&amp;PERIODTYPE=QTR_STD&amp;window=popup_no_bar&amp;width=385&amp;height=120&amp;START_MAXIMIZED=FALSE&amp;creator=factset&amp;display_string=Audit"}</definedName>
    <definedName name="_558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559__FDSAUDITLINK__" localSheetId="1" hidden="1">{"fdsup://Directions/FactSet Auditing Viewer?action=AUDIT_VALUE&amp;DB=129&amp;ID1=46612H40&amp;VALUEID=13040&amp;SDATE=200803&amp;PERIODTYPE=QTR_STD&amp;window=popup_no_bar&amp;width=385&amp;height=120&amp;START_MAXIMIZED=FALSE&amp;creator=factset&amp;display_string=Audit"}</definedName>
    <definedName name="_559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56__FDSAUDITLINK__" localSheetId="1" hidden="1">{"fdsup://Directions/FactSet Auditing Viewer?action=AUDIT_VALUE&amp;DB=129&amp;ID1=00289620&amp;VALUEID=02101&amp;SDATE=200903&amp;PERIODTYPE=QTR_STD&amp;window=popup_no_bar&amp;width=385&amp;height=120&amp;START_MAXIMIZED=FALSE&amp;creator=factset&amp;display_string=Audit"}</definedName>
    <definedName name="_56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560__FDSAUDITLINK__" localSheetId="1" hidden="1">{"fdsup://Directions/FactSet Auditing Viewer?action=AUDIT_VALUE&amp;DB=129&amp;ID1=36476010&amp;VALUEID=02101&amp;SDATE=200803&amp;PERIODTYPE=QTR_STD&amp;window=popup_no_bar&amp;width=385&amp;height=120&amp;START_MAXIMIZED=FALSE&amp;creator=factset&amp;display_string=Audit"}</definedName>
    <definedName name="_560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561__FDSAUDITLINK__" localSheetId="1" hidden="1">{"fdsup://Directions/FactSet Auditing Viewer?action=AUDIT_VALUE&amp;DB=129&amp;ID1=36476010&amp;VALUEID=01001&amp;SDATE=200803&amp;PERIODTYPE=QTR_STD&amp;window=popup_no_bar&amp;width=385&amp;height=120&amp;START_MAXIMIZED=FALSE&amp;creator=factset&amp;display_string=Audit"}</definedName>
    <definedName name="_561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562__FDSAUDITLINK__" localSheetId="1" hidden="1">{"fdsup://Directions/FactSet Auditing Viewer?action=AUDIT_VALUE&amp;DB=129&amp;ID1=36476010&amp;VALUEID=13040&amp;SDATE=200803&amp;PERIODTYPE=QTR_STD&amp;window=popup_no_bar&amp;width=385&amp;height=120&amp;START_MAXIMIZED=FALSE&amp;creator=factset&amp;display_string=Audit"}</definedName>
    <definedName name="_562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563__FDSAUDITLINK__" localSheetId="1" hidden="1">{"fdsup://Directions/FactSet Auditing Viewer?action=AUDIT_VALUE&amp;DB=129&amp;ID1=03611510&amp;VALUEID=02101&amp;SDATE=200803&amp;PERIODTYPE=QTR_STD&amp;window=popup_no_bar&amp;width=385&amp;height=120&amp;START_MAXIMIZED=FALSE&amp;creator=factset&amp;display_string=Audit"}</definedName>
    <definedName name="_563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564__FDSAUDITLINK__" localSheetId="1" hidden="1">{"fdsup://Directions/FactSet Auditing Viewer?action=AUDIT_VALUE&amp;DB=129&amp;ID1=03611510&amp;VALUEID=01001&amp;SDATE=200803&amp;PERIODTYPE=QTR_STD&amp;window=popup_no_bar&amp;width=385&amp;height=120&amp;START_MAXIMIZED=FALSE&amp;creator=factset&amp;display_string=Audit"}</definedName>
    <definedName name="_564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565__FDSAUDITLINK__" localSheetId="1" hidden="1">{"fdsup://Directions/FactSet Auditing Viewer?action=AUDIT_VALUE&amp;DB=129&amp;ID1=16890510&amp;VALUEID=02101&amp;SDATE=200803&amp;PERIODTYPE=QTR_STD&amp;window=popup_no_bar&amp;width=385&amp;height=120&amp;START_MAXIMIZED=FALSE&amp;creator=factset&amp;display_string=Audit"}</definedName>
    <definedName name="_565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566__FDSAUDITLINK__" localSheetId="1" hidden="1">{"fdsup://Directions/FactSet Auditing Viewer?action=AUDIT_VALUE&amp;DB=129&amp;ID1=16890510&amp;VALUEID=01001&amp;SDATE=200803&amp;PERIODTYPE=QTR_STD&amp;window=popup_no_bar&amp;width=385&amp;height=120&amp;START_MAXIMIZED=FALSE&amp;creator=factset&amp;display_string=Audit"}</definedName>
    <definedName name="_566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567__FDSAUDITLINK__" localSheetId="1" hidden="1">{"fdsup://Directions/FactSet Auditing Viewer?action=AUDIT_VALUE&amp;DB=129&amp;ID1=91704710&amp;VALUEID=02101&amp;SDATE=200803&amp;PERIODTYPE=QTR_STD&amp;window=popup_no_bar&amp;width=385&amp;height=120&amp;START_MAXIMIZED=FALSE&amp;creator=factset&amp;display_string=Audit"}</definedName>
    <definedName name="_567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568__FDSAUDITLINK__" localSheetId="1" hidden="1">{"fdsup://Directions/FactSet Auditing Viewer?action=AUDIT_VALUE&amp;DB=129&amp;ID1=91704710&amp;VALUEID=01001&amp;SDATE=200803&amp;PERIODTYPE=QTR_STD&amp;window=popup_no_bar&amp;width=385&amp;height=120&amp;START_MAXIMIZED=FALSE&amp;creator=factset&amp;display_string=Audit"}</definedName>
    <definedName name="_568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569__FDSAUDITLINK__" localSheetId="1" hidden="1">{"fdsup://Directions/FactSet Auditing Viewer?action=AUDIT_VALUE&amp;DB=129&amp;ID1=91704710&amp;VALUEID=13040&amp;SDATE=200803&amp;PERIODTYPE=QTR_STD&amp;window=popup_no_bar&amp;width=385&amp;height=120&amp;START_MAXIMIZED=FALSE&amp;creator=factset&amp;display_string=Audit"}</definedName>
    <definedName name="_569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57__FDSAUDITLINK__" localSheetId="1" hidden="1">{"fdsup://Directions/FactSet Auditing Viewer?action=AUDIT_VALUE&amp;DB=129&amp;ID1=00289620&amp;VALUEID=01001&amp;SDATE=200903&amp;PERIODTYPE=QTR_STD&amp;window=popup_no_bar&amp;width=385&amp;height=120&amp;START_MAXIMIZED=FALSE&amp;creator=factset&amp;display_string=Audit"}</definedName>
    <definedName name="_57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570__FDSAUDITLINK__" localSheetId="1" hidden="1">{"fdsup://Directions/FactSet Auditing Viewer?action=AUDIT_VALUE&amp;DB=129&amp;ID1=02553E10&amp;VALUEID=02101&amp;SDATE=200803&amp;PERIODTYPE=QTR_STD&amp;window=popup_no_bar&amp;width=385&amp;height=120&amp;START_MAXIMIZED=FALSE&amp;creator=factset&amp;display_string=Audit"}</definedName>
    <definedName name="_570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571__FDSAUDITLINK__" localSheetId="1" hidden="1">{"fdsup://Directions/FactSet Auditing Viewer?action=AUDIT_VALUE&amp;DB=129&amp;ID1=02553E10&amp;VALUEID=01001&amp;SDATE=200803&amp;PERIODTYPE=QTR_STD&amp;window=popup_no_bar&amp;width=385&amp;height=120&amp;START_MAXIMIZED=FALSE&amp;creator=factset&amp;display_string=Audit"}</definedName>
    <definedName name="_571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572__FDSAUDITLINK__" localSheetId="1" hidden="1">{"fdsup://Directions/FactSet Auditing Viewer?action=AUDIT_VALUE&amp;DB=129&amp;ID1=02553E10&amp;VALUEID=13040&amp;SDATE=200803&amp;PERIODTYPE=QTR_STD&amp;window=popup_no_bar&amp;width=385&amp;height=120&amp;START_MAXIMIZED=FALSE&amp;creator=factset&amp;display_string=Audit"}</definedName>
    <definedName name="_572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573__FDSAUDITLINK__" localSheetId="1" hidden="1">{"fdsup://Directions/FactSet Auditing Viewer?action=AUDIT_VALUE&amp;DB=129&amp;ID1=00786510&amp;VALUEID=02101&amp;SDATE=200803&amp;PERIODTYPE=QTR_STD&amp;window=popup_no_bar&amp;width=385&amp;height=120&amp;START_MAXIMIZED=FALSE&amp;creator=factset&amp;display_string=Audit"}</definedName>
    <definedName name="_573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574__FDSAUDITLINK__" localSheetId="1" hidden="1">{"fdsup://Directions/FactSet Auditing Viewer?action=AUDIT_VALUE&amp;DB=129&amp;ID1=00786510&amp;VALUEID=01001&amp;SDATE=200803&amp;PERIODTYPE=QTR_STD&amp;window=popup_no_bar&amp;width=385&amp;height=120&amp;START_MAXIMIZED=FALSE&amp;creator=factset&amp;display_string=Audit"}</definedName>
    <definedName name="_574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575__FDSAUDITLINK__" localSheetId="1" hidden="1">{"fdsup://Directions/FactSet Auditing Viewer?action=AUDIT_VALUE&amp;DB=129&amp;ID1=00786510&amp;VALUEID=13040&amp;SDATE=200803&amp;PERIODTYPE=QTR_STD&amp;window=popup_no_bar&amp;width=385&amp;height=120&amp;START_MAXIMIZED=FALSE&amp;creator=factset&amp;display_string=Audit"}</definedName>
    <definedName name="_575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576__FDSAUDITLINK__" localSheetId="1" hidden="1">{"fdsup://Directions/FactSet Auditing Viewer?action=AUDIT_VALUE&amp;DB=129&amp;ID1=00289620&amp;VALUEID=02101&amp;SDATE=200803&amp;PERIODTYPE=QTR_STD&amp;window=popup_no_bar&amp;width=385&amp;height=120&amp;START_MAXIMIZED=FALSE&amp;creator=factset&amp;display_string=Audit"}</definedName>
    <definedName name="_576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577__FDSAUDITLINK__" localSheetId="1" hidden="1">{"fdsup://Directions/FactSet Auditing Viewer?action=AUDIT_VALUE&amp;DB=129&amp;ID1=00289620&amp;VALUEID=01001&amp;SDATE=200803&amp;PERIODTYPE=QTR_STD&amp;window=popup_no_bar&amp;width=385&amp;height=120&amp;START_MAXIMIZED=FALSE&amp;creator=factset&amp;display_string=Audit"}</definedName>
    <definedName name="_577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578__FDSAUDITLINK__" localSheetId="1" hidden="1">{"fdsup://Directions/FactSet Auditing Viewer?action=AUDIT_VALUE&amp;DB=129&amp;ID1=00289620&amp;VALUEID=13040&amp;SDATE=200803&amp;PERIODTYPE=QTR_STD&amp;window=popup_no_bar&amp;width=385&amp;height=120&amp;START_MAXIMIZED=FALSE&amp;creator=factset&amp;display_string=Audit"}</definedName>
    <definedName name="_578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579__FDSAUDITLINK__" localSheetId="1" hidden="1">{"fdsup://Directions/FactSet Auditing Viewer?action=AUDIT_VALUE&amp;DB=129&amp;ID1=87416110&amp;VALUEID=02101&amp;SDATE=200802&amp;PERIODTYPE=QTR_STD&amp;window=popup_no_bar&amp;width=385&amp;height=120&amp;START_MAXIMIZED=FALSE&amp;creator=factset&amp;display_string=Audit"}</definedName>
    <definedName name="_579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58__FDSAUDITLINK__" localSheetId="1" hidden="1">{"fdsup://Directions/FactSet Auditing Viewer?action=AUDIT_VALUE&amp;DB=129&amp;ID1=00289620&amp;VALUEID=13040&amp;SDATE=200903&amp;PERIODTYPE=QTR_STD&amp;window=popup_no_bar&amp;width=385&amp;height=120&amp;START_MAXIMIZED=FALSE&amp;creator=factset&amp;display_string=Audit"}</definedName>
    <definedName name="_58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580__FDSAUDITLINK__" localSheetId="1" hidden="1">{"fdsup://Directions/FactSet Auditing Viewer?action=AUDIT_VALUE&amp;DB=129&amp;ID1=87416110&amp;VALUEID=01001&amp;SDATE=200802&amp;PERIODTYPE=QTR_STD&amp;window=popup_no_bar&amp;width=385&amp;height=120&amp;START_MAXIMIZED=FALSE&amp;creator=factset&amp;display_string=Audit"}</definedName>
    <definedName name="_580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581__FDSAUDITLINK__" localSheetId="1" hidden="1">{"fdsup://Directions/FactSet Auditing Viewer?action=AUDIT_VALUE&amp;DB=129&amp;ID1=53271610&amp;VALUEID=02101&amp;SDATE=200802&amp;PERIODTYPE=QTR_STD&amp;window=popup_no_bar&amp;width=385&amp;height=120&amp;START_MAXIMIZED=FALSE&amp;creator=factset&amp;display_string=Audit"}</definedName>
    <definedName name="_581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582__FDSAUDITLINK__" localSheetId="1" hidden="1">{"fdsup://Directions/FactSet Auditing Viewer?action=AUDIT_VALUE&amp;DB=129&amp;ID1=53271610&amp;VALUEID=01001&amp;SDATE=200802&amp;PERIODTYPE=QTR_STD&amp;window=popup_no_bar&amp;width=385&amp;height=120&amp;START_MAXIMIZED=FALSE&amp;creator=factset&amp;display_string=Audit"}</definedName>
    <definedName name="_582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583__FDSAUDITLINK__" localSheetId="1" hidden="1">{"fdsup://Directions/FactSet Auditing Viewer?action=AUDIT_VALUE&amp;DB=129&amp;ID1=53271610&amp;VALUEID=13040&amp;SDATE=200802&amp;PERIODTYPE=QTR_STD&amp;window=popup_no_bar&amp;width=385&amp;height=120&amp;START_MAXIMIZED=FALSE&amp;creator=factset&amp;display_string=Audit"}</definedName>
    <definedName name="_583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584__FDSAUDITLINK__" localSheetId="1" hidden="1">{"fdsup://Directions/FactSet Auditing Viewer?action=AUDIT_VALUE&amp;DB=129&amp;ID1=46612H40&amp;VALUEID=02101&amp;SDATE=200802&amp;PERIODTYPE=QTR_STD&amp;window=popup_no_bar&amp;width=385&amp;height=120&amp;START_MAXIMIZED=FALSE&amp;creator=factset&amp;display_string=Audit"}</definedName>
    <definedName name="_584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585__FDSAUDITLINK__" localSheetId="1" hidden="1">{"fdsup://Directions/FactSet Auditing Viewer?action=AUDIT_VALUE&amp;DB=129&amp;ID1=46612H40&amp;VALUEID=01001&amp;SDATE=200802&amp;PERIODTYPE=QTR_STD&amp;window=popup_no_bar&amp;width=385&amp;height=120&amp;START_MAXIMIZED=FALSE&amp;creator=factset&amp;display_string=Audit"}</definedName>
    <definedName name="_585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586__FDSAUDITLINK__" localSheetId="1" hidden="1">{"fdsup://Directions/FactSet Auditing Viewer?action=AUDIT_VALUE&amp;DB=129&amp;ID1=46612H40&amp;VALUEID=13040&amp;SDATE=200802&amp;PERIODTYPE=QTR_STD&amp;window=popup_no_bar&amp;width=385&amp;height=120&amp;START_MAXIMIZED=FALSE&amp;creator=factset&amp;display_string=Audit"}</definedName>
    <definedName name="_586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587__FDSAUDITLINK__" localSheetId="1" hidden="1">{"fdsup://Directions/FactSet Auditing Viewer?action=AUDIT_VALUE&amp;DB=129&amp;ID1=36476010&amp;VALUEID=02101&amp;SDATE=200802&amp;PERIODTYPE=QTR_STD&amp;window=popup_no_bar&amp;width=385&amp;height=120&amp;START_MAXIMIZED=FALSE&amp;creator=factset&amp;display_string=Audit"}</definedName>
    <definedName name="_587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588__FDSAUDITLINK__" localSheetId="1" hidden="1">{"fdsup://Directions/FactSet Auditing Viewer?action=AUDIT_VALUE&amp;DB=129&amp;ID1=36476010&amp;VALUEID=01001&amp;SDATE=200802&amp;PERIODTYPE=QTR_STD&amp;window=popup_no_bar&amp;width=385&amp;height=120&amp;START_MAXIMIZED=FALSE&amp;creator=factset&amp;display_string=Audit"}</definedName>
    <definedName name="_588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589__FDSAUDITLINK__" localSheetId="1" hidden="1">{"fdsup://Directions/FactSet Auditing Viewer?action=AUDIT_VALUE&amp;DB=129&amp;ID1=36476010&amp;VALUEID=13040&amp;SDATE=200802&amp;PERIODTYPE=QTR_STD&amp;window=popup_no_bar&amp;width=385&amp;height=120&amp;START_MAXIMIZED=FALSE&amp;creator=factset&amp;display_string=Audit"}</definedName>
    <definedName name="_589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59__FDSAUDITLINK__" localSheetId="1" hidden="1">{"fdsup://Directions/FactSet Auditing Viewer?action=AUDIT_VALUE&amp;DB=129&amp;ID1=87416110&amp;VALUEID=02101&amp;SDATE=200902&amp;PERIODTYPE=QTR_STD&amp;window=popup_no_bar&amp;width=385&amp;height=120&amp;START_MAXIMIZED=FALSE&amp;creator=factset&amp;display_string=Audit"}</definedName>
    <definedName name="_59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590__FDSAUDITLINK__" localSheetId="1" hidden="1">{"fdsup://Directions/FactSet Auditing Viewer?action=AUDIT_VALUE&amp;DB=129&amp;ID1=03611510&amp;VALUEID=02101&amp;SDATE=200802&amp;PERIODTYPE=QTR_STD&amp;window=popup_no_bar&amp;width=385&amp;height=120&amp;START_MAXIMIZED=FALSE&amp;creator=factset&amp;display_string=Audit"}</definedName>
    <definedName name="_590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591__FDSAUDITLINK__" localSheetId="1" hidden="1">{"fdsup://Directions/FactSet Auditing Viewer?action=AUDIT_VALUE&amp;DB=129&amp;ID1=03611510&amp;VALUEID=01001&amp;SDATE=200802&amp;PERIODTYPE=QTR_STD&amp;window=popup_no_bar&amp;width=385&amp;height=120&amp;START_MAXIMIZED=FALSE&amp;creator=factset&amp;display_string=Audit"}</definedName>
    <definedName name="_591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592__FDSAUDITLINK__" localSheetId="1" hidden="1">{"fdsup://Directions/FactSet Auditing Viewer?action=AUDIT_VALUE&amp;DB=129&amp;ID1=16890510&amp;VALUEID=02101&amp;SDATE=200802&amp;PERIODTYPE=QTR_STD&amp;window=popup_no_bar&amp;width=385&amp;height=120&amp;START_MAXIMIZED=FALSE&amp;creator=factset&amp;display_string=Audit"}</definedName>
    <definedName name="_592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593__FDSAUDITLINK__" localSheetId="1" hidden="1">{"fdsup://Directions/FactSet Auditing Viewer?action=AUDIT_VALUE&amp;DB=129&amp;ID1=16890510&amp;VALUEID=01001&amp;SDATE=200802&amp;PERIODTYPE=QTR_STD&amp;window=popup_no_bar&amp;width=385&amp;height=120&amp;START_MAXIMIZED=FALSE&amp;creator=factset&amp;display_string=Audit"}</definedName>
    <definedName name="_593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594__FDSAUDITLINK__" localSheetId="1" hidden="1">{"fdsup://Directions/FactSet Auditing Viewer?action=AUDIT_VALUE&amp;DB=129&amp;ID1=91704710&amp;VALUEID=02101&amp;SDATE=200802&amp;PERIODTYPE=QTR_STD&amp;window=popup_no_bar&amp;width=385&amp;height=120&amp;START_MAXIMIZED=FALSE&amp;creator=factset&amp;display_string=Audit"}</definedName>
    <definedName name="_594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595__FDSAUDITLINK__" localSheetId="1" hidden="1">{"fdsup://Directions/FactSet Auditing Viewer?action=AUDIT_VALUE&amp;DB=129&amp;ID1=91704710&amp;VALUEID=01001&amp;SDATE=200802&amp;PERIODTYPE=QTR_STD&amp;window=popup_no_bar&amp;width=385&amp;height=120&amp;START_MAXIMIZED=FALSE&amp;creator=factset&amp;display_string=Audit"}</definedName>
    <definedName name="_595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596__FDSAUDITLINK__" localSheetId="1" hidden="1">{"fdsup://Directions/FactSet Auditing Viewer?action=AUDIT_VALUE&amp;DB=129&amp;ID1=91704710&amp;VALUEID=13040&amp;SDATE=200802&amp;PERIODTYPE=QTR_STD&amp;window=popup_no_bar&amp;width=385&amp;height=120&amp;START_MAXIMIZED=FALSE&amp;creator=factset&amp;display_string=Audit"}</definedName>
    <definedName name="_596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597__FDSAUDITLINK__" localSheetId="1" hidden="1">{"fdsup://Directions/FactSet Auditing Viewer?action=AUDIT_VALUE&amp;DB=129&amp;ID1=02553E10&amp;VALUEID=02101&amp;SDATE=200802&amp;PERIODTYPE=QTR_STD&amp;window=popup_no_bar&amp;width=385&amp;height=120&amp;START_MAXIMIZED=FALSE&amp;creator=factset&amp;display_string=Audit"}</definedName>
    <definedName name="_597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598__FDSAUDITLINK__" localSheetId="1" hidden="1">{"fdsup://Directions/FactSet Auditing Viewer?action=AUDIT_VALUE&amp;DB=129&amp;ID1=02553E10&amp;VALUEID=01001&amp;SDATE=200802&amp;PERIODTYPE=QTR_STD&amp;window=popup_no_bar&amp;width=385&amp;height=120&amp;START_MAXIMIZED=FALSE&amp;creator=factset&amp;display_string=Audit"}</definedName>
    <definedName name="_598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599__FDSAUDITLINK__" localSheetId="1" hidden="1">{"fdsup://Directions/FactSet Auditing Viewer?action=AUDIT_VALUE&amp;DB=129&amp;ID1=02553E10&amp;VALUEID=13040&amp;SDATE=200802&amp;PERIODTYPE=QTR_STD&amp;window=popup_no_bar&amp;width=385&amp;height=120&amp;START_MAXIMIZED=FALSE&amp;creator=factset&amp;display_string=Audit"}</definedName>
    <definedName name="_599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6__123Graph_Aｸﾞﾗﾌ_2" hidden="1">[2]単独!$AR$14:$AR$18</definedName>
    <definedName name="_6__FDSAUDITLINK__" localSheetId="1" hidden="1">{"fdsup://Directions/FactSet Auditing Viewer?action=AUDIT_VALUE&amp;DB=129&amp;ID1=46612H40&amp;VALUEID=02101&amp;SDATE=201001&amp;PERIODTYPE=QTR_STD&amp;window=popup_no_bar&amp;width=385&amp;height=120&amp;START_MAXIMIZED=FALSE&amp;creator=factset&amp;display_string=Audit"}</definedName>
    <definedName name="_6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60__FDSAUDITLINK__" localSheetId="1" hidden="1">{"fdsup://Directions/FactSet Auditing Viewer?action=AUDIT_VALUE&amp;DB=129&amp;ID1=87416110&amp;VALUEID=01001&amp;SDATE=200902&amp;PERIODTYPE=QTR_STD&amp;window=popup_no_bar&amp;width=385&amp;height=120&amp;START_MAXIMIZED=FALSE&amp;creator=factset&amp;display_string=Audit"}</definedName>
    <definedName name="_60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600__FDSAUDITLINK__" localSheetId="1" hidden="1">{"fdsup://Directions/FactSet Auditing Viewer?action=AUDIT_VALUE&amp;DB=129&amp;ID1=00786510&amp;VALUEID=02101&amp;SDATE=200802&amp;PERIODTYPE=QTR_STD&amp;window=popup_no_bar&amp;width=385&amp;height=120&amp;START_MAXIMIZED=FALSE&amp;creator=factset&amp;display_string=Audit"}</definedName>
    <definedName name="_600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601__FDSAUDITLINK__" localSheetId="1" hidden="1">{"fdsup://Directions/FactSet Auditing Viewer?action=AUDIT_VALUE&amp;DB=129&amp;ID1=00786510&amp;VALUEID=01001&amp;SDATE=200802&amp;PERIODTYPE=QTR_STD&amp;window=popup_no_bar&amp;width=385&amp;height=120&amp;START_MAXIMIZED=FALSE&amp;creator=factset&amp;display_string=Audit"}</definedName>
    <definedName name="_601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602__FDSAUDITLINK__" localSheetId="1" hidden="1">{"fdsup://Directions/FactSet Auditing Viewer?action=AUDIT_VALUE&amp;DB=129&amp;ID1=00786510&amp;VALUEID=13040&amp;SDATE=200802&amp;PERIODTYPE=QTR_STD&amp;window=popup_no_bar&amp;width=385&amp;height=120&amp;START_MAXIMIZED=FALSE&amp;creator=factset&amp;display_string=Audit"}</definedName>
    <definedName name="_602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603__FDSAUDITLINK__" localSheetId="1" hidden="1">{"fdsup://Directions/FactSet Auditing Viewer?action=AUDIT_VALUE&amp;DB=129&amp;ID1=00289620&amp;VALUEID=02101&amp;SDATE=200802&amp;PERIODTYPE=QTR_STD&amp;window=popup_no_bar&amp;width=385&amp;height=120&amp;START_MAXIMIZED=FALSE&amp;creator=factset&amp;display_string=Audit"}</definedName>
    <definedName name="_603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604__FDSAUDITLINK__" localSheetId="1" hidden="1">{"fdsup://Directions/FactSet Auditing Viewer?action=AUDIT_VALUE&amp;DB=129&amp;ID1=00289620&amp;VALUEID=01001&amp;SDATE=200802&amp;PERIODTYPE=QTR_STD&amp;window=popup_no_bar&amp;width=385&amp;height=120&amp;START_MAXIMIZED=FALSE&amp;creator=factset&amp;display_string=Audit"}</definedName>
    <definedName name="_604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605__FDSAUDITLINK__" localSheetId="1" hidden="1">{"fdsup://Directions/FactSet Auditing Viewer?action=AUDIT_VALUE&amp;DB=129&amp;ID1=00289620&amp;VALUEID=13040&amp;SDATE=200802&amp;PERIODTYPE=QTR_STD&amp;window=popup_no_bar&amp;width=385&amp;height=120&amp;START_MAXIMIZED=FALSE&amp;creator=factset&amp;display_string=Audit"}</definedName>
    <definedName name="_605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606__FDSAUDITLINK__" localSheetId="1" hidden="1">{"fdsup://Directions/FactSet Auditing Viewer?action=AUDIT_VALUE&amp;DB=129&amp;ID1=87416110&amp;VALUEID=02101&amp;SDATE=200801&amp;PERIODTYPE=QTR_STD&amp;window=popup_no_bar&amp;width=385&amp;height=120&amp;START_MAXIMIZED=FALSE&amp;creator=factset&amp;display_string=Audit"}</definedName>
    <definedName name="_606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607__FDSAUDITLINK__" localSheetId="1" hidden="1">{"fdsup://Directions/FactSet Auditing Viewer?action=AUDIT_VALUE&amp;DB=129&amp;ID1=87416110&amp;VALUEID=01001&amp;SDATE=200801&amp;PERIODTYPE=QTR_STD&amp;window=popup_no_bar&amp;width=385&amp;height=120&amp;START_MAXIMIZED=FALSE&amp;creator=factset&amp;display_string=Audit"}</definedName>
    <definedName name="_607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608__FDSAUDITLINK__" localSheetId="1" hidden="1">{"fdsup://Directions/FactSet Auditing Viewer?action=AUDIT_VALUE&amp;DB=129&amp;ID1=53271610&amp;VALUEID=02101&amp;SDATE=200801&amp;PERIODTYPE=QTR_STD&amp;window=popup_no_bar&amp;width=385&amp;height=120&amp;START_MAXIMIZED=FALSE&amp;creator=factset&amp;display_string=Audit"}</definedName>
    <definedName name="_608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609__FDSAUDITLINK__" localSheetId="1" hidden="1">{"fdsup://Directions/FactSet Auditing Viewer?action=AUDIT_VALUE&amp;DB=129&amp;ID1=53271610&amp;VALUEID=01001&amp;SDATE=200801&amp;PERIODTYPE=QTR_STD&amp;window=popup_no_bar&amp;width=385&amp;height=120&amp;START_MAXIMIZED=FALSE&amp;creator=factset&amp;display_string=Audit"}</definedName>
    <definedName name="_609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61__FDSAUDITLINK__" localSheetId="1" hidden="1">{"fdsup://Directions/FactSet Auditing Viewer?action=AUDIT_VALUE&amp;DB=129&amp;ID1=53271610&amp;VALUEID=02101&amp;SDATE=200902&amp;PERIODTYPE=QTR_STD&amp;window=popup_no_bar&amp;width=385&amp;height=120&amp;START_MAXIMIZED=FALSE&amp;creator=factset&amp;display_string=Audit"}</definedName>
    <definedName name="_61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610__FDSAUDITLINK__" localSheetId="1" hidden="1">{"fdsup://Directions/FactSet Auditing Viewer?action=AUDIT_VALUE&amp;DB=129&amp;ID1=53271610&amp;VALUEID=13040&amp;SDATE=200801&amp;PERIODTYPE=QTR_STD&amp;window=popup_no_bar&amp;width=385&amp;height=120&amp;START_MAXIMIZED=FALSE&amp;creator=factset&amp;display_string=Audit"}</definedName>
    <definedName name="_610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611__FDSAUDITLINK__" localSheetId="1" hidden="1">{"fdsup://Directions/FactSet Auditing Viewer?action=AUDIT_VALUE&amp;DB=129&amp;ID1=46612H40&amp;VALUEID=02101&amp;SDATE=200801&amp;PERIODTYPE=QTR_STD&amp;window=popup_no_bar&amp;width=385&amp;height=120&amp;START_MAXIMIZED=FALSE&amp;creator=factset&amp;display_string=Audit"}</definedName>
    <definedName name="_611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612__FDSAUDITLINK__" localSheetId="1" hidden="1">{"fdsup://Directions/FactSet Auditing Viewer?action=AUDIT_VALUE&amp;DB=129&amp;ID1=46612H40&amp;VALUEID=01001&amp;SDATE=200801&amp;PERIODTYPE=QTR_STD&amp;window=popup_no_bar&amp;width=385&amp;height=120&amp;START_MAXIMIZED=FALSE&amp;creator=factset&amp;display_string=Audit"}</definedName>
    <definedName name="_612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613__FDSAUDITLINK__" localSheetId="1" hidden="1">{"fdsup://Directions/FactSet Auditing Viewer?action=AUDIT_VALUE&amp;DB=129&amp;ID1=46612H40&amp;VALUEID=13040&amp;SDATE=200801&amp;PERIODTYPE=QTR_STD&amp;window=popup_no_bar&amp;width=385&amp;height=120&amp;START_MAXIMIZED=FALSE&amp;creator=factset&amp;display_string=Audit"}</definedName>
    <definedName name="_613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614__FDSAUDITLINK__" localSheetId="1" hidden="1">{"fdsup://Directions/FactSet Auditing Viewer?action=AUDIT_VALUE&amp;DB=129&amp;ID1=36476010&amp;VALUEID=02101&amp;SDATE=200801&amp;PERIODTYPE=QTR_STD&amp;window=popup_no_bar&amp;width=385&amp;height=120&amp;START_MAXIMIZED=FALSE&amp;creator=factset&amp;display_string=Audit"}</definedName>
    <definedName name="_614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615__FDSAUDITLINK__" localSheetId="1" hidden="1">{"fdsup://Directions/FactSet Auditing Viewer?action=AUDIT_VALUE&amp;DB=129&amp;ID1=36476010&amp;VALUEID=01001&amp;SDATE=200801&amp;PERIODTYPE=QTR_STD&amp;window=popup_no_bar&amp;width=385&amp;height=120&amp;START_MAXIMIZED=FALSE&amp;creator=factset&amp;display_string=Audit"}</definedName>
    <definedName name="_615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616__FDSAUDITLINK__" localSheetId="1" hidden="1">{"fdsup://Directions/FactSet Auditing Viewer?action=AUDIT_VALUE&amp;DB=129&amp;ID1=36476010&amp;VALUEID=13040&amp;SDATE=200801&amp;PERIODTYPE=QTR_STD&amp;window=popup_no_bar&amp;width=385&amp;height=120&amp;START_MAXIMIZED=FALSE&amp;creator=factset&amp;display_string=Audit"}</definedName>
    <definedName name="_616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617__FDSAUDITLINK__" localSheetId="1" hidden="1">{"fdsup://Directions/FactSet Auditing Viewer?action=AUDIT_VALUE&amp;DB=129&amp;ID1=03611510&amp;VALUEID=02101&amp;SDATE=200801&amp;PERIODTYPE=QTR_STD&amp;window=popup_no_bar&amp;width=385&amp;height=120&amp;START_MAXIMIZED=FALSE&amp;creator=factset&amp;display_string=Audit"}</definedName>
    <definedName name="_617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618__FDSAUDITLINK__" localSheetId="1" hidden="1">{"fdsup://Directions/FactSet Auditing Viewer?action=AUDIT_VALUE&amp;DB=129&amp;ID1=03611510&amp;VALUEID=01001&amp;SDATE=200801&amp;PERIODTYPE=QTR_STD&amp;window=popup_no_bar&amp;width=385&amp;height=120&amp;START_MAXIMIZED=FALSE&amp;creator=factset&amp;display_string=Audit"}</definedName>
    <definedName name="_618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619__FDSAUDITLINK__" localSheetId="1" hidden="1">{"fdsup://Directions/FactSet Auditing Viewer?action=AUDIT_VALUE&amp;DB=129&amp;ID1=03611510&amp;VALUEID=13040&amp;SDATE=200801&amp;PERIODTYPE=QTR_STD&amp;window=popup_no_bar&amp;width=385&amp;height=120&amp;START_MAXIMIZED=FALSE&amp;creator=factset&amp;display_string=Audit"}</definedName>
    <definedName name="_619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62__FDSAUDITLINK__" localSheetId="1" hidden="1">{"fdsup://Directions/FactSet Auditing Viewer?action=AUDIT_VALUE&amp;DB=129&amp;ID1=53271610&amp;VALUEID=01001&amp;SDATE=200902&amp;PERIODTYPE=QTR_STD&amp;window=popup_no_bar&amp;width=385&amp;height=120&amp;START_MAXIMIZED=FALSE&amp;creator=factset&amp;display_string=Audit"}</definedName>
    <definedName name="_62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620__FDSAUDITLINK__" localSheetId="1" hidden="1">{"fdsup://Directions/FactSet Auditing Viewer?action=AUDIT_VALUE&amp;DB=129&amp;ID1=16890510&amp;VALUEID=02101&amp;SDATE=200801&amp;PERIODTYPE=QTR_STD&amp;window=popup_no_bar&amp;width=385&amp;height=120&amp;START_MAXIMIZED=FALSE&amp;creator=factset&amp;display_string=Audit"}</definedName>
    <definedName name="_620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621__FDSAUDITLINK__" localSheetId="1" hidden="1">{"fdsup://Directions/FactSet Auditing Viewer?action=AUDIT_VALUE&amp;DB=129&amp;ID1=16890510&amp;VALUEID=01001&amp;SDATE=200801&amp;PERIODTYPE=QTR_STD&amp;window=popup_no_bar&amp;width=385&amp;height=120&amp;START_MAXIMIZED=FALSE&amp;creator=factset&amp;display_string=Audit"}</definedName>
    <definedName name="_621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622__FDSAUDITLINK__" localSheetId="1" hidden="1">{"fdsup://Directions/FactSet Auditing Viewer?action=AUDIT_VALUE&amp;DB=129&amp;ID1=91704710&amp;VALUEID=02101&amp;SDATE=200801&amp;PERIODTYPE=QTR_STD&amp;window=popup_no_bar&amp;width=385&amp;height=120&amp;START_MAXIMIZED=FALSE&amp;creator=factset&amp;display_string=Audit"}</definedName>
    <definedName name="_622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623__FDSAUDITLINK__" localSheetId="1" hidden="1">{"fdsup://Directions/FactSet Auditing Viewer?action=AUDIT_VALUE&amp;DB=129&amp;ID1=91704710&amp;VALUEID=01001&amp;SDATE=200801&amp;PERIODTYPE=QTR_STD&amp;window=popup_no_bar&amp;width=385&amp;height=120&amp;START_MAXIMIZED=FALSE&amp;creator=factset&amp;display_string=Audit"}</definedName>
    <definedName name="_623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624__FDSAUDITLINK__" localSheetId="1" hidden="1">{"fdsup://Directions/FactSet Auditing Viewer?action=AUDIT_VALUE&amp;DB=129&amp;ID1=91704710&amp;VALUEID=13040&amp;SDATE=200801&amp;PERIODTYPE=QTR_STD&amp;window=popup_no_bar&amp;width=385&amp;height=120&amp;START_MAXIMIZED=FALSE&amp;creator=factset&amp;display_string=Audit"}</definedName>
    <definedName name="_624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625__FDSAUDITLINK__" localSheetId="1" hidden="1">{"fdsup://Directions/FactSet Auditing Viewer?action=AUDIT_VALUE&amp;DB=129&amp;ID1=02553E10&amp;VALUEID=02101&amp;SDATE=200801&amp;PERIODTYPE=QTR_STD&amp;window=popup_no_bar&amp;width=385&amp;height=120&amp;START_MAXIMIZED=FALSE&amp;creator=factset&amp;display_string=Audit"}</definedName>
    <definedName name="_625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626__FDSAUDITLINK__" localSheetId="1" hidden="1">{"fdsup://Directions/FactSet Auditing Viewer?action=AUDIT_VALUE&amp;DB=129&amp;ID1=02553E10&amp;VALUEID=01001&amp;SDATE=200801&amp;PERIODTYPE=QTR_STD&amp;window=popup_no_bar&amp;width=385&amp;height=120&amp;START_MAXIMIZED=FALSE&amp;creator=factset&amp;display_string=Audit"}</definedName>
    <definedName name="_626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627__FDSAUDITLINK__" localSheetId="1" hidden="1">{"fdsup://Directions/FactSet Auditing Viewer?action=AUDIT_VALUE&amp;DB=129&amp;ID1=02553E10&amp;VALUEID=13040&amp;SDATE=200801&amp;PERIODTYPE=QTR_STD&amp;window=popup_no_bar&amp;width=385&amp;height=120&amp;START_MAXIMIZED=FALSE&amp;creator=factset&amp;display_string=Audit"}</definedName>
    <definedName name="_627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628__FDSAUDITLINK__" localSheetId="1" hidden="1">{"fdsup://Directions/FactSet Auditing Viewer?action=AUDIT_VALUE&amp;DB=129&amp;ID1=00786510&amp;VALUEID=02101&amp;SDATE=200801&amp;PERIODTYPE=QTR_STD&amp;window=popup_no_bar&amp;width=385&amp;height=120&amp;START_MAXIMIZED=FALSE&amp;creator=factset&amp;display_string=Audit"}</definedName>
    <definedName name="_628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629__FDSAUDITLINK__" localSheetId="1" hidden="1">{"fdsup://Directions/FactSet Auditing Viewer?action=AUDIT_VALUE&amp;DB=129&amp;ID1=00786510&amp;VALUEID=01001&amp;SDATE=200801&amp;PERIODTYPE=QTR_STD&amp;window=popup_no_bar&amp;width=385&amp;height=120&amp;START_MAXIMIZED=FALSE&amp;creator=factset&amp;display_string=Audit"}</definedName>
    <definedName name="_629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63__FDSAUDITLINK__" localSheetId="1" hidden="1">{"fdsup://Directions/FactSet Auditing Viewer?action=AUDIT_VALUE&amp;DB=129&amp;ID1=53271610&amp;VALUEID=13040&amp;SDATE=200902&amp;PERIODTYPE=QTR_STD&amp;window=popup_no_bar&amp;width=385&amp;height=120&amp;START_MAXIMIZED=FALSE&amp;creator=factset&amp;display_string=Audit"}</definedName>
    <definedName name="_63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630__FDSAUDITLINK__" localSheetId="1" hidden="1">{"fdsup://Directions/FactSet Auditing Viewer?action=AUDIT_VALUE&amp;DB=129&amp;ID1=00786510&amp;VALUEID=13040&amp;SDATE=200801&amp;PERIODTYPE=QTR_STD&amp;window=popup_no_bar&amp;width=385&amp;height=120&amp;START_MAXIMIZED=FALSE&amp;creator=factset&amp;display_string=Audit"}</definedName>
    <definedName name="_630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631__FDSAUDITLINK__" localSheetId="1" hidden="1">{"fdsup://Directions/FactSet Auditing Viewer?action=AUDIT_VALUE&amp;DB=129&amp;ID1=00289620&amp;VALUEID=02101&amp;SDATE=200801&amp;PERIODTYPE=QTR_STD&amp;window=popup_no_bar&amp;width=385&amp;height=120&amp;START_MAXIMIZED=FALSE&amp;creator=factset&amp;display_string=Audit"}</definedName>
    <definedName name="_631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632__FDSAUDITLINK__" localSheetId="1" hidden="1">{"fdsup://Directions/FactSet Auditing Viewer?action=AUDIT_VALUE&amp;DB=129&amp;ID1=00289620&amp;VALUEID=01001&amp;SDATE=200801&amp;PERIODTYPE=QTR_STD&amp;window=popup_no_bar&amp;width=385&amp;height=120&amp;START_MAXIMIZED=FALSE&amp;creator=factset&amp;display_string=Audit"}</definedName>
    <definedName name="_632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633__FDSAUDITLINK__" localSheetId="1" hidden="1">{"fdsup://Directions/FactSet Auditing Viewer?action=AUDIT_VALUE&amp;DB=129&amp;ID1=00289620&amp;VALUEID=13040&amp;SDATE=200801&amp;PERIODTYPE=QTR_STD&amp;window=popup_no_bar&amp;width=385&amp;height=120&amp;START_MAXIMIZED=FALSE&amp;creator=factset&amp;display_string=Audit"}</definedName>
    <definedName name="_633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634__FDSAUDITLINK__" localSheetId="1" hidden="1">{"fdsup://Directions/FactSet Auditing Viewer?action=AUDIT_VALUE&amp;DB=129&amp;ID1=87416110&amp;VALUEID=01001&amp;SDATE=200704&amp;PERIODTYPE=QTR_STD&amp;window=popup_no_bar&amp;width=385&amp;height=120&amp;START_MAXIMIZED=FALSE&amp;creator=factset&amp;display_string=Audit"}</definedName>
    <definedName name="_634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635__FDSAUDITLINK__" localSheetId="1" hidden="1">{"fdsup://Directions/FactSet Auditing Viewer?action=AUDIT_VALUE&amp;DB=129&amp;ID1=46612H40&amp;VALUEID=01001&amp;SDATE=200704&amp;PERIODTYPE=QTR_STD&amp;window=popup_no_bar&amp;width=385&amp;height=120&amp;START_MAXIMIZED=FALSE&amp;creator=factset&amp;display_string=Audit"}</definedName>
    <definedName name="_635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636__FDSAUDITLINK__" localSheetId="1" hidden="1">{"fdsup://Directions/FactSet Auditing Viewer?action=AUDIT_VALUE&amp;DB=129&amp;ID1=46612H40&amp;VALUEID=13040&amp;SDATE=200704&amp;PERIODTYPE=QTR_STD&amp;window=popup_no_bar&amp;width=385&amp;height=120&amp;START_MAXIMIZED=FALSE&amp;creator=factset&amp;display_string=Audit"}</definedName>
    <definedName name="_636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637__FDSAUDITLINK__" localSheetId="1" hidden="1">{"fdsup://Directions/FactSet Auditing Viewer?action=AUDIT_VALUE&amp;DB=129&amp;ID1=36476010&amp;VALUEID=01001&amp;SDATE=200704&amp;PERIODTYPE=QTR_STD&amp;window=popup_no_bar&amp;width=385&amp;height=120&amp;START_MAXIMIZED=FALSE&amp;creator=factset&amp;display_string=Audit"}</definedName>
    <definedName name="_637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638__FDSAUDITLINK__" localSheetId="1" hidden="1">{"fdsup://Directions/FactSet Auditing Viewer?action=AUDIT_VALUE&amp;DB=129&amp;ID1=03611510&amp;VALUEID=01001&amp;SDATE=200704&amp;PERIODTYPE=QTR_STD&amp;window=popup_no_bar&amp;width=385&amp;height=120&amp;START_MAXIMIZED=FALSE&amp;creator=factset&amp;display_string=Audit"}</definedName>
    <definedName name="_638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639__FDSAUDITLINK__" localSheetId="1" hidden="1">{"fdsup://Directions/FactSet Auditing Viewer?action=AUDIT_VALUE&amp;DB=129&amp;ID1=03611510&amp;VALUEID=13040&amp;SDATE=200704&amp;PERIODTYPE=QTR_STD&amp;window=popup_no_bar&amp;width=385&amp;height=120&amp;START_MAXIMIZED=FALSE&amp;creator=factset&amp;display_string=Audit"}</definedName>
    <definedName name="_639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64__FDSAUDITLINK__" localSheetId="1" hidden="1">{"fdsup://Directions/FactSet Auditing Viewer?action=AUDIT_VALUE&amp;DB=129&amp;ID1=46612H40&amp;VALUEID=02101&amp;SDATE=200902&amp;PERIODTYPE=QTR_STD&amp;window=popup_no_bar&amp;width=385&amp;height=120&amp;START_MAXIMIZED=FALSE&amp;creator=factset&amp;display_string=Audit"}</definedName>
    <definedName name="_64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640__FDSAUDITLINK__" localSheetId="1" hidden="1">{"fdsup://Directions/FactSet Auditing Viewer?action=AUDIT_VALUE&amp;DB=129&amp;ID1=16890510&amp;VALUEID=01001&amp;SDATE=200704&amp;PERIODTYPE=QTR_STD&amp;window=popup_no_bar&amp;width=385&amp;height=120&amp;START_MAXIMIZED=FALSE&amp;creator=factset&amp;display_string=Audit"}</definedName>
    <definedName name="_640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641__FDSAUDITLINK__" localSheetId="1" hidden="1">{"fdsup://Directions/FactSet Auditing Viewer?action=AUDIT_VALUE&amp;DB=129&amp;ID1=00786510&amp;VALUEID=01001&amp;SDATE=200704&amp;PERIODTYPE=QTR_STD&amp;window=popup_no_bar&amp;width=385&amp;height=120&amp;START_MAXIMIZED=FALSE&amp;creator=factset&amp;display_string=Audit"}</definedName>
    <definedName name="_641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642__FDSAUDITLINK__" localSheetId="1" hidden="1">{"fdsup://Directions/FactSet Auditing Viewer?action=AUDIT_VALUE&amp;DB=129&amp;ID1=87416110&amp;VALUEID=02101&amp;SDATE=200703&amp;PERIODTYPE=QTR_STD&amp;window=popup_no_bar&amp;width=385&amp;height=120&amp;START_MAXIMIZED=FALSE&amp;creator=factset&amp;display_string=Audit"}</definedName>
    <definedName name="_642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643__FDSAUDITLINK__" localSheetId="1" hidden="1">{"fdsup://Directions/FactSet Auditing Viewer?action=AUDIT_VALUE&amp;DB=129&amp;ID1=87416110&amp;VALUEID=01001&amp;SDATE=200703&amp;PERIODTYPE=QTR_STD&amp;window=popup_no_bar&amp;width=385&amp;height=120&amp;START_MAXIMIZED=FALSE&amp;creator=factset&amp;display_string=Audit"}</definedName>
    <definedName name="_643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644__FDSAUDITLINK__" localSheetId="1" hidden="1">{"fdsup://Directions/FactSet Auditing Viewer?action=AUDIT_VALUE&amp;DB=129&amp;ID1=53271610&amp;VALUEID=02101&amp;SDATE=200703&amp;PERIODTYPE=QTR_STD&amp;window=popup_no_bar&amp;width=385&amp;height=120&amp;START_MAXIMIZED=FALSE&amp;creator=factset&amp;display_string=Audit"}</definedName>
    <definedName name="_644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645__FDSAUDITLINK__" localSheetId="1" hidden="1">{"fdsup://Directions/FactSet Auditing Viewer?action=AUDIT_VALUE&amp;DB=129&amp;ID1=53271610&amp;VALUEID=01001&amp;SDATE=200703&amp;PERIODTYPE=QTR_STD&amp;window=popup_no_bar&amp;width=385&amp;height=120&amp;START_MAXIMIZED=FALSE&amp;creator=factset&amp;display_string=Audit"}</definedName>
    <definedName name="_645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646__FDSAUDITLINK__" localSheetId="1" hidden="1">{"fdsup://Directions/FactSet Auditing Viewer?action=AUDIT_VALUE&amp;DB=129&amp;ID1=53271610&amp;VALUEID=13040&amp;SDATE=200703&amp;PERIODTYPE=QTR_STD&amp;window=popup_no_bar&amp;width=385&amp;height=120&amp;START_MAXIMIZED=FALSE&amp;creator=factset&amp;display_string=Audit"}</definedName>
    <definedName name="_646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647__FDSAUDITLINK__" localSheetId="1" hidden="1">{"fdsup://Directions/FactSet Auditing Viewer?action=AUDIT_VALUE&amp;DB=129&amp;ID1=46612H40&amp;VALUEID=02101&amp;SDATE=200703&amp;PERIODTYPE=QTR_STD&amp;window=popup_no_bar&amp;width=385&amp;height=120&amp;START_MAXIMIZED=FALSE&amp;creator=factset&amp;display_string=Audit"}</definedName>
    <definedName name="_647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648__FDSAUDITLINK__" localSheetId="1" hidden="1">{"fdsup://Directions/FactSet Auditing Viewer?action=AUDIT_VALUE&amp;DB=129&amp;ID1=46612H40&amp;VALUEID=01001&amp;SDATE=200703&amp;PERIODTYPE=QTR_STD&amp;window=popup_no_bar&amp;width=385&amp;height=120&amp;START_MAXIMIZED=FALSE&amp;creator=factset&amp;display_string=Audit"}</definedName>
    <definedName name="_648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649__FDSAUDITLINK__" localSheetId="1" hidden="1">{"fdsup://Directions/FactSet Auditing Viewer?action=AUDIT_VALUE&amp;DB=129&amp;ID1=46612H40&amp;VALUEID=13040&amp;SDATE=200703&amp;PERIODTYPE=QTR_STD&amp;window=popup_no_bar&amp;width=385&amp;height=120&amp;START_MAXIMIZED=FALSE&amp;creator=factset&amp;display_string=Audit"}</definedName>
    <definedName name="_649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65__FDSAUDITLINK__" localSheetId="1" hidden="1">{"fdsup://Directions/FactSet Auditing Viewer?action=AUDIT_VALUE&amp;DB=129&amp;ID1=46612H40&amp;VALUEID=01001&amp;SDATE=200902&amp;PERIODTYPE=QTR_STD&amp;window=popup_no_bar&amp;width=385&amp;height=120&amp;START_MAXIMIZED=FALSE&amp;creator=factset&amp;display_string=Audit"}</definedName>
    <definedName name="_65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650__FDSAUDITLINK__" localSheetId="1" hidden="1">{"fdsup://Directions/FactSet Auditing Viewer?action=AUDIT_VALUE&amp;DB=129&amp;ID1=36476010&amp;VALUEID=02101&amp;SDATE=200703&amp;PERIODTYPE=QTR_STD&amp;window=popup_no_bar&amp;width=385&amp;height=120&amp;START_MAXIMIZED=FALSE&amp;creator=factset&amp;display_string=Audit"}</definedName>
    <definedName name="_650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651__FDSAUDITLINK__" localSheetId="1" hidden="1">{"fdsup://Directions/FactSet Auditing Viewer?action=AUDIT_VALUE&amp;DB=129&amp;ID1=36476010&amp;VALUEID=01001&amp;SDATE=200703&amp;PERIODTYPE=QTR_STD&amp;window=popup_no_bar&amp;width=385&amp;height=120&amp;START_MAXIMIZED=FALSE&amp;creator=factset&amp;display_string=Audit"}</definedName>
    <definedName name="_651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652__FDSAUDITLINK__" localSheetId="1" hidden="1">{"fdsup://Directions/FactSet Auditing Viewer?action=AUDIT_VALUE&amp;DB=129&amp;ID1=36476010&amp;VALUEID=13040&amp;SDATE=200703&amp;PERIODTYPE=QTR_STD&amp;window=popup_no_bar&amp;width=385&amp;height=120&amp;START_MAXIMIZED=FALSE&amp;creator=factset&amp;display_string=Audit"}</definedName>
    <definedName name="_652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653__FDSAUDITLINK__" localSheetId="1" hidden="1">{"fdsup://Directions/FactSet Auditing Viewer?action=AUDIT_VALUE&amp;DB=129&amp;ID1=03611510&amp;VALUEID=02101&amp;SDATE=200703&amp;PERIODTYPE=QTR_STD&amp;window=popup_no_bar&amp;width=385&amp;height=120&amp;START_MAXIMIZED=FALSE&amp;creator=factset&amp;display_string=Audit"}</definedName>
    <definedName name="_653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654__FDSAUDITLINK__" localSheetId="1" hidden="1">{"fdsup://Directions/FactSet Auditing Viewer?action=AUDIT_VALUE&amp;DB=129&amp;ID1=03611510&amp;VALUEID=01001&amp;SDATE=200703&amp;PERIODTYPE=QTR_STD&amp;window=popup_no_bar&amp;width=385&amp;height=120&amp;START_MAXIMIZED=FALSE&amp;creator=factset&amp;display_string=Audit"}</definedName>
    <definedName name="_654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655__FDSAUDITLINK__" localSheetId="1" hidden="1">{"fdsup://Directions/FactSet Auditing Viewer?action=AUDIT_VALUE&amp;DB=129&amp;ID1=03611510&amp;VALUEID=13040&amp;SDATE=200703&amp;PERIODTYPE=QTR_STD&amp;window=popup_no_bar&amp;width=385&amp;height=120&amp;START_MAXIMIZED=FALSE&amp;creator=factset&amp;display_string=Audit"}</definedName>
    <definedName name="_655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656__FDSAUDITLINK__" localSheetId="1" hidden="1">{"fdsup://Directions/FactSet Auditing Viewer?action=AUDIT_VALUE&amp;DB=129&amp;ID1=16890510&amp;VALUEID=02101&amp;SDATE=200703&amp;PERIODTYPE=QTR_STD&amp;window=popup_no_bar&amp;width=385&amp;height=120&amp;START_MAXIMIZED=FALSE&amp;creator=factset&amp;display_string=Audit"}</definedName>
    <definedName name="_656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657__FDSAUDITLINK__" localSheetId="1" hidden="1">{"fdsup://Directions/FactSet Auditing Viewer?action=AUDIT_VALUE&amp;DB=129&amp;ID1=16890510&amp;VALUEID=01001&amp;SDATE=200703&amp;PERIODTYPE=QTR_STD&amp;window=popup_no_bar&amp;width=385&amp;height=120&amp;START_MAXIMIZED=FALSE&amp;creator=factset&amp;display_string=Audit"}</definedName>
    <definedName name="_657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658__FDSAUDITLINK__" localSheetId="1" hidden="1">{"fdsup://Directions/FactSet Auditing Viewer?action=AUDIT_VALUE&amp;DB=129&amp;ID1=91704710&amp;VALUEID=02101&amp;SDATE=200703&amp;PERIODTYPE=QTR_STD&amp;window=popup_no_bar&amp;width=385&amp;height=120&amp;START_MAXIMIZED=FALSE&amp;creator=factset&amp;display_string=Audit"}</definedName>
    <definedName name="_658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659__FDSAUDITLINK__" localSheetId="1" hidden="1">{"fdsup://Directions/FactSet Auditing Viewer?action=AUDIT_VALUE&amp;DB=129&amp;ID1=91704710&amp;VALUEID=01001&amp;SDATE=200703&amp;PERIODTYPE=QTR_STD&amp;window=popup_no_bar&amp;width=385&amp;height=120&amp;START_MAXIMIZED=FALSE&amp;creator=factset&amp;display_string=Audit"}</definedName>
    <definedName name="_659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66__FDSAUDITLINK__" localSheetId="1" hidden="1">{"fdsup://Directions/FactSet Auditing Viewer?action=AUDIT_VALUE&amp;DB=129&amp;ID1=46612H40&amp;VALUEID=13040&amp;SDATE=200902&amp;PERIODTYPE=QTR_STD&amp;window=popup_no_bar&amp;width=385&amp;height=120&amp;START_MAXIMIZED=FALSE&amp;creator=factset&amp;display_string=Audit"}</definedName>
    <definedName name="_66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660__FDSAUDITLINK__" localSheetId="1" hidden="1">{"fdsup://Directions/FactSet Auditing Viewer?action=AUDIT_VALUE&amp;DB=129&amp;ID1=91704710&amp;VALUEID=13040&amp;SDATE=200703&amp;PERIODTYPE=QTR_STD&amp;window=popup_no_bar&amp;width=385&amp;height=120&amp;START_MAXIMIZED=FALSE&amp;creator=factset&amp;display_string=Audit"}</definedName>
    <definedName name="_660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661__FDSAUDITLINK__" localSheetId="1" hidden="1">{"fdsup://Directions/FactSet Auditing Viewer?action=AUDIT_VALUE&amp;DB=129&amp;ID1=02553E10&amp;VALUEID=02101&amp;SDATE=200703&amp;PERIODTYPE=QTR_STD&amp;window=popup_no_bar&amp;width=385&amp;height=120&amp;START_MAXIMIZED=FALSE&amp;creator=factset&amp;display_string=Audit"}</definedName>
    <definedName name="_661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662__FDSAUDITLINK__" localSheetId="1" hidden="1">{"fdsup://Directions/FactSet Auditing Viewer?action=AUDIT_VALUE&amp;DB=129&amp;ID1=02553E10&amp;VALUEID=01001&amp;SDATE=200703&amp;PERIODTYPE=QTR_STD&amp;window=popup_no_bar&amp;width=385&amp;height=120&amp;START_MAXIMIZED=FALSE&amp;creator=factset&amp;display_string=Audit"}</definedName>
    <definedName name="_662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663__FDSAUDITLINK__" localSheetId="1" hidden="1">{"fdsup://Directions/FactSet Auditing Viewer?action=AUDIT_VALUE&amp;DB=129&amp;ID1=00786510&amp;VALUEID=02101&amp;SDATE=200703&amp;PERIODTYPE=QTR_STD&amp;window=popup_no_bar&amp;width=385&amp;height=120&amp;START_MAXIMIZED=FALSE&amp;creator=factset&amp;display_string=Audit"}</definedName>
    <definedName name="_663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664__FDSAUDITLINK__" localSheetId="1" hidden="1">{"fdsup://Directions/FactSet Auditing Viewer?action=AUDIT_VALUE&amp;DB=129&amp;ID1=00786510&amp;VALUEID=01001&amp;SDATE=200703&amp;PERIODTYPE=QTR_STD&amp;window=popup_no_bar&amp;width=385&amp;height=120&amp;START_MAXIMIZED=FALSE&amp;creator=factset&amp;display_string=Audit"}</definedName>
    <definedName name="_664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665__FDSAUDITLINK__" localSheetId="1" hidden="1">{"fdsup://Directions/FactSet Auditing Viewer?action=AUDIT_VALUE&amp;DB=129&amp;ID1=00786510&amp;VALUEID=13040&amp;SDATE=200703&amp;PERIODTYPE=QTR_STD&amp;window=popup_no_bar&amp;width=385&amp;height=120&amp;START_MAXIMIZED=FALSE&amp;creator=factset&amp;display_string=Audit"}</definedName>
    <definedName name="_665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666__FDSAUDITLINK__" localSheetId="1" hidden="1">{"fdsup://Directions/FactSet Auditing Viewer?action=AUDIT_VALUE&amp;DB=129&amp;ID1=00289620&amp;VALUEID=02101&amp;SDATE=200703&amp;PERIODTYPE=QTR_STD&amp;window=popup_no_bar&amp;width=385&amp;height=120&amp;START_MAXIMIZED=FALSE&amp;creator=factset&amp;display_string=Audit"}</definedName>
    <definedName name="_666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667__FDSAUDITLINK__" localSheetId="1" hidden="1">{"fdsup://Directions/FactSet Auditing Viewer?action=AUDIT_VALUE&amp;DB=129&amp;ID1=00289620&amp;VALUEID=01001&amp;SDATE=200703&amp;PERIODTYPE=QTR_STD&amp;window=popup_no_bar&amp;width=385&amp;height=120&amp;START_MAXIMIZED=FALSE&amp;creator=factset&amp;display_string=Audit"}</definedName>
    <definedName name="_667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668__FDSAUDITLINK__" localSheetId="1" hidden="1">{"fdsup://Directions/FactSet Auditing Viewer?action=AUDIT_VALUE&amp;DB=129&amp;ID1=00289620&amp;VALUEID=13040&amp;SDATE=200703&amp;PERIODTYPE=QTR_STD&amp;window=popup_no_bar&amp;width=385&amp;height=120&amp;START_MAXIMIZED=FALSE&amp;creator=factset&amp;display_string=Audit"}</definedName>
    <definedName name="_668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669__FDSAUDITLINK__" localSheetId="1" hidden="1">{"fdsup://Directions/FactSet Auditing Viewer?action=AUDIT_VALUE&amp;DB=129&amp;ID1=87416110&amp;VALUEID=02101&amp;SDATE=200702&amp;PERIODTYPE=QTR_STD&amp;window=popup_no_bar&amp;width=385&amp;height=120&amp;START_MAXIMIZED=FALSE&amp;creator=factset&amp;display_string=Audit"}</definedName>
    <definedName name="_669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67__FDSAUDITLINK__" localSheetId="1" hidden="1">{"fdsup://Directions/FactSet Auditing Viewer?action=AUDIT_VALUE&amp;DB=129&amp;ID1=36476010&amp;VALUEID=02101&amp;SDATE=200902&amp;PERIODTYPE=QTR_STD&amp;window=popup_no_bar&amp;width=385&amp;height=120&amp;START_MAXIMIZED=FALSE&amp;creator=factset&amp;display_string=Audit"}</definedName>
    <definedName name="_67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670__FDSAUDITLINK__" localSheetId="1" hidden="1">{"fdsup://Directions/FactSet Auditing Viewer?action=AUDIT_VALUE&amp;DB=129&amp;ID1=87416110&amp;VALUEID=01001&amp;SDATE=200702&amp;PERIODTYPE=QTR_STD&amp;window=popup_no_bar&amp;width=385&amp;height=120&amp;START_MAXIMIZED=FALSE&amp;creator=factset&amp;display_string=Audit"}</definedName>
    <definedName name="_670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671__FDSAUDITLINK__" localSheetId="1" hidden="1">{"fdsup://Directions/FactSet Auditing Viewer?action=AUDIT_VALUE&amp;DB=129&amp;ID1=53271610&amp;VALUEID=02101&amp;SDATE=200702&amp;PERIODTYPE=QTR_STD&amp;window=popup_no_bar&amp;width=385&amp;height=120&amp;START_MAXIMIZED=FALSE&amp;creator=factset&amp;display_string=Audit"}</definedName>
    <definedName name="_671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672__FDSAUDITLINK__" localSheetId="1" hidden="1">{"fdsup://Directions/FactSet Auditing Viewer?action=AUDIT_VALUE&amp;DB=129&amp;ID1=53271610&amp;VALUEID=01001&amp;SDATE=200702&amp;PERIODTYPE=QTR_STD&amp;window=popup_no_bar&amp;width=385&amp;height=120&amp;START_MAXIMIZED=FALSE&amp;creator=factset&amp;display_string=Audit"}</definedName>
    <definedName name="_672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673__FDSAUDITLINK__" localSheetId="1" hidden="1">{"fdsup://Directions/FactSet Auditing Viewer?action=AUDIT_VALUE&amp;DB=129&amp;ID1=53271610&amp;VALUEID=13040&amp;SDATE=200702&amp;PERIODTYPE=QTR_STD&amp;window=popup_no_bar&amp;width=385&amp;height=120&amp;START_MAXIMIZED=FALSE&amp;creator=factset&amp;display_string=Audit"}</definedName>
    <definedName name="_673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674__FDSAUDITLINK__" localSheetId="1" hidden="1">{"fdsup://Directions/FactSet Auditing Viewer?action=AUDIT_VALUE&amp;DB=129&amp;ID1=46612H40&amp;VALUEID=02101&amp;SDATE=200702&amp;PERIODTYPE=QTR_STD&amp;window=popup_no_bar&amp;width=385&amp;height=120&amp;START_MAXIMIZED=FALSE&amp;creator=factset&amp;display_string=Audit"}</definedName>
    <definedName name="_674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675__FDSAUDITLINK__" localSheetId="1" hidden="1">{"fdsup://Directions/FactSet Auditing Viewer?action=AUDIT_VALUE&amp;DB=129&amp;ID1=46612H40&amp;VALUEID=01001&amp;SDATE=200702&amp;PERIODTYPE=QTR_STD&amp;window=popup_no_bar&amp;width=385&amp;height=120&amp;START_MAXIMIZED=FALSE&amp;creator=factset&amp;display_string=Audit"}</definedName>
    <definedName name="_675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676__FDSAUDITLINK__" localSheetId="1" hidden="1">{"fdsup://Directions/FactSet Auditing Viewer?action=AUDIT_VALUE&amp;DB=129&amp;ID1=46612H40&amp;VALUEID=13040&amp;SDATE=200702&amp;PERIODTYPE=QTR_STD&amp;window=popup_no_bar&amp;width=385&amp;height=120&amp;START_MAXIMIZED=FALSE&amp;creator=factset&amp;display_string=Audit"}</definedName>
    <definedName name="_676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677__FDSAUDITLINK__" localSheetId="1" hidden="1">{"fdsup://Directions/FactSet Auditing Viewer?action=AUDIT_VALUE&amp;DB=129&amp;ID1=36476010&amp;VALUEID=02101&amp;SDATE=200702&amp;PERIODTYPE=QTR_STD&amp;window=popup_no_bar&amp;width=385&amp;height=120&amp;START_MAXIMIZED=FALSE&amp;creator=factset&amp;display_string=Audit"}</definedName>
    <definedName name="_677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678__FDSAUDITLINK__" localSheetId="1" hidden="1">{"fdsup://Directions/FactSet Auditing Viewer?action=AUDIT_VALUE&amp;DB=129&amp;ID1=36476010&amp;VALUEID=01001&amp;SDATE=200702&amp;PERIODTYPE=QTR_STD&amp;window=popup_no_bar&amp;width=385&amp;height=120&amp;START_MAXIMIZED=FALSE&amp;creator=factset&amp;display_string=Audit"}</definedName>
    <definedName name="_678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679__FDSAUDITLINK__" localSheetId="1" hidden="1">{"fdsup://Directions/FactSet Auditing Viewer?action=AUDIT_VALUE&amp;DB=129&amp;ID1=03611510&amp;VALUEID=02101&amp;SDATE=200702&amp;PERIODTYPE=QTR_STD&amp;window=popup_no_bar&amp;width=385&amp;height=120&amp;START_MAXIMIZED=FALSE&amp;creator=factset&amp;display_string=Audit"}</definedName>
    <definedName name="_679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68__FDSAUDITLINK__" localSheetId="1" hidden="1">{"fdsup://Directions/FactSet Auditing Viewer?action=AUDIT_VALUE&amp;DB=129&amp;ID1=36476010&amp;VALUEID=01001&amp;SDATE=200902&amp;PERIODTYPE=QTR_STD&amp;window=popup_no_bar&amp;width=385&amp;height=120&amp;START_MAXIMIZED=FALSE&amp;creator=factset&amp;display_string=Audit"}</definedName>
    <definedName name="_68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680__FDSAUDITLINK__" localSheetId="1" hidden="1">{"fdsup://Directions/FactSet Auditing Viewer?action=AUDIT_VALUE&amp;DB=129&amp;ID1=03611510&amp;VALUEID=01001&amp;SDATE=200702&amp;PERIODTYPE=QTR_STD&amp;window=popup_no_bar&amp;width=385&amp;height=120&amp;START_MAXIMIZED=FALSE&amp;creator=factset&amp;display_string=Audit"}</definedName>
    <definedName name="_680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681__FDSAUDITLINK__" localSheetId="1" hidden="1">{"fdsup://Directions/FactSet Auditing Viewer?action=AUDIT_VALUE&amp;DB=129&amp;ID1=03611510&amp;VALUEID=13040&amp;SDATE=200702&amp;PERIODTYPE=QTR_STD&amp;window=popup_no_bar&amp;width=385&amp;height=120&amp;START_MAXIMIZED=FALSE&amp;creator=factset&amp;display_string=Audit"}</definedName>
    <definedName name="_681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682__FDSAUDITLINK__" localSheetId="1" hidden="1">{"fdsup://Directions/FactSet Auditing Viewer?action=AUDIT_VALUE&amp;DB=129&amp;ID1=16890510&amp;VALUEID=02101&amp;SDATE=200702&amp;PERIODTYPE=QTR_STD&amp;window=popup_no_bar&amp;width=385&amp;height=120&amp;START_MAXIMIZED=FALSE&amp;creator=factset&amp;display_string=Audit"}</definedName>
    <definedName name="_682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683__FDSAUDITLINK__" localSheetId="1" hidden="1">{"fdsup://Directions/FactSet Auditing Viewer?action=AUDIT_VALUE&amp;DB=129&amp;ID1=16890510&amp;VALUEID=01001&amp;SDATE=200702&amp;PERIODTYPE=QTR_STD&amp;window=popup_no_bar&amp;width=385&amp;height=120&amp;START_MAXIMIZED=FALSE&amp;creator=factset&amp;display_string=Audit"}</definedName>
    <definedName name="_683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684__FDSAUDITLINK__" localSheetId="1" hidden="1">{"fdsup://Directions/FactSet Auditing Viewer?action=AUDIT_VALUE&amp;DB=129&amp;ID1=91704710&amp;VALUEID=02101&amp;SDATE=200702&amp;PERIODTYPE=QTR_STD&amp;window=popup_no_bar&amp;width=385&amp;height=120&amp;START_MAXIMIZED=FALSE&amp;creator=factset&amp;display_string=Audit"}</definedName>
    <definedName name="_684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685__FDSAUDITLINK__" localSheetId="1" hidden="1">{"fdsup://Directions/FactSet Auditing Viewer?action=AUDIT_VALUE&amp;DB=129&amp;ID1=91704710&amp;VALUEID=01001&amp;SDATE=200702&amp;PERIODTYPE=QTR_STD&amp;window=popup_no_bar&amp;width=385&amp;height=120&amp;START_MAXIMIZED=FALSE&amp;creator=factset&amp;display_string=Audit"}</definedName>
    <definedName name="_685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686__FDSAUDITLINK__" localSheetId="1" hidden="1">{"fdsup://Directions/FactSet Auditing Viewer?action=AUDIT_VALUE&amp;DB=129&amp;ID1=91704710&amp;VALUEID=13040&amp;SDATE=200702&amp;PERIODTYPE=QTR_STD&amp;window=popup_no_bar&amp;width=385&amp;height=120&amp;START_MAXIMIZED=FALSE&amp;creator=factset&amp;display_string=Audit"}</definedName>
    <definedName name="_686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687__FDSAUDITLINK__" localSheetId="1" hidden="1">{"fdsup://Directions/FactSet Auditing Viewer?action=AUDIT_VALUE&amp;DB=129&amp;ID1=02553E10&amp;VALUEID=02101&amp;SDATE=200702&amp;PERIODTYPE=QTR_STD&amp;window=popup_no_bar&amp;width=385&amp;height=120&amp;START_MAXIMIZED=FALSE&amp;creator=factset&amp;display_string=Audit"}</definedName>
    <definedName name="_687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688__FDSAUDITLINK__" localSheetId="1" hidden="1">{"fdsup://Directions/FactSet Auditing Viewer?action=AUDIT_VALUE&amp;DB=129&amp;ID1=02553E10&amp;VALUEID=01001&amp;SDATE=200702&amp;PERIODTYPE=QTR_STD&amp;window=popup_no_bar&amp;width=385&amp;height=120&amp;START_MAXIMIZED=FALSE&amp;creator=factset&amp;display_string=Audit"}</definedName>
    <definedName name="_688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689__FDSAUDITLINK__" localSheetId="1" hidden="1">{"fdsup://Directions/FactSet Auditing Viewer?action=AUDIT_VALUE&amp;DB=129&amp;ID1=02553E10&amp;VALUEID=13040&amp;SDATE=200702&amp;PERIODTYPE=QTR_STD&amp;window=popup_no_bar&amp;width=385&amp;height=120&amp;START_MAXIMIZED=FALSE&amp;creator=factset&amp;display_string=Audit"}</definedName>
    <definedName name="_689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69__FDSAUDITLINK__" localSheetId="1" hidden="1">{"fdsup://Directions/FactSet Auditing Viewer?action=AUDIT_VALUE&amp;DB=129&amp;ID1=36476010&amp;VALUEID=13040&amp;SDATE=200902&amp;PERIODTYPE=QTR_STD&amp;window=popup_no_bar&amp;width=385&amp;height=120&amp;START_MAXIMIZED=FALSE&amp;creator=factset&amp;display_string=Audit"}</definedName>
    <definedName name="_69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690__FDSAUDITLINK__" localSheetId="1" hidden="1">{"fdsup://Directions/FactSet Auditing Viewer?action=AUDIT_VALUE&amp;DB=129&amp;ID1=00786510&amp;VALUEID=02101&amp;SDATE=200702&amp;PERIODTYPE=QTR_STD&amp;window=popup_no_bar&amp;width=385&amp;height=120&amp;START_MAXIMIZED=FALSE&amp;creator=factset&amp;display_string=Audit"}</definedName>
    <definedName name="_690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691__FDSAUDITLINK__" localSheetId="1" hidden="1">{"fdsup://Directions/FactSet Auditing Viewer?action=AUDIT_VALUE&amp;DB=129&amp;ID1=00786510&amp;VALUEID=01001&amp;SDATE=200702&amp;PERIODTYPE=QTR_STD&amp;window=popup_no_bar&amp;width=385&amp;height=120&amp;START_MAXIMIZED=FALSE&amp;creator=factset&amp;display_string=Audit"}</definedName>
    <definedName name="_691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692__FDSAUDITLINK__" localSheetId="1" hidden="1">{"fdsup://Directions/FactSet Auditing Viewer?action=AUDIT_VALUE&amp;DB=129&amp;ID1=00786510&amp;VALUEID=13040&amp;SDATE=200702&amp;PERIODTYPE=QTR_STD&amp;window=popup_no_bar&amp;width=385&amp;height=120&amp;START_MAXIMIZED=FALSE&amp;creator=factset&amp;display_string=Audit"}</definedName>
    <definedName name="_692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693__FDSAUDITLINK__" localSheetId="1" hidden="1">{"fdsup://Directions/FactSet Auditing Viewer?action=AUDIT_VALUE&amp;DB=129&amp;ID1=00289620&amp;VALUEID=02101&amp;SDATE=200702&amp;PERIODTYPE=QTR_STD&amp;window=popup_no_bar&amp;width=385&amp;height=120&amp;START_MAXIMIZED=FALSE&amp;creator=factset&amp;display_string=Audit"}</definedName>
    <definedName name="_693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694__FDSAUDITLINK__" localSheetId="1" hidden="1">{"fdsup://Directions/FactSet Auditing Viewer?action=AUDIT_VALUE&amp;DB=129&amp;ID1=00289620&amp;VALUEID=01001&amp;SDATE=200702&amp;PERIODTYPE=QTR_STD&amp;window=popup_no_bar&amp;width=385&amp;height=120&amp;START_MAXIMIZED=FALSE&amp;creator=factset&amp;display_string=Audit"}</definedName>
    <definedName name="_694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695__FDSAUDITLINK__" localSheetId="1" hidden="1">{"fdsup://Directions/FactSet Auditing Viewer?action=AUDIT_VALUE&amp;DB=129&amp;ID1=87416110&amp;VALUEID=02101&amp;SDATE=200701&amp;PERIODTYPE=QTR_STD&amp;window=popup_no_bar&amp;width=385&amp;height=120&amp;START_MAXIMIZED=FALSE&amp;creator=factset&amp;display_string=Audit"}</definedName>
    <definedName name="_695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696__FDSAUDITLINK__" localSheetId="1" hidden="1">{"fdsup://Directions/FactSet Auditing Viewer?action=AUDIT_VALUE&amp;DB=129&amp;ID1=87416110&amp;VALUEID=01001&amp;SDATE=200701&amp;PERIODTYPE=QTR_STD&amp;window=popup_no_bar&amp;width=385&amp;height=120&amp;START_MAXIMIZED=FALSE&amp;creator=factset&amp;display_string=Audit"}</definedName>
    <definedName name="_696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697__FDSAUDITLINK__" localSheetId="1" hidden="1">{"fdsup://Directions/FactSet Auditing Viewer?action=AUDIT_VALUE&amp;DB=129&amp;ID1=53271610&amp;VALUEID=02101&amp;SDATE=200701&amp;PERIODTYPE=QTR_STD&amp;window=popup_no_bar&amp;width=385&amp;height=120&amp;START_MAXIMIZED=FALSE&amp;creator=factset&amp;display_string=Audit"}</definedName>
    <definedName name="_697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698__FDSAUDITLINK__" localSheetId="1" hidden="1">{"fdsup://Directions/FactSet Auditing Viewer?action=AUDIT_VALUE&amp;DB=129&amp;ID1=53271610&amp;VALUEID=01001&amp;SDATE=200701&amp;PERIODTYPE=QTR_STD&amp;window=popup_no_bar&amp;width=385&amp;height=120&amp;START_MAXIMIZED=FALSE&amp;creator=factset&amp;display_string=Audit"}</definedName>
    <definedName name="_698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699__FDSAUDITLINK__" localSheetId="1" hidden="1">{"fdsup://Directions/FactSet Auditing Viewer?action=AUDIT_VALUE&amp;DB=129&amp;ID1=53271610&amp;VALUEID=13040&amp;SDATE=200701&amp;PERIODTYPE=QTR_STD&amp;window=popup_no_bar&amp;width=385&amp;height=120&amp;START_MAXIMIZED=FALSE&amp;creator=factset&amp;display_string=Audit"}</definedName>
    <definedName name="_699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7__FDSAUDITLINK__" localSheetId="1" hidden="1">{"fdsup://Directions/FactSet Auditing Viewer?action=AUDIT_VALUE&amp;DB=129&amp;ID1=46612H40&amp;VALUEID=13040&amp;SDATE=201001&amp;PERIODTYPE=QTR_STD&amp;window=popup_no_bar&amp;width=385&amp;height=120&amp;START_MAXIMIZED=FALSE&amp;creator=factset&amp;display_string=Audit"}</definedName>
    <definedName name="_7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70__FDSAUDITLINK__" localSheetId="1" hidden="1">{"fdsup://Directions/FactSet Auditing Viewer?action=AUDIT_VALUE&amp;DB=129&amp;ID1=03611510&amp;VALUEID=02101&amp;SDATE=200902&amp;PERIODTYPE=QTR_STD&amp;window=popup_no_bar&amp;width=385&amp;height=120&amp;START_MAXIMIZED=FALSE&amp;creator=factset&amp;display_string=Audit"}</definedName>
    <definedName name="_70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700__FDSAUDITLINK__" localSheetId="1" hidden="1">{"fdsup://Directions/FactSet Auditing Viewer?action=AUDIT_VALUE&amp;DB=129&amp;ID1=46612H40&amp;VALUEID=02101&amp;SDATE=200701&amp;PERIODTYPE=QTR_STD&amp;window=popup_no_bar&amp;width=385&amp;height=120&amp;START_MAXIMIZED=FALSE&amp;creator=factset&amp;display_string=Audit"}</definedName>
    <definedName name="_700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701__FDSAUDITLINK__" localSheetId="1" hidden="1">{"fdsup://Directions/FactSet Auditing Viewer?action=AUDIT_VALUE&amp;DB=129&amp;ID1=46612H40&amp;VALUEID=01001&amp;SDATE=200701&amp;PERIODTYPE=QTR_STD&amp;window=popup_no_bar&amp;width=385&amp;height=120&amp;START_MAXIMIZED=FALSE&amp;creator=factset&amp;display_string=Audit"}</definedName>
    <definedName name="_701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702__FDSAUDITLINK__" localSheetId="1" hidden="1">{"fdsup://Directions/FactSet Auditing Viewer?action=AUDIT_VALUE&amp;DB=129&amp;ID1=46612H40&amp;VALUEID=13040&amp;SDATE=200701&amp;PERIODTYPE=QTR_STD&amp;window=popup_no_bar&amp;width=385&amp;height=120&amp;START_MAXIMIZED=FALSE&amp;creator=factset&amp;display_string=Audit"}</definedName>
    <definedName name="_702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703__FDSAUDITLINK__" localSheetId="1" hidden="1">{"fdsup://Directions/FactSet Auditing Viewer?action=AUDIT_VALUE&amp;DB=129&amp;ID1=36476010&amp;VALUEID=02101&amp;SDATE=200701&amp;PERIODTYPE=QTR_STD&amp;window=popup_no_bar&amp;width=385&amp;height=120&amp;START_MAXIMIZED=FALSE&amp;creator=factset&amp;display_string=Audit"}</definedName>
    <definedName name="_703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704__FDSAUDITLINK__" localSheetId="1" hidden="1">{"fdsup://Directions/FactSet Auditing Viewer?action=AUDIT_VALUE&amp;DB=129&amp;ID1=36476010&amp;VALUEID=01001&amp;SDATE=200701&amp;PERIODTYPE=QTR_STD&amp;window=popup_no_bar&amp;width=385&amp;height=120&amp;START_MAXIMIZED=FALSE&amp;creator=factset&amp;display_string=Audit"}</definedName>
    <definedName name="_704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705__FDSAUDITLINK__" localSheetId="1" hidden="1">{"fdsup://Directions/FactSet Auditing Viewer?action=AUDIT_VALUE&amp;DB=129&amp;ID1=36476010&amp;VALUEID=13040&amp;SDATE=200701&amp;PERIODTYPE=QTR_STD&amp;window=popup_no_bar&amp;width=385&amp;height=120&amp;START_MAXIMIZED=FALSE&amp;creator=factset&amp;display_string=Audit"}</definedName>
    <definedName name="_705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706__FDSAUDITLINK__" localSheetId="1" hidden="1">{"fdsup://Directions/FactSet Auditing Viewer?action=AUDIT_VALUE&amp;DB=129&amp;ID1=03611510&amp;VALUEID=02101&amp;SDATE=200701&amp;PERIODTYPE=QTR_STD&amp;window=popup_no_bar&amp;width=385&amp;height=120&amp;START_MAXIMIZED=FALSE&amp;creator=factset&amp;display_string=Audit"}</definedName>
    <definedName name="_706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707__FDSAUDITLINK__" localSheetId="1" hidden="1">{"fdsup://Directions/FactSet Auditing Viewer?action=AUDIT_VALUE&amp;DB=129&amp;ID1=03611510&amp;VALUEID=01001&amp;SDATE=200701&amp;PERIODTYPE=QTR_STD&amp;window=popup_no_bar&amp;width=385&amp;height=120&amp;START_MAXIMIZED=FALSE&amp;creator=factset&amp;display_string=Audit"}</definedName>
    <definedName name="_707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708__FDSAUDITLINK__" localSheetId="1" hidden="1">{"fdsup://Directions/FactSet Auditing Viewer?action=AUDIT_VALUE&amp;DB=129&amp;ID1=03611510&amp;VALUEID=13040&amp;SDATE=200701&amp;PERIODTYPE=QTR_STD&amp;window=popup_no_bar&amp;width=385&amp;height=120&amp;START_MAXIMIZED=FALSE&amp;creator=factset&amp;display_string=Audit"}</definedName>
    <definedName name="_708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709__FDSAUDITLINK__" localSheetId="1" hidden="1">{"fdsup://Directions/FactSet Auditing Viewer?action=AUDIT_VALUE&amp;DB=129&amp;ID1=16890510&amp;VALUEID=02101&amp;SDATE=200701&amp;PERIODTYPE=QTR_STD&amp;window=popup_no_bar&amp;width=385&amp;height=120&amp;START_MAXIMIZED=FALSE&amp;creator=factset&amp;display_string=Audit"}</definedName>
    <definedName name="_709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71__FDSAUDITLINK__" localSheetId="1" hidden="1">{"fdsup://Directions/FactSet Auditing Viewer?action=AUDIT_VALUE&amp;DB=129&amp;ID1=03611510&amp;VALUEID=01001&amp;SDATE=200902&amp;PERIODTYPE=QTR_STD&amp;window=popup_no_bar&amp;width=385&amp;height=120&amp;START_MAXIMIZED=FALSE&amp;creator=factset&amp;display_string=Audit"}</definedName>
    <definedName name="_71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710__FDSAUDITLINK__" localSheetId="1" hidden="1">{"fdsup://Directions/FactSet Auditing Viewer?action=AUDIT_VALUE&amp;DB=129&amp;ID1=16890510&amp;VALUEID=01001&amp;SDATE=200701&amp;PERIODTYPE=QTR_STD&amp;window=popup_no_bar&amp;width=385&amp;height=120&amp;START_MAXIMIZED=FALSE&amp;creator=factset&amp;display_string=Audit"}</definedName>
    <definedName name="_710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711__FDSAUDITLINK__" localSheetId="1" hidden="1">{"fdsup://Directions/FactSet Auditing Viewer?action=AUDIT_VALUE&amp;DB=129&amp;ID1=91704710&amp;VALUEID=02101&amp;SDATE=200701&amp;PERIODTYPE=QTR_STD&amp;window=popup_no_bar&amp;width=385&amp;height=120&amp;START_MAXIMIZED=FALSE&amp;creator=factset&amp;display_string=Audit"}</definedName>
    <definedName name="_711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712__FDSAUDITLINK__" localSheetId="1" hidden="1">{"fdsup://Directions/FactSet Auditing Viewer?action=AUDIT_VALUE&amp;DB=129&amp;ID1=91704710&amp;VALUEID=01001&amp;SDATE=200701&amp;PERIODTYPE=QTR_STD&amp;window=popup_no_bar&amp;width=385&amp;height=120&amp;START_MAXIMIZED=FALSE&amp;creator=factset&amp;display_string=Audit"}</definedName>
    <definedName name="_712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713__FDSAUDITLINK__" localSheetId="1" hidden="1">{"fdsup://Directions/FactSet Auditing Viewer?action=AUDIT_VALUE&amp;DB=129&amp;ID1=91704710&amp;VALUEID=13040&amp;SDATE=200701&amp;PERIODTYPE=QTR_STD&amp;window=popup_no_bar&amp;width=385&amp;height=120&amp;START_MAXIMIZED=FALSE&amp;creator=factset&amp;display_string=Audit"}</definedName>
    <definedName name="_713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714__FDSAUDITLINK__" localSheetId="1" hidden="1">{"fdsup://Directions/FactSet Auditing Viewer?action=AUDIT_VALUE&amp;DB=129&amp;ID1=02553E10&amp;VALUEID=02101&amp;SDATE=200701&amp;PERIODTYPE=QTR_STD&amp;window=popup_no_bar&amp;width=385&amp;height=120&amp;START_MAXIMIZED=FALSE&amp;creator=factset&amp;display_string=Audit"}</definedName>
    <definedName name="_714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715__FDSAUDITLINK__" localSheetId="1" hidden="1">{"fdsup://Directions/FactSet Auditing Viewer?action=AUDIT_VALUE&amp;DB=129&amp;ID1=02553E10&amp;VALUEID=01001&amp;SDATE=200701&amp;PERIODTYPE=QTR_STD&amp;window=popup_no_bar&amp;width=385&amp;height=120&amp;START_MAXIMIZED=FALSE&amp;creator=factset&amp;display_string=Audit"}</definedName>
    <definedName name="_715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716__FDSAUDITLINK__" localSheetId="1" hidden="1">{"fdsup://Directions/FactSet Auditing Viewer?action=AUDIT_VALUE&amp;DB=129&amp;ID1=02553E10&amp;VALUEID=13040&amp;SDATE=200701&amp;PERIODTYPE=QTR_STD&amp;window=popup_no_bar&amp;width=385&amp;height=120&amp;START_MAXIMIZED=FALSE&amp;creator=factset&amp;display_string=Audit"}</definedName>
    <definedName name="_716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717__FDSAUDITLINK__" localSheetId="1" hidden="1">{"fdsup://Directions/FactSet Auditing Viewer?action=AUDIT_VALUE&amp;DB=129&amp;ID1=00786510&amp;VALUEID=02101&amp;SDATE=200701&amp;PERIODTYPE=QTR_STD&amp;window=popup_no_bar&amp;width=385&amp;height=120&amp;START_MAXIMIZED=FALSE&amp;creator=factset&amp;display_string=Audit"}</definedName>
    <definedName name="_717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718__FDSAUDITLINK__" localSheetId="1" hidden="1">{"fdsup://Directions/FactSet Auditing Viewer?action=AUDIT_VALUE&amp;DB=129&amp;ID1=00786510&amp;VALUEID=01001&amp;SDATE=200701&amp;PERIODTYPE=QTR_STD&amp;window=popup_no_bar&amp;width=385&amp;height=120&amp;START_MAXIMIZED=FALSE&amp;creator=factset&amp;display_string=Audit"}</definedName>
    <definedName name="_718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719__FDSAUDITLINK__" localSheetId="1" hidden="1">{"fdsup://Directions/FactSet Auditing Viewer?action=AUDIT_VALUE&amp;DB=129&amp;ID1=00786510&amp;VALUEID=13040&amp;SDATE=200701&amp;PERIODTYPE=QTR_STD&amp;window=popup_no_bar&amp;width=385&amp;height=120&amp;START_MAXIMIZED=FALSE&amp;creator=factset&amp;display_string=Audit"}</definedName>
    <definedName name="_719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72__FDSAUDITLINK__" localSheetId="1" hidden="1">{"fdsup://Directions/FactSet Auditing Viewer?action=AUDIT_VALUE&amp;DB=129&amp;ID1=03611510&amp;VALUEID=13040&amp;SDATE=200902&amp;PERIODTYPE=QTR_STD&amp;window=popup_no_bar&amp;width=385&amp;height=120&amp;START_MAXIMIZED=FALSE&amp;creator=factset&amp;display_string=Audit"}</definedName>
    <definedName name="_72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720__FDSAUDITLINK__" localSheetId="1" hidden="1">{"fdsup://Directions/FactSet Auditing Viewer?action=AUDIT_VALUE&amp;DB=129&amp;ID1=00289620&amp;VALUEID=02101&amp;SDATE=200701&amp;PERIODTYPE=QTR_STD&amp;window=popup_no_bar&amp;width=385&amp;height=120&amp;START_MAXIMIZED=FALSE&amp;creator=factset&amp;display_string=Audit"}</definedName>
    <definedName name="_720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721__FDSAUDITLINK__" localSheetId="1" hidden="1">{"fdsup://Directions/FactSet Auditing Viewer?action=AUDIT_VALUE&amp;DB=129&amp;ID1=00289620&amp;VALUEID=01001&amp;SDATE=200701&amp;PERIODTYPE=QTR_STD&amp;window=popup_no_bar&amp;width=385&amp;height=120&amp;START_MAXIMIZED=FALSE&amp;creator=factset&amp;display_string=Audit"}</definedName>
    <definedName name="_721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722__FDSAUDITLINK__" localSheetId="1" hidden="1">{"fdsup://Directions/FactSet Auditing Viewer?action=AUDIT_VALUE&amp;DB=129&amp;ID1=00289620&amp;VALUEID=13040&amp;SDATE=200701&amp;PERIODTYPE=QTR_STD&amp;window=popup_no_bar&amp;width=385&amp;height=120&amp;START_MAXIMIZED=FALSE&amp;creator=factset&amp;display_string=Audit"}</definedName>
    <definedName name="_722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723__FDSAUDITLINK__" localSheetId="1" hidden="1">{"fdsup://Directions/FactSet Auditing Viewer?action=AUDIT_VALUE&amp;DB=129&amp;ID1=87416110&amp;VALUEID=01001&amp;SDATE=200604&amp;PERIODTYPE=QTR_STD&amp;window=popup_no_bar&amp;width=385&amp;height=120&amp;START_MAXIMIZED=FALSE&amp;creator=factset&amp;display_string=Audit"}</definedName>
    <definedName name="_723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724__FDSAUDITLINK__" localSheetId="1" hidden="1">{"fdsup://Directions/FactSet Auditing Viewer?action=AUDIT_VALUE&amp;DB=129&amp;ID1=46612H40&amp;VALUEID=01001&amp;SDATE=200604&amp;PERIODTYPE=QTR_STD&amp;window=popup_no_bar&amp;width=385&amp;height=120&amp;START_MAXIMIZED=FALSE&amp;creator=factset&amp;display_string=Audit"}</definedName>
    <definedName name="_724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725__FDSAUDITLINK__" localSheetId="1" hidden="1">{"fdsup://Directions/FactSet Auditing Viewer?action=AUDIT_VALUE&amp;DB=129&amp;ID1=36476010&amp;VALUEID=01001&amp;SDATE=200604&amp;PERIODTYPE=QTR_STD&amp;window=popup_no_bar&amp;width=385&amp;height=120&amp;START_MAXIMIZED=FALSE&amp;creator=factset&amp;display_string=Audit"}</definedName>
    <definedName name="_725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726__FDSAUDITLINK__" localSheetId="1" hidden="1">{"fdsup://Directions/FactSet Auditing Viewer?action=AUDIT_VALUE&amp;DB=129&amp;ID1=03611510&amp;VALUEID=01001&amp;SDATE=200604&amp;PERIODTYPE=QTR_STD&amp;window=popup_no_bar&amp;width=385&amp;height=120&amp;START_MAXIMIZED=FALSE&amp;creator=factset&amp;display_string=Audit"}</definedName>
    <definedName name="_726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727__FDSAUDITLINK__" localSheetId="1" hidden="1">{"fdsup://Directions/FactSet Auditing Viewer?action=AUDIT_VALUE&amp;DB=129&amp;ID1=16890510&amp;VALUEID=01001&amp;SDATE=200604&amp;PERIODTYPE=QTR_STD&amp;window=popup_no_bar&amp;width=385&amp;height=120&amp;START_MAXIMIZED=FALSE&amp;creator=factset&amp;display_string=Audit"}</definedName>
    <definedName name="_727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728__FDSAUDITLINK__" localSheetId="1"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728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729__FDSAUDITLINK__" localSheetId="1" hidden="1">{"fdsup://Directions/FactSet Auditing Viewer?action=AUDIT_VALUE&amp;DB=129&amp;ID1=00786510&amp;VALUEID=01001&amp;SDATE=200604&amp;PERIODTYPE=QTR_STD&amp;window=popup_no_bar&amp;width=385&amp;height=120&amp;START_MAXIMIZED=FALSE&amp;creator=factset&amp;display_string=Audit"}</definedName>
    <definedName name="_729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73__FDSAUDITLINK__" localSheetId="1" hidden="1">{"fdsup://Directions/FactSet Auditing Viewer?action=AUDIT_VALUE&amp;DB=129&amp;ID1=16890510&amp;VALUEID=02101&amp;SDATE=200902&amp;PERIODTYPE=QTR_STD&amp;window=popup_no_bar&amp;width=385&amp;height=120&amp;START_MAXIMIZED=FALSE&amp;creator=factset&amp;display_string=Audit"}</definedName>
    <definedName name="_73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730__FDSAUDITLINK__" localSheetId="1" hidden="1">{"fdsup://Directions/FactSet Auditing Viewer?action=AUDIT_VALUE&amp;DB=129&amp;ID1=87416110&amp;VALUEID=02101&amp;SDATE=200603&amp;PERIODTYPE=QTR_STD&amp;window=popup_no_bar&amp;width=385&amp;height=120&amp;START_MAXIMIZED=FALSE&amp;creator=factset&amp;display_string=Audit"}</definedName>
    <definedName name="_730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731__FDSAUDITLINK__" localSheetId="1" hidden="1">{"fdsup://Directions/FactSet Auditing Viewer?action=AUDIT_VALUE&amp;DB=129&amp;ID1=87416110&amp;VALUEID=01001&amp;SDATE=200603&amp;PERIODTYPE=QTR_STD&amp;window=popup_no_bar&amp;width=385&amp;height=120&amp;START_MAXIMIZED=FALSE&amp;creator=factset&amp;display_string=Audit"}</definedName>
    <definedName name="_731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732__FDSAUDITLINK__" localSheetId="1" hidden="1">{"fdsup://Directions/FactSet Auditing Viewer?action=AUDIT_VALUE&amp;DB=129&amp;ID1=53271610&amp;VALUEID=02101&amp;SDATE=200603&amp;PERIODTYPE=QTR_STD&amp;window=popup_no_bar&amp;width=385&amp;height=120&amp;START_MAXIMIZED=FALSE&amp;creator=factset&amp;display_string=Audit"}</definedName>
    <definedName name="_732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733__FDSAUDITLINK__" localSheetId="1" hidden="1">{"fdsup://Directions/FactSet Auditing Viewer?action=AUDIT_VALUE&amp;DB=129&amp;ID1=53271610&amp;VALUEID=01001&amp;SDATE=200603&amp;PERIODTYPE=QTR_STD&amp;window=popup_no_bar&amp;width=385&amp;height=120&amp;START_MAXIMIZED=FALSE&amp;creator=factset&amp;display_string=Audit"}</definedName>
    <definedName name="_733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734__FDSAUDITLINK__" localSheetId="1" hidden="1">{"fdsup://Directions/FactSet Auditing Viewer?action=AUDIT_VALUE&amp;DB=129&amp;ID1=53271610&amp;VALUEID=13040&amp;SDATE=200603&amp;PERIODTYPE=QTR_STD&amp;window=popup_no_bar&amp;width=385&amp;height=120&amp;START_MAXIMIZED=FALSE&amp;creator=factset&amp;display_string=Audit"}</definedName>
    <definedName name="_734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735__FDSAUDITLINK__" localSheetId="1" hidden="1">{"fdsup://Directions/FactSet Auditing Viewer?action=AUDIT_VALUE&amp;DB=129&amp;ID1=46612H40&amp;VALUEID=02101&amp;SDATE=200603&amp;PERIODTYPE=QTR_STD&amp;window=popup_no_bar&amp;width=385&amp;height=120&amp;START_MAXIMIZED=FALSE&amp;creator=factset&amp;display_string=Audit"}</definedName>
    <definedName name="_735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736__FDSAUDITLINK__" localSheetId="1" hidden="1">{"fdsup://Directions/FactSet Auditing Viewer?action=AUDIT_VALUE&amp;DB=129&amp;ID1=46612H40&amp;VALUEID=01001&amp;SDATE=200603&amp;PERIODTYPE=QTR_STD&amp;window=popup_no_bar&amp;width=385&amp;height=120&amp;START_MAXIMIZED=FALSE&amp;creator=factset&amp;display_string=Audit"}</definedName>
    <definedName name="_736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737__FDSAUDITLINK__" localSheetId="1" hidden="1">{"fdsup://Directions/FactSet Auditing Viewer?action=AUDIT_VALUE&amp;DB=129&amp;ID1=46612H40&amp;VALUEID=13040&amp;SDATE=200603&amp;PERIODTYPE=QTR_STD&amp;window=popup_no_bar&amp;width=385&amp;height=120&amp;START_MAXIMIZED=FALSE&amp;creator=factset&amp;display_string=Audit"}</definedName>
    <definedName name="_737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738__FDSAUDITLINK__" localSheetId="1" hidden="1">{"fdsup://Directions/FactSet Auditing Viewer?action=AUDIT_VALUE&amp;DB=129&amp;ID1=36476010&amp;VALUEID=02101&amp;SDATE=200603&amp;PERIODTYPE=QTR_STD&amp;window=popup_no_bar&amp;width=385&amp;height=120&amp;START_MAXIMIZED=FALSE&amp;creator=factset&amp;display_string=Audit"}</definedName>
    <definedName name="_738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739__FDSAUDITLINK__" localSheetId="1" hidden="1">{"fdsup://Directions/FactSet Auditing Viewer?action=AUDIT_VALUE&amp;DB=129&amp;ID1=36476010&amp;VALUEID=01001&amp;SDATE=200603&amp;PERIODTYPE=QTR_STD&amp;window=popup_no_bar&amp;width=385&amp;height=120&amp;START_MAXIMIZED=FALSE&amp;creator=factset&amp;display_string=Audit"}</definedName>
    <definedName name="_739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74__FDSAUDITLINK__" localSheetId="1" hidden="1">{"fdsup://Directions/FactSet Auditing Viewer?action=AUDIT_VALUE&amp;DB=129&amp;ID1=16890510&amp;VALUEID=01001&amp;SDATE=200902&amp;PERIODTYPE=QTR_STD&amp;window=popup_no_bar&amp;width=385&amp;height=120&amp;START_MAXIMIZED=FALSE&amp;creator=factset&amp;display_string=Audit"}</definedName>
    <definedName name="_74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740__FDSAUDITLINK__" localSheetId="1" hidden="1">{"fdsup://Directions/FactSet Auditing Viewer?action=AUDIT_VALUE&amp;DB=129&amp;ID1=36476010&amp;VALUEID=13040&amp;SDATE=200603&amp;PERIODTYPE=QTR_STD&amp;window=popup_no_bar&amp;width=385&amp;height=120&amp;START_MAXIMIZED=FALSE&amp;creator=factset&amp;display_string=Audit"}</definedName>
    <definedName name="_740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741__FDSAUDITLINK__" localSheetId="1" hidden="1">{"fdsup://Directions/FactSet Auditing Viewer?action=AUDIT_VALUE&amp;DB=129&amp;ID1=03611510&amp;VALUEID=02101&amp;SDATE=200603&amp;PERIODTYPE=QTR_STD&amp;window=popup_no_bar&amp;width=385&amp;height=120&amp;START_MAXIMIZED=FALSE&amp;creator=factset&amp;display_string=Audit"}</definedName>
    <definedName name="_741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742__FDSAUDITLINK__" localSheetId="1" hidden="1">{"fdsup://Directions/FactSet Auditing Viewer?action=AUDIT_VALUE&amp;DB=129&amp;ID1=03611510&amp;VALUEID=01001&amp;SDATE=200603&amp;PERIODTYPE=QTR_STD&amp;window=popup_no_bar&amp;width=385&amp;height=120&amp;START_MAXIMIZED=FALSE&amp;creator=factset&amp;display_string=Audit"}</definedName>
    <definedName name="_742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743__FDSAUDITLINK__" localSheetId="1" hidden="1">{"fdsup://Directions/FactSet Auditing Viewer?action=AUDIT_VALUE&amp;DB=129&amp;ID1=03611510&amp;VALUEID=13040&amp;SDATE=200603&amp;PERIODTYPE=QTR_STD&amp;window=popup_no_bar&amp;width=385&amp;height=120&amp;START_MAXIMIZED=FALSE&amp;creator=factset&amp;display_string=Audit"}</definedName>
    <definedName name="_743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744__FDSAUDITLINK__" localSheetId="1" hidden="1">{"fdsup://Directions/FactSet Auditing Viewer?action=AUDIT_VALUE&amp;DB=129&amp;ID1=16890510&amp;VALUEID=02101&amp;SDATE=200603&amp;PERIODTYPE=QTR_STD&amp;window=popup_no_bar&amp;width=385&amp;height=120&amp;START_MAXIMIZED=FALSE&amp;creator=factset&amp;display_string=Audit"}</definedName>
    <definedName name="_744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745__FDSAUDITLINK__" localSheetId="1" hidden="1">{"fdsup://Directions/FactSet Auditing Viewer?action=AUDIT_VALUE&amp;DB=129&amp;ID1=16890510&amp;VALUEID=01001&amp;SDATE=200603&amp;PERIODTYPE=QTR_STD&amp;window=popup_no_bar&amp;width=385&amp;height=120&amp;START_MAXIMIZED=FALSE&amp;creator=factset&amp;display_string=Audit"}</definedName>
    <definedName name="_745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746__FDSAUDITLINK__" localSheetId="1" hidden="1">{"fdsup://Directions/FactSet Auditing Viewer?action=AUDIT_VALUE&amp;DB=129&amp;ID1=91704710&amp;VALUEID=02101&amp;SDATE=200603&amp;PERIODTYPE=QTR_STD&amp;window=popup_no_bar&amp;width=385&amp;height=120&amp;START_MAXIMIZED=FALSE&amp;creator=factset&amp;display_string=Audit"}</definedName>
    <definedName name="_746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747__FDSAUDITLINK__" localSheetId="1" hidden="1">{"fdsup://Directions/FactSet Auditing Viewer?action=AUDIT_VALUE&amp;DB=129&amp;ID1=91704710&amp;VALUEID=01001&amp;SDATE=200603&amp;PERIODTYPE=QTR_STD&amp;window=popup_no_bar&amp;width=385&amp;height=120&amp;START_MAXIMIZED=FALSE&amp;creator=factset&amp;display_string=Audit"}</definedName>
    <definedName name="_747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748__FDSAUDITLINK__" localSheetId="1" hidden="1">{"fdsup://Directions/FactSet Auditing Viewer?action=AUDIT_VALUE&amp;DB=129&amp;ID1=91704710&amp;VALUEID=13040&amp;SDATE=200603&amp;PERIODTYPE=QTR_STD&amp;window=popup_no_bar&amp;width=385&amp;height=120&amp;START_MAXIMIZED=FALSE&amp;creator=factset&amp;display_string=Audit"}</definedName>
    <definedName name="_748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749__FDSAUDITLINK__" localSheetId="1"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749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75__FDSAUDITLINK__" localSheetId="1" hidden="1">{"fdsup://Directions/FactSet Auditing Viewer?action=AUDIT_VALUE&amp;DB=129&amp;ID1=91704710&amp;VALUEID=02101&amp;SDATE=200902&amp;PERIODTYPE=QTR_STD&amp;window=popup_no_bar&amp;width=385&amp;height=120&amp;START_MAXIMIZED=FALSE&amp;creator=factset&amp;display_string=Audit"}</definedName>
    <definedName name="_75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750__FDSAUDITLINK__" localSheetId="1" hidden="1">{"fdsup://Directions/FactSet Auditing Viewer?action=AUDIT_VALUE&amp;DB=129&amp;ID1=00786510&amp;VALUEID=02101&amp;SDATE=200603&amp;PERIODTYPE=QTR_STD&amp;window=popup_no_bar&amp;width=385&amp;height=120&amp;START_MAXIMIZED=FALSE&amp;creator=factset&amp;display_string=Audit"}</definedName>
    <definedName name="_750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751__FDSAUDITLINK__" localSheetId="1" hidden="1">{"fdsup://Directions/FactSet Auditing Viewer?action=AUDIT_VALUE&amp;DB=129&amp;ID1=00786510&amp;VALUEID=01001&amp;SDATE=200603&amp;PERIODTYPE=QTR_STD&amp;window=popup_no_bar&amp;width=385&amp;height=120&amp;START_MAXIMIZED=FALSE&amp;creator=factset&amp;display_string=Audit"}</definedName>
    <definedName name="_751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752__FDSAUDITLINK__" localSheetId="1" hidden="1">{"fdsup://Directions/FactSet Auditing Viewer?action=AUDIT_VALUE&amp;DB=129&amp;ID1=00786510&amp;VALUEID=13040&amp;SDATE=200603&amp;PERIODTYPE=QTR_STD&amp;window=popup_no_bar&amp;width=385&amp;height=120&amp;START_MAXIMIZED=FALSE&amp;creator=factset&amp;display_string=Audit"}</definedName>
    <definedName name="_752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753__FDSAUDITLINK__" localSheetId="1" hidden="1">{"fdsup://Directions/FactSet Auditing Viewer?action=AUDIT_VALUE&amp;DB=129&amp;ID1=00289620&amp;VALUEID=02101&amp;SDATE=200603&amp;PERIODTYPE=QTR_STD&amp;window=popup_no_bar&amp;width=385&amp;height=120&amp;START_MAXIMIZED=FALSE&amp;creator=factset&amp;display_string=Audit"}</definedName>
    <definedName name="_753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754__FDSAUDITLINK__" localSheetId="1" hidden="1">{"fdsup://Directions/FactSet Auditing Viewer?action=AUDIT_VALUE&amp;DB=129&amp;ID1=00289620&amp;VALUEID=01001&amp;SDATE=200603&amp;PERIODTYPE=QTR_STD&amp;window=popup_no_bar&amp;width=385&amp;height=120&amp;START_MAXIMIZED=FALSE&amp;creator=factset&amp;display_string=Audit"}</definedName>
    <definedName name="_754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755__FDSAUDITLINK__" localSheetId="1" hidden="1">{"fdsup://Directions/FactSet Auditing Viewer?action=AUDIT_VALUE&amp;DB=129&amp;ID1=00289620&amp;VALUEID=13040&amp;SDATE=200603&amp;PERIODTYPE=QTR_STD&amp;window=popup_no_bar&amp;width=385&amp;height=120&amp;START_MAXIMIZED=FALSE&amp;creator=factset&amp;display_string=Audit"}</definedName>
    <definedName name="_755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756__FDSAUDITLINK__" localSheetId="1" hidden="1">{"fdsup://Directions/FactSet Auditing Viewer?action=AUDIT_VALUE&amp;DB=129&amp;ID1=87416110&amp;VALUEID=02101&amp;SDATE=200602&amp;PERIODTYPE=QTR_STD&amp;window=popup_no_bar&amp;width=385&amp;height=120&amp;START_MAXIMIZED=FALSE&amp;creator=factset&amp;display_string=Audit"}</definedName>
    <definedName name="_756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757__FDSAUDITLINK__" localSheetId="1" hidden="1">{"fdsup://Directions/FactSet Auditing Viewer?action=AUDIT_VALUE&amp;DB=129&amp;ID1=87416110&amp;VALUEID=01001&amp;SDATE=200602&amp;PERIODTYPE=QTR_STD&amp;window=popup_no_bar&amp;width=385&amp;height=120&amp;START_MAXIMIZED=FALSE&amp;creator=factset&amp;display_string=Audit"}</definedName>
    <definedName name="_757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758__FDSAUDITLINK__" localSheetId="1" hidden="1">{"fdsup://Directions/FactSet Auditing Viewer?action=AUDIT_VALUE&amp;DB=129&amp;ID1=53271610&amp;VALUEID=02101&amp;SDATE=200602&amp;PERIODTYPE=QTR_STD&amp;window=popup_no_bar&amp;width=385&amp;height=120&amp;START_MAXIMIZED=FALSE&amp;creator=factset&amp;display_string=Audit"}</definedName>
    <definedName name="_758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759__FDSAUDITLINK__" localSheetId="1" hidden="1">{"fdsup://Directions/FactSet Auditing Viewer?action=AUDIT_VALUE&amp;DB=129&amp;ID1=53271610&amp;VALUEID=01001&amp;SDATE=200602&amp;PERIODTYPE=QTR_STD&amp;window=popup_no_bar&amp;width=385&amp;height=120&amp;START_MAXIMIZED=FALSE&amp;creator=factset&amp;display_string=Audit"}</definedName>
    <definedName name="_759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76__FDSAUDITLINK__" localSheetId="1" hidden="1">{"fdsup://Directions/FactSet Auditing Viewer?action=AUDIT_VALUE&amp;DB=129&amp;ID1=91704710&amp;VALUEID=01001&amp;SDATE=200902&amp;PERIODTYPE=QTR_STD&amp;window=popup_no_bar&amp;width=385&amp;height=120&amp;START_MAXIMIZED=FALSE&amp;creator=factset&amp;display_string=Audit"}</definedName>
    <definedName name="_76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760__FDSAUDITLINK__" localSheetId="1" hidden="1">{"fdsup://Directions/FactSet Auditing Viewer?action=AUDIT_VALUE&amp;DB=129&amp;ID1=53271610&amp;VALUEID=13040&amp;SDATE=200602&amp;PERIODTYPE=QTR_STD&amp;window=popup_no_bar&amp;width=385&amp;height=120&amp;START_MAXIMIZED=FALSE&amp;creator=factset&amp;display_string=Audit"}</definedName>
    <definedName name="_760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761__FDSAUDITLINK__" localSheetId="1" hidden="1">{"fdsup://Directions/FactSet Auditing Viewer?action=AUDIT_VALUE&amp;DB=129&amp;ID1=46612H40&amp;VALUEID=02101&amp;SDATE=200602&amp;PERIODTYPE=QTR_STD&amp;window=popup_no_bar&amp;width=385&amp;height=120&amp;START_MAXIMIZED=FALSE&amp;creator=factset&amp;display_string=Audit"}</definedName>
    <definedName name="_761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762__FDSAUDITLINK__" localSheetId="1" hidden="1">{"fdsup://Directions/FactSet Auditing Viewer?action=AUDIT_VALUE&amp;DB=129&amp;ID1=46612H40&amp;VALUEID=01001&amp;SDATE=200602&amp;PERIODTYPE=QTR_STD&amp;window=popup_no_bar&amp;width=385&amp;height=120&amp;START_MAXIMIZED=FALSE&amp;creator=factset&amp;display_string=Audit"}</definedName>
    <definedName name="_762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763__FDSAUDITLINK__" localSheetId="1" hidden="1">{"fdsup://Directions/FactSet Auditing Viewer?action=AUDIT_VALUE&amp;DB=129&amp;ID1=46612H40&amp;VALUEID=13040&amp;SDATE=200602&amp;PERIODTYPE=QTR_STD&amp;window=popup_no_bar&amp;width=385&amp;height=120&amp;START_MAXIMIZED=FALSE&amp;creator=factset&amp;display_string=Audit"}</definedName>
    <definedName name="_763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764__FDSAUDITLINK__" localSheetId="1" hidden="1">{"fdsup://Directions/FactSet Auditing Viewer?action=AUDIT_VALUE&amp;DB=129&amp;ID1=36476010&amp;VALUEID=02101&amp;SDATE=200602&amp;PERIODTYPE=QTR_STD&amp;window=popup_no_bar&amp;width=385&amp;height=120&amp;START_MAXIMIZED=FALSE&amp;creator=factset&amp;display_string=Audit"}</definedName>
    <definedName name="_764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765__FDSAUDITLINK__" localSheetId="1" hidden="1">{"fdsup://Directions/FactSet Auditing Viewer?action=AUDIT_VALUE&amp;DB=129&amp;ID1=36476010&amp;VALUEID=01001&amp;SDATE=200602&amp;PERIODTYPE=QTR_STD&amp;window=popup_no_bar&amp;width=385&amp;height=120&amp;START_MAXIMIZED=FALSE&amp;creator=factset&amp;display_string=Audit"}</definedName>
    <definedName name="_765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766__FDSAUDITLINK__" localSheetId="1" hidden="1">{"fdsup://Directions/FactSet Auditing Viewer?action=AUDIT_VALUE&amp;DB=129&amp;ID1=36476010&amp;VALUEID=13040&amp;SDATE=200602&amp;PERIODTYPE=QTR_STD&amp;window=popup_no_bar&amp;width=385&amp;height=120&amp;START_MAXIMIZED=FALSE&amp;creator=factset&amp;display_string=Audit"}</definedName>
    <definedName name="_766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767__FDSAUDITLINK__" localSheetId="1" hidden="1">{"fdsup://Directions/FactSet Auditing Viewer?action=AUDIT_VALUE&amp;DB=129&amp;ID1=03611510&amp;VALUEID=02101&amp;SDATE=200602&amp;PERIODTYPE=QTR_STD&amp;window=popup_no_bar&amp;width=385&amp;height=120&amp;START_MAXIMIZED=FALSE&amp;creator=factset&amp;display_string=Audit"}</definedName>
    <definedName name="_767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768__FDSAUDITLINK__" localSheetId="1" hidden="1">{"fdsup://Directions/FactSet Auditing Viewer?action=AUDIT_VALUE&amp;DB=129&amp;ID1=03611510&amp;VALUEID=01001&amp;SDATE=200602&amp;PERIODTYPE=QTR_STD&amp;window=popup_no_bar&amp;width=385&amp;height=120&amp;START_MAXIMIZED=FALSE&amp;creator=factset&amp;display_string=Audit"}</definedName>
    <definedName name="_768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769__FDSAUDITLINK__" localSheetId="1" hidden="1">{"fdsup://Directions/FactSet Auditing Viewer?action=AUDIT_VALUE&amp;DB=129&amp;ID1=03611510&amp;VALUEID=13040&amp;SDATE=200602&amp;PERIODTYPE=QTR_STD&amp;window=popup_no_bar&amp;width=385&amp;height=120&amp;START_MAXIMIZED=FALSE&amp;creator=factset&amp;display_string=Audit"}</definedName>
    <definedName name="_769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77__FDSAUDITLINK__" localSheetId="1" hidden="1">{"fdsup://Directions/FactSet Auditing Viewer?action=AUDIT_VALUE&amp;DB=129&amp;ID1=02553E10&amp;VALUEID=02101&amp;SDATE=200902&amp;PERIODTYPE=QTR_STD&amp;window=popup_no_bar&amp;width=385&amp;height=120&amp;START_MAXIMIZED=FALSE&amp;creator=factset&amp;display_string=Audit"}</definedName>
    <definedName name="_77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770__FDSAUDITLINK__" localSheetId="1" hidden="1">{"fdsup://Directions/FactSet Auditing Viewer?action=AUDIT_VALUE&amp;DB=129&amp;ID1=16890510&amp;VALUEID=02101&amp;SDATE=200602&amp;PERIODTYPE=QTR_STD&amp;window=popup_no_bar&amp;width=385&amp;height=120&amp;START_MAXIMIZED=FALSE&amp;creator=factset&amp;display_string=Audit"}</definedName>
    <definedName name="_770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771__FDSAUDITLINK__" localSheetId="1" hidden="1">{"fdsup://Directions/FactSet Auditing Viewer?action=AUDIT_VALUE&amp;DB=129&amp;ID1=16890510&amp;VALUEID=01001&amp;SDATE=200602&amp;PERIODTYPE=QTR_STD&amp;window=popup_no_bar&amp;width=385&amp;height=120&amp;START_MAXIMIZED=FALSE&amp;creator=factset&amp;display_string=Audit"}</definedName>
    <definedName name="_771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772__FDSAUDITLINK__" localSheetId="1" hidden="1">{"fdsup://Directions/FactSet Auditing Viewer?action=AUDIT_VALUE&amp;DB=129&amp;ID1=91704710&amp;VALUEID=02101&amp;SDATE=200602&amp;PERIODTYPE=QTR_STD&amp;window=popup_no_bar&amp;width=385&amp;height=120&amp;START_MAXIMIZED=FALSE&amp;creator=factset&amp;display_string=Audit"}</definedName>
    <definedName name="_772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773__FDSAUDITLINK__" localSheetId="1" hidden="1">{"fdsup://Directions/FactSet Auditing Viewer?action=AUDIT_VALUE&amp;DB=129&amp;ID1=91704710&amp;VALUEID=01001&amp;SDATE=200602&amp;PERIODTYPE=QTR_STD&amp;window=popup_no_bar&amp;width=385&amp;height=120&amp;START_MAXIMIZED=FALSE&amp;creator=factset&amp;display_string=Audit"}</definedName>
    <definedName name="_773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774__FDSAUDITLINK__" localSheetId="1" hidden="1">{"fdsup://Directions/FactSet Auditing Viewer?action=AUDIT_VALUE&amp;DB=129&amp;ID1=91704710&amp;VALUEID=13040&amp;SDATE=200602&amp;PERIODTYPE=QTR_STD&amp;window=popup_no_bar&amp;width=385&amp;height=120&amp;START_MAXIMIZED=FALSE&amp;creator=factset&amp;display_string=Audit"}</definedName>
    <definedName name="_774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775__FDSAUDITLINK__" localSheetId="1"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775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776__FDSAUDITLINK__" localSheetId="1" hidden="1">{"fdsup://Directions/FactSet Auditing Viewer?action=AUDIT_VALUE&amp;DB=129&amp;ID1=00786510&amp;VALUEID=02101&amp;SDATE=200602&amp;PERIODTYPE=QTR_STD&amp;window=popup_no_bar&amp;width=385&amp;height=120&amp;START_MAXIMIZED=FALSE&amp;creator=factset&amp;display_string=Audit"}</definedName>
    <definedName name="_776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777__FDSAUDITLINK__" localSheetId="1" hidden="1">{"fdsup://Directions/FactSet Auditing Viewer?action=AUDIT_VALUE&amp;DB=129&amp;ID1=00786510&amp;VALUEID=01001&amp;SDATE=200602&amp;PERIODTYPE=QTR_STD&amp;window=popup_no_bar&amp;width=385&amp;height=120&amp;START_MAXIMIZED=FALSE&amp;creator=factset&amp;display_string=Audit"}</definedName>
    <definedName name="_777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778__FDSAUDITLINK__" localSheetId="1" hidden="1">{"fdsup://Directions/FactSet Auditing Viewer?action=AUDIT_VALUE&amp;DB=129&amp;ID1=00786510&amp;VALUEID=13040&amp;SDATE=200602&amp;PERIODTYPE=QTR_STD&amp;window=popup_no_bar&amp;width=385&amp;height=120&amp;START_MAXIMIZED=FALSE&amp;creator=factset&amp;display_string=Audit"}</definedName>
    <definedName name="_778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779__FDSAUDITLINK__" localSheetId="1" hidden="1">{"fdsup://Directions/FactSet Auditing Viewer?action=AUDIT_VALUE&amp;DB=129&amp;ID1=00289620&amp;VALUEID=02101&amp;SDATE=200602&amp;PERIODTYPE=QTR_STD&amp;window=popup_no_bar&amp;width=385&amp;height=120&amp;START_MAXIMIZED=FALSE&amp;creator=factset&amp;display_string=Audit"}</definedName>
    <definedName name="_779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78__FDSAUDITLINK__" localSheetId="1" hidden="1">{"fdsup://Directions/FactSet Auditing Viewer?action=AUDIT_VALUE&amp;DB=129&amp;ID1=02553E10&amp;VALUEID=01001&amp;SDATE=200902&amp;PERIODTYPE=QTR_STD&amp;window=popup_no_bar&amp;width=385&amp;height=120&amp;START_MAXIMIZED=FALSE&amp;creator=factset&amp;display_string=Audit"}</definedName>
    <definedName name="_78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780__FDSAUDITLINK__" localSheetId="1" hidden="1">{"fdsup://Directions/FactSet Auditing Viewer?action=AUDIT_VALUE&amp;DB=129&amp;ID1=00289620&amp;VALUEID=01001&amp;SDATE=200602&amp;PERIODTYPE=QTR_STD&amp;window=popup_no_bar&amp;width=385&amp;height=120&amp;START_MAXIMIZED=FALSE&amp;creator=factset&amp;display_string=Audit"}</definedName>
    <definedName name="_780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781__FDSAUDITLINK__" localSheetId="1" hidden="1">{"fdsup://Directions/FactSet Auditing Viewer?action=AUDIT_VALUE&amp;DB=129&amp;ID1=00289620&amp;VALUEID=13040&amp;SDATE=200602&amp;PERIODTYPE=QTR_STD&amp;window=popup_no_bar&amp;width=385&amp;height=120&amp;START_MAXIMIZED=FALSE&amp;creator=factset&amp;display_string=Audit"}</definedName>
    <definedName name="_781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782__FDSAUDITLINK__" localSheetId="1" hidden="1">{"fdsup://Directions/FactSet Auditing Viewer?action=AUDIT_VALUE&amp;DB=129&amp;ID1=87416110&amp;VALUEID=02101&amp;SDATE=200601&amp;PERIODTYPE=QTR_STD&amp;window=popup_no_bar&amp;width=385&amp;height=120&amp;START_MAXIMIZED=FALSE&amp;creator=factset&amp;display_string=Audit"}</definedName>
    <definedName name="_782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783__FDSAUDITLINK__" localSheetId="1" hidden="1">{"fdsup://Directions/FactSet Auditing Viewer?action=AUDIT_VALUE&amp;DB=129&amp;ID1=87416110&amp;VALUEID=01001&amp;SDATE=200601&amp;PERIODTYPE=QTR_STD&amp;window=popup_no_bar&amp;width=385&amp;height=120&amp;START_MAXIMIZED=FALSE&amp;creator=factset&amp;display_string=Audit"}</definedName>
    <definedName name="_783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784__FDSAUDITLINK__" localSheetId="1" hidden="1">{"fdsup://Directions/FactSet Auditing Viewer?action=AUDIT_VALUE&amp;DB=129&amp;ID1=87416110&amp;VALUEID=13040&amp;SDATE=200601&amp;PERIODTYPE=QTR_STD&amp;window=popup_no_bar&amp;width=385&amp;height=120&amp;START_MAXIMIZED=FALSE&amp;creator=factset&amp;display_string=Audit"}</definedName>
    <definedName name="_784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785__FDSAUDITLINK__" localSheetId="1"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785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786__FDSAUDITLINK__" localSheetId="1" hidden="1">{"fdsup://Directions/FactSet Auditing Viewer?action=AUDIT_VALUE&amp;DB=129&amp;ID1=53271610&amp;VALUEID=02101&amp;SDATE=200601&amp;PERIODTYPE=QTR_STD&amp;window=popup_no_bar&amp;width=385&amp;height=120&amp;START_MAXIMIZED=FALSE&amp;creator=factset&amp;display_string=Audit"}</definedName>
    <definedName name="_786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787__FDSAUDITLINK__" localSheetId="1" hidden="1">{"fdsup://Directions/FactSet Auditing Viewer?action=AUDIT_VALUE&amp;DB=129&amp;ID1=53271610&amp;VALUEID=01001&amp;SDATE=200601&amp;PERIODTYPE=QTR_STD&amp;window=popup_no_bar&amp;width=385&amp;height=120&amp;START_MAXIMIZED=FALSE&amp;creator=factset&amp;display_string=Audit"}</definedName>
    <definedName name="_787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788__FDSAUDITLINK__" localSheetId="1" hidden="1">{"fdsup://Directions/FactSet Auditing Viewer?action=AUDIT_VALUE&amp;DB=129&amp;ID1=53271610&amp;VALUEID=13040&amp;SDATE=200601&amp;PERIODTYPE=QTR_STD&amp;window=popup_no_bar&amp;width=385&amp;height=120&amp;START_MAXIMIZED=FALSE&amp;creator=factset&amp;display_string=Audit"}</definedName>
    <definedName name="_788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789__FDSAUDITLINK__" localSheetId="1" hidden="1">{"fdsup://Directions/FactSet Auditing Viewer?action=AUDIT_VALUE&amp;DB=129&amp;ID1=46612H40&amp;VALUEID=02101&amp;SDATE=200601&amp;PERIODTYPE=QTR_STD&amp;window=popup_no_bar&amp;width=385&amp;height=120&amp;START_MAXIMIZED=FALSE&amp;creator=factset&amp;display_string=Audit"}</definedName>
    <definedName name="_789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79__FDSAUDITLINK__" localSheetId="1" hidden="1">{"fdsup://Directions/FactSet Auditing Viewer?action=AUDIT_VALUE&amp;DB=129&amp;ID1=02553E10&amp;VALUEID=13040&amp;SDATE=200902&amp;PERIODTYPE=QTR_STD&amp;window=popup_no_bar&amp;width=385&amp;height=120&amp;START_MAXIMIZED=FALSE&amp;creator=factset&amp;display_string=Audit"}</definedName>
    <definedName name="_79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790__FDSAUDITLINK__" localSheetId="1" hidden="1">{"fdsup://Directions/FactSet Auditing Viewer?action=AUDIT_VALUE&amp;DB=129&amp;ID1=46612H40&amp;VALUEID=01001&amp;SDATE=200601&amp;PERIODTYPE=QTR_STD&amp;window=popup_no_bar&amp;width=385&amp;height=120&amp;START_MAXIMIZED=FALSE&amp;creator=factset&amp;display_string=Audit"}</definedName>
    <definedName name="_790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791__FDSAUDITLINK__" localSheetId="1" hidden="1">{"fdsup://Directions/FactSet Auditing Viewer?action=AUDIT_VALUE&amp;DB=129&amp;ID1=46612H40&amp;VALUEID=13040&amp;SDATE=200601&amp;PERIODTYPE=QTR_STD&amp;window=popup_no_bar&amp;width=385&amp;height=120&amp;START_MAXIMIZED=FALSE&amp;creator=factset&amp;display_string=Audit"}</definedName>
    <definedName name="_791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792__FDSAUDITLINK__" localSheetId="1" hidden="1">{"fdsup://Directions/FactSet Auditing Viewer?action=AUDIT_VALUE&amp;DB=129&amp;ID1=36476010&amp;VALUEID=02101&amp;SDATE=200601&amp;PERIODTYPE=QTR_STD&amp;window=popup_no_bar&amp;width=385&amp;height=120&amp;START_MAXIMIZED=FALSE&amp;creator=factset&amp;display_string=Audit"}</definedName>
    <definedName name="_792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793__FDSAUDITLINK__" localSheetId="1" hidden="1">{"fdsup://Directions/FactSet Auditing Viewer?action=AUDIT_VALUE&amp;DB=129&amp;ID1=36476010&amp;VALUEID=01001&amp;SDATE=200601&amp;PERIODTYPE=QTR_STD&amp;window=popup_no_bar&amp;width=385&amp;height=120&amp;START_MAXIMIZED=FALSE&amp;creator=factset&amp;display_string=Audit"}</definedName>
    <definedName name="_793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794__FDSAUDITLINK__" localSheetId="1" hidden="1">{"fdsup://Directions/FactSet Auditing Viewer?action=AUDIT_VALUE&amp;DB=129&amp;ID1=36476010&amp;VALUEID=13040&amp;SDATE=200601&amp;PERIODTYPE=QTR_STD&amp;window=popup_no_bar&amp;width=385&amp;height=120&amp;START_MAXIMIZED=FALSE&amp;creator=factset&amp;display_string=Audit"}</definedName>
    <definedName name="_794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795__FDSAUDITLINK__" localSheetId="1" hidden="1">{"fdsup://Directions/FactSet Auditing Viewer?action=AUDIT_VALUE&amp;DB=129&amp;ID1=03611510&amp;VALUEID=02101&amp;SDATE=200601&amp;PERIODTYPE=QTR_STD&amp;window=popup_no_bar&amp;width=385&amp;height=120&amp;START_MAXIMIZED=FALSE&amp;creator=factset&amp;display_string=Audit"}</definedName>
    <definedName name="_795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796__FDSAUDITLINK__" localSheetId="1" hidden="1">{"fdsup://Directions/FactSet Auditing Viewer?action=AUDIT_VALUE&amp;DB=129&amp;ID1=03611510&amp;VALUEID=13040&amp;SDATE=200601&amp;PERIODTYPE=QTR_STD&amp;window=popup_no_bar&amp;width=385&amp;height=120&amp;START_MAXIMIZED=FALSE&amp;creator=factset&amp;display_string=Audit"}</definedName>
    <definedName name="_796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797__FDSAUDITLINK__" localSheetId="1" hidden="1">{"fdsup://Directions/FactSet Auditing Viewer?action=AUDIT_VALUE&amp;DB=129&amp;ID1=16890510&amp;VALUEID=02101&amp;SDATE=200601&amp;PERIODTYPE=QTR_STD&amp;window=popup_no_bar&amp;width=385&amp;height=120&amp;START_MAXIMIZED=FALSE&amp;creator=factset&amp;display_string=Audit"}</definedName>
    <definedName name="_797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798__FDSAUDITLINK__" localSheetId="1" hidden="1">{"fdsup://Directions/FactSet Auditing Viewer?action=AUDIT_VALUE&amp;DB=129&amp;ID1=16890510&amp;VALUEID=01001&amp;SDATE=200601&amp;PERIODTYPE=QTR_STD&amp;window=popup_no_bar&amp;width=385&amp;height=120&amp;START_MAXIMIZED=FALSE&amp;creator=factset&amp;display_string=Audit"}</definedName>
    <definedName name="_798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799__FDSAUDITLINK__" localSheetId="1" hidden="1">{"fdsup://Directions/FactSet Auditing Viewer?action=AUDIT_VALUE&amp;DB=129&amp;ID1=91704710&amp;VALUEID=02101&amp;SDATE=200601&amp;PERIODTYPE=QTR_STD&amp;window=popup_no_bar&amp;width=385&amp;height=120&amp;START_MAXIMIZED=FALSE&amp;creator=factset&amp;display_string=Audit"}</definedName>
    <definedName name="_799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8__123Graph_Bｸﾞﾗﾌ_1" hidden="1">[2]ｾｸﾞﾒﾝﾄ!$E$165:$I$165</definedName>
    <definedName name="_8__FDSAUDITLINK__" localSheetId="1" hidden="1">{"fdsup://Directions/FactSet Auditing Viewer?action=AUDIT_VALUE&amp;DB=129&amp;ID1=36476010&amp;VALUEID=02101&amp;SDATE=201001&amp;PERIODTYPE=QTR_STD&amp;window=popup_no_bar&amp;width=385&amp;height=120&amp;START_MAXIMIZED=FALSE&amp;creator=factset&amp;display_string=Audit"}</definedName>
    <definedName name="_8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80__FDSAUDITLINK__" localSheetId="1" hidden="1">{"fdsup://Directions/FactSet Auditing Viewer?action=AUDIT_VALUE&amp;DB=129&amp;ID1=00786510&amp;VALUEID=02101&amp;SDATE=200902&amp;PERIODTYPE=QTR_STD&amp;window=popup_no_bar&amp;width=385&amp;height=120&amp;START_MAXIMIZED=FALSE&amp;creator=factset&amp;display_string=Audit"}</definedName>
    <definedName name="_80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800__FDSAUDITLINK__" localSheetId="1" hidden="1">{"fdsup://Directions/FactSet Auditing Viewer?action=AUDIT_VALUE&amp;DB=129&amp;ID1=91704710&amp;VALUEID=01001&amp;SDATE=200601&amp;PERIODTYPE=QTR_STD&amp;window=popup_no_bar&amp;width=385&amp;height=120&amp;START_MAXIMIZED=FALSE&amp;creator=factset&amp;display_string=Audit"}</definedName>
    <definedName name="_800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801__FDSAUDITLINK__" localSheetId="1" hidden="1">{"fdsup://Directions/FactSet Auditing Viewer?action=AUDIT_VALUE&amp;DB=129&amp;ID1=91704710&amp;VALUEID=13040&amp;SDATE=200601&amp;PERIODTYPE=QTR_STD&amp;window=popup_no_bar&amp;width=385&amp;height=120&amp;START_MAXIMIZED=FALSE&amp;creator=factset&amp;display_string=Audit"}</definedName>
    <definedName name="_801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802__FDSAUDITLINK__" localSheetId="1" hidden="1">{"fdsup://Directions/FactSet Auditing Viewer?action=AUDIT_VALUE&amp;DB=129&amp;ID1=02553E10&amp;VALUEID=02101&amp;SDATE=200601&amp;PERIODTYPE=QTR_STD&amp;window=popup_no_bar&amp;width=385&amp;height=120&amp;START_MAXIMIZED=FALSE&amp;creator=factset&amp;display_string=Audit"}</definedName>
    <definedName name="_802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803__FDSAUDITLINK__" localSheetId="1" hidden="1">{"fdsup://Directions/FactSet Auditing Viewer?action=AUDIT_VALUE&amp;DB=129&amp;ID1=02553E10&amp;VALUEID=01001&amp;SDATE=200601&amp;PERIODTYPE=QTR_STD&amp;window=popup_no_bar&amp;width=385&amp;height=120&amp;START_MAXIMIZED=FALSE&amp;creator=factset&amp;display_string=Audit"}</definedName>
    <definedName name="_803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804__FDSAUDITLINK__" localSheetId="1" hidden="1">{"fdsup://Directions/FactSet Auditing Viewer?action=AUDIT_VALUE&amp;DB=129&amp;ID1=02553E10&amp;VALUEID=13040&amp;SDATE=200601&amp;PERIODTYPE=QTR_STD&amp;window=popup_no_bar&amp;width=385&amp;height=120&amp;START_MAXIMIZED=FALSE&amp;creator=factset&amp;display_string=Audit"}</definedName>
    <definedName name="_804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805__FDSAUDITLINK__" localSheetId="1"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805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806__FDSAUDITLINK__" localSheetId="1" hidden="1">{"fdsup://Directions/FactSet Auditing Viewer?action=AUDIT_VALUE&amp;DB=129&amp;ID1=00786510&amp;VALUEID=02101&amp;SDATE=200601&amp;PERIODTYPE=QTR_STD&amp;window=popup_no_bar&amp;width=385&amp;height=120&amp;START_MAXIMIZED=FALSE&amp;creator=factset&amp;display_string=Audit"}</definedName>
    <definedName name="_806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807__FDSAUDITLINK__" localSheetId="1" hidden="1">{"fdsup://Directions/FactSet Auditing Viewer?action=AUDIT_VALUE&amp;DB=129&amp;ID1=00786510&amp;VALUEID=01001&amp;SDATE=200601&amp;PERIODTYPE=QTR_STD&amp;window=popup_no_bar&amp;width=385&amp;height=120&amp;START_MAXIMIZED=FALSE&amp;creator=factset&amp;display_string=Audit"}</definedName>
    <definedName name="_807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808__FDSAUDITLINK__" localSheetId="1" hidden="1">{"fdsup://Directions/FactSet Auditing Viewer?action=AUDIT_VALUE&amp;DB=129&amp;ID1=00786510&amp;VALUEID=13040&amp;SDATE=200601&amp;PERIODTYPE=QTR_STD&amp;window=popup_no_bar&amp;width=385&amp;height=120&amp;START_MAXIMIZED=FALSE&amp;creator=factset&amp;display_string=Audit"}</definedName>
    <definedName name="_808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809__FDSAUDITLINK__" localSheetId="1" hidden="1">{"fdsup://Directions/FactSet Auditing Viewer?action=AUDIT_VALUE&amp;DB=129&amp;ID1=00289620&amp;VALUEID=02101&amp;SDATE=200601&amp;PERIODTYPE=QTR_STD&amp;window=popup_no_bar&amp;width=385&amp;height=120&amp;START_MAXIMIZED=FALSE&amp;creator=factset&amp;display_string=Audit"}</definedName>
    <definedName name="_809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81__FDSAUDITLINK__" localSheetId="1" hidden="1">{"fdsup://Directions/FactSet Auditing Viewer?action=AUDIT_VALUE&amp;DB=129&amp;ID1=00786510&amp;VALUEID=01001&amp;SDATE=200902&amp;PERIODTYPE=QTR_STD&amp;window=popup_no_bar&amp;width=385&amp;height=120&amp;START_MAXIMIZED=FALSE&amp;creator=factset&amp;display_string=Audit"}</definedName>
    <definedName name="_81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810__FDSAUDITLINK__" localSheetId="1" hidden="1">{"fdsup://Directions/FactSet Auditing Viewer?action=AUDIT_VALUE&amp;DB=129&amp;ID1=00289620&amp;VALUEID=01001&amp;SDATE=200601&amp;PERIODTYPE=QTR_STD&amp;window=popup_no_bar&amp;width=385&amp;height=120&amp;START_MAXIMIZED=FALSE&amp;creator=factset&amp;display_string=Audit"}</definedName>
    <definedName name="_810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811__FDSAUDITLINK__" localSheetId="1" hidden="1">{"fdsup://Directions/FactSet Auditing Viewer?action=AUDIT_VALUE&amp;DB=129&amp;ID1=00289620&amp;VALUEID=13040&amp;SDATE=200601&amp;PERIODTYPE=QTR_STD&amp;window=popup_no_bar&amp;width=385&amp;height=120&amp;START_MAXIMIZED=FALSE&amp;creator=factset&amp;display_string=Audit"}</definedName>
    <definedName name="_811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812__FDSAUDITLINK__" localSheetId="1"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812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813__FDSAUDITLINK__" localSheetId="1"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813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814__FDSAUDITLINK__" localSheetId="1"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814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815__FDSAUDITLINK__" localSheetId="1" hidden="1">{"fdsup://Directions/FactSet Auditing Viewer?action=AUDIT_VALUE&amp;DB=129&amp;ID1=03611510&amp;VALUEID=13040&amp;SDATE=200503&amp;PERIODTYPE=QTR_STD&amp;window=popup_no_bar&amp;width=385&amp;height=120&amp;START_MAXIMIZED=FALSE&amp;creator=factset&amp;display_string=Audit"}</definedName>
    <definedName name="_815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816__FDSAUDITLINK__" localSheetId="1"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816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817__FDSAUDITLINK__" localSheetId="1"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817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818__FDSAUDITLINK__" localSheetId="1" hidden="1">{"fdsup://Directions/FactSet Auditing Viewer?action=AUDIT_VALUE&amp;DB=129&amp;ID1=03611510&amp;VALUEID=13040&amp;SDATE=200502&amp;PERIODTYPE=QTR_STD&amp;window=popup_no_bar&amp;width=385&amp;height=120&amp;START_MAXIMIZED=FALSE&amp;creator=factset&amp;display_string=Audit"}</definedName>
    <definedName name="_818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819__FDSAUDITLINK__" localSheetId="1"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819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82__FDSAUDITLINK__" localSheetId="1" hidden="1">{"fdsup://Directions/FactSet Auditing Viewer?action=AUDIT_VALUE&amp;DB=129&amp;ID1=00786510&amp;VALUEID=13040&amp;SDATE=200902&amp;PERIODTYPE=QTR_STD&amp;window=popup_no_bar&amp;width=385&amp;height=120&amp;START_MAXIMIZED=FALSE&amp;creator=factset&amp;display_string=Audit"}</definedName>
    <definedName name="_82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820__FDSAUDITLINK__" localSheetId="1"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820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821__FDSAUDITLINK__" localSheetId="1" hidden="1">{"fdsup://Directions/FactSet Auditing Viewer?action=AUDIT_VALUE&amp;DB=129&amp;ID1=03611510&amp;VALUEID=13040&amp;SDATE=200501&amp;PERIODTYPE=QTR_STD&amp;window=popup_no_bar&amp;width=385&amp;height=120&amp;START_MAXIMIZED=FALSE&amp;creator=factset&amp;display_string=Audit"}</definedName>
    <definedName name="_821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822__FDSAUDITLINK__" localSheetId="1"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822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823__FDSAUDITLINK__" localSheetId="1" hidden="1">{"fdsup://Directions/FactSet Auditing Viewer?action=AUDIT_VALUE&amp;DB=129&amp;ID1=16890510&amp;VALUEID=13040&amp;SDATE=200602&amp;PERIODTYPE=QTR_STD&amp;window=popup_no_bar&amp;width=385&amp;height=120&amp;START_MAXIMIZED=FALSE&amp;creator=factset&amp;display_string=Audit"}</definedName>
    <definedName name="_823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824__FDSAUDITLINK__" localSheetId="1" hidden="1">{"fdsup://Directions/FactSet Auditing Viewer?action=AUDIT_VALUE&amp;DB=129&amp;ID1=16890510&amp;VALUEID=13040&amp;SDATE=200601&amp;PERIODTYPE=QTR_STD&amp;window=popup_no_bar&amp;width=385&amp;height=120&amp;START_MAXIMIZED=FALSE&amp;creator=factset&amp;display_string=Audit"}</definedName>
    <definedName name="_824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825__FDSAUDITLINK__" localSheetId="1" hidden="1">{"fdsup://Directions/FactSet Auditing Viewer?action=AUDIT_VALUE&amp;DB=129&amp;ID1=16890510&amp;VALUEID=13040&amp;SDATE=200603&amp;PERIODTYPE=QTR_STD&amp;window=popup_no_bar&amp;width=385&amp;height=120&amp;START_MAXIMIZED=FALSE&amp;creator=factset&amp;display_string=Audit"}</definedName>
    <definedName name="_825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826__FDSAUDITLINK__" localSheetId="1" hidden="1">{"fdsup://Directions/FactSet Auditing Viewer?action=AUDIT_VALUE&amp;DB=129&amp;ID1=16890510&amp;VALUEID=13040&amp;SDATE=200702&amp;PERIODTYPE=QTR_STD&amp;window=popup_no_bar&amp;width=385&amp;height=120&amp;START_MAXIMIZED=FALSE&amp;creator=factset&amp;display_string=Audit"}</definedName>
    <definedName name="_826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827__FDSAUDITLINK__" localSheetId="1" hidden="1">{"fdsup://Directions/FactSet Auditing Viewer?action=AUDIT_VALUE&amp;DB=129&amp;ID1=16890510&amp;VALUEID=13040&amp;SDATE=200701&amp;PERIODTYPE=QTR_STD&amp;window=popup_no_bar&amp;width=385&amp;height=120&amp;START_MAXIMIZED=FALSE&amp;creator=factset&amp;display_string=Audit"}</definedName>
    <definedName name="_827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828__FDSAUDITLINK__" localSheetId="1" hidden="1">{"fdsup://Directions/FactSet Auditing Viewer?action=AUDIT_VALUE&amp;DB=129&amp;ID1=16890510&amp;VALUEID=13040&amp;SDATE=200703&amp;PERIODTYPE=QTR_STD&amp;window=popup_no_bar&amp;width=385&amp;height=120&amp;START_MAXIMIZED=FALSE&amp;creator=factset&amp;display_string=Audit"}</definedName>
    <definedName name="_828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829__FDSAUDITLINK__" localSheetId="1" hidden="1">{"fdsup://Directions/FactSet Auditing Viewer?action=AUDIT_VALUE&amp;DB=129&amp;ID1=16890510&amp;VALUEID=13040&amp;SDATE=200802&amp;PERIODTYPE=QTR_STD&amp;window=popup_no_bar&amp;width=385&amp;height=120&amp;START_MAXIMIZED=FALSE&amp;creator=factset&amp;display_string=Audit"}</definedName>
    <definedName name="_829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83__FDSAUDITLINK__" localSheetId="1" hidden="1">{"fdsup://Directions/FactSet Auditing Viewer?action=AUDIT_VALUE&amp;DB=129&amp;ID1=00289620&amp;VALUEID=02101&amp;SDATE=200902&amp;PERIODTYPE=QTR_STD&amp;window=popup_no_bar&amp;width=385&amp;height=120&amp;START_MAXIMIZED=FALSE&amp;creator=factset&amp;display_string=Audit"}</definedName>
    <definedName name="_83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830__FDSAUDITLINK__" localSheetId="1" hidden="1">{"fdsup://Directions/FactSet Auditing Viewer?action=AUDIT_VALUE&amp;DB=129&amp;ID1=16890510&amp;VALUEID=13040&amp;SDATE=200801&amp;PERIODTYPE=QTR_STD&amp;window=popup_no_bar&amp;width=385&amp;height=120&amp;START_MAXIMIZED=FALSE&amp;creator=factset&amp;display_string=Audit"}</definedName>
    <definedName name="_830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831__FDSAUDITLINK__" localSheetId="1" hidden="1">{"fdsup://Directions/FactSet Auditing Viewer?action=AUDIT_VALUE&amp;DB=129&amp;ID1=16890510&amp;VALUEID=13040&amp;SDATE=200803&amp;PERIODTYPE=QTR_STD&amp;window=popup_no_bar&amp;width=385&amp;height=120&amp;START_MAXIMIZED=FALSE&amp;creator=factset&amp;display_string=Audit"}</definedName>
    <definedName name="_831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832__FDSAUDITLINK__" localSheetId="1" hidden="1">{"fdsup://Directions/FactSet Auditing Viewer?action=AUDIT_VALUE&amp;DB=129&amp;ID1=16890510&amp;VALUEID=13040&amp;SDATE=200902&amp;PERIODTYPE=QTR_STD&amp;window=popup_no_bar&amp;width=385&amp;height=120&amp;START_MAXIMIZED=FALSE&amp;creator=factset&amp;display_string=Audit"}</definedName>
    <definedName name="_832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833__FDSAUDITLINK__" localSheetId="1" hidden="1">{"fdsup://Directions/FactSet Auditing Viewer?action=AUDIT_VALUE&amp;DB=129&amp;ID1=16890510&amp;VALUEID=13040&amp;SDATE=200903&amp;PERIODTYPE=QTR_STD&amp;window=popup_no_bar&amp;width=385&amp;height=120&amp;START_MAXIMIZED=FALSE&amp;creator=factset&amp;display_string=Audit"}</definedName>
    <definedName name="_833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834__FDSAUDITLINK__" localSheetId="1" hidden="1">{"fdsup://Directions/FactSet Auditing Viewer?action=AUDIT_VALUE&amp;DB=129&amp;ID1=16890510&amp;VALUEID=13040&amp;SDATE=201001&amp;PERIODTYPE=QTR_STD&amp;window=popup_no_bar&amp;width=385&amp;height=120&amp;START_MAXIMIZED=FALSE&amp;creator=factset&amp;display_string=Audit"}</definedName>
    <definedName name="_834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835__FDSAUDITLINK__" localSheetId="1" hidden="1">{"fdsup://Directions/FactSet Auditing Viewer?action=AUDIT_VALUE&amp;DB=129&amp;ID1=87416110&amp;VALUEID=01001&amp;SDATE=201001&amp;PERIODTYPE=QTR_STD&amp;window=popup_no_bar&amp;width=385&amp;height=120&amp;START_MAXIMIZED=FALSE&amp;creator=factset&amp;display_string=Audit"}</definedName>
    <definedName name="_835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836__FDSAUDITLINK__" localSheetId="1" hidden="1">{"fdsup://Directions/FactSet Auditing Viewer?action=AUDIT_VALUE&amp;DB=129&amp;ID1=46612H40&amp;VALUEID=01001&amp;SDATE=201001&amp;PERIODTYPE=QTR_STD&amp;window=popup_no_bar&amp;width=385&amp;height=120&amp;START_MAXIMIZED=FALSE&amp;creator=factset&amp;display_string=Audit"}</definedName>
    <definedName name="_836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837__FDSAUDITLINK__" localSheetId="1" hidden="1">{"fdsup://Directions/FactSet Auditing Viewer?action=AUDIT_VALUE&amp;DB=129&amp;ID1=03611510&amp;VALUEID=01001&amp;SDATE=201001&amp;PERIODTYPE=QTR_STD&amp;window=popup_no_bar&amp;width=385&amp;height=120&amp;START_MAXIMIZED=FALSE&amp;creator=factset&amp;display_string=Audit"}</definedName>
    <definedName name="_837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838__FDSAUDITLINK__" localSheetId="1" hidden="1">{"fdsup://Directions/FactSet Auditing Viewer?action=AUDIT_VALUE&amp;DB=129&amp;ID1=16890510&amp;VALUEID=01001&amp;SDATE=201001&amp;PERIODTYPE=QTR_STD&amp;window=popup_no_bar&amp;width=385&amp;height=120&amp;START_MAXIMIZED=FALSE&amp;creator=factset&amp;display_string=Audit"}</definedName>
    <definedName name="_838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839__FDSAUDITLINK__" localSheetId="1" hidden="1">{"fdsup://Directions/FactSet Auditing Viewer?action=AUDIT_VALUE&amp;DB=129&amp;ID1=91704710&amp;VALUEID=01001&amp;SDATE=201001&amp;PERIODTYPE=QTR_STD&amp;window=popup_no_bar&amp;width=385&amp;height=120&amp;START_MAXIMIZED=FALSE&amp;creator=factset&amp;display_string=Audit"}</definedName>
    <definedName name="_839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84__FDSAUDITLINK__" localSheetId="1" hidden="1">{"fdsup://Directions/FactSet Auditing Viewer?action=AUDIT_VALUE&amp;DB=129&amp;ID1=00289620&amp;VALUEID=01001&amp;SDATE=200902&amp;PERIODTYPE=QTR_STD&amp;window=popup_no_bar&amp;width=385&amp;height=120&amp;START_MAXIMIZED=FALSE&amp;creator=factset&amp;display_string=Audit"}</definedName>
    <definedName name="_84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840__FDSAUDITLINK__" localSheetId="1" hidden="1">{"fdsup://Directions/FactSet Auditing Viewer?action=AUDIT_VALUE&amp;DB=129&amp;ID1=02553E10&amp;VALUEID=01001&amp;SDATE=201001&amp;PERIODTYPE=QTR_STD&amp;window=popup_no_bar&amp;width=385&amp;height=120&amp;START_MAXIMIZED=FALSE&amp;creator=factset&amp;display_string=Audit"}</definedName>
    <definedName name="_840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841__FDSAUDITLINK__" localSheetId="1" hidden="1">{"fdsup://Directions/FactSet Auditing Viewer?action=AUDIT_VALUE&amp;DB=129&amp;ID1=00786510&amp;VALUEID=01001&amp;SDATE=201001&amp;PERIODTYPE=QTR_STD&amp;window=popup_no_bar&amp;width=385&amp;height=120&amp;START_MAXIMIZED=FALSE&amp;creator=factset&amp;display_string=Audit"}</definedName>
    <definedName name="_841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842__FDSAUDITLINK__" localSheetId="1" hidden="1">{"fdsup://Directions/FactSet Auditing Viewer?action=AUDIT_VALUE&amp;DB=129&amp;ID1=00289620&amp;VALUEID=01001&amp;SDATE=201001&amp;PERIODTYPE=QTR_STD&amp;window=popup_no_bar&amp;width=385&amp;height=120&amp;START_MAXIMIZED=FALSE&amp;creator=factset&amp;display_string=Audit"}</definedName>
    <definedName name="_842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843__FDSAUDITLINK__" localSheetId="1" hidden="1">{"fdsup://Directions/FactSet Auditing Viewer?action=AUDIT_VALUE&amp;DB=129&amp;ID1=53271610&amp;VALUEID=01001&amp;SDATE=201001&amp;PERIODTYPE=QTR_STD&amp;window=popup_no_bar&amp;width=385&amp;height=120&amp;START_MAXIMIZED=FALSE&amp;creator=factset&amp;display_string=Audit"}</definedName>
    <definedName name="_843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844__FDSAUDITLINK__" localSheetId="1" hidden="1">{"fdsup://Directions/FactSet Auditing Viewer?action=AUDIT_VALUE&amp;DB=129&amp;ID1=36476010&amp;VALUEID=01001&amp;SDATE=201001&amp;PERIODTYPE=QTR_STD&amp;window=popup_no_bar&amp;width=385&amp;height=120&amp;START_MAXIMIZED=FALSE&amp;creator=factset&amp;display_string=Audit"}</definedName>
    <definedName name="_844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845__FDSAUDITLINK__" localSheetId="1" hidden="1">{"fdsup://Directions/FactSet Auditing Viewer?action=AUDIT_VALUE&amp;DB=129&amp;ID1=40377710&amp;VALUEID=01001&amp;SDATE=200601&amp;PERIODTYPE=QTR_STD&amp;window=popup_no_bar&amp;width=385&amp;height=120&amp;START_MAXIMIZED=FALSE&amp;creator=factset&amp;display_string=Audit"}</definedName>
    <definedName name="_845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846__FDSAUDITLINK__" localSheetId="1" hidden="1">{"fdsup://Directions/FactSet Auditing Viewer?action=AUDIT_VALUE&amp;DB=129&amp;ID1=40377710&amp;VALUEID=02101&amp;SDATE=200601&amp;PERIODTYPE=QTR_STD&amp;window=popup_no_bar&amp;width=385&amp;height=120&amp;START_MAXIMIZED=FALSE&amp;creator=factset&amp;display_string=Audit"}</definedName>
    <definedName name="_846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847__FDSAUDITLINK__" localSheetId="1" hidden="1">{"fdsup://Directions/FactSet Auditing Viewer?action=AUDIT_VALUE&amp;DB=129&amp;ID1=40377710&amp;VALUEID=13040&amp;SDATE=200601&amp;PERIODTYPE=QTR_STD&amp;window=popup_no_bar&amp;width=385&amp;height=120&amp;START_MAXIMIZED=FALSE&amp;creator=factset&amp;display_string=Audit"}</definedName>
    <definedName name="_847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848__FDSAUDITLINK__" localSheetId="1" hidden="1">{"fdsup://Directions/FactSet Auditing Viewer?action=AUDIT_VALUE&amp;DB=129&amp;ID1=40377710&amp;VALUEID=13040&amp;SDATE=200602&amp;PERIODTYPE=QTR_STD&amp;window=popup_no_bar&amp;width=385&amp;height=120&amp;START_MAXIMIZED=FALSE&amp;creator=factset&amp;display_string=Audit"}</definedName>
    <definedName name="_848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849__FDSAUDITLINK__" localSheetId="1" hidden="1">{"fdsup://Directions/FactSet Auditing Viewer?action=AUDIT_VALUE&amp;DB=129&amp;ID1=40377710&amp;VALUEID=01001&amp;SDATE=200602&amp;PERIODTYPE=QTR_STD&amp;window=popup_no_bar&amp;width=385&amp;height=120&amp;START_MAXIMIZED=FALSE&amp;creator=factset&amp;display_string=Audit"}</definedName>
    <definedName name="_849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85__FDSAUDITLINK__" localSheetId="1" hidden="1">{"fdsup://Directions/FactSet Auditing Viewer?action=AUDIT_VALUE&amp;DB=129&amp;ID1=00289620&amp;VALUEID=13040&amp;SDATE=200902&amp;PERIODTYPE=QTR_STD&amp;window=popup_no_bar&amp;width=385&amp;height=120&amp;START_MAXIMIZED=FALSE&amp;creator=factset&amp;display_string=Audit"}</definedName>
    <definedName name="_85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850__FDSAUDITLINK__" localSheetId="1" hidden="1">{"fdsup://Directions/FactSet Auditing Viewer?action=AUDIT_VALUE&amp;DB=129&amp;ID1=40377710&amp;VALUEID=02101&amp;SDATE=200602&amp;PERIODTYPE=QTR_STD&amp;window=popup_no_bar&amp;width=385&amp;height=120&amp;START_MAXIMIZED=FALSE&amp;creator=factset&amp;display_string=Audit"}</definedName>
    <definedName name="_850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851__FDSAUDITLINK__" localSheetId="1" hidden="1">{"fdsup://Directions/FactSet Auditing Viewer?action=AUDIT_VALUE&amp;DB=129&amp;ID1=40377710&amp;VALUEID=13040&amp;SDATE=200603&amp;PERIODTYPE=QTR_STD&amp;window=popup_no_bar&amp;width=385&amp;height=120&amp;START_MAXIMIZED=FALSE&amp;creator=factset&amp;display_string=Audit"}</definedName>
    <definedName name="_851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852__FDSAUDITLINK__" localSheetId="1" hidden="1">{"fdsup://Directions/FactSet Auditing Viewer?action=AUDIT_VALUE&amp;DB=129&amp;ID1=40377710&amp;VALUEID=01001&amp;SDATE=200603&amp;PERIODTYPE=QTR_STD&amp;window=popup_no_bar&amp;width=385&amp;height=120&amp;START_MAXIMIZED=FALSE&amp;creator=factset&amp;display_string=Audit"}</definedName>
    <definedName name="_852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853__FDSAUDITLINK__" localSheetId="1" hidden="1">{"fdsup://Directions/FactSet Auditing Viewer?action=AUDIT_VALUE&amp;DB=129&amp;ID1=40377710&amp;VALUEID=02101&amp;SDATE=200603&amp;PERIODTYPE=QTR_STD&amp;window=popup_no_bar&amp;width=385&amp;height=120&amp;START_MAXIMIZED=FALSE&amp;creator=factset&amp;display_string=Audit"}</definedName>
    <definedName name="_853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854__FDSAUDITLINK__" localSheetId="1" hidden="1">{"fdsup://Directions/FactSet Auditing Viewer?action=AUDIT_VALUE&amp;DB=129&amp;ID1=40377710&amp;VALUEID=01001&amp;SDATE=200604&amp;PERIODTYPE=QTR_STD&amp;window=popup_no_bar&amp;width=385&amp;height=120&amp;START_MAXIMIZED=FALSE&amp;creator=factset&amp;display_string=Audit"}</definedName>
    <definedName name="_854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855__FDSAUDITLINK__" localSheetId="1" hidden="1">{"fdsup://Directions/FactSet Auditing Viewer?action=AUDIT_VALUE&amp;DB=129&amp;ID1=40377710&amp;VALUEID=01001&amp;SDATE=200701&amp;PERIODTYPE=QTR_STD&amp;window=popup_no_bar&amp;width=385&amp;height=120&amp;START_MAXIMIZED=FALSE&amp;creator=factset&amp;display_string=Audit"}</definedName>
    <definedName name="_855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856__FDSAUDITLINK__" localSheetId="1" hidden="1">{"fdsup://Directions/FactSet Auditing Viewer?action=AUDIT_VALUE&amp;DB=129&amp;ID1=40377710&amp;VALUEID=02101&amp;SDATE=200701&amp;PERIODTYPE=QTR_STD&amp;window=popup_no_bar&amp;width=385&amp;height=120&amp;START_MAXIMIZED=FALSE&amp;creator=factset&amp;display_string=Audit"}</definedName>
    <definedName name="_856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857__FDSAUDITLINK__" localSheetId="1" hidden="1">{"fdsup://Directions/FactSet Auditing Viewer?action=AUDIT_VALUE&amp;DB=129&amp;ID1=40377710&amp;VALUEID=13040&amp;SDATE=200701&amp;PERIODTYPE=QTR_STD&amp;window=popup_no_bar&amp;width=385&amp;height=120&amp;START_MAXIMIZED=FALSE&amp;creator=factset&amp;display_string=Audit"}</definedName>
    <definedName name="_857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858__FDSAUDITLINK__" localSheetId="1" hidden="1">{"fdsup://Directions/FactSet Auditing Viewer?action=AUDIT_VALUE&amp;DB=129&amp;ID1=40377710&amp;VALUEID=13040&amp;SDATE=200702&amp;PERIODTYPE=QTR_STD&amp;window=popup_no_bar&amp;width=385&amp;height=120&amp;START_MAXIMIZED=FALSE&amp;creator=factset&amp;display_string=Audit"}</definedName>
    <definedName name="_858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859__FDSAUDITLINK__" localSheetId="1" hidden="1">{"fdsup://Directions/FactSet Auditing Viewer?action=AUDIT_VALUE&amp;DB=129&amp;ID1=40377710&amp;VALUEID=01001&amp;SDATE=200702&amp;PERIODTYPE=QTR_STD&amp;window=popup_no_bar&amp;width=385&amp;height=120&amp;START_MAXIMIZED=FALSE&amp;creator=factset&amp;display_string=Audit"}</definedName>
    <definedName name="_859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86__FDSAUDITLINK__" localSheetId="1" hidden="1">{"fdsup://Directions/FactSet Auditing Viewer?action=AUDIT_VALUE&amp;DB=129&amp;ID1=87416110&amp;VALUEID=02101&amp;SDATE=200901&amp;PERIODTYPE=QTR_STD&amp;window=popup_no_bar&amp;width=385&amp;height=120&amp;START_MAXIMIZED=FALSE&amp;creator=factset&amp;display_string=Audit"}</definedName>
    <definedName name="_86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860__FDSAUDITLINK__" localSheetId="1" hidden="1">{"fdsup://Directions/FactSet Auditing Viewer?action=AUDIT_VALUE&amp;DB=129&amp;ID1=40377710&amp;VALUEID=02101&amp;SDATE=200702&amp;PERIODTYPE=QTR_STD&amp;window=popup_no_bar&amp;width=385&amp;height=120&amp;START_MAXIMIZED=FALSE&amp;creator=factset&amp;display_string=Audit"}</definedName>
    <definedName name="_860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861__FDSAUDITLINK__" localSheetId="1" hidden="1">{"fdsup://Directions/FactSet Auditing Viewer?action=AUDIT_VALUE&amp;DB=129&amp;ID1=40377710&amp;VALUEID=13040&amp;SDATE=200703&amp;PERIODTYPE=QTR_STD&amp;window=popup_no_bar&amp;width=385&amp;height=120&amp;START_MAXIMIZED=FALSE&amp;creator=factset&amp;display_string=Audit"}</definedName>
    <definedName name="_861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862__FDSAUDITLINK__" localSheetId="1" hidden="1">{"fdsup://Directions/FactSet Auditing Viewer?action=AUDIT_VALUE&amp;DB=129&amp;ID1=40377710&amp;VALUEID=01001&amp;SDATE=200703&amp;PERIODTYPE=QTR_STD&amp;window=popup_no_bar&amp;width=385&amp;height=120&amp;START_MAXIMIZED=FALSE&amp;creator=factset&amp;display_string=Audit"}</definedName>
    <definedName name="_862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863__FDSAUDITLINK__" localSheetId="1" hidden="1">{"fdsup://Directions/FactSet Auditing Viewer?action=AUDIT_VALUE&amp;DB=129&amp;ID1=40377710&amp;VALUEID=02101&amp;SDATE=200703&amp;PERIODTYPE=QTR_STD&amp;window=popup_no_bar&amp;width=385&amp;height=120&amp;START_MAXIMIZED=FALSE&amp;creator=factset&amp;display_string=Audit"}</definedName>
    <definedName name="_863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864__FDSAUDITLINK__" localSheetId="1" hidden="1">{"fdsup://Directions/FactSet Auditing Viewer?action=AUDIT_VALUE&amp;DB=129&amp;ID1=40377710&amp;VALUEID=01001&amp;SDATE=200704&amp;PERIODTYPE=QTR_STD&amp;window=popup_no_bar&amp;width=385&amp;height=120&amp;START_MAXIMIZED=FALSE&amp;creator=factset&amp;display_string=Audit"}</definedName>
    <definedName name="_864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865__FDSAUDITLINK__" localSheetId="1" hidden="1">{"fdsup://Directions/FactSet Auditing Viewer?action=AUDIT_VALUE&amp;DB=129&amp;ID1=40377710&amp;VALUEID=01001&amp;SDATE=200801&amp;PERIODTYPE=QTR_STD&amp;window=popup_no_bar&amp;width=385&amp;height=120&amp;START_MAXIMIZED=FALSE&amp;creator=factset&amp;display_string=Audit"}</definedName>
    <definedName name="_865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866__FDSAUDITLINK__" localSheetId="1" hidden="1">{"fdsup://Directions/FactSet Auditing Viewer?action=AUDIT_VALUE&amp;DB=129&amp;ID1=40377710&amp;VALUEID=02101&amp;SDATE=200801&amp;PERIODTYPE=QTR_STD&amp;window=popup_no_bar&amp;width=385&amp;height=120&amp;START_MAXIMIZED=FALSE&amp;creator=factset&amp;display_string=Audit"}</definedName>
    <definedName name="_866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867__FDSAUDITLINK__" localSheetId="1" hidden="1">{"fdsup://Directions/FactSet Auditing Viewer?action=AUDIT_VALUE&amp;DB=129&amp;ID1=40377710&amp;VALUEID=13040&amp;SDATE=200801&amp;PERIODTYPE=QTR_STD&amp;window=popup_no_bar&amp;width=385&amp;height=120&amp;START_MAXIMIZED=FALSE&amp;creator=factset&amp;display_string=Audit"}</definedName>
    <definedName name="_867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868__FDSAUDITLINK__" localSheetId="1" hidden="1">{"fdsup://Directions/FactSet Auditing Viewer?action=AUDIT_VALUE&amp;DB=129&amp;ID1=40377710&amp;VALUEID=13040&amp;SDATE=200704&amp;PERIODTYPE=QTR_STD&amp;window=popup_no_bar&amp;width=385&amp;height=120&amp;START_MAXIMIZED=FALSE&amp;creator=factset&amp;display_string=Audit"}</definedName>
    <definedName name="_868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869__FDSAUDITLINK__" localSheetId="1" hidden="1">{"fdsup://Directions/FactSet Auditing Viewer?action=AUDIT_VALUE&amp;DB=129&amp;ID1=40377710&amp;VALUEID=13040&amp;SDATE=200802&amp;PERIODTYPE=QTR_STD&amp;window=popup_no_bar&amp;width=385&amp;height=120&amp;START_MAXIMIZED=FALSE&amp;creator=factset&amp;display_string=Audit"}</definedName>
    <definedName name="_869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87__FDSAUDITLINK__" localSheetId="1" hidden="1">{"fdsup://Directions/FactSet Auditing Viewer?action=AUDIT_VALUE&amp;DB=129&amp;ID1=87416110&amp;VALUEID=01001&amp;SDATE=200901&amp;PERIODTYPE=QTR_STD&amp;window=popup_no_bar&amp;width=385&amp;height=120&amp;START_MAXIMIZED=FALSE&amp;creator=factset&amp;display_string=Audit"}</definedName>
    <definedName name="_87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870__FDSAUDITLINK__" localSheetId="1" hidden="1">{"fdsup://Directions/FactSet Auditing Viewer?action=AUDIT_VALUE&amp;DB=129&amp;ID1=40377710&amp;VALUEID=01001&amp;SDATE=200802&amp;PERIODTYPE=QTR_STD&amp;window=popup_no_bar&amp;width=385&amp;height=120&amp;START_MAXIMIZED=FALSE&amp;creator=factset&amp;display_string=Audit"}</definedName>
    <definedName name="_870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871__FDSAUDITLINK__" localSheetId="1" hidden="1">{"fdsup://Directions/FactSet Auditing Viewer?action=AUDIT_VALUE&amp;DB=129&amp;ID1=40377710&amp;VALUEID=02101&amp;SDATE=200802&amp;PERIODTYPE=QTR_STD&amp;window=popup_no_bar&amp;width=385&amp;height=120&amp;START_MAXIMIZED=FALSE&amp;creator=factset&amp;display_string=Audit"}</definedName>
    <definedName name="_871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872__FDSAUDITLINK__" localSheetId="1" hidden="1">{"fdsup://Directions/FactSet Auditing Viewer?action=AUDIT_VALUE&amp;DB=129&amp;ID1=40377710&amp;VALUEID=13040&amp;SDATE=200803&amp;PERIODTYPE=QTR_STD&amp;window=popup_no_bar&amp;width=385&amp;height=120&amp;START_MAXIMIZED=FALSE&amp;creator=factset&amp;display_string=Audit"}</definedName>
    <definedName name="_872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873__FDSAUDITLINK__" localSheetId="1" hidden="1">{"fdsup://Directions/FactSet Auditing Viewer?action=AUDIT_VALUE&amp;DB=129&amp;ID1=40377710&amp;VALUEID=01001&amp;SDATE=200803&amp;PERIODTYPE=QTR_STD&amp;window=popup_no_bar&amp;width=385&amp;height=120&amp;START_MAXIMIZED=FALSE&amp;creator=factset&amp;display_string=Audit"}</definedName>
    <definedName name="_873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874__FDSAUDITLINK__" localSheetId="1" hidden="1">{"fdsup://Directions/FactSet Auditing Viewer?action=AUDIT_VALUE&amp;DB=129&amp;ID1=40377710&amp;VALUEID=02101&amp;SDATE=200803&amp;PERIODTYPE=QTR_STD&amp;window=popup_no_bar&amp;width=385&amp;height=120&amp;START_MAXIMIZED=FALSE&amp;creator=factset&amp;display_string=Audit"}</definedName>
    <definedName name="_874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875__FDSAUDITLINK__" localSheetId="1" hidden="1">{"fdsup://Directions/FactSet Auditing Viewer?action=AUDIT_VALUE&amp;DB=129&amp;ID1=40377710&amp;VALUEID=01001&amp;SDATE=200804&amp;PERIODTYPE=QTR_STD&amp;window=popup_no_bar&amp;width=385&amp;height=120&amp;START_MAXIMIZED=FALSE&amp;creator=factset&amp;display_string=Audit"}</definedName>
    <definedName name="_875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876__FDSAUDITLINK__" localSheetId="1" hidden="1">{"fdsup://Directions/FactSet Auditing Viewer?action=AUDIT_VALUE&amp;DB=129&amp;ID1=40377710&amp;VALUEID=01001&amp;SDATE=200901&amp;PERIODTYPE=QTR_STD&amp;window=popup_no_bar&amp;width=385&amp;height=120&amp;START_MAXIMIZED=FALSE&amp;creator=factset&amp;display_string=Audit"}</definedName>
    <definedName name="_876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877__FDSAUDITLINK__" localSheetId="1" hidden="1">{"fdsup://Directions/FactSet Auditing Viewer?action=AUDIT_VALUE&amp;DB=129&amp;ID1=40377710&amp;VALUEID=02101&amp;SDATE=200901&amp;PERIODTYPE=QTR_STD&amp;window=popup_no_bar&amp;width=385&amp;height=120&amp;START_MAXIMIZED=FALSE&amp;creator=factset&amp;display_string=Audit"}</definedName>
    <definedName name="_877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878__FDSAUDITLINK__" localSheetId="1" hidden="1">{"fdsup://Directions/FactSet Auditing Viewer?action=AUDIT_VALUE&amp;DB=129&amp;ID1=40377710&amp;VALUEID=13040&amp;SDATE=200901&amp;PERIODTYPE=QTR_STD&amp;window=popup_no_bar&amp;width=385&amp;height=120&amp;START_MAXIMIZED=FALSE&amp;creator=factset&amp;display_string=Audit"}</definedName>
    <definedName name="_878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879__FDSAUDITLINK__" localSheetId="1" hidden="1">{"fdsup://Directions/FactSet Auditing Viewer?action=AUDIT_VALUE&amp;DB=129&amp;ID1=40377710&amp;VALUEID=13040&amp;SDATE=200902&amp;PERIODTYPE=QTR_STD&amp;window=popup_no_bar&amp;width=385&amp;height=120&amp;START_MAXIMIZED=FALSE&amp;creator=factset&amp;display_string=Audit"}</definedName>
    <definedName name="_879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88__FDSAUDITLINK__" localSheetId="1" hidden="1">{"fdsup://Directions/FactSet Auditing Viewer?action=AUDIT_VALUE&amp;DB=129&amp;ID1=87416110&amp;VALUEID=13040&amp;SDATE=200901&amp;PERIODTYPE=QTR_STD&amp;window=popup_no_bar&amp;width=385&amp;height=120&amp;START_MAXIMIZED=FALSE&amp;creator=factset&amp;display_string=Audit"}</definedName>
    <definedName name="_88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880__FDSAUDITLINK__" localSheetId="1" hidden="1">{"fdsup://Directions/FactSet Auditing Viewer?action=AUDIT_VALUE&amp;DB=129&amp;ID1=40377710&amp;VALUEID=01001&amp;SDATE=200902&amp;PERIODTYPE=QTR_STD&amp;window=popup_no_bar&amp;width=385&amp;height=120&amp;START_MAXIMIZED=FALSE&amp;creator=factset&amp;display_string=Audit"}</definedName>
    <definedName name="_880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881__FDSAUDITLINK__" localSheetId="1" hidden="1">{"fdsup://Directions/FactSet Auditing Viewer?action=AUDIT_VALUE&amp;DB=129&amp;ID1=40377710&amp;VALUEID=02101&amp;SDATE=200902&amp;PERIODTYPE=QTR_STD&amp;window=popup_no_bar&amp;width=385&amp;height=120&amp;START_MAXIMIZED=FALSE&amp;creator=factset&amp;display_string=Audit"}</definedName>
    <definedName name="_881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882__FDSAUDITLINK__" localSheetId="1" hidden="1">{"fdsup://Directions/FactSet Auditing Viewer?action=AUDIT_VALUE&amp;DB=129&amp;ID1=40377710&amp;VALUEID=13040&amp;SDATE=200903&amp;PERIODTYPE=QTR_STD&amp;window=popup_no_bar&amp;width=385&amp;height=120&amp;START_MAXIMIZED=FALSE&amp;creator=factset&amp;display_string=Audit"}</definedName>
    <definedName name="_882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883__FDSAUDITLINK__" localSheetId="1" hidden="1">{"fdsup://Directions/FactSet Auditing Viewer?action=AUDIT_VALUE&amp;DB=129&amp;ID1=40377710&amp;VALUEID=01001&amp;SDATE=200903&amp;PERIODTYPE=QTR_STD&amp;window=popup_no_bar&amp;width=385&amp;height=120&amp;START_MAXIMIZED=FALSE&amp;creator=factset&amp;display_string=Audit"}</definedName>
    <definedName name="_883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884__FDSAUDITLINK__" localSheetId="1" hidden="1">{"fdsup://Directions/FactSet Auditing Viewer?action=AUDIT_VALUE&amp;DB=129&amp;ID1=40377710&amp;VALUEID=02101&amp;SDATE=200903&amp;PERIODTYPE=QTR_STD&amp;window=popup_no_bar&amp;width=385&amp;height=120&amp;START_MAXIMIZED=FALSE&amp;creator=factset&amp;display_string=Audit"}</definedName>
    <definedName name="_884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885__FDSAUDITLINK__" localSheetId="1" hidden="1">{"fdsup://Directions/FactSet Auditing Viewer?action=AUDIT_VALUE&amp;DB=129&amp;ID1=40377710&amp;VALUEID=01001&amp;SDATE=200904&amp;PERIODTYPE=QTR_STD&amp;window=popup_no_bar&amp;width=385&amp;height=120&amp;START_MAXIMIZED=FALSE&amp;creator=factset&amp;display_string=Audit"}</definedName>
    <definedName name="_885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886__FDSAUDITLINK__" localSheetId="1" hidden="1">{"fdsup://Directions/FactSet Auditing Viewer?action=AUDIT_VALUE&amp;DB=129&amp;ID1=40377710&amp;VALUEID=13040&amp;SDATE=201001&amp;PERIODTYPE=QTR_STD&amp;window=popup_no_bar&amp;width=385&amp;height=120&amp;START_MAXIMIZED=FALSE&amp;creator=factset&amp;display_string=Audit"}</definedName>
    <definedName name="_886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887__FDSAUDITLINK__" localSheetId="1" hidden="1">{"fdsup://Directions/FactSet Auditing Viewer?action=AUDIT_VALUE&amp;DB=129&amp;ID1=40377710&amp;VALUEID=01001&amp;SDATE=201001&amp;PERIODTYPE=QTR_STD&amp;window=popup_no_bar&amp;width=385&amp;height=120&amp;START_MAXIMIZED=FALSE&amp;creator=factset&amp;display_string=Audit"}</definedName>
    <definedName name="_887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888__FDSAUDITLINK__" localSheetId="1" hidden="1">{"fdsup://Directions/FactSet Auditing Viewer?action=AUDIT_VALUE&amp;DB=129&amp;ID1=40377710&amp;VALUEID=02101&amp;SDATE=201001&amp;PERIODTYPE=QTR_STD&amp;window=popup_no_bar&amp;width=385&amp;height=120&amp;START_MAXIMIZED=FALSE&amp;creator=factset&amp;display_string=Audit"}</definedName>
    <definedName name="_888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889__FDSAUDITLINK__" localSheetId="1" hidden="1">{"fdsup://Directions/FactSet Auditing Viewer?action=AUDIT_VALUE&amp;DB=129&amp;ID1=40377710&amp;VALUEID=13040&amp;SDATE=200601&amp;PERIODTYPE=QTR_STD&amp;window=popup_no_bar&amp;width=385&amp;height=120&amp;START_MAXIMIZED=FALSE&amp;creator=factset&amp;display_string=Audit"}</definedName>
    <definedName name="_889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89__FDSAUDITLINK__" localSheetId="1"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89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890__FDSAUDITLINK__" localSheetId="1" hidden="1">{"fdsup://Directions/FactSet Auditing Viewer?action=AUDIT_VALUE&amp;DB=129&amp;ID1=40377710&amp;VALUEID=13040&amp;SDATE=200602&amp;PERIODTYPE=QTR_STD&amp;window=popup_no_bar&amp;width=385&amp;height=120&amp;START_MAXIMIZED=FALSE&amp;creator=factset&amp;display_string=Audit"}</definedName>
    <definedName name="_890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891__FDSAUDITLINK__" localSheetId="1" hidden="1">{"fdsup://Directions/FactSet Auditing Viewer?action=AUDIT_VALUE&amp;DB=129&amp;ID1=40377710&amp;VALUEID=13040&amp;SDATE=200603&amp;PERIODTYPE=QTR_STD&amp;window=popup_no_bar&amp;width=385&amp;height=120&amp;START_MAXIMIZED=FALSE&amp;creator=factset&amp;display_string=Audit"}</definedName>
    <definedName name="_891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892__FDSAUDITLINK__" localSheetId="1" hidden="1">{"fdsup://Directions/FactSet Auditing Viewer?action=AUDIT_VALUE&amp;DB=129&amp;ID1=40377710&amp;VALUEID=13040&amp;SDATE=200701&amp;PERIODTYPE=QTR_STD&amp;window=popup_no_bar&amp;width=385&amp;height=120&amp;START_MAXIMIZED=FALSE&amp;creator=factset&amp;display_string=Audit"}</definedName>
    <definedName name="_892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893__FDSAUDITLINK__" localSheetId="1" hidden="1">{"fdsup://Directions/FactSet Auditing Viewer?action=AUDIT_VALUE&amp;DB=129&amp;ID1=40377710&amp;VALUEID=13040&amp;SDATE=200702&amp;PERIODTYPE=QTR_STD&amp;window=popup_no_bar&amp;width=385&amp;height=120&amp;START_MAXIMIZED=FALSE&amp;creator=factset&amp;display_string=Audit"}</definedName>
    <definedName name="_893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894__FDSAUDITLINK__" localSheetId="1" hidden="1">{"fdsup://Directions/FactSet Auditing Viewer?action=AUDIT_VALUE&amp;DB=129&amp;ID1=40377710&amp;VALUEID=13040&amp;SDATE=200703&amp;PERIODTYPE=QTR_STD&amp;window=popup_no_bar&amp;width=385&amp;height=120&amp;START_MAXIMIZED=FALSE&amp;creator=factset&amp;display_string=Audit"}</definedName>
    <definedName name="_894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895__FDSAUDITLINK__" localSheetId="1" hidden="1">{"fdsup://Directions/FactSet Auditing Viewer?action=AUDIT_VALUE&amp;DB=129&amp;ID1=40377710&amp;VALUEID=13040&amp;SDATE=200704&amp;PERIODTYPE=QTR_STD&amp;window=popup_no_bar&amp;width=385&amp;height=120&amp;START_MAXIMIZED=FALSE&amp;creator=factset&amp;display_string=Audit"}</definedName>
    <definedName name="_895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896__FDSAUDITLINK__" localSheetId="1" hidden="1">{"fdsup://Directions/FactSet Auditing Viewer?action=AUDIT_VALUE&amp;DB=129&amp;ID1=40377710&amp;VALUEID=13040&amp;SDATE=200801&amp;PERIODTYPE=QTR_STD&amp;window=popup_no_bar&amp;width=385&amp;height=120&amp;START_MAXIMIZED=FALSE&amp;creator=factset&amp;display_string=Audit"}</definedName>
    <definedName name="_896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897__FDSAUDITLINK__" localSheetId="1" hidden="1">{"fdsup://Directions/FactSet Auditing Viewer?action=AUDIT_VALUE&amp;DB=129&amp;ID1=40377710&amp;VALUEID=13040&amp;SDATE=200802&amp;PERIODTYPE=QTR_STD&amp;window=popup_no_bar&amp;width=385&amp;height=120&amp;START_MAXIMIZED=FALSE&amp;creator=factset&amp;display_string=Audit"}</definedName>
    <definedName name="_897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898__FDSAUDITLINK__" localSheetId="1" hidden="1">{"fdsup://Directions/FactSet Auditing Viewer?action=AUDIT_VALUE&amp;DB=129&amp;ID1=40377710&amp;VALUEID=13040&amp;SDATE=200803&amp;PERIODTYPE=QTR_STD&amp;window=popup_no_bar&amp;width=385&amp;height=120&amp;START_MAXIMIZED=FALSE&amp;creator=factset&amp;display_string=Audit"}</definedName>
    <definedName name="_898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899__FDSAUDITLINK__" localSheetId="1" hidden="1">{"fdsup://Directions/FactSet Auditing Viewer?action=AUDIT_VALUE&amp;DB=129&amp;ID1=40377710&amp;VALUEID=13040&amp;SDATE=200901&amp;PERIODTYPE=QTR_STD&amp;window=popup_no_bar&amp;width=385&amp;height=120&amp;START_MAXIMIZED=FALSE&amp;creator=factset&amp;display_string=Audit"}</definedName>
    <definedName name="_899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9__123Graph_Dｸﾞﾗﾌ_1" hidden="1">[2]ｾｸﾞﾒﾝﾄ!$E$167:$I$167</definedName>
    <definedName name="_9__FDSAUDITLINK__" localSheetId="1" hidden="1">{"fdsup://Directions/FactSet Auditing Viewer?action=AUDIT_VALUE&amp;DB=129&amp;ID1=36476010&amp;VALUEID=13040&amp;SDATE=201001&amp;PERIODTYPE=QTR_STD&amp;window=popup_no_bar&amp;width=385&amp;height=120&amp;START_MAXIMIZED=FALSE&amp;creator=factset&amp;display_string=Audit"}</definedName>
    <definedName name="_9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90__FDSAUDITLINK__" localSheetId="1" hidden="1">{"fdsup://Directions/FactSet Auditing Viewer?action=AUDIT_VALUE&amp;DB=129&amp;ID1=53271610&amp;VALUEID=13040&amp;SDATE=200901&amp;PERIODTYPE=QTR_STD&amp;window=popup_no_bar&amp;width=385&amp;height=120&amp;START_MAXIMIZED=FALSE&amp;creator=factset&amp;display_string=Audit"}</definedName>
    <definedName name="_90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900__FDSAUDITLINK__" localSheetId="1" hidden="1">{"fdsup://Directions/FactSet Auditing Viewer?action=AUDIT_VALUE&amp;DB=129&amp;ID1=40377710&amp;VALUEID=13040&amp;SDATE=200902&amp;PERIODTYPE=QTR_STD&amp;window=popup_no_bar&amp;width=385&amp;height=120&amp;START_MAXIMIZED=FALSE&amp;creator=factset&amp;display_string=Audit"}</definedName>
    <definedName name="_900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901__FDSAUDITLINK__" localSheetId="1" hidden="1">{"fdsup://Directions/FactSet Auditing Viewer?action=AUDIT_VALUE&amp;DB=129&amp;ID1=40377710&amp;VALUEID=13040&amp;SDATE=200903&amp;PERIODTYPE=QTR_STD&amp;window=popup_no_bar&amp;width=385&amp;height=120&amp;START_MAXIMIZED=FALSE&amp;creator=factset&amp;display_string=Audit"}</definedName>
    <definedName name="_901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902__FDSAUDITLINK__" localSheetId="1" hidden="1">{"fdsup://Directions/FactSet Auditing Viewer?action=AUDIT_VALUE&amp;DB=129&amp;ID1=40377710&amp;VALUEID=13040&amp;SDATE=201001&amp;PERIODTYPE=QTR_STD&amp;window=popup_no_bar&amp;width=385&amp;height=120&amp;START_MAXIMIZED=FALSE&amp;creator=factset&amp;display_string=Audit"}</definedName>
    <definedName name="_902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903__FDSAUDITLINK__" localSheetId="1"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903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904__FDSAUDITLINK__" localSheetId="1"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904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905__FDSAUDITLINK__" localSheetId="1"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905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906__FDSAUDITLINK__" localSheetId="1"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906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907__FDSAUDITLINK__" localSheetId="1"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907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908__FDSAUDITLINK__" localSheetId="1"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908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909__FDSAUDITLINK__" localSheetId="1"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909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91__FDSAUDITLINK__" localSheetId="1" hidden="1">{"fdsup://Directions/FactSet Auditing Viewer?action=AUDIT_VALUE&amp;DB=129&amp;ID1=46612H40&amp;VALUEID=02101&amp;SDATE=200901&amp;PERIODTYPE=QTR_STD&amp;window=popup_no_bar&amp;width=385&amp;height=120&amp;START_MAXIMIZED=FALSE&amp;creator=factset&amp;display_string=Audit"}</definedName>
    <definedName name="_91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910__FDSAUDITLINK__" localSheetId="1"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910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911__FDSAUDITLINK__" localSheetId="1"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911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912__FDSAUDITLINK__" localSheetId="1"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912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913__FDSAUDITLINK__" localSheetId="1"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913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914__FDSAUDITLINK__" localSheetId="1"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914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915__FDSAUDITLINK__" localSheetId="1"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915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916__FDSAUDITLINK__" localSheetId="1"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916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917__FDSAUDITLINK__" localSheetId="1"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917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918__FDSAUDITLINK__" localSheetId="1"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918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919__FDSAUDITLINK__" localSheetId="1"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919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92__FDSAUDITLINK__" localSheetId="1" hidden="1">{"fdsup://Directions/FactSet Auditing Viewer?action=AUDIT_VALUE&amp;DB=129&amp;ID1=46612H40&amp;VALUEID=01001&amp;SDATE=200901&amp;PERIODTYPE=QTR_STD&amp;window=popup_no_bar&amp;width=385&amp;height=120&amp;START_MAXIMIZED=FALSE&amp;creator=factset&amp;display_string=Audit"}</definedName>
    <definedName name="_92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920__FDSAUDITLINK__" localSheetId="1"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920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921__FDSAUDITLINK__" localSheetId="1"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921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922__FDSAUDITLINK__" localSheetId="1"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922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923__FDSAUDITLINK__" localSheetId="1"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923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924__FDSAUDITLINK__" localSheetId="1"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924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925__FDSAUDITLINK__" localSheetId="1"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925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926__FDSAUDITLINK__" localSheetId="1"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926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927__FDSAUDITLINK__" localSheetId="1"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927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928__FDSAUDITLINK__" localSheetId="1"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928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929__FDSAUDITLINK__" localSheetId="1"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929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93__FDSAUDITLINK__" localSheetId="1" hidden="1">{"fdsup://Directions/FactSet Auditing Viewer?action=AUDIT_VALUE&amp;DB=129&amp;ID1=46612H40&amp;VALUEID=13040&amp;SDATE=200901&amp;PERIODTYPE=QTR_STD&amp;window=popup_no_bar&amp;width=385&amp;height=120&amp;START_MAXIMIZED=FALSE&amp;creator=factset&amp;display_string=Audit"}</definedName>
    <definedName name="_93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930__FDSAUDITLINK__" localSheetId="1"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930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931__FDSAUDITLINK__" localSheetId="1" hidden="1">{"fdsup://directions/FAT Viewer?action=UPDATE&amp;creator=factset&amp;DYN_ARGS=TRUE&amp;DOC_NAME=FAT:FQL_AUDITING_CLIENT_TEMPLATE.FAT&amp;display_string=Audit&amp;VAR:KEY=TKVMRALGPI&amp;VAR:QUERY=RkZfUlRfU0ZfVE9UX0dST1NTKFFUUiwtMTYp&amp;WINDOW=FIRST_POPUP&amp;HEIGHT=450&amp;WIDTH=450&amp;START_MA","XIMIZED=FALSE&amp;VAR:CALENDAR=US&amp;VAR:SYMBOL=GYMB&amp;VAR:INDEX=0"}</definedName>
    <definedName name="_931__FDSAUDITLINK__" hidden="1">{"fdsup://directions/FAT Viewer?action=UPDATE&amp;creator=factset&amp;DYN_ARGS=TRUE&amp;DOC_NAME=FAT:FQL_AUDITING_CLIENT_TEMPLATE.FAT&amp;display_string=Audit&amp;VAR:KEY=TKVMRALGPI&amp;VAR:QUERY=RkZfUlRfU0ZfVE9UX0dST1NTKFFUUiwtMTYp&amp;WINDOW=FIRST_POPUP&amp;HEIGHT=450&amp;WIDTH=450&amp;START_MA","XIMIZED=FALSE&amp;VAR:CALENDAR=US&amp;VAR:SYMBOL=GYMB&amp;VAR:INDEX=0"}</definedName>
    <definedName name="_932__FDSAUDITLINK__" localSheetId="1" hidden="1">{"fdsup://directions/FAT Viewer?action=UPDATE&amp;creator=factset&amp;DYN_ARGS=TRUE&amp;DOC_NAME=FAT:FQL_AUDITING_CLIENT_TEMPLATE.FAT&amp;display_string=Audit&amp;VAR:KEY=XWBCDMJGPU&amp;VAR:QUERY=RkZfUlRfU0ZfVE9UX0dST1NTKFFUUiwtMTUp&amp;WINDOW=FIRST_POPUP&amp;HEIGHT=450&amp;WIDTH=450&amp;START_MA","XIMIZED=FALSE&amp;VAR:CALENDAR=US&amp;VAR:SYMBOL=GYMB&amp;VAR:INDEX=0"}</definedName>
    <definedName name="_932__FDSAUDITLINK__" hidden="1">{"fdsup://directions/FAT Viewer?action=UPDATE&amp;creator=factset&amp;DYN_ARGS=TRUE&amp;DOC_NAME=FAT:FQL_AUDITING_CLIENT_TEMPLATE.FAT&amp;display_string=Audit&amp;VAR:KEY=XWBCDMJGPU&amp;VAR:QUERY=RkZfUlRfU0ZfVE9UX0dST1NTKFFUUiwtMTUp&amp;WINDOW=FIRST_POPUP&amp;HEIGHT=450&amp;WIDTH=450&amp;START_MA","XIMIZED=FALSE&amp;VAR:CALENDAR=US&amp;VAR:SYMBOL=GYMB&amp;VAR:INDEX=0"}</definedName>
    <definedName name="_933__FDSAUDITLINK__" localSheetId="1" hidden="1">{"fdsup://directions/FAT Viewer?action=UPDATE&amp;creator=factset&amp;DYN_ARGS=TRUE&amp;DOC_NAME=FAT:FQL_AUDITING_CLIENT_TEMPLATE.FAT&amp;display_string=Audit&amp;VAR:KEY=JENWXOZCJS&amp;VAR:QUERY=RkZfUlRfU0ZfVE9UX0dST1NTKFFUUiwtMTQp&amp;WINDOW=FIRST_POPUP&amp;HEIGHT=450&amp;WIDTH=450&amp;START_MA","XIMIZED=FALSE&amp;VAR:CALENDAR=US&amp;VAR:SYMBOL=GYMB&amp;VAR:INDEX=0"}</definedName>
    <definedName name="_933__FDSAUDITLINK__" hidden="1">{"fdsup://directions/FAT Viewer?action=UPDATE&amp;creator=factset&amp;DYN_ARGS=TRUE&amp;DOC_NAME=FAT:FQL_AUDITING_CLIENT_TEMPLATE.FAT&amp;display_string=Audit&amp;VAR:KEY=JENWXOZCJS&amp;VAR:QUERY=RkZfUlRfU0ZfVE9UX0dST1NTKFFUUiwtMTQp&amp;WINDOW=FIRST_POPUP&amp;HEIGHT=450&amp;WIDTH=450&amp;START_MA","XIMIZED=FALSE&amp;VAR:CALENDAR=US&amp;VAR:SYMBOL=GYMB&amp;VAR:INDEX=0"}</definedName>
    <definedName name="_934__FDSAUDITLINK__" localSheetId="1"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934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935__FDSAUDITLINK__" localSheetId="1" hidden="1">{"fdsup://directions/FAT Viewer?action=UPDATE&amp;creator=factset&amp;DYN_ARGS=TRUE&amp;DOC_NAME=FAT:FQL_AUDITING_CLIENT_TEMPLATE.FAT&amp;display_string=Audit&amp;VAR:KEY=DWXWHUPIHW&amp;VAR:QUERY=RkZfUlRfU0ZfVE9UX0dST1NTKFFUUiwtMTIp&amp;WINDOW=FIRST_POPUP&amp;HEIGHT=450&amp;WIDTH=450&amp;START_MA","XIMIZED=FALSE&amp;VAR:CALENDAR=US&amp;VAR:SYMBOL=GYMB&amp;VAR:INDEX=0"}</definedName>
    <definedName name="_935__FDSAUDITLINK__" hidden="1">{"fdsup://directions/FAT Viewer?action=UPDATE&amp;creator=factset&amp;DYN_ARGS=TRUE&amp;DOC_NAME=FAT:FQL_AUDITING_CLIENT_TEMPLATE.FAT&amp;display_string=Audit&amp;VAR:KEY=DWXWHUPIHW&amp;VAR:QUERY=RkZfUlRfU0ZfVE9UX0dST1NTKFFUUiwtMTIp&amp;WINDOW=FIRST_POPUP&amp;HEIGHT=450&amp;WIDTH=450&amp;START_MA","XIMIZED=FALSE&amp;VAR:CALENDAR=US&amp;VAR:SYMBOL=GYMB&amp;VAR:INDEX=0"}</definedName>
    <definedName name="_936__FDSAUDITLINK__" localSheetId="1" hidden="1">{"fdsup://directions/FAT Viewer?action=UPDATE&amp;creator=factset&amp;DYN_ARGS=TRUE&amp;DOC_NAME=FAT:FQL_AUDITING_CLIENT_TEMPLATE.FAT&amp;display_string=Audit&amp;VAR:KEY=NQVAXKPMVA&amp;VAR:QUERY=RkZfUlRfU0ZfVE9UX0dST1NTKFFUUiwtMTEp&amp;WINDOW=FIRST_POPUP&amp;HEIGHT=450&amp;WIDTH=450&amp;START_MA","XIMIZED=FALSE&amp;VAR:CALENDAR=US&amp;VAR:SYMBOL=GYMB&amp;VAR:INDEX=0"}</definedName>
    <definedName name="_936__FDSAUDITLINK__" hidden="1">{"fdsup://directions/FAT Viewer?action=UPDATE&amp;creator=factset&amp;DYN_ARGS=TRUE&amp;DOC_NAME=FAT:FQL_AUDITING_CLIENT_TEMPLATE.FAT&amp;display_string=Audit&amp;VAR:KEY=NQVAXKPMVA&amp;VAR:QUERY=RkZfUlRfU0ZfVE9UX0dST1NTKFFUUiwtMTEp&amp;WINDOW=FIRST_POPUP&amp;HEIGHT=450&amp;WIDTH=450&amp;START_MA","XIMIZED=FALSE&amp;VAR:CALENDAR=US&amp;VAR:SYMBOL=GYMB&amp;VAR:INDEX=0"}</definedName>
    <definedName name="_937__FDSAUDITLINK__" localSheetId="1" hidden="1">{"fdsup://directions/FAT Viewer?action=UPDATE&amp;creator=factset&amp;DYN_ARGS=TRUE&amp;DOC_NAME=FAT:FQL_AUDITING_CLIENT_TEMPLATE.FAT&amp;display_string=Audit&amp;VAR:KEY=ZONMZAPSJI&amp;VAR:QUERY=RkZfUlRfU0ZfVE9UX0dST1NTKFFUUiwtMTAp&amp;WINDOW=FIRST_POPUP&amp;HEIGHT=450&amp;WIDTH=450&amp;START_MA","XIMIZED=FALSE&amp;VAR:CALENDAR=US&amp;VAR:SYMBOL=GYMB&amp;VAR:INDEX=0"}</definedName>
    <definedName name="_937__FDSAUDITLINK__" hidden="1">{"fdsup://directions/FAT Viewer?action=UPDATE&amp;creator=factset&amp;DYN_ARGS=TRUE&amp;DOC_NAME=FAT:FQL_AUDITING_CLIENT_TEMPLATE.FAT&amp;display_string=Audit&amp;VAR:KEY=ZONMZAPSJI&amp;VAR:QUERY=RkZfUlRfU0ZfVE9UX0dST1NTKFFUUiwtMTAp&amp;WINDOW=FIRST_POPUP&amp;HEIGHT=450&amp;WIDTH=450&amp;START_MA","XIMIZED=FALSE&amp;VAR:CALENDAR=US&amp;VAR:SYMBOL=GYMB&amp;VAR:INDEX=0"}</definedName>
    <definedName name="_938__FDSAUDITLINK__" localSheetId="1"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938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939__FDSAUDITLINK__" localSheetId="1" hidden="1">{"fdsup://directions/FAT Viewer?action=UPDATE&amp;creator=factset&amp;DYN_ARGS=TRUE&amp;DOC_NAME=FAT:FQL_AUDITING_CLIENT_TEMPLATE.FAT&amp;display_string=Audit&amp;VAR:KEY=TSDWNSLQPS&amp;VAR:QUERY=RkZfUlRfU0ZfVE9UX0dST1NTKFFUUiwtOCk=&amp;WINDOW=FIRST_POPUP&amp;HEIGHT=450&amp;WIDTH=450&amp;START_MA","XIMIZED=FALSE&amp;VAR:CALENDAR=US&amp;VAR:SYMBOL=GYMB&amp;VAR:INDEX=0"}</definedName>
    <definedName name="_939__FDSAUDITLINK__" hidden="1">{"fdsup://directions/FAT Viewer?action=UPDATE&amp;creator=factset&amp;DYN_ARGS=TRUE&amp;DOC_NAME=FAT:FQL_AUDITING_CLIENT_TEMPLATE.FAT&amp;display_string=Audit&amp;VAR:KEY=TSDWNSLQPS&amp;VAR:QUERY=RkZfUlRfU0ZfVE9UX0dST1NTKFFUUiwtOCk=&amp;WINDOW=FIRST_POPUP&amp;HEIGHT=450&amp;WIDTH=450&amp;START_MA","XIMIZED=FALSE&amp;VAR:CALENDAR=US&amp;VAR:SYMBOL=GYMB&amp;VAR:INDEX=0"}</definedName>
    <definedName name="_94__FDSAUDITLINK__" localSheetId="1" hidden="1">{"fdsup://Directions/FactSet Auditing Viewer?action=AUDIT_VALUE&amp;DB=129&amp;ID1=03611510&amp;VALUEID=02101&amp;SDATE=200901&amp;PERIODTYPE=QTR_STD&amp;window=popup_no_bar&amp;width=385&amp;height=120&amp;START_MAXIMIZED=FALSE&amp;creator=factset&amp;display_string=Audit"}</definedName>
    <definedName name="_94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940__FDSAUDITLINK__" localSheetId="1"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940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941__FDSAUDITLINK__" localSheetId="1"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941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942__FDSAUDITLINK__" localSheetId="1"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942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943__FDSAUDITLINK__" localSheetId="1"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943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944__FDSAUDITLINK__" localSheetId="1" hidden="1">{"fdsup://directions/FAT Viewer?action=UPDATE&amp;creator=factset&amp;DYN_ARGS=TRUE&amp;DOC_NAME=FAT:FQL_AUDITING_CLIENT_TEMPLATE.FAT&amp;display_string=Audit&amp;VAR:KEY=VSNOZWVYLU&amp;VAR:QUERY=RkZfUlRfU0ZfVE9UX0dST1NTKFFUUiwtMyk=&amp;WINDOW=FIRST_POPUP&amp;HEIGHT=450&amp;WIDTH=450&amp;START_MA","XIMIZED=FALSE&amp;VAR:CALENDAR=US&amp;VAR:SYMBOL=GYMB&amp;VAR:INDEX=0"}</definedName>
    <definedName name="_944__FDSAUDITLINK__" hidden="1">{"fdsup://directions/FAT Viewer?action=UPDATE&amp;creator=factset&amp;DYN_ARGS=TRUE&amp;DOC_NAME=FAT:FQL_AUDITING_CLIENT_TEMPLATE.FAT&amp;display_string=Audit&amp;VAR:KEY=VSNOZWVYLU&amp;VAR:QUERY=RkZfUlRfU0ZfVE9UX0dST1NTKFFUUiwtMyk=&amp;WINDOW=FIRST_POPUP&amp;HEIGHT=450&amp;WIDTH=450&amp;START_MA","XIMIZED=FALSE&amp;VAR:CALENDAR=US&amp;VAR:SYMBOL=GYMB&amp;VAR:INDEX=0"}</definedName>
    <definedName name="_945__FDSAUDITLINK__" localSheetId="1" hidden="1">{"fdsup://directions/FAT Viewer?action=UPDATE&amp;creator=factset&amp;DYN_ARGS=TRUE&amp;DOC_NAME=FAT:FQL_AUDITING_CLIENT_TEMPLATE.FAT&amp;display_string=Audit&amp;VAR:KEY=PKPWPYPSJW&amp;VAR:QUERY=RkZfUlRfU0ZfVE9UX0dST1NTKFFUUiwtMik=&amp;WINDOW=FIRST_POPUP&amp;HEIGHT=450&amp;WIDTH=450&amp;START_MA","XIMIZED=FALSE&amp;VAR:CALENDAR=US&amp;VAR:SYMBOL=GYMB&amp;VAR:INDEX=0"}</definedName>
    <definedName name="_945__FDSAUDITLINK__" hidden="1">{"fdsup://directions/FAT Viewer?action=UPDATE&amp;creator=factset&amp;DYN_ARGS=TRUE&amp;DOC_NAME=FAT:FQL_AUDITING_CLIENT_TEMPLATE.FAT&amp;display_string=Audit&amp;VAR:KEY=PKPWPYPSJW&amp;VAR:QUERY=RkZfUlRfU0ZfVE9UX0dST1NTKFFUUiwtMik=&amp;WINDOW=FIRST_POPUP&amp;HEIGHT=450&amp;WIDTH=450&amp;START_MA","XIMIZED=FALSE&amp;VAR:CALENDAR=US&amp;VAR:SYMBOL=GYMB&amp;VAR:INDEX=0"}</definedName>
    <definedName name="_946__FDSAUDITLINK__" localSheetId="1" hidden="1">{"fdsup://directions/FAT Viewer?action=UPDATE&amp;creator=factset&amp;DYN_ARGS=TRUE&amp;DOC_NAME=FAT:FQL_AUDITING_CLIENT_TEMPLATE.FAT&amp;display_string=Audit&amp;VAR:KEY=XSVCHMLSHM&amp;VAR:QUERY=RkZfUlRfU0ZfVE9UX0dST1NTKFFUUiwtMSk=&amp;WINDOW=FIRST_POPUP&amp;HEIGHT=450&amp;WIDTH=450&amp;START_MA","XIMIZED=FALSE&amp;VAR:CALENDAR=US&amp;VAR:SYMBOL=GYMB&amp;VAR:INDEX=0"}</definedName>
    <definedName name="_946__FDSAUDITLINK__" hidden="1">{"fdsup://directions/FAT Viewer?action=UPDATE&amp;creator=factset&amp;DYN_ARGS=TRUE&amp;DOC_NAME=FAT:FQL_AUDITING_CLIENT_TEMPLATE.FAT&amp;display_string=Audit&amp;VAR:KEY=XSVCHMLSHM&amp;VAR:QUERY=RkZfUlRfU0ZfVE9UX0dST1NTKFFUUiwtMSk=&amp;WINDOW=FIRST_POPUP&amp;HEIGHT=450&amp;WIDTH=450&amp;START_MA","XIMIZED=FALSE&amp;VAR:CALENDAR=US&amp;VAR:SYMBOL=GYMB&amp;VAR:INDEX=0"}</definedName>
    <definedName name="_947__FDSAUDITLINK__" localSheetId="1" hidden="1">{"fdsup://directions/FAT Viewer?action=UPDATE&amp;creator=factset&amp;DYN_ARGS=TRUE&amp;DOC_NAME=FAT:FQL_AUDITING_CLIENT_TEMPLATE.FAT&amp;display_string=Audit&amp;VAR:KEY=DYNCLOXCRA&amp;VAR:QUERY=RkZfUlRfU0ZfVE9UX0dST1NTKFFUUiwwKQ==&amp;WINDOW=FIRST_POPUP&amp;HEIGHT=450&amp;WIDTH=450&amp;START_MA","XIMIZED=FALSE&amp;VAR:CALENDAR=US&amp;VAR:SYMBOL=GYMB&amp;VAR:INDEX=0"}</definedName>
    <definedName name="_947__FDSAUDITLINK__" hidden="1">{"fdsup://directions/FAT Viewer?action=UPDATE&amp;creator=factset&amp;DYN_ARGS=TRUE&amp;DOC_NAME=FAT:FQL_AUDITING_CLIENT_TEMPLATE.FAT&amp;display_string=Audit&amp;VAR:KEY=DYNCLOXCRA&amp;VAR:QUERY=RkZfUlRfU0ZfVE9UX0dST1NTKFFUUiwwKQ==&amp;WINDOW=FIRST_POPUP&amp;HEIGHT=450&amp;WIDTH=450&amp;START_MA","XIMIZED=FALSE&amp;VAR:CALENDAR=US&amp;VAR:SYMBOL=GYMB&amp;VAR:INDEX=0"}</definedName>
    <definedName name="_948__FDSAUDITLINK__" localSheetId="1" hidden="1">{"fdsup://Directions/FactSet Auditing Viewer?action=AUDIT_VALUE&amp;DB=129&amp;ID1=53271610&amp;VALUEID=13040&amp;SDATE=200601&amp;PERIODTYPE=QTR_STD&amp;window=popup_no_bar&amp;width=385&amp;height=120&amp;START_MAXIMIZED=FALSE&amp;creator=factset&amp;display_string=Audit"}</definedName>
    <definedName name="_948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949__FDSAUDITLINK__" localSheetId="1" hidden="1">{"fdsup://Directions/FactSet Auditing Viewer?action=AUDIT_VALUE&amp;DB=129&amp;ID1=53271610&amp;VALUEID=01001&amp;SDATE=200601&amp;PERIODTYPE=QTR_STD&amp;window=popup_no_bar&amp;width=385&amp;height=120&amp;START_MAXIMIZED=FALSE&amp;creator=factset&amp;display_string=Audit"}</definedName>
    <definedName name="_949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95__FDSAUDITLINK__" localSheetId="1" hidden="1">{"fdsup://Directions/FactSet Auditing Viewer?action=AUDIT_VALUE&amp;DB=129&amp;ID1=03611510&amp;VALUEID=01001&amp;SDATE=200901&amp;PERIODTYPE=QTR_STD&amp;window=popup_no_bar&amp;width=385&amp;height=120&amp;START_MAXIMIZED=FALSE&amp;creator=factset&amp;display_string=Audit"}</definedName>
    <definedName name="_95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950__FDSAUDITLINK__" localSheetId="1" hidden="1">{"fdsup://Directions/FactSet Auditing Viewer?action=AUDIT_VALUE&amp;DB=129&amp;ID1=53271610&amp;VALUEID=02101&amp;SDATE=200601&amp;PERIODTYPE=QTR_STD&amp;window=popup_no_bar&amp;width=385&amp;height=120&amp;START_MAXIMIZED=FALSE&amp;creator=factset&amp;display_string=Audit"}</definedName>
    <definedName name="_950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951__FDSAUDITLINK__" localSheetId="1" hidden="1">{"fdsup://Directions/FactSet Auditing Viewer?action=AUDIT_VALUE&amp;DB=129&amp;ID1=53271610&amp;VALUEID=13040&amp;SDATE=200602&amp;PERIODTYPE=QTR_STD&amp;window=popup_no_bar&amp;width=385&amp;height=120&amp;START_MAXIMIZED=FALSE&amp;creator=factset&amp;display_string=Audit"}</definedName>
    <definedName name="_951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952__FDSAUDITLINK__" localSheetId="1" hidden="1">{"fdsup://Directions/FactSet Auditing Viewer?action=AUDIT_VALUE&amp;DB=129&amp;ID1=53271610&amp;VALUEID=01001&amp;SDATE=200602&amp;PERIODTYPE=QTR_STD&amp;window=popup_no_bar&amp;width=385&amp;height=120&amp;START_MAXIMIZED=FALSE&amp;creator=factset&amp;display_string=Audit"}</definedName>
    <definedName name="_952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953__FDSAUDITLINK__" localSheetId="1" hidden="1">{"fdsup://Directions/FactSet Auditing Viewer?action=AUDIT_VALUE&amp;DB=129&amp;ID1=53271610&amp;VALUEID=02101&amp;SDATE=200602&amp;PERIODTYPE=QTR_STD&amp;window=popup_no_bar&amp;width=385&amp;height=120&amp;START_MAXIMIZED=FALSE&amp;creator=factset&amp;display_string=Audit"}</definedName>
    <definedName name="_953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954__FDSAUDITLINK__" localSheetId="1" hidden="1">{"fdsup://Directions/FactSet Auditing Viewer?action=AUDIT_VALUE&amp;DB=129&amp;ID1=53271610&amp;VALUEID=13040&amp;SDATE=200603&amp;PERIODTYPE=QTR_STD&amp;window=popup_no_bar&amp;width=385&amp;height=120&amp;START_MAXIMIZED=FALSE&amp;creator=factset&amp;display_string=Audit"}</definedName>
    <definedName name="_954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955__FDSAUDITLINK__" localSheetId="1" hidden="1">{"fdsup://Directions/FactSet Auditing Viewer?action=AUDIT_VALUE&amp;DB=129&amp;ID1=53271610&amp;VALUEID=01001&amp;SDATE=200603&amp;PERIODTYPE=QTR_STD&amp;window=popup_no_bar&amp;width=385&amp;height=120&amp;START_MAXIMIZED=FALSE&amp;creator=factset&amp;display_string=Audit"}</definedName>
    <definedName name="_955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956__FDSAUDITLINK__" localSheetId="1" hidden="1">{"fdsup://Directions/FactSet Auditing Viewer?action=AUDIT_VALUE&amp;DB=129&amp;ID1=53271610&amp;VALUEID=02101&amp;SDATE=200603&amp;PERIODTYPE=QTR_STD&amp;window=popup_no_bar&amp;width=385&amp;height=120&amp;START_MAXIMIZED=FALSE&amp;creator=factset&amp;display_string=Audit"}</definedName>
    <definedName name="_956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957__FDSAUDITLINK__" localSheetId="1" hidden="1">{"fdsup://Directions/FactSet Auditing Viewer?action=AUDIT_VALUE&amp;DB=129&amp;ID1=53271610&amp;VALUEID=13040&amp;SDATE=200701&amp;PERIODTYPE=QTR_STD&amp;window=popup_no_bar&amp;width=385&amp;height=120&amp;START_MAXIMIZED=FALSE&amp;creator=factset&amp;display_string=Audit"}</definedName>
    <definedName name="_957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958__FDSAUDITLINK__" localSheetId="1" hidden="1">{"fdsup://Directions/FactSet Auditing Viewer?action=AUDIT_VALUE&amp;DB=129&amp;ID1=53271610&amp;VALUEID=01001&amp;SDATE=200701&amp;PERIODTYPE=QTR_STD&amp;window=popup_no_bar&amp;width=385&amp;height=120&amp;START_MAXIMIZED=FALSE&amp;creator=factset&amp;display_string=Audit"}</definedName>
    <definedName name="_958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959__FDSAUDITLINK__" localSheetId="1" hidden="1">{"fdsup://Directions/FactSet Auditing Viewer?action=AUDIT_VALUE&amp;DB=129&amp;ID1=53271610&amp;VALUEID=02101&amp;SDATE=200701&amp;PERIODTYPE=QTR_STD&amp;window=popup_no_bar&amp;width=385&amp;height=120&amp;START_MAXIMIZED=FALSE&amp;creator=factset&amp;display_string=Audit"}</definedName>
    <definedName name="_959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96__FDSAUDITLINK__" localSheetId="1" hidden="1">{"fdsup://Directions/FactSet Auditing Viewer?action=AUDIT_VALUE&amp;DB=129&amp;ID1=16890510&amp;VALUEID=02101&amp;SDATE=200901&amp;PERIODTYPE=QTR_STD&amp;window=popup_no_bar&amp;width=385&amp;height=120&amp;START_MAXIMIZED=FALSE&amp;creator=factset&amp;display_string=Audit"}</definedName>
    <definedName name="_96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960__FDSAUDITLINK__" localSheetId="1" hidden="1">{"fdsup://Directions/FactSet Auditing Viewer?action=AUDIT_VALUE&amp;DB=129&amp;ID1=53271610&amp;VALUEID=13040&amp;SDATE=200702&amp;PERIODTYPE=QTR_STD&amp;window=popup_no_bar&amp;width=385&amp;height=120&amp;START_MAXIMIZED=FALSE&amp;creator=factset&amp;display_string=Audit"}</definedName>
    <definedName name="_960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961__FDSAUDITLINK__" localSheetId="1" hidden="1">{"fdsup://Directions/FactSet Auditing Viewer?action=AUDIT_VALUE&amp;DB=129&amp;ID1=53271610&amp;VALUEID=01001&amp;SDATE=200702&amp;PERIODTYPE=QTR_STD&amp;window=popup_no_bar&amp;width=385&amp;height=120&amp;START_MAXIMIZED=FALSE&amp;creator=factset&amp;display_string=Audit"}</definedName>
    <definedName name="_961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962__FDSAUDITLINK__" localSheetId="1" hidden="1">{"fdsup://Directions/FactSet Auditing Viewer?action=AUDIT_VALUE&amp;DB=129&amp;ID1=53271610&amp;VALUEID=02101&amp;SDATE=200702&amp;PERIODTYPE=QTR_STD&amp;window=popup_no_bar&amp;width=385&amp;height=120&amp;START_MAXIMIZED=FALSE&amp;creator=factset&amp;display_string=Audit"}</definedName>
    <definedName name="_962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963__FDSAUDITLINK__" localSheetId="1" hidden="1">{"fdsup://Directions/FactSet Auditing Viewer?action=AUDIT_VALUE&amp;DB=129&amp;ID1=53271610&amp;VALUEID=13040&amp;SDATE=200703&amp;PERIODTYPE=QTR_STD&amp;window=popup_no_bar&amp;width=385&amp;height=120&amp;START_MAXIMIZED=FALSE&amp;creator=factset&amp;display_string=Audit"}</definedName>
    <definedName name="_963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964__FDSAUDITLINK__" localSheetId="1" hidden="1">{"fdsup://Directions/FactSet Auditing Viewer?action=AUDIT_VALUE&amp;DB=129&amp;ID1=53271610&amp;VALUEID=01001&amp;SDATE=200703&amp;PERIODTYPE=QTR_STD&amp;window=popup_no_bar&amp;width=385&amp;height=120&amp;START_MAXIMIZED=FALSE&amp;creator=factset&amp;display_string=Audit"}</definedName>
    <definedName name="_964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965__FDSAUDITLINK__" localSheetId="1" hidden="1">{"fdsup://Directions/FactSet Auditing Viewer?action=AUDIT_VALUE&amp;DB=129&amp;ID1=53271610&amp;VALUEID=02101&amp;SDATE=200703&amp;PERIODTYPE=QTR_STD&amp;window=popup_no_bar&amp;width=385&amp;height=120&amp;START_MAXIMIZED=FALSE&amp;creator=factset&amp;display_string=Audit"}</definedName>
    <definedName name="_965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966__FDSAUDITLINK__" localSheetId="1" hidden="1">{"fdsup://Directions/FactSet Auditing Viewer?action=AUDIT_VALUE&amp;DB=129&amp;ID1=53271610&amp;VALUEID=13040&amp;SDATE=200801&amp;PERIODTYPE=QTR_STD&amp;window=popup_no_bar&amp;width=385&amp;height=120&amp;START_MAXIMIZED=FALSE&amp;creator=factset&amp;display_string=Audit"}</definedName>
    <definedName name="_966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967__FDSAUDITLINK__" localSheetId="1" hidden="1">{"fdsup://Directions/FactSet Auditing Viewer?action=AUDIT_VALUE&amp;DB=129&amp;ID1=53271610&amp;VALUEID=01001&amp;SDATE=200801&amp;PERIODTYPE=QTR_STD&amp;window=popup_no_bar&amp;width=385&amp;height=120&amp;START_MAXIMIZED=FALSE&amp;creator=factset&amp;display_string=Audit"}</definedName>
    <definedName name="_967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968__FDSAUDITLINK__" localSheetId="1" hidden="1">{"fdsup://Directions/FactSet Auditing Viewer?action=AUDIT_VALUE&amp;DB=129&amp;ID1=53271610&amp;VALUEID=02101&amp;SDATE=200801&amp;PERIODTYPE=QTR_STD&amp;window=popup_no_bar&amp;width=385&amp;height=120&amp;START_MAXIMIZED=FALSE&amp;creator=factset&amp;display_string=Audit"}</definedName>
    <definedName name="_968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969__FDSAUDITLINK__" localSheetId="1" hidden="1">{"fdsup://Directions/FactSet Auditing Viewer?action=AUDIT_VALUE&amp;DB=129&amp;ID1=53271610&amp;VALUEID=13040&amp;SDATE=200802&amp;PERIODTYPE=QTR_STD&amp;window=popup_no_bar&amp;width=385&amp;height=120&amp;START_MAXIMIZED=FALSE&amp;creator=factset&amp;display_string=Audit"}</definedName>
    <definedName name="_969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97__FDSAUDITLINK__" localSheetId="1" hidden="1">{"fdsup://Directions/FactSet Auditing Viewer?action=AUDIT_VALUE&amp;DB=129&amp;ID1=16890510&amp;VALUEID=01001&amp;SDATE=200901&amp;PERIODTYPE=QTR_STD&amp;window=popup_no_bar&amp;width=385&amp;height=120&amp;START_MAXIMIZED=FALSE&amp;creator=factset&amp;display_string=Audit"}</definedName>
    <definedName name="_97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970__FDSAUDITLINK__" localSheetId="1" hidden="1">{"fdsup://Directions/FactSet Auditing Viewer?action=AUDIT_VALUE&amp;DB=129&amp;ID1=53271610&amp;VALUEID=01001&amp;SDATE=200802&amp;PERIODTYPE=QTR_STD&amp;window=popup_no_bar&amp;width=385&amp;height=120&amp;START_MAXIMIZED=FALSE&amp;creator=factset&amp;display_string=Audit"}</definedName>
    <definedName name="_970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971__FDSAUDITLINK__" localSheetId="1" hidden="1">{"fdsup://Directions/FactSet Auditing Viewer?action=AUDIT_VALUE&amp;DB=129&amp;ID1=53271610&amp;VALUEID=02101&amp;SDATE=200802&amp;PERIODTYPE=QTR_STD&amp;window=popup_no_bar&amp;width=385&amp;height=120&amp;START_MAXIMIZED=FALSE&amp;creator=factset&amp;display_string=Audit"}</definedName>
    <definedName name="_971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972__FDSAUDITLINK__" localSheetId="1" hidden="1">{"fdsup://Directions/FactSet Auditing Viewer?action=AUDIT_VALUE&amp;DB=129&amp;ID1=53271610&amp;VALUEID=13040&amp;SDATE=200901&amp;PERIODTYPE=QTR_STD&amp;window=popup_no_bar&amp;width=385&amp;height=120&amp;START_MAXIMIZED=FALSE&amp;creator=factset&amp;display_string=Audit"}</definedName>
    <definedName name="_972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973__FDSAUDITLINK__" localSheetId="1" hidden="1">{"fdsup://Directions/FactSet Auditing Viewer?action=AUDIT_VALUE&amp;DB=129&amp;ID1=53271610&amp;VALUEID=13040&amp;SDATE=200902&amp;PERIODTYPE=QTR_STD&amp;window=popup_no_bar&amp;width=385&amp;height=120&amp;START_MAXIMIZED=FALSE&amp;creator=factset&amp;display_string=Audit"}</definedName>
    <definedName name="_973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974__FDSAUDITLINK__" localSheetId="1" hidden="1">{"fdsup://Directions/FactSet Auditing Viewer?action=AUDIT_VALUE&amp;DB=129&amp;ID1=53271610&amp;VALUEID=01001&amp;SDATE=200902&amp;PERIODTYPE=QTR_STD&amp;window=popup_no_bar&amp;width=385&amp;height=120&amp;START_MAXIMIZED=FALSE&amp;creator=factset&amp;display_string=Audit"}</definedName>
    <definedName name="_974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975__FDSAUDITLINK__" localSheetId="1" hidden="1">{"fdsup://Directions/FactSet Auditing Viewer?action=AUDIT_VALUE&amp;DB=129&amp;ID1=53271610&amp;VALUEID=02101&amp;SDATE=200902&amp;PERIODTYPE=QTR_STD&amp;window=popup_no_bar&amp;width=385&amp;height=120&amp;START_MAXIMIZED=FALSE&amp;creator=factset&amp;display_string=Audit"}</definedName>
    <definedName name="_975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976__FDSAUDITLINK__" localSheetId="1" hidden="1">{"fdsup://Directions/FactSet Auditing Viewer?action=AUDIT_VALUE&amp;DB=129&amp;ID1=53271610&amp;VALUEID=13040&amp;SDATE=200903&amp;PERIODTYPE=QTR_STD&amp;window=popup_no_bar&amp;width=385&amp;height=120&amp;START_MAXIMIZED=FALSE&amp;creator=factset&amp;display_string=Audit"}</definedName>
    <definedName name="_976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977__FDSAUDITLINK__" localSheetId="1" hidden="1">{"fdsup://Directions/FactSet Auditing Viewer?action=AUDIT_VALUE&amp;DB=129&amp;ID1=53271610&amp;VALUEID=01001&amp;SDATE=200903&amp;PERIODTYPE=QTR_STD&amp;window=popup_no_bar&amp;width=385&amp;height=120&amp;START_MAXIMIZED=FALSE&amp;creator=factset&amp;display_string=Audit"}</definedName>
    <definedName name="_977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978__FDSAUDITLINK__" localSheetId="1" hidden="1">{"fdsup://Directions/FactSet Auditing Viewer?action=AUDIT_VALUE&amp;DB=129&amp;ID1=53271610&amp;VALUEID=02101&amp;SDATE=200903&amp;PERIODTYPE=QTR_STD&amp;window=popup_no_bar&amp;width=385&amp;height=120&amp;START_MAXIMIZED=FALSE&amp;creator=factset&amp;display_string=Audit"}</definedName>
    <definedName name="_978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979__FDSAUDITLINK__" localSheetId="1" hidden="1">{"fdsup://Directions/FactSet Auditing Viewer?action=AUDIT_VALUE&amp;DB=129&amp;ID1=53271610&amp;VALUEID=13040&amp;SDATE=201001&amp;PERIODTYPE=QTR_STD&amp;window=popup_no_bar&amp;width=385&amp;height=120&amp;START_MAXIMIZED=FALSE&amp;creator=factset&amp;display_string=Audit"}</definedName>
    <definedName name="_979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98__FDSAUDITLINK__" localSheetId="1" hidden="1">{"fdsup://Directions/FactSet Auditing Viewer?action=AUDIT_VALUE&amp;DB=129&amp;ID1=00786510&amp;VALUEID=02101&amp;SDATE=200901&amp;PERIODTYPE=QTR_STD&amp;window=popup_no_bar&amp;width=385&amp;height=120&amp;START_MAXIMIZED=FALSE&amp;creator=factset&amp;display_string=Audit"}</definedName>
    <definedName name="_98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980__FDSAUDITLINK__" localSheetId="1" hidden="1">{"fdsup://Directions/FactSet Auditing Viewer?action=AUDIT_VALUE&amp;DB=129&amp;ID1=53271610&amp;VALUEID=01001&amp;SDATE=201001&amp;PERIODTYPE=QTR_STD&amp;window=popup_no_bar&amp;width=385&amp;height=120&amp;START_MAXIMIZED=FALSE&amp;creator=factset&amp;display_string=Audit"}</definedName>
    <definedName name="_980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981__FDSAUDITLINK__" localSheetId="1" hidden="1">{"fdsup://Directions/FactSet Auditing Viewer?action=AUDIT_VALUE&amp;DB=129&amp;ID1=53271610&amp;VALUEID=02101&amp;SDATE=201001&amp;PERIODTYPE=QTR_STD&amp;window=popup_no_bar&amp;width=385&amp;height=120&amp;START_MAXIMIZED=FALSE&amp;creator=factset&amp;display_string=Audit"}</definedName>
    <definedName name="_981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982__FDSAUDITLINK__" localSheetId="1" hidden="1">{"fdsup://Directions/FactSet Auditing Viewer?action=AUDIT_VALUE&amp;DB=129&amp;ID1=87416110&amp;VALUEID=02101&amp;SDATE=201001&amp;PERIODTYPE=QTR_STD&amp;window=popup_no_bar&amp;width=385&amp;height=120&amp;START_MAXIMIZED=FALSE&amp;creator=factset&amp;display_string=Audit"}</definedName>
    <definedName name="_982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983__FDSAUDITLINK__" localSheetId="1" hidden="1">{"fdsup://Directions/FactSet Auditing Viewer?action=AUDIT_VALUE&amp;DB=129&amp;ID1=87416110&amp;VALUEID=13040&amp;SDATE=201001&amp;PERIODTYPE=QTR_STD&amp;window=popup_no_bar&amp;width=385&amp;height=120&amp;START_MAXIMIZED=FALSE&amp;creator=factset&amp;display_string=Audit"}</definedName>
    <definedName name="_983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984__FDSAUDITLINK__" localSheetId="1"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984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985__FDSAUDITLINK__" localSheetId="1" hidden="1">{"fdsup://Directions/FactSet Auditing Viewer?action=AUDIT_VALUE&amp;DB=129&amp;ID1=53271610&amp;VALUEID=02101&amp;SDATE=201001&amp;PERIODTYPE=QTR_STD&amp;window=popup_no_bar&amp;width=385&amp;height=120&amp;START_MAXIMIZED=FALSE&amp;creator=factset&amp;display_string=Audit"}</definedName>
    <definedName name="_985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986__FDSAUDITLINK__" localSheetId="1" hidden="1">{"fdsup://Directions/FactSet Auditing Viewer?action=AUDIT_VALUE&amp;DB=129&amp;ID1=53271610&amp;VALUEID=13040&amp;SDATE=201001&amp;PERIODTYPE=QTR_STD&amp;window=popup_no_bar&amp;width=385&amp;height=120&amp;START_MAXIMIZED=FALSE&amp;creator=factset&amp;display_string=Audit"}</definedName>
    <definedName name="_986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987__FDSAUDITLINK__" localSheetId="1" hidden="1">{"fdsup://Directions/FactSet Auditing Viewer?action=AUDIT_VALUE&amp;DB=129&amp;ID1=46612H40&amp;VALUEID=02101&amp;SDATE=201001&amp;PERIODTYPE=QTR_STD&amp;window=popup_no_bar&amp;width=385&amp;height=120&amp;START_MAXIMIZED=FALSE&amp;creator=factset&amp;display_string=Audit"}</definedName>
    <definedName name="_987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988__FDSAUDITLINK__" localSheetId="1" hidden="1">{"fdsup://Directions/FactSet Auditing Viewer?action=AUDIT_VALUE&amp;DB=129&amp;ID1=46612H40&amp;VALUEID=13040&amp;SDATE=201001&amp;PERIODTYPE=QTR_STD&amp;window=popup_no_bar&amp;width=385&amp;height=120&amp;START_MAXIMIZED=FALSE&amp;creator=factset&amp;display_string=Audit"}</definedName>
    <definedName name="_988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989__FDSAUDITLINK__" localSheetId="1" hidden="1">{"fdsup://Directions/FactSet Auditing Viewer?action=AUDIT_VALUE&amp;DB=129&amp;ID1=36476010&amp;VALUEID=02101&amp;SDATE=201001&amp;PERIODTYPE=QTR_STD&amp;window=popup_no_bar&amp;width=385&amp;height=120&amp;START_MAXIMIZED=FALSE&amp;creator=factset&amp;display_string=Audit"}</definedName>
    <definedName name="_989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99__FDSAUDITLINK__" localSheetId="1" hidden="1">{"fdsup://Directions/FactSet Auditing Viewer?action=AUDIT_VALUE&amp;DB=129&amp;ID1=00786510&amp;VALUEID=01001&amp;SDATE=200901&amp;PERIODTYPE=QTR_STD&amp;window=popup_no_bar&amp;width=385&amp;height=120&amp;START_MAXIMIZED=FALSE&amp;creator=factset&amp;display_string=Audit"}</definedName>
    <definedName name="_99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990__FDSAUDITLINK__" localSheetId="1" hidden="1">{"fdsup://Directions/FactSet Auditing Viewer?action=AUDIT_VALUE&amp;DB=129&amp;ID1=36476010&amp;VALUEID=13040&amp;SDATE=201001&amp;PERIODTYPE=QTR_STD&amp;window=popup_no_bar&amp;width=385&amp;height=120&amp;START_MAXIMIZED=FALSE&amp;creator=factset&amp;display_string=Audit"}</definedName>
    <definedName name="_990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991__FDSAUDITLINK__" localSheetId="1" hidden="1">{"fdsup://Directions/FactSet Auditing Viewer?action=AUDIT_VALUE&amp;DB=129&amp;ID1=03611510&amp;VALUEID=02101&amp;SDATE=201001&amp;PERIODTYPE=QTR_STD&amp;window=popup_no_bar&amp;width=385&amp;height=120&amp;START_MAXIMIZED=FALSE&amp;creator=factset&amp;display_string=Audit"}</definedName>
    <definedName name="_991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992__FDSAUDITLINK__" localSheetId="1" hidden="1">{"fdsup://Directions/FactSet Auditing Viewer?action=AUDIT_VALUE&amp;DB=129&amp;ID1=03611510&amp;VALUEID=13040&amp;SDATE=201001&amp;PERIODTYPE=QTR_STD&amp;window=popup_no_bar&amp;width=385&amp;height=120&amp;START_MAXIMIZED=FALSE&amp;creator=factset&amp;display_string=Audit"}</definedName>
    <definedName name="_992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993__FDSAUDITLINK__" localSheetId="1" hidden="1">{"fdsup://Directions/FactSet Auditing Viewer?action=AUDIT_VALUE&amp;DB=129&amp;ID1=16890510&amp;VALUEID=02101&amp;SDATE=201001&amp;PERIODTYPE=QTR_STD&amp;window=popup_no_bar&amp;width=385&amp;height=120&amp;START_MAXIMIZED=FALSE&amp;creator=factset&amp;display_string=Audit"}</definedName>
    <definedName name="_993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994__FDSAUDITLINK__" localSheetId="1" hidden="1">{"fdsup://Directions/FactSet Auditing Viewer?action=AUDIT_VALUE&amp;DB=129&amp;ID1=91704710&amp;VALUEID=02101&amp;SDATE=201001&amp;PERIODTYPE=QTR_STD&amp;window=popup_no_bar&amp;width=385&amp;height=120&amp;START_MAXIMIZED=FALSE&amp;creator=factset&amp;display_string=Audit"}</definedName>
    <definedName name="_994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995__FDSAUDITLINK__" localSheetId="1" hidden="1">{"fdsup://Directions/FactSet Auditing Viewer?action=AUDIT_VALUE&amp;DB=129&amp;ID1=91704710&amp;VALUEID=13040&amp;SDATE=201001&amp;PERIODTYPE=QTR_STD&amp;window=popup_no_bar&amp;width=385&amp;height=120&amp;START_MAXIMIZED=FALSE&amp;creator=factset&amp;display_string=Audit"}</definedName>
    <definedName name="_995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996__FDSAUDITLINK__" localSheetId="1" hidden="1">{"fdsup://Directions/FactSet Auditing Viewer?action=AUDIT_VALUE&amp;DB=129&amp;ID1=02553E10&amp;VALUEID=02101&amp;SDATE=201001&amp;PERIODTYPE=QTR_STD&amp;window=popup_no_bar&amp;width=385&amp;height=120&amp;START_MAXIMIZED=FALSE&amp;creator=factset&amp;display_string=Audit"}</definedName>
    <definedName name="_996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997__FDSAUDITLINK__" localSheetId="1" hidden="1">{"fdsup://Directions/FactSet Auditing Viewer?action=AUDIT_VALUE&amp;DB=129&amp;ID1=02553E10&amp;VALUEID=13040&amp;SDATE=201001&amp;PERIODTYPE=QTR_STD&amp;window=popup_no_bar&amp;width=385&amp;height=120&amp;START_MAXIMIZED=FALSE&amp;creator=factset&amp;display_string=Audit"}</definedName>
    <definedName name="_997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998__FDSAUDITLINK__" localSheetId="1" hidden="1">{"fdsup://Directions/FactSet Auditing Viewer?action=AUDIT_VALUE&amp;DB=129&amp;ID1=00786510&amp;VALUEID=02101&amp;SDATE=201001&amp;PERIODTYPE=QTR_STD&amp;window=popup_no_bar&amp;width=385&amp;height=120&amp;START_MAXIMIZED=FALSE&amp;creator=factset&amp;display_string=Audit"}</definedName>
    <definedName name="_998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999__FDSAUDITLINK__" localSheetId="1" hidden="1">{"fdsup://Directions/FactSet Auditing Viewer?action=AUDIT_VALUE&amp;DB=129&amp;ID1=00786510&amp;VALUEID=13040&amp;SDATE=201001&amp;PERIODTYPE=QTR_STD&amp;window=popup_no_bar&amp;width=385&amp;height=120&amp;START_MAXIMIZED=FALSE&amp;creator=factset&amp;display_string=Audit"}</definedName>
    <definedName name="_999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bdm.02E29E7B1053433EA3CCCBE4E5141596.edm" hidden="1">[3]Sheet1!$A:$IV</definedName>
    <definedName name="_bdm.0BCBB9E17DD3464AB08C3E64B81EA161.edm" hidden="1">bal!$1:$1048576</definedName>
    <definedName name="_bdm.11E856BF48DE4A2D88D9EFB267F6E319.edm" hidden="1">sumry!$1:$1048576</definedName>
    <definedName name="_bdm.153FC2A2AF354AA1BBF013F63C16D67D.edm" localSheetId="9" hidden="1">bal!$A$6:$AO$52</definedName>
    <definedName name="_bdm.284AA58DF9A8469DA0B56AC967E5B6E8.edm" localSheetId="9" hidden="1">bal!$A$5:$AO$53</definedName>
    <definedName name="_bdm.2F15ADD2FF834C04B6716286F24B987A.edm" localSheetId="3" hidden="1">sumry!$A$5:$DE$89</definedName>
    <definedName name="_bdm.47E1435CCCEB413EB789D503B4D02717.edm" localSheetId="10" hidden="1">flow!$A$7:$AL$50</definedName>
    <definedName name="_bdm.576A2BB5AFA9437CA479CB7A66A61424.edm" localSheetId="3" hidden="1">sumry!$A$5:$DE$77</definedName>
    <definedName name="_bdm.79ED1854D90C44258278BDFA389C803E.edm" localSheetId="10" hidden="1">flow!$A$8:$AL$50</definedName>
    <definedName name="_bdm.7CEA9767D6D94AB88566BE7A329043E4.edm" localSheetId="10" hidden="1">flow!$A$7:$AL$49</definedName>
    <definedName name="_bdm.B45B765D90EA44179502126359035F01.edm" localSheetId="3" hidden="1">sumry!$A$5:$DE$65</definedName>
    <definedName name="_bdm.B914F45C9A6E439BBD3515BC2CCB4D9B.edm" localSheetId="9" hidden="1">bal!$A$6:$AO$53</definedName>
    <definedName name="_bdm.BF31E7F958B849B794C1CDD74E462824.edm" hidden="1">flow!$1:$1048576</definedName>
    <definedName name="_bdm.C4DDA5306EAF41EC8C832E30CE52D766.edm" localSheetId="10" hidden="1">flow!$A$8:$AL$49</definedName>
    <definedName name="_bdm.C5589DE207D945E382F2DBE880CD7E45.edm" localSheetId="3" hidden="1">sumry!$A$4:$DH$77</definedName>
    <definedName name="_bdm.CE2B114C95F644709F3903BC52B01933.edm" localSheetId="3" hidden="1">sumry!$A$5:$DE$76</definedName>
    <definedName name="_bdm.F30723362E7B4025A652CEC16555523C.edm" localSheetId="3" hidden="1">sumry!$A$4:$DE$77</definedName>
    <definedName name="_Order1" hidden="1">255</definedName>
    <definedName name="AAB_GSPPG" hidden="1">"AAB_Goldman Sachs PPG Chart Utilities 1.0g"</definedName>
    <definedName name="Act_Price" localSheetId="1">OFFSET(Date_Range,0,1,,1)</definedName>
    <definedName name="Act_Price">OFFSET(Date_Range,0,1,,1)</definedName>
    <definedName name="AdditionalInstructions">IndexInformation!$B$42</definedName>
    <definedName name="Address" localSheetId="0">ImportantDisclosures!$A$2:$A$2</definedName>
    <definedName name="ANA" localSheetId="19">ModPubIndex!$A$7</definedName>
    <definedName name="anscount" hidden="1">1</definedName>
    <definedName name="Authors" localSheetId="0">ImportantDisclosures!$A$7</definedName>
    <definedName name="Authors" localSheetId="18">IndexInformation!$B$18</definedName>
    <definedName name="BRO" localSheetId="19">ModPubIndex!$A$1</definedName>
    <definedName name="Chart_COE">#REF!:OFFSET(#REF!,0,#REF!)</definedName>
    <definedName name="Chart_RNOA">#REF!:OFFSET(#REF!,0,#REF!)</definedName>
    <definedName name="Chart_ROE">#REF!:OFFSET(#REF!,0,#REF!)</definedName>
    <definedName name="Chart_WACC">#REF!:OFFSET(#REF!,0,#REF!)</definedName>
    <definedName name="check">'MWA Lease'!$H$190:$P$190</definedName>
    <definedName name="CopyrightStamp">ImportantDisclosures!$A$27</definedName>
    <definedName name="COU" localSheetId="19">ModPubIndex!$A$5</definedName>
    <definedName name="CQEnd" localSheetId="18">IndexInformation!$B$31</definedName>
    <definedName name="Currency" localSheetId="18">IndexInformation!$B$24</definedName>
    <definedName name="CurrentStockPrice" localSheetId="18">IndexInformation!$B$23</definedName>
    <definedName name="CurrQtrEPS" localSheetId="18">IndexInformation!$B$29</definedName>
    <definedName name="CurrYearEPS" localSheetId="18">IndexInformation!$B$11</definedName>
    <definedName name="CurrYearTotalRevenue" localSheetId="18">IndexInformation!$B$10</definedName>
    <definedName name="CurrYearTotalRevenueActual" localSheetId="18">IndexInformation!$B$32</definedName>
    <definedName name="CUSIP" localSheetId="18">IndexInformation!$B$20</definedName>
    <definedName name="CYEnd" localSheetId="18">IndexInformation!$B$30</definedName>
    <definedName name="d">'[4]LEASES NEW'!$A$19</definedName>
    <definedName name="Date" localSheetId="0">ImportantDisclosures!$A$8</definedName>
    <definedName name="Deleted" localSheetId="18">IndexInformation!$B$27</definedName>
    <definedName name="Description" localSheetId="18">IndexInformation!$B$7</definedName>
    <definedName name="Discipline" localSheetId="18">IndexInformation!$B$3</definedName>
    <definedName name="DISCIPLINE" localSheetId="19">ModPubIndex!$A$12</definedName>
    <definedName name="DisclosuresText">ImportantDisclosures!$A$22</definedName>
    <definedName name="Distribution" localSheetId="18">IndexInformation!$B$26</definedName>
    <definedName name="DistTable" localSheetId="0">ImportantDisclosures!#REF!</definedName>
    <definedName name="DistTablePreamble" localSheetId="0">ImportantDisclosures!#REF!</definedName>
    <definedName name="DOCDAT" localSheetId="19">ModPubIndex!$A$2</definedName>
    <definedName name="DOCTIME" localSheetId="19">ModPubIndex!$A$3</definedName>
    <definedName name="DocType" localSheetId="18">IndexInformation!$B$5</definedName>
    <definedName name="Download_series">[5]!Download_series</definedName>
    <definedName name="EMAIL_ALERT" localSheetId="19">ModPubIndex!$A$10</definedName>
    <definedName name="EmailAlert" localSheetId="18">IndexInformation!$B$28</definedName>
    <definedName name="FINCopyDirection">1</definedName>
    <definedName name="FINCriteriaType">1</definedName>
    <definedName name="FiveYearGrowthRate" localSheetId="18">IndexInformation!$B$16</definedName>
    <definedName name="FollowingYearEPS" localSheetId="18">IndexInformation!$B$15</definedName>
    <definedName name="FollowingYearTotalRevenue" localSheetId="18">IndexInformation!$B$14</definedName>
    <definedName name="FollowingYearTotalRevenueActual" localSheetId="18">IndexInformation!$B$34</definedName>
    <definedName name="Growth_ROIC" localSheetId="16">OFFSET([0]!XRange,10,0)</definedName>
    <definedName name="HL" localSheetId="19">ModPubIndex!$A$8</definedName>
    <definedName name="IND" localSheetId="19">ModPubIndex!$A$9</definedName>
    <definedName name="Industry" localSheetId="0">ImportantDisclosures!$A$12</definedName>
    <definedName name="IndustryId">IndexInformation!$B$40</definedName>
    <definedName name="IndustryRating" localSheetId="0">ImportantDisclosures!$A$13</definedName>
    <definedName name="InvestCapGrowth" localSheetId="16">OFFSET([0]!XRange2,4,0)</definedName>
    <definedName name="IQ_ACCOUNT_CHANGE">"c1449"</definedName>
    <definedName name="IQ_ACCOUNTS_PAY">"c1343"</definedName>
    <definedName name="IQ_ACCR_INT_PAY">"c1"</definedName>
    <definedName name="IQ_ACCR_INT_PAY_CF">"c2"</definedName>
    <definedName name="IQ_ACCR_INT_RECEIV">"c3"</definedName>
    <definedName name="IQ_ACCR_INT_RECEIV_CF">"c4"</definedName>
    <definedName name="IQ_ACCRUED_EXP">"c1341"</definedName>
    <definedName name="IQ_ACCT_RECV_10YR_ANN_GROWTH">"c1924"</definedName>
    <definedName name="IQ_ACCT_RECV_1YR_ANN_GROWTH">"c1919"</definedName>
    <definedName name="IQ_ACCT_RECV_2YR_ANN_GROWTH">"c1920"</definedName>
    <definedName name="IQ_ACCT_RECV_3YR_ANN_GROWTH">"c1921"</definedName>
    <definedName name="IQ_ACCT_RECV_5YR_ANN_GROWTH">"c1922"</definedName>
    <definedName name="IQ_ACCT_RECV_7YR_ANN_GROWTH">"c1923"</definedName>
    <definedName name="IQ_ACCUM_DEP">"c1340"</definedName>
    <definedName name="IQ_ACCUMULATED_PENSION_OBLIGATION">"c2244"</definedName>
    <definedName name="IQ_ACCUMULATED_PENSION_OBLIGATION_DOMESTIC">"c2657"</definedName>
    <definedName name="IQ_ACCUMULATED_PENSION_OBLIGATION_FOREIGN">"c2665"</definedName>
    <definedName name="IQ_ACQ_COST_SUB">"c2125"</definedName>
    <definedName name="IQ_ACQ_COSTS_CAPITALIZED">"c5"</definedName>
    <definedName name="IQ_ACQUIRE_REAL_ESTATE_CF">"c6"</definedName>
    <definedName name="IQ_ACQUISITION_RE_ASSETS">"c1628"</definedName>
    <definedName name="IQ_AD">"c7"</definedName>
    <definedName name="IQ_ADD_PAID_IN">"c1344"</definedName>
    <definedName name="IQ_ADDIN" hidden="1">"AUTO"</definedName>
    <definedName name="IQ_ADJ_AVG_BANK_ASSETS">"c2671"</definedName>
    <definedName name="IQ_ADMIN_RATIO">"c2784"</definedName>
    <definedName name="IQ_ADVERTISING">"c2246"</definedName>
    <definedName name="IQ_ADVERTISING_MARKETING">"c1566"</definedName>
    <definedName name="IQ_AE">"c8"</definedName>
    <definedName name="IQ_AE_BNK">"c9"</definedName>
    <definedName name="IQ_AE_BR">"c10"</definedName>
    <definedName name="IQ_AE_FIN">"c11"</definedName>
    <definedName name="IQ_AE_INS">"c12"</definedName>
    <definedName name="IQ_AE_REIT">"c13"</definedName>
    <definedName name="IQ_AE_UTI">"c14"</definedName>
    <definedName name="IQ_AH_EARNED">"c2744"</definedName>
    <definedName name="IQ_AH_POLICY_BENEFITS_EXP">"c2789"</definedName>
    <definedName name="IQ_AIR_AIRPLANES_NOT_IN_SERVICE">"c2842"</definedName>
    <definedName name="IQ_AIR_AIRPLANES_SUBLEASED">"c2841"</definedName>
    <definedName name="IQ_AIR_ASK">"c2813"</definedName>
    <definedName name="IQ_AIR_ASK_INCREASE">"c2826"</definedName>
    <definedName name="IQ_AIR_ASM">"c2812"</definedName>
    <definedName name="IQ_AIR_ASM_INCREASE">"c2825"</definedName>
    <definedName name="IQ_AIR_AVG_AGE">"c2843"</definedName>
    <definedName name="IQ_AIR_BREAK_EVEN_FACTOR">"c2822"</definedName>
    <definedName name="IQ_AIR_CAPITAL_LEASE">"c2833"</definedName>
    <definedName name="IQ_AIR_COMPLETION_FACTOR">"c2824"</definedName>
    <definedName name="IQ_AIR_ENPLANED_PSGRS">"c2809"</definedName>
    <definedName name="IQ_AIR_FUEL_CONSUMED">"c2806"</definedName>
    <definedName name="IQ_AIR_FUEL_CONSUMED_L">"c2807"</definedName>
    <definedName name="IQ_AIR_FUEL_COST">"c2803"</definedName>
    <definedName name="IQ_AIR_FUEL_COST_L">"c2804"</definedName>
    <definedName name="IQ_AIR_FUEL_EXP">"c2802"</definedName>
    <definedName name="IQ_AIR_FUEL_EXP_PERCENT">"c2805"</definedName>
    <definedName name="IQ_AIR_LEASED">"c2835"</definedName>
    <definedName name="IQ_AIR_LOAD_FACTOR">"c2823"</definedName>
    <definedName name="IQ_AIR_NEW_AIRPLANES">"c2839"</definedName>
    <definedName name="IQ_AIR_OPER_EXP_ASK">"c2821"</definedName>
    <definedName name="IQ_AIR_OPER_EXP_ASM">"c2820"</definedName>
    <definedName name="IQ_AIR_OPER_LEASE">"c2834"</definedName>
    <definedName name="IQ_AIR_OPER_REV_YIELD_ASK">"c2819"</definedName>
    <definedName name="IQ_AIR_OPER_REV_YIELD_ASM">"c2818"</definedName>
    <definedName name="IQ_AIR_OPTIONS">"c2837"</definedName>
    <definedName name="IQ_AIR_ORDERS">"c2836"</definedName>
    <definedName name="IQ_AIR_OWNED">"c2832"</definedName>
    <definedName name="IQ_AIR_PSGR_REV_YIELD_ASK">"c2817"</definedName>
    <definedName name="IQ_AIR_PSGR_REV_YIELD_ASM">"c2816"</definedName>
    <definedName name="IQ_AIR_PSGR_REV_YIELD_RPK">"c2815"</definedName>
    <definedName name="IQ_AIR_PSGR_REV_YIELD_RPM">"c2814"</definedName>
    <definedName name="IQ_AIR_PURCHASE_RIGHTS">"c2838"</definedName>
    <definedName name="IQ_AIR_RETIRED_AIRPLANES">"c2840"</definedName>
    <definedName name="IQ_AIR_REV_PSGRS_CARRIED">"c2808"</definedName>
    <definedName name="IQ_AIR_REV_SCHEDULED_SERVICE">"c2830"</definedName>
    <definedName name="IQ_AIR_RPK">"c2811"</definedName>
    <definedName name="IQ_AIR_RPM">"c2810"</definedName>
    <definedName name="IQ_AIR_STAGE_LENGTH">"c2828"</definedName>
    <definedName name="IQ_AIR_STAGE_LENGTH_KM">"c2829"</definedName>
    <definedName name="IQ_AIR_TOTAL">"c2831"</definedName>
    <definedName name="IQ_AIR_UTILIZATION">"c2827"</definedName>
    <definedName name="IQ_ALLOW_BORROW_CONST">"c15"</definedName>
    <definedName name="IQ_ALLOW_CONST">"c1342"</definedName>
    <definedName name="IQ_ALLOW_DOUBT_ACCT">"c2092"</definedName>
    <definedName name="IQ_ALLOW_EQUITY_CONST">"c16"</definedName>
    <definedName name="IQ_ALLOW_LL">"c17"</definedName>
    <definedName name="IQ_ALLOWANCE_10YR_ANN_GROWTH">"c18"</definedName>
    <definedName name="IQ_ALLOWANCE_1YR_ANN_GROWTH">"c19"</definedName>
    <definedName name="IQ_ALLOWANCE_2YR_ANN_GROWTH">"c20"</definedName>
    <definedName name="IQ_ALLOWANCE_3YR_ANN_GROWTH">"c21"</definedName>
    <definedName name="IQ_ALLOWANCE_5YR_ANN_GROWTH">"c22"</definedName>
    <definedName name="IQ_ALLOWANCE_7YR_ANN_GROWTH">"c23"</definedName>
    <definedName name="IQ_ALLOWANCE_CHARGE_OFFS">"c24"</definedName>
    <definedName name="IQ_ALLOWANCE_NON_PERF_LOANS">"c25"</definedName>
    <definedName name="IQ_ALLOWANCE_TOTAL_LOANS">"c26"</definedName>
    <definedName name="IQ_AMORTIZATION">"c1591"</definedName>
    <definedName name="IQ_AMT_OUT">"c2145"</definedName>
    <definedName name="IQ_ANNU_DISTRIBUTION_UNIT">"c3004"</definedName>
    <definedName name="IQ_ANNUALIZED_DIVIDEND">"c1579"</definedName>
    <definedName name="IQ_ANNUITY_LIAB">"c27"</definedName>
    <definedName name="IQ_ANNUITY_PAY">"c28"</definedName>
    <definedName name="IQ_ANNUITY_POLICY_EXP">"c29"</definedName>
    <definedName name="IQ_ANNUITY_REC">"c30"</definedName>
    <definedName name="IQ_ANNUITY_REV">"c31"</definedName>
    <definedName name="IQ_AP">"c32"</definedName>
    <definedName name="IQ_AP_BNK">"c33"</definedName>
    <definedName name="IQ_AP_BR">"c34"</definedName>
    <definedName name="IQ_AP_FIN">"c35"</definedName>
    <definedName name="IQ_AP_INS">"c36"</definedName>
    <definedName name="IQ_AP_REIT">"c37"</definedName>
    <definedName name="IQ_AP_UTI">"c38"</definedName>
    <definedName name="IQ_APIC">"c39"</definedName>
    <definedName name="IQ_AR">"c40"</definedName>
    <definedName name="IQ_AR_BR">"c41"</definedName>
    <definedName name="IQ_AR_LT">"c42"</definedName>
    <definedName name="IQ_AR_REIT">"c43"</definedName>
    <definedName name="IQ_AR_TURNS">"c44"</definedName>
    <definedName name="IQ_AR_UTI">"c45"</definedName>
    <definedName name="IQ_ARPU">"c2126"</definedName>
    <definedName name="IQ_ASSET_MGMT_FEE">"c46"</definedName>
    <definedName name="IQ_ASSET_TURNS">"c47"</definedName>
    <definedName name="IQ_ASSET_WRITEDOWN">"c48"</definedName>
    <definedName name="IQ_ASSET_WRITEDOWN_BNK">"c49"</definedName>
    <definedName name="IQ_ASSET_WRITEDOWN_BR">"c50"</definedName>
    <definedName name="IQ_ASSET_WRITEDOWN_CF">"c51"</definedName>
    <definedName name="IQ_ASSET_WRITEDOWN_CF_BNK">"c52"</definedName>
    <definedName name="IQ_ASSET_WRITEDOWN_CF_BR">"c53"</definedName>
    <definedName name="IQ_ASSET_WRITEDOWN_CF_FIN">"c54"</definedName>
    <definedName name="IQ_ASSET_WRITEDOWN_CF_INS">"c55"</definedName>
    <definedName name="IQ_ASSET_WRITEDOWN_CF_REIT">"c56"</definedName>
    <definedName name="IQ_ASSET_WRITEDOWN_CF_UTI">"c57"</definedName>
    <definedName name="IQ_ASSET_WRITEDOWN_FIN">"c58"</definedName>
    <definedName name="IQ_ASSET_WRITEDOWN_INS">"c59"</definedName>
    <definedName name="IQ_ASSET_WRITEDOWN_REIT">"c60"</definedName>
    <definedName name="IQ_ASSET_WRITEDOWN_UTI">"c61"</definedName>
    <definedName name="IQ_ASSETS_CAP_LEASE_DEPR">"c2068"</definedName>
    <definedName name="IQ_ASSETS_CAP_LEASE_GROSS">"c2069"</definedName>
    <definedName name="IQ_ASSETS_OPER_LEASE_DEPR">"c2070"</definedName>
    <definedName name="IQ_ASSETS_OPER_LEASE_GROSS">"c2071"</definedName>
    <definedName name="IQ_ASSUMED_AH_EARNED">"c2741"</definedName>
    <definedName name="IQ_ASSUMED_EARNED">"c2731"</definedName>
    <definedName name="IQ_ASSUMED_LIFE_EARNED">"c2736"</definedName>
    <definedName name="IQ_ASSUMED_LIFE_IN_FORCE">"c2766"</definedName>
    <definedName name="IQ_ASSUMED_PC_EARNED">"c2746"</definedName>
    <definedName name="IQ_ASSUMED_WRITTEN">"c2725"</definedName>
    <definedName name="IQ_AUDITOR_NAME">"c1539"</definedName>
    <definedName name="IQ_AUDITOR_OPINION">"c1540"</definedName>
    <definedName name="IQ_AUTO_WRITTEN">"c62"</definedName>
    <definedName name="IQ_AVG_BANK_ASSETS">"c2072"</definedName>
    <definedName name="IQ_AVG_BANK_LOANS">"c2073"</definedName>
    <definedName name="IQ_AVG_BROKER_REC">"c63"</definedName>
    <definedName name="IQ_AVG_BROKER_REC_NO">"c64"</definedName>
    <definedName name="IQ_AVG_BROKER_REC_NO_REUT">"c5315"</definedName>
    <definedName name="IQ_AVG_BROKER_REC_REUT">"c3630"</definedName>
    <definedName name="IQ_AVG_DAILY_VOL">"c65"</definedName>
    <definedName name="IQ_AVG_INDUSTRY_REC">"c4455"</definedName>
    <definedName name="IQ_AVG_INT_BEAR_LIAB">"c66"</definedName>
    <definedName name="IQ_AVG_INT_BEAR_LIAB_10YR_ANN_GROWTH">"c67"</definedName>
    <definedName name="IQ_AVG_INT_BEAR_LIAB_1YR_ANN_GROWTH">"c68"</definedName>
    <definedName name="IQ_AVG_INT_BEAR_LIAB_2YR_ANN_GROWTH">"c69"</definedName>
    <definedName name="IQ_AVG_INT_BEAR_LIAB_3YR_ANN_GROWTH">"c70"</definedName>
    <definedName name="IQ_AVG_INT_BEAR_LIAB_5YR_ANN_GROWTH">"c71"</definedName>
    <definedName name="IQ_AVG_INT_BEAR_LIAB_7YR_ANN_GROWTH">"c72"</definedName>
    <definedName name="IQ_AVG_INT_EARN_ASSETS">"c73"</definedName>
    <definedName name="IQ_AVG_INT_EARN_ASSETS_10YR_ANN_GROWTH">"c74"</definedName>
    <definedName name="IQ_AVG_INT_EARN_ASSETS_1YR_ANN_GROWTH">"c75"</definedName>
    <definedName name="IQ_AVG_INT_EARN_ASSETS_2YR_ANN_GROWTH">"c76"</definedName>
    <definedName name="IQ_AVG_INT_EARN_ASSETS_3YR_ANN_GROWTH">"c77"</definedName>
    <definedName name="IQ_AVG_INT_EARN_ASSETS_5YR_ANN_GROWTH">"c78"</definedName>
    <definedName name="IQ_AVG_INT_EARN_ASSETS_7YR_ANN_GROWTH">"c79"</definedName>
    <definedName name="IQ_AVG_MKTCAP">"c80"</definedName>
    <definedName name="IQ_AVG_PRICE">"c81"</definedName>
    <definedName name="IQ_AVG_SHAREOUTSTANDING">"c83"</definedName>
    <definedName name="IQ_AVG_TEV">"c84"</definedName>
    <definedName name="IQ_AVG_VOLUME">"c1346"</definedName>
    <definedName name="IQ_BANK_DEBT">"c2544"</definedName>
    <definedName name="IQ_BANK_DEBT_PCT">"c2545"</definedName>
    <definedName name="IQ_BASIC_EPS_EXCL">"c85"</definedName>
    <definedName name="IQ_BASIC_EPS_INCL">"c86"</definedName>
    <definedName name="IQ_BASIC_NORMAL_EPS">"c1592"</definedName>
    <definedName name="IQ_BASIC_WEIGHT">"c87"</definedName>
    <definedName name="IQ_BENCHMARK_SECURITY">"c2154"</definedName>
    <definedName name="IQ_BENCHMARK_SPRD">"c2153"</definedName>
    <definedName name="IQ_BETA">"c2133"</definedName>
    <definedName name="IQ_BETA_1YR">"c1966"</definedName>
    <definedName name="IQ_BETA_1YR_RSQ">"c2132"</definedName>
    <definedName name="IQ_BETA_2YR">"c1965"</definedName>
    <definedName name="IQ_BETA_2YR_RSQ">"c2131"</definedName>
    <definedName name="IQ_BETA_5YR">"c88"</definedName>
    <definedName name="IQ_BETA_5YR_RSQ">"c2130"</definedName>
    <definedName name="IQ_BIG_INT_BEAR_CD">"c89"</definedName>
    <definedName name="IQ_BOARD_MEMBER">"c96"</definedName>
    <definedName name="IQ_BOARD_MEMBER_BACKGROUND">"c2101"</definedName>
    <definedName name="IQ_BOARD_MEMBER_TITLE">"c97"</definedName>
    <definedName name="IQ_BOND_COUPON">"c2183"</definedName>
    <definedName name="IQ_BOND_COUPON_TYPE">"c2184"</definedName>
    <definedName name="IQ_BOND_PRICE">"c2162"</definedName>
    <definedName name="IQ_BROK_COMISSION">"c98"</definedName>
    <definedName name="IQ_BROK_COMMISSION">"c3514"</definedName>
    <definedName name="IQ_BUILDINGS">"c99"</definedName>
    <definedName name="IQ_BUS_SEG_ASSETS">"c4067"</definedName>
    <definedName name="IQ_BUS_SEG_ASSETS_ABS">"c4089"</definedName>
    <definedName name="IQ_BUS_SEG_ASSETS_TOTAL">"c4112"</definedName>
    <definedName name="IQ_BUS_SEG_CAPEX">"c4079"</definedName>
    <definedName name="IQ_BUS_SEG_CAPEX_ABS">"c4101"</definedName>
    <definedName name="IQ_BUS_SEG_CAPEX_TOTAL">"c4116"</definedName>
    <definedName name="IQ_BUS_SEG_DA">"c4078"</definedName>
    <definedName name="IQ_BUS_SEG_DA_ABS">"c4100"</definedName>
    <definedName name="IQ_BUS_SEG_DA_TOTAL">"c4115"</definedName>
    <definedName name="IQ_BUS_SEG_EARNINGS_OP">"c4063"</definedName>
    <definedName name="IQ_BUS_SEG_EARNINGS_OP_ABS">"c4085"</definedName>
    <definedName name="IQ_BUS_SEG_EARNINGS_OP_TOTAL">"c4108"</definedName>
    <definedName name="IQ_BUS_SEG_EBT">"c4064"</definedName>
    <definedName name="IQ_BUS_SEG_EBT_ABS">"c4086"</definedName>
    <definedName name="IQ_BUS_SEG_EBT_TOTAL">"c4110"</definedName>
    <definedName name="IQ_BUS_SEG_GP">"c4066"</definedName>
    <definedName name="IQ_BUS_SEG_GP_ABS">"c4088"</definedName>
    <definedName name="IQ_BUS_SEG_GP_TOTAL">"c4109"</definedName>
    <definedName name="IQ_BUS_SEG_INC_TAX">"c4077"</definedName>
    <definedName name="IQ_BUS_SEG_INC_TAX_ABS">"c4099"</definedName>
    <definedName name="IQ_BUS_SEG_INC_TAX_TOTAL">"c4114"</definedName>
    <definedName name="IQ_BUS_SEG_INTEREST_EXP">"c4076"</definedName>
    <definedName name="IQ_BUS_SEG_INTEREST_EXP_ABS">"c4098"</definedName>
    <definedName name="IQ_BUS_SEG_INTEREST_EXP_TOTAL">"c4113"</definedName>
    <definedName name="IQ_BUS_SEG_NAME">"c5482"</definedName>
    <definedName name="IQ_BUS_SEG_NAME_ABS">"c5483"</definedName>
    <definedName name="IQ_BUS_SEG_NI">"c4065"</definedName>
    <definedName name="IQ_BUS_SEG_NI_ABS">"c4087"</definedName>
    <definedName name="IQ_BUS_SEG_NI_TOTAL">"c4111"</definedName>
    <definedName name="IQ_BUS_SEG_OPER_INC">"c4062"</definedName>
    <definedName name="IQ_BUS_SEG_OPER_INC_ABS">"c4084"</definedName>
    <definedName name="IQ_BUS_SEG_OPER_INC_TOTAL">"c4107"</definedName>
    <definedName name="IQ_BUS_SEG_REV">"c4068"</definedName>
    <definedName name="IQ_BUS_SEG_REV_ABS">"c4090"</definedName>
    <definedName name="IQ_BUS_SEG_REV_TOTAL">"c4106"</definedName>
    <definedName name="IQ_BUSINESS_DESCRIPTION">"c322"</definedName>
    <definedName name="IQ_BV_OVER_SHARES">"c1349"</definedName>
    <definedName name="IQ_BV_SHARE">"c100"</definedName>
    <definedName name="IQ_CABLE_ARPU">"c2869"</definedName>
    <definedName name="IQ_CABLE_ARPU_ANALOG">"c2864"</definedName>
    <definedName name="IQ_CABLE_ARPU_BASIC">"c2866"</definedName>
    <definedName name="IQ_CABLE_ARPU_BBAND">"c2867"</definedName>
    <definedName name="IQ_CABLE_ARPU_DIG">"c2865"</definedName>
    <definedName name="IQ_CABLE_ARPU_PHONE">"c2868"</definedName>
    <definedName name="IQ_CABLE_BASIC_PENETRATION">"c2850"</definedName>
    <definedName name="IQ_CABLE_BBAND_PENETRATION">"c2852"</definedName>
    <definedName name="IQ_CABLE_BBAND_PENETRATION_THP">"c2851"</definedName>
    <definedName name="IQ_CABLE_CHURN">"c2874"</definedName>
    <definedName name="IQ_CABLE_CHURN_BASIC">"c2871"</definedName>
    <definedName name="IQ_CABLE_CHURN_BBAND">"c2872"</definedName>
    <definedName name="IQ_CABLE_CHURN_DIG">"c2870"</definedName>
    <definedName name="IQ_CABLE_CHURN_PHONE">"c2873"</definedName>
    <definedName name="IQ_CABLE_HOMES_PER_MILE">"c2849"</definedName>
    <definedName name="IQ_CABLE_HP_BBAND">"c2845"</definedName>
    <definedName name="IQ_CABLE_HP_DIG">"c2844"</definedName>
    <definedName name="IQ_CABLE_HP_PHONE">"c2846"</definedName>
    <definedName name="IQ_CABLE_MILES_PASSED">"c2848"</definedName>
    <definedName name="IQ_CABLE_OTHER_REV">"c2882"</definedName>
    <definedName name="IQ_CABLE_PHONE_PENETRATION">"c2853"</definedName>
    <definedName name="IQ_CABLE_PROGRAMMING_COSTS">"c2884"</definedName>
    <definedName name="IQ_CABLE_REV_ADVERT">"c2880"</definedName>
    <definedName name="IQ_CABLE_REV_ANALOG">"c2875"</definedName>
    <definedName name="IQ_CABLE_REV_BASIC">"c2877"</definedName>
    <definedName name="IQ_CABLE_REV_BBAND">"c2878"</definedName>
    <definedName name="IQ_CABLE_REV_COMMERCIAL">"c2881"</definedName>
    <definedName name="IQ_CABLE_REV_DIG">"c2876"</definedName>
    <definedName name="IQ_CABLE_REV_PHONE">"c2879"</definedName>
    <definedName name="IQ_CABLE_RGU">"c2863"</definedName>
    <definedName name="IQ_CABLE_SUBS_ANALOG">"c2855"</definedName>
    <definedName name="IQ_CABLE_SUBS_BASIC">"c2857"</definedName>
    <definedName name="IQ_CABLE_SUBS_BBAND">"c2858"</definedName>
    <definedName name="IQ_CABLE_SUBS_BUNDLED">"c2861"</definedName>
    <definedName name="IQ_CABLE_SUBS_DIG">"c2856"</definedName>
    <definedName name="IQ_CABLE_SUBS_NON_VIDEO">"c2860"</definedName>
    <definedName name="IQ_CABLE_SUBS_PHONE">"c2859"</definedName>
    <definedName name="IQ_CABLE_SUBS_TOTAL">"c2862"</definedName>
    <definedName name="IQ_CABLE_THP">"c2847"</definedName>
    <definedName name="IQ_CABLE_TOTAL_PENETRATION">"c2854"</definedName>
    <definedName name="IQ_CABLE_TOTAL_REV">"c2883"</definedName>
    <definedName name="IQ_CAL_Q">"c101"</definedName>
    <definedName name="IQ_CAL_Y">"c102"</definedName>
    <definedName name="IQ_CALC_TYPE_BS">"c3086"</definedName>
    <definedName name="IQ_CALC_TYPE_CF">"c3085"</definedName>
    <definedName name="IQ_CALC_TYPE_IS">"c3084"</definedName>
    <definedName name="IQ_CALL_DATE_SCHEDULE">"c2481"</definedName>
    <definedName name="IQ_CALL_FEATURE">"c2197"</definedName>
    <definedName name="IQ_CALL_PRICE_SCHEDULE">"c2482"</definedName>
    <definedName name="IQ_CALLABLE">"c2196"</definedName>
    <definedName name="IQ_CAP_LOSS_CF_1YR">"c3474"</definedName>
    <definedName name="IQ_CAP_LOSS_CF_2YR">"c3475"</definedName>
    <definedName name="IQ_CAP_LOSS_CF_3YR">"c3476"</definedName>
    <definedName name="IQ_CAP_LOSS_CF_4YR">"c3477"</definedName>
    <definedName name="IQ_CAP_LOSS_CF_5YR">"c3478"</definedName>
    <definedName name="IQ_CAP_LOSS_CF_AFTER_FIVE">"c3479"</definedName>
    <definedName name="IQ_CAP_LOSS_CF_MAX_YEAR">"c3482"</definedName>
    <definedName name="IQ_CAP_LOSS_CF_NO_EXP">"c3480"</definedName>
    <definedName name="IQ_CAP_LOSS_CF_TOTAL">"c3481"</definedName>
    <definedName name="IQ_CAPEX">"c103"</definedName>
    <definedName name="IQ_CAPEX_10YR_ANN_GROWTH">"c104"</definedName>
    <definedName name="IQ_CAPEX_1YR_ANN_GROWTH">"c105"</definedName>
    <definedName name="IQ_CAPEX_2YR_ANN_GROWTH">"c106"</definedName>
    <definedName name="IQ_CAPEX_3YR_ANN_GROWTH">"c107"</definedName>
    <definedName name="IQ_CAPEX_5YR_ANN_GROWTH">"c108"</definedName>
    <definedName name="IQ_CAPEX_7YR_ANN_GROWTH">"c109"</definedName>
    <definedName name="IQ_CAPEX_BNK">"c110"</definedName>
    <definedName name="IQ_CAPEX_BR">"c111"</definedName>
    <definedName name="IQ_CAPEX_FIN">"c112"</definedName>
    <definedName name="IQ_CAPEX_INS">"c113"</definedName>
    <definedName name="IQ_CAPEX_UTI">"c114"</definedName>
    <definedName name="IQ_CAPITAL_LEASE">"c1350"</definedName>
    <definedName name="IQ_CAPITAL_LEASES">"c115"</definedName>
    <definedName name="IQ_CAPITAL_LEASES_TOTAL">"c3031"</definedName>
    <definedName name="IQ_CAPITAL_LEASES_TOTAL_PCT">"c2506"</definedName>
    <definedName name="IQ_CAPITALIZED_INTEREST" localSheetId="16" hidden="1">"c3460"</definedName>
    <definedName name="IQ_CAPITALIZED_INTEREST">"c2076"</definedName>
    <definedName name="IQ_CAPITALIZED_INTEREST_BOP">"c3459"</definedName>
    <definedName name="IQ_CAPITALIZED_INTEREST_EOP">"c3464"</definedName>
    <definedName name="IQ_CAPITALIZED_INTEREST_EXP">"c3461"</definedName>
    <definedName name="IQ_CAPITALIZED_INTEREST_OTHER_ADJ">"c3463"</definedName>
    <definedName name="IQ_CAPITALIZED_INTEREST_WRITE_OFF">"c3462"</definedName>
    <definedName name="IQ_CASH">"c1458"</definedName>
    <definedName name="IQ_CASH_ACQUIRE_CF">"c116"</definedName>
    <definedName name="IQ_CASH_CONVERSION">"c117"</definedName>
    <definedName name="IQ_CASH_DUE_BANKS">"c1351"</definedName>
    <definedName name="IQ_CASH_EQUIV">"c118"</definedName>
    <definedName name="IQ_CASH_FINAN">"c119"</definedName>
    <definedName name="IQ_CASH_FLOW_ACT_OR_EST">"c4154"</definedName>
    <definedName name="IQ_CASH_INTEREST">"c120"</definedName>
    <definedName name="IQ_CASH_INVEST">"c121"</definedName>
    <definedName name="IQ_CASH_OPER">"c122"</definedName>
    <definedName name="IQ_CASH_OPER_ACT_OR_EST">"c4164"</definedName>
    <definedName name="IQ_CASH_SEGREG">"c123"</definedName>
    <definedName name="IQ_CASH_SHARE">"c1911"</definedName>
    <definedName name="IQ_CASH_ST">"c1355"</definedName>
    <definedName name="IQ_CASH_ST_INVEST">"c124"</definedName>
    <definedName name="IQ_CASH_TAXES">"c125"</definedName>
    <definedName name="IQ_CEDED_AH_EARNED">"c2743"</definedName>
    <definedName name="IQ_CEDED_CLAIM_EXP_INCUR">"c2756"</definedName>
    <definedName name="IQ_CEDED_CLAIM_EXP_PAID">"c2759"</definedName>
    <definedName name="IQ_CEDED_CLAIM_EXP_RES">"c2753"</definedName>
    <definedName name="IQ_CEDED_EARNED">"c2733"</definedName>
    <definedName name="IQ_CEDED_LIFE_EARNED">"c2738"</definedName>
    <definedName name="IQ_CEDED_LIFE_IN_FORCE">"c2768"</definedName>
    <definedName name="IQ_CEDED_PC_EARNED">"c2748"</definedName>
    <definedName name="IQ_CEDED_WRITTEN">"c2727"</definedName>
    <definedName name="IQ_CFO_10YR_ANN_GROWTH">"c126"</definedName>
    <definedName name="IQ_CFO_1YR_ANN_GROWTH">"c127"</definedName>
    <definedName name="IQ_CFO_2YR_ANN_GROWTH">"c128"</definedName>
    <definedName name="IQ_CFO_3YR_ANN_GROWTH">"c129"</definedName>
    <definedName name="IQ_CFO_5YR_ANN_GROWTH">"c130"</definedName>
    <definedName name="IQ_CFO_7YR_ANN_GROWTH">"c131"</definedName>
    <definedName name="IQ_CFO_CURRENT_LIAB">"c132"</definedName>
    <definedName name="IQ_CHANGE_AP">"c133"</definedName>
    <definedName name="IQ_CHANGE_AP_BNK">"c134"</definedName>
    <definedName name="IQ_CHANGE_AP_BR">"c135"</definedName>
    <definedName name="IQ_CHANGE_AP_FIN">"c136"</definedName>
    <definedName name="IQ_CHANGE_AP_INS">"c137"</definedName>
    <definedName name="IQ_CHANGE_AP_REIT">"c138"</definedName>
    <definedName name="IQ_CHANGE_AP_UTI">"c139"</definedName>
    <definedName name="IQ_CHANGE_AR">"c140"</definedName>
    <definedName name="IQ_CHANGE_AR_BNK">"c141"</definedName>
    <definedName name="IQ_CHANGE_AR_BR">"c142"</definedName>
    <definedName name="IQ_CHANGE_AR_FIN">"c143"</definedName>
    <definedName name="IQ_CHANGE_AR_INS">"c144"</definedName>
    <definedName name="IQ_CHANGE_AR_REIT">"c145"</definedName>
    <definedName name="IQ_CHANGE_AR_UTI">"c146"</definedName>
    <definedName name="IQ_CHANGE_DEF_TAX">"c147"</definedName>
    <definedName name="IQ_CHANGE_DEPOSIT_ACCT">"c148"</definedName>
    <definedName name="IQ_CHANGE_INC_TAX">"c149"</definedName>
    <definedName name="IQ_CHANGE_INS_RES_LIAB">"c150"</definedName>
    <definedName name="IQ_CHANGE_INVENTORY">"c151"</definedName>
    <definedName name="IQ_CHANGE_NET_OPER_ASSETS">"c3592"</definedName>
    <definedName name="IQ_CHANGE_NET_WORKING_CAPITAL">"c1909"</definedName>
    <definedName name="IQ_CHANGE_OTHER_NET_OPER_ASSETS">"c3593"</definedName>
    <definedName name="IQ_CHANGE_OTHER_NET_OPER_ASSETS_BNK">"c3594"</definedName>
    <definedName name="IQ_CHANGE_OTHER_NET_OPER_ASSETS_BR">"c3595"</definedName>
    <definedName name="IQ_CHANGE_OTHER_NET_OPER_ASSETS_FIN">"c3596"</definedName>
    <definedName name="IQ_CHANGE_OTHER_NET_OPER_ASSETS_INS">"c3597"</definedName>
    <definedName name="IQ_CHANGE_OTHER_NET_OPER_ASSETS_REIT">"c3598"</definedName>
    <definedName name="IQ_CHANGE_OTHER_NET_OPER_ASSETS_UTI">"c3599"</definedName>
    <definedName name="IQ_CHANGE_OTHER_WORK_CAP">"c152"</definedName>
    <definedName name="IQ_CHANGE_OTHER_WORK_CAP_BNK">"c153"</definedName>
    <definedName name="IQ_CHANGE_OTHER_WORK_CAP_BR">"c154"</definedName>
    <definedName name="IQ_CHANGE_OTHER_WORK_CAP_FIN">"c155"</definedName>
    <definedName name="IQ_CHANGE_OTHER_WORK_CAP_INS">"c156"</definedName>
    <definedName name="IQ_CHANGE_OTHER_WORK_CAP_REIT">"c157"</definedName>
    <definedName name="IQ_CHANGE_OTHER_WORK_CAP_UTI">"c158"</definedName>
    <definedName name="IQ_CHANGE_TRADING_ASSETS">"c159"</definedName>
    <definedName name="IQ_CHANGE_UNEARN_REV">"c160"</definedName>
    <definedName name="IQ_CHANGE_WORK_CAP">"c161"</definedName>
    <definedName name="IQ_CHANGES_WORK_CAP">"c1357"</definedName>
    <definedName name="IQ_CHARGE_OFFS_GROSS">"c162"</definedName>
    <definedName name="IQ_CHARGE_OFFS_NET">"c163"</definedName>
    <definedName name="IQ_CHARGE_OFFS_RECOVERED">"c164"</definedName>
    <definedName name="IQ_CHARGE_OFFS_TOTAL_AVG_LOANS">"c165"</definedName>
    <definedName name="IQ_CITY">"c166"</definedName>
    <definedName name="IQ_CL_DUE_AFTER_FIVE">"c167"</definedName>
    <definedName name="IQ_CL_DUE_CY">"c168"</definedName>
    <definedName name="IQ_CL_DUE_CY1">"c169"</definedName>
    <definedName name="IQ_CL_DUE_CY2">"c170"</definedName>
    <definedName name="IQ_CL_DUE_CY3">"c171"</definedName>
    <definedName name="IQ_CL_DUE_CY4">"c172"</definedName>
    <definedName name="IQ_CL_DUE_NEXT_FIVE">"c173"</definedName>
    <definedName name="IQ_CL_OBLIGATION_IMMEDIATE">"c2253"</definedName>
    <definedName name="IQ_CLASSA_OPTIONS_BEG_OS">"c2679"</definedName>
    <definedName name="IQ_CLASSA_OPTIONS_CANCELLED">"c2682"</definedName>
    <definedName name="IQ_CLASSA_OPTIONS_END_OS">"c2683"</definedName>
    <definedName name="IQ_CLASSA_OPTIONS_EXERCISED">"c2681"</definedName>
    <definedName name="IQ_CLASSA_OPTIONS_GRANTED">"c2680"</definedName>
    <definedName name="IQ_CLASSA_OPTIONS_STRIKE_PRICE_OS">"c2684"</definedName>
    <definedName name="IQ_CLASSA_OUTSTANDING_BS_DATE">"c1971"</definedName>
    <definedName name="IQ_CLASSA_OUTSTANDING_FILING_DATE">"c1973"</definedName>
    <definedName name="IQ_CLASSA_STRIKE_PRICE_GRANTED">"c2685"</definedName>
    <definedName name="IQ_CLASSA_WARRANTS_BEG_OS">"c2705"</definedName>
    <definedName name="IQ_CLASSA_WARRANTS_CANCELLED">"c2708"</definedName>
    <definedName name="IQ_CLASSA_WARRANTS_END_OS">"c2709"</definedName>
    <definedName name="IQ_CLASSA_WARRANTS_EXERCISED">"c2707"</definedName>
    <definedName name="IQ_CLASSA_WARRANTS_ISSUED">"c2706"</definedName>
    <definedName name="IQ_CLASSA_WARRANTS_STRIKE_PRICE_ISSUED">"c2711"</definedName>
    <definedName name="IQ_CLASSA_WARRANTS_STRIKE_PRICE_OS">"c2710"</definedName>
    <definedName name="IQ_CLOSEPRICE">"c174"</definedName>
    <definedName name="IQ_CLOSEPRICE_ADJ">"c2115"</definedName>
    <definedName name="IQ_COGS">"c175"</definedName>
    <definedName name="IQ_COMBINED_RATIO">"c176"</definedName>
    <definedName name="IQ_COMMERCIAL_DOM">"c177"</definedName>
    <definedName name="IQ_COMMERCIAL_FIRE_WRITTEN">"c178"</definedName>
    <definedName name="IQ_COMMERCIAL_MORT">"c179"</definedName>
    <definedName name="IQ_COMMISS_FEES" hidden="1">"c180"</definedName>
    <definedName name="IQ_COMMISSION_DEF">"c181"</definedName>
    <definedName name="IQ_COMMON">"c182"</definedName>
    <definedName name="IQ_COMMON_APIC" hidden="1">"c183"</definedName>
    <definedName name="IQ_COMMON_APIC_BNK">"c184"</definedName>
    <definedName name="IQ_COMMON_APIC_BR">"c185"</definedName>
    <definedName name="IQ_COMMON_APIC_FIN">"c186"</definedName>
    <definedName name="IQ_COMMON_APIC_INS">"c187"</definedName>
    <definedName name="IQ_COMMON_APIC_REIT">"c188"</definedName>
    <definedName name="IQ_COMMON_APIC_UTI" hidden="1">"c189"</definedName>
    <definedName name="IQ_COMMON_DIV">"c3006"</definedName>
    <definedName name="IQ_COMMON_DIV_CF">"c190"</definedName>
    <definedName name="IQ_COMMON_EQUITY_10YR_ANN_GROWTH" hidden="1">"c191"</definedName>
    <definedName name="IQ_COMMON_EQUITY_1YR_ANN_GROWTH">"c192"</definedName>
    <definedName name="IQ_COMMON_EQUITY_2YR_ANN_GROWTH">"c193"</definedName>
    <definedName name="IQ_COMMON_EQUITY_3YR_ANN_GROWTH">"c194"</definedName>
    <definedName name="IQ_COMMON_EQUITY_5YR_ANN_GROWTH">"c195"</definedName>
    <definedName name="IQ_COMMON_EQUITY_7YR_ANN_GROWTH" hidden="1">"c196"</definedName>
    <definedName name="IQ_COMMON_ISSUED">"c197"</definedName>
    <definedName name="IQ_COMMON_ISSUED_BNK">"c198"</definedName>
    <definedName name="IQ_COMMON_ISSUED_BR">"c199"</definedName>
    <definedName name="IQ_COMMON_ISSUED_FIN">"c200"</definedName>
    <definedName name="IQ_COMMON_ISSUED_INS">"c201"</definedName>
    <definedName name="IQ_COMMON_ISSUED_REIT" hidden="1">"c202"</definedName>
    <definedName name="IQ_COMMON_ISSUED_UTI">"c203"</definedName>
    <definedName name="IQ_COMMON_PER_ADR">"c204"</definedName>
    <definedName name="IQ_COMMON_PREF_DIV_CF">"c205"</definedName>
    <definedName name="IQ_COMMON_REP" hidden="1">"c206"</definedName>
    <definedName name="IQ_COMMON_REP_BNK">"c207"</definedName>
    <definedName name="IQ_COMMON_REP_BR">"c208"</definedName>
    <definedName name="IQ_COMMON_REP_FIN">"c209"</definedName>
    <definedName name="IQ_COMMON_REP_INS">"c210"</definedName>
    <definedName name="IQ_COMMON_REP_REIT" hidden="1">"c211"</definedName>
    <definedName name="IQ_COMMON_REP_UTI">"c212"</definedName>
    <definedName name="IQ_COMMON_STOCK">"c1358"</definedName>
    <definedName name="IQ_COMP_BENEFITS">"c213"</definedName>
    <definedName name="IQ_COMPANY_ADDRESS">"c214"</definedName>
    <definedName name="IQ_COMPANY_ID" hidden="1">"c3513"</definedName>
    <definedName name="IQ_COMPANY_NAME">"c215"</definedName>
    <definedName name="IQ_COMPANY_NAME_LONG">"c1585"</definedName>
    <definedName name="IQ_COMPANY_PHONE">"c216"</definedName>
    <definedName name="IQ_COMPANY_STATUS">"c2097"</definedName>
    <definedName name="IQ_COMPANY_STREET1">"c217"</definedName>
    <definedName name="IQ_COMPANY_STREET2">"c218"</definedName>
    <definedName name="IQ_COMPANY_TICKER" hidden="1">"c219"</definedName>
    <definedName name="IQ_COMPANY_TYPE">"c2096"</definedName>
    <definedName name="IQ_COMPANY_WEBSITE">"c220"</definedName>
    <definedName name="IQ_COMPANY_ZIP" hidden="1">"c221"</definedName>
    <definedName name="IQ_CONSTRUCTION_LOANS">"c222"</definedName>
    <definedName name="IQ_CONSUMER_LOANS">"c223"</definedName>
    <definedName name="IQ_CONV_DATE">"c2191"</definedName>
    <definedName name="IQ_CONV_EXP_DATE" hidden="1">"c3043"</definedName>
    <definedName name="IQ_CONV_PREMIUM">"c2195"</definedName>
    <definedName name="IQ_CONV_PRICE">"c2193"</definedName>
    <definedName name="IQ_CONV_RATE" hidden="1">"c2192"</definedName>
    <definedName name="IQ_CONV_RATIO">"c2192"</definedName>
    <definedName name="IQ_CONV_SECURITY">"c2189"</definedName>
    <definedName name="IQ_CONV_SECURITY_ISSUER">"c2190"</definedName>
    <definedName name="IQ_CONV_SECURITY_PRICE">"c2194"</definedName>
    <definedName name="IQ_CONVERT">"c2536"</definedName>
    <definedName name="IQ_CONVERT_PCT">"c2537"</definedName>
    <definedName name="IQ_CONVEXITY">"c2182"</definedName>
    <definedName name="IQ_COST_BORROWING">"c2936"</definedName>
    <definedName name="IQ_COST_BORROWINGS">"c225"</definedName>
    <definedName name="IQ_COST_REV">"c226"</definedName>
    <definedName name="IQ_COST_REVENUE">"c1359"</definedName>
    <definedName name="IQ_COST_SAVINGS">"c227"</definedName>
    <definedName name="IQ_COST_SERVICE">"c228"</definedName>
    <definedName name="IQ_COST_TOTAL_BORROWINGS">"c229"</definedName>
    <definedName name="IQ_COUNTRY_NAME">"c230"</definedName>
    <definedName name="IQ_COVERED_POPS">"c2124"</definedName>
    <definedName name="IQ_CP">"c2495"</definedName>
    <definedName name="IQ_CP_PCT">"c2496"</definedName>
    <definedName name="IQ_CQ">5000</definedName>
    <definedName name="IQ_CREDIT_CARD_FEE_BNK">"c231"</definedName>
    <definedName name="IQ_CREDIT_CARD_FEE_FIN">"c1583"</definedName>
    <definedName name="IQ_CREDIT_LOSS_CF">"c232"</definedName>
    <definedName name="IQ_CUMULATIVE_SPLIT_FACTOR">"c2094"</definedName>
    <definedName name="IQ_CURR_DOMESTIC_TAXES">"c2074"</definedName>
    <definedName name="IQ_CURR_FOREIGN_TAXES">"c2075"</definedName>
    <definedName name="IQ_CURRENCY_FACTOR_BS">"c233"</definedName>
    <definedName name="IQ_CURRENCY_FACTOR_IS">"c234"</definedName>
    <definedName name="IQ_CURRENCY_GAIN">"c235"</definedName>
    <definedName name="IQ_CURRENCY_GAIN_BR">"c236"</definedName>
    <definedName name="IQ_CURRENCY_GAIN_FIN">"c237"</definedName>
    <definedName name="IQ_CURRENCY_GAIN_INS">"c238"</definedName>
    <definedName name="IQ_CURRENCY_GAIN_REIT">"c239"</definedName>
    <definedName name="IQ_CURRENCY_GAIN_UTI">"c240"</definedName>
    <definedName name="IQ_CURRENT_PORT">"c241"</definedName>
    <definedName name="IQ_CURRENT_PORT_BNK">"c242"</definedName>
    <definedName name="IQ_CURRENT_PORT_DEBT">"c243"</definedName>
    <definedName name="IQ_CURRENT_PORT_DEBT_BNK">"c244"</definedName>
    <definedName name="IQ_CURRENT_PORT_DEBT_BR">"c1567"</definedName>
    <definedName name="IQ_CURRENT_PORT_DEBT_FIN">"c1568"</definedName>
    <definedName name="IQ_CURRENT_PORT_DEBT_INS">"c1569"</definedName>
    <definedName name="IQ_CURRENT_PORT_DEBT_REIT">"c1570"</definedName>
    <definedName name="IQ_CURRENT_PORT_DEBT_UTI">"c1571"</definedName>
    <definedName name="IQ_CURRENT_PORT_LEASES">"c245"</definedName>
    <definedName name="IQ_CURRENT_PORT_PCT">"c2541"</definedName>
    <definedName name="IQ_CURRENT_RATIO">"c246"</definedName>
    <definedName name="IQ_CUSIP">"c2245"</definedName>
    <definedName name="IQ_CY">10000</definedName>
    <definedName name="IQ_DA">"c247"</definedName>
    <definedName name="IQ_DA_BR">"c248"</definedName>
    <definedName name="IQ_DA_CF">"c249"</definedName>
    <definedName name="IQ_DA_CF_BNK">"c250"</definedName>
    <definedName name="IQ_DA_CF_BR">"c251"</definedName>
    <definedName name="IQ_DA_CF_FIN">"c252"</definedName>
    <definedName name="IQ_DA_CF_INS">"c253"</definedName>
    <definedName name="IQ_DA_CF_REIT">"c254"</definedName>
    <definedName name="IQ_DA_CF_UTI">"c255"</definedName>
    <definedName name="IQ_DA_EBITDA">"c5528"</definedName>
    <definedName name="IQ_DA_FIN">"c256"</definedName>
    <definedName name="IQ_DA_INS">"c257"</definedName>
    <definedName name="IQ_DA_REIT">"c258"</definedName>
    <definedName name="IQ_DA_SUPPL">"c259"</definedName>
    <definedName name="IQ_DA_SUPPL_BR">"c260"</definedName>
    <definedName name="IQ_DA_SUPPL_CF">"c261"</definedName>
    <definedName name="IQ_DA_SUPPL_CF_BNK">"c262"</definedName>
    <definedName name="IQ_DA_SUPPL_CF_BR">"c263"</definedName>
    <definedName name="IQ_DA_SUPPL_CF_FIN">"c264"</definedName>
    <definedName name="IQ_DA_SUPPL_CF_INS">"c265"</definedName>
    <definedName name="IQ_DA_SUPPL_CF_REIT">"c266"</definedName>
    <definedName name="IQ_DA_SUPPL_CF_UTI">"c267"</definedName>
    <definedName name="IQ_DA_SUPPL_FIN">"c268"</definedName>
    <definedName name="IQ_DA_SUPPL_INS">"c269"</definedName>
    <definedName name="IQ_DA_SUPPL_REIT">"c270"</definedName>
    <definedName name="IQ_DA_SUPPL_UTI">"c271"</definedName>
    <definedName name="IQ_DA_UTI">"c272"</definedName>
    <definedName name="IQ_DATED_DATE">"c2185"</definedName>
    <definedName name="IQ_DAY_COUNT">"c2161"</definedName>
    <definedName name="IQ_DAYS_COVER_SHORT">"c1578"</definedName>
    <definedName name="IQ_DAYS_INVENTORY_OUT">"c273"</definedName>
    <definedName name="IQ_DAYS_PAY_OUTST">"c1362"</definedName>
    <definedName name="IQ_DAYS_PAYABLE_OUT">"c274"</definedName>
    <definedName name="IQ_DAYS_SALES_OUT">"c275"</definedName>
    <definedName name="IQ_DAYS_SALES_OUTST">"c1363"</definedName>
    <definedName name="IQ_DEBT_ADJ">"c2515"</definedName>
    <definedName name="IQ_DEBT_ADJ_PCT">"c2516"</definedName>
    <definedName name="IQ_DEBT_EQUIV_NET_PBO">"c2938"</definedName>
    <definedName name="IQ_DEBT_EQUIV_OPER_LEASE">"c2935"</definedName>
    <definedName name="IQ_DEF_ACQ_CST">"c1364"</definedName>
    <definedName name="IQ_DEF_AMORT">"c276"</definedName>
    <definedName name="IQ_DEF_AMORT_BNK">"c277"</definedName>
    <definedName name="IQ_DEF_AMORT_BR">"c278"</definedName>
    <definedName name="IQ_DEF_AMORT_FIN">"c279"</definedName>
    <definedName name="IQ_DEF_AMORT_INS">"c280"</definedName>
    <definedName name="IQ_DEF_AMORT_REIT">"c281"</definedName>
    <definedName name="IQ_DEF_AMORT_UTI">"c282"</definedName>
    <definedName name="IQ_DEF_BENEFIT_INTEREST_COST">"c283"</definedName>
    <definedName name="IQ_DEF_BENEFIT_INTEREST_COST_DOMESTIC">"c2652"</definedName>
    <definedName name="IQ_DEF_BENEFIT_INTEREST_COST_FOREIGN">"c2660"</definedName>
    <definedName name="IQ_DEF_BENEFIT_OTHER_COST">"c284"</definedName>
    <definedName name="IQ_DEF_BENEFIT_OTHER_COST_DOMESTIC">"c2654"</definedName>
    <definedName name="IQ_DEF_BENEFIT_OTHER_COST_FOREIGN">"c2662"</definedName>
    <definedName name="IQ_DEF_BENEFIT_ROA">"c285"</definedName>
    <definedName name="IQ_DEF_BENEFIT_ROA_DOMESTIC">"c2653"</definedName>
    <definedName name="IQ_DEF_BENEFIT_ROA_FOREIGN">"c2661"</definedName>
    <definedName name="IQ_DEF_BENEFIT_SERVICE_COST">"c286"</definedName>
    <definedName name="IQ_DEF_BENEFIT_SERVICE_COST_DOMESTIC">"c2651"</definedName>
    <definedName name="IQ_DEF_BENEFIT_SERVICE_COST_FOREIGN">"c2659"</definedName>
    <definedName name="IQ_DEF_BENEFIT_TOTAL_COST">"c287"</definedName>
    <definedName name="IQ_DEF_BENEFIT_TOTAL_COST_DOMESTIC">"c2655"</definedName>
    <definedName name="IQ_DEF_BENEFIT_TOTAL_COST_FOREIGN">"c2663"</definedName>
    <definedName name="IQ_DEF_CHARGES_BR">"c288"</definedName>
    <definedName name="IQ_DEF_CHARGES_CF">"c289"</definedName>
    <definedName name="IQ_DEF_CHARGES_FIN">"c290"</definedName>
    <definedName name="IQ_DEF_CHARGES_INS">"c291"</definedName>
    <definedName name="IQ_DEF_CHARGES_LT">"c292"</definedName>
    <definedName name="IQ_DEF_CHARGES_LT_BNK">"c293"</definedName>
    <definedName name="IQ_DEF_CHARGES_LT_BR">"c294"</definedName>
    <definedName name="IQ_DEF_CHARGES_LT_FIN">"c295"</definedName>
    <definedName name="IQ_DEF_CHARGES_LT_INS">"c296"</definedName>
    <definedName name="IQ_DEF_CHARGES_LT_REIT">"c297"</definedName>
    <definedName name="IQ_DEF_CHARGES_LT_UTI">"c298"</definedName>
    <definedName name="IQ_DEF_CHARGES_REIT">"c299"</definedName>
    <definedName name="IQ_DEF_CONTRIBUTION_TOTAL_COST">"c300"</definedName>
    <definedName name="IQ_DEF_INC_TAX">"c1365"</definedName>
    <definedName name="IQ_DEF_POLICY_ACQ_COSTS">"c301"</definedName>
    <definedName name="IQ_DEF_POLICY_ACQ_COSTS_CF">"c302"</definedName>
    <definedName name="IQ_DEF_POLICY_AMORT">"c303"</definedName>
    <definedName name="IQ_DEF_TAX_ASSET_LT_BR">"c304"</definedName>
    <definedName name="IQ_DEF_TAX_ASSET_LT_FIN">"c305"</definedName>
    <definedName name="IQ_DEF_TAX_ASSET_LT_INS">"c306"</definedName>
    <definedName name="IQ_DEF_TAX_ASSET_LT_REIT">"c307"</definedName>
    <definedName name="IQ_DEF_TAX_ASSET_LT_UTI">"c308"</definedName>
    <definedName name="IQ_DEF_TAX_ASSETS_CURRENT">"c309"</definedName>
    <definedName name="IQ_DEF_TAX_ASSETS_LT">"c310"</definedName>
    <definedName name="IQ_DEF_TAX_ASSETS_LT_BNK">"c311"</definedName>
    <definedName name="IQ_DEF_TAX_LIAB_CURRENT">"c312"</definedName>
    <definedName name="IQ_DEF_TAX_LIAB_LT">"c313"</definedName>
    <definedName name="IQ_DEF_TAX_LIAB_LT_BNK">"c314"</definedName>
    <definedName name="IQ_DEF_TAX_LIAB_LT_BR">"c315"</definedName>
    <definedName name="IQ_DEF_TAX_LIAB_LT_FIN">"c316"</definedName>
    <definedName name="IQ_DEF_TAX_LIAB_LT_INS">"c317"</definedName>
    <definedName name="IQ_DEF_TAX_LIAB_LT_REIT">"c318"</definedName>
    <definedName name="IQ_DEF_TAX_LIAB_LT_UTI">"c319"</definedName>
    <definedName name="IQ_DEFERRED_DOMESTIC_TAXES">"c2077"</definedName>
    <definedName name="IQ_DEFERRED_FOREIGN_TAXES">"c2078"</definedName>
    <definedName name="IQ_DEFERRED_INC_TAX">"c1447"</definedName>
    <definedName name="IQ_DEFERRED_TAXES">"c1356"</definedName>
    <definedName name="IQ_DEMAND_DEP">"c320"</definedName>
    <definedName name="IQ_DEPOSITS_FIN">"c321"</definedName>
    <definedName name="IQ_DEPOSITS_INTEREST_SECURITIES">"c5509"</definedName>
    <definedName name="IQ_DEPRE_AMORT">"c1360"</definedName>
    <definedName name="IQ_DEPRE_AMORT_SUPPL">"c1593"</definedName>
    <definedName name="IQ_DEPRE_DEPLE">"c1361"</definedName>
    <definedName name="IQ_DEPRE_SUPP">"c1443"</definedName>
    <definedName name="IQ_DESCRIPTION_LONG">"c1520"</definedName>
    <definedName name="IQ_DEVELOP_LAND">"c323"</definedName>
    <definedName name="IQ_DIFF_LASTCLOSE_TARGET_PRICE" hidden="1">"c1854"</definedName>
    <definedName name="IQ_DILUT_ADJUST">"c1621"</definedName>
    <definedName name="IQ_DILUT_EPS_EXCL">"c324"</definedName>
    <definedName name="IQ_DILUT_EPS_INCL">"c325"</definedName>
    <definedName name="IQ_DILUT_EPS_NORM">"c1903"</definedName>
    <definedName name="IQ_DILUT_NI">"c2079"</definedName>
    <definedName name="IQ_DILUT_NORMAL_EPS">"c1594"</definedName>
    <definedName name="IQ_DILUT_WEIGHT">"c326"</definedName>
    <definedName name="IQ_DIRECT_AH_EARNED">"c2740"</definedName>
    <definedName name="IQ_DIRECT_EARNED">"c2730"</definedName>
    <definedName name="IQ_DIRECT_LIFE_EARNED">"c2735"</definedName>
    <definedName name="IQ_DIRECT_LIFE_IN_FORCE">"c2765"</definedName>
    <definedName name="IQ_DIRECT_PC_EARNED">"c2745"</definedName>
    <definedName name="IQ_DIRECT_WRITTEN">"c2724"</definedName>
    <definedName name="IQ_DISCONT_OPER">"c1367"</definedName>
    <definedName name="IQ_DISCOUNT_RATE_PENSION_DOMESTIC">"c327"</definedName>
    <definedName name="IQ_DISCOUNT_RATE_PENSION_FOREIGN">"c328"</definedName>
    <definedName name="IQ_DISTR_EXCESS_EARN">"c329"</definedName>
    <definedName name="IQ_DISTRIBUTABLE_CASH">"c3002"</definedName>
    <definedName name="IQ_DISTRIBUTABLE_CASH_ACT_OR_EST">"c4278"</definedName>
    <definedName name="IQ_DISTRIBUTABLE_CASH_PAYOUT">"c3005"</definedName>
    <definedName name="IQ_DISTRIBUTABLE_CASH_SHARE">"c3003"</definedName>
    <definedName name="IQ_DISTRIBUTABLE_CASH_SHARE_ACT_OR_EST">"c4286"</definedName>
    <definedName name="IQ_DIV_AMOUNT">"c3041"</definedName>
    <definedName name="IQ_DIV_PAYMENT_DATE">"c2205"</definedName>
    <definedName name="IQ_DIV_RECORD_DATE">"c2204"</definedName>
    <definedName name="IQ_DIV_SHARE">"c330"</definedName>
    <definedName name="IQ_DIVEST_CF">"c331"</definedName>
    <definedName name="IQ_DIVID_SHARE">"c1366"</definedName>
    <definedName name="IQ_DIVIDEND_YIELD">"c332"</definedName>
    <definedName name="IQ_DO">"c333"</definedName>
    <definedName name="IQ_DO_ASSETS_CURRENT">"c334"</definedName>
    <definedName name="IQ_DO_ASSETS_LT">"c335"</definedName>
    <definedName name="IQ_DO_CF">"c336"</definedName>
    <definedName name="IQ_DPAC_ACC">"c2799"</definedName>
    <definedName name="IQ_DPAC_AMORT">"c2795"</definedName>
    <definedName name="IQ_DPAC_BEG">"c2791"</definedName>
    <definedName name="IQ_DPAC_COMMISSIONS">"c2792"</definedName>
    <definedName name="IQ_DPAC_END">"c2801"</definedName>
    <definedName name="IQ_DPAC_FX">"c2798"</definedName>
    <definedName name="IQ_DPAC_OTHER_ADJ">"c2800"</definedName>
    <definedName name="IQ_DPAC_OTHERS">"c2793"</definedName>
    <definedName name="IQ_DPAC_PERIOD">"c2794"</definedName>
    <definedName name="IQ_DPAC_REAL_GAIN">"c2797"</definedName>
    <definedName name="IQ_DPAC_UNREAL_GAIN">"c2796"</definedName>
    <definedName name="IQ_DPS_10YR_ANN_GROWTH">"c337"</definedName>
    <definedName name="IQ_DPS_1YR_ANN_GROWTH">"c338"</definedName>
    <definedName name="IQ_DPS_2YR_ANN_GROWTH">"c339"</definedName>
    <definedName name="IQ_DPS_3YR_ANN_GROWTH">"c340"</definedName>
    <definedName name="IQ_DPS_5YR_ANN_GROWTH">"c341"</definedName>
    <definedName name="IQ_DPS_7YR_ANN_GROWTH">"c342"</definedName>
    <definedName name="IQ_DURATION">"c2181"</definedName>
    <definedName name="IQ_EARNING_ASSET_YIELD">"c343"</definedName>
    <definedName name="IQ_EARNING_CO">"c344"</definedName>
    <definedName name="IQ_EARNING_CO_10YR_ANN_GROWTH">"c345"</definedName>
    <definedName name="IQ_EARNING_CO_1YR_ANN_GROWTH">"c346"</definedName>
    <definedName name="IQ_EARNING_CO_2YR_ANN_GROWTH">"c347"</definedName>
    <definedName name="IQ_EARNING_CO_3YR_ANN_GROWTH">"c348"</definedName>
    <definedName name="IQ_EARNING_CO_5YR_ANN_GROWTH">"c349"</definedName>
    <definedName name="IQ_EARNING_CO_7YR_ANN_GROWTH">"c350"</definedName>
    <definedName name="IQ_EARNING_CO_MARGIN">"c351"</definedName>
    <definedName name="IQ_EARNINGS_ANNOUNCE_DATE">"c1649"</definedName>
    <definedName name="IQ_EARNINGS_ANNOUNCE_DATE_REUT">"c5314"</definedName>
    <definedName name="IQ_EBIT">"c352"</definedName>
    <definedName name="IQ_EBIT_10YR_ANN_GROWTH">"c353"</definedName>
    <definedName name="IQ_EBIT_1YR_ANN_GROWTH">"c354"</definedName>
    <definedName name="IQ_EBIT_2YR_ANN_GROWTH">"c355"</definedName>
    <definedName name="IQ_EBIT_3YR_ANN_GROWTH">"c356"</definedName>
    <definedName name="IQ_EBIT_5YR_ANN_GROWTH">"c357"</definedName>
    <definedName name="IQ_EBIT_7YR_ANN_GROWTH">"c358"</definedName>
    <definedName name="IQ_EBIT_EQ_INC">"c3498"</definedName>
    <definedName name="IQ_EBIT_EQ_INC_EXCL_SBC">"c3502"</definedName>
    <definedName name="IQ_EBIT_EXCL_SBC">"c3082"</definedName>
    <definedName name="IQ_EBIT_GW_ACT_OR_EST">"c4306"</definedName>
    <definedName name="IQ_EBIT_INT">"c360"</definedName>
    <definedName name="IQ_EBIT_MARGIN">"c359"</definedName>
    <definedName name="IQ_EBIT_OVER_IE">"c1369"</definedName>
    <definedName name="IQ_EBIT_SBC_ACT_OR_EST">"c4316"</definedName>
    <definedName name="IQ_EBIT_SBC_GW_ACT_OR_EST">"c4320"</definedName>
    <definedName name="IQ_EBITA">"c1910"</definedName>
    <definedName name="IQ_EBITA_10YR_ANN_GROWTH">"c1954"</definedName>
    <definedName name="IQ_EBITA_1YR_ANN_GROWTH">"c1949"</definedName>
    <definedName name="IQ_EBITA_2YR_ANN_GROWTH">"c1950"</definedName>
    <definedName name="IQ_EBITA_3YR_ANN_GROWTH">"c1951"</definedName>
    <definedName name="IQ_EBITA_5YR_ANN_GROWTH">"c1952"</definedName>
    <definedName name="IQ_EBITA_7YR_ANN_GROWTH">"c1953"</definedName>
    <definedName name="IQ_EBITA_EQ_INC">"c3497"</definedName>
    <definedName name="IQ_EBITA_EQ_INC_EXCL_SBC">"c3501"</definedName>
    <definedName name="IQ_EBITA_EXCL_SBC">"c3080"</definedName>
    <definedName name="IQ_EBITA_MARGIN">"c1963"</definedName>
    <definedName name="IQ_EBITDA">"c361"</definedName>
    <definedName name="IQ_EBITDA_10YR_ANN_GROWTH">"c362"</definedName>
    <definedName name="IQ_EBITDA_1YR_ANN_GROWTH">"c363"</definedName>
    <definedName name="IQ_EBITDA_2YR_ANN_GROWTH">"c364"</definedName>
    <definedName name="IQ_EBITDA_3YR_ANN_GROWTH">"c365"</definedName>
    <definedName name="IQ_EBITDA_5YR_ANN_GROWTH">"c366"</definedName>
    <definedName name="IQ_EBITDA_7YR_ANN_GROWTH">"c367"</definedName>
    <definedName name="IQ_EBITDA_ACT_OR_EST" hidden="1">"c2215"</definedName>
    <definedName name="IQ_EBITDA_CAPEX_INT">"c368"</definedName>
    <definedName name="IQ_EBITDA_CAPEX_OVER_TOTAL_IE">"c1370"</definedName>
    <definedName name="IQ_EBITDA_EQ_INC">"c3496"</definedName>
    <definedName name="IQ_EBITDA_EQ_INC_EXCL_SBC">"c3500"</definedName>
    <definedName name="IQ_EBITDA_EST">"c369"</definedName>
    <definedName name="IQ_EBITDA_EST_REUT">"c3640"</definedName>
    <definedName name="IQ_EBITDA_EXCL_SBC">"c3081"</definedName>
    <definedName name="IQ_EBITDA_HIGH_EST">"c370"</definedName>
    <definedName name="IQ_EBITDA_HIGH_EST_REUT">"c3642"</definedName>
    <definedName name="IQ_EBITDA_INT">"c373"</definedName>
    <definedName name="IQ_EBITDA_LOW_EST">"c371"</definedName>
    <definedName name="IQ_EBITDA_LOW_EST_REUT">"c3643"</definedName>
    <definedName name="IQ_EBITDA_MARGIN">"c372"</definedName>
    <definedName name="IQ_EBITDA_MEDIAN_EST">"c1663"</definedName>
    <definedName name="IQ_EBITDA_MEDIAN_EST_REUT">"c3641"</definedName>
    <definedName name="IQ_EBITDA_NUM_EST">"c374"</definedName>
    <definedName name="IQ_EBITDA_NUM_EST_REUT">"c3644"</definedName>
    <definedName name="IQ_EBITDA_OVER_TOTAL_IE">"c1371"</definedName>
    <definedName name="IQ_EBITDA_SBC_ACT_OR_EST">"c4337"</definedName>
    <definedName name="IQ_EBITDA_STDDEV_EST">"c375"</definedName>
    <definedName name="IQ_EBITDA_STDDEV_EST_REUT">"c3645"</definedName>
    <definedName name="IQ_EBITDAR">"c2989"</definedName>
    <definedName name="IQ_EBITDAR_EQ_INC">"c3499"</definedName>
    <definedName name="IQ_EBITDAR_EQ_INC_EXCL_SBC">"c3503"</definedName>
    <definedName name="IQ_EBITDAR_EXCL_SBC">"c3083"</definedName>
    <definedName name="IQ_EBT">"c376"</definedName>
    <definedName name="IQ_EBT_BNK">"c377"</definedName>
    <definedName name="IQ_EBT_BR">"c378"</definedName>
    <definedName name="IQ_EBT_EXCL">"c379"</definedName>
    <definedName name="IQ_EBT_EXCL_BNK">"c380"</definedName>
    <definedName name="IQ_EBT_EXCL_BR">"c381"</definedName>
    <definedName name="IQ_EBT_EXCL_FIN">"c382"</definedName>
    <definedName name="IQ_EBT_EXCL_INS">"c383"</definedName>
    <definedName name="IQ_EBT_EXCL_MARGIN">"c1462"</definedName>
    <definedName name="IQ_EBT_EXCL_REIT">"c384"</definedName>
    <definedName name="IQ_EBT_EXCL_UTI">"c385"</definedName>
    <definedName name="IQ_EBT_FIN">"c386"</definedName>
    <definedName name="IQ_EBT_INCL_MARGIN">"c387"</definedName>
    <definedName name="IQ_EBT_INS">"c388"</definedName>
    <definedName name="IQ_EBT_REIT">"c389"</definedName>
    <definedName name="IQ_EBT_SBC_ACT_OR_EST">"c4350"</definedName>
    <definedName name="IQ_EBT_SBC_GW_ACT_OR_EST">"c4354"</definedName>
    <definedName name="IQ_EBT_UTI">"c390"</definedName>
    <definedName name="IQ_EFFECT_SPECIAL_CHARGE">"c1595"</definedName>
    <definedName name="IQ_EFFECT_TAX_RATE">"c1899"</definedName>
    <definedName name="IQ_EFFICIENCY_RATIO">"c391"</definedName>
    <definedName name="IQ_EMPLOYEES">"c392"</definedName>
    <definedName name="IQ_ENTERPRISE_VALUE">"c1348"</definedName>
    <definedName name="IQ_EPS_10YR_ANN_GROWTH">"c393"</definedName>
    <definedName name="IQ_EPS_1YR_ANN_GROWTH">"c394"</definedName>
    <definedName name="IQ_EPS_2YR_ANN_GROWTH">"c395"</definedName>
    <definedName name="IQ_EPS_3YR_ANN_GROWTH">"c396"</definedName>
    <definedName name="IQ_EPS_5YR_ANN_GROWTH">"c397"</definedName>
    <definedName name="IQ_EPS_7YR_ANN_GROWTH">"c398"</definedName>
    <definedName name="IQ_EPS_ACT_OR_EST" hidden="1">"c2213"</definedName>
    <definedName name="IQ_EPS_EST">"c399"</definedName>
    <definedName name="IQ_EPS_EST_REUT">"c5453"</definedName>
    <definedName name="IQ_EPS_HIGH_EST">"c400"</definedName>
    <definedName name="IQ_EPS_HIGH_EST_REUT">"c5454"</definedName>
    <definedName name="IQ_EPS_LOW_EST">"c401"</definedName>
    <definedName name="IQ_EPS_LOW_EST_REUT">"c5455"</definedName>
    <definedName name="IQ_EPS_MEDIAN_EST">"c1661"</definedName>
    <definedName name="IQ_EPS_MEDIAN_EST_REUT">"c5456"</definedName>
    <definedName name="IQ_EPS_NORM">"c1902"</definedName>
    <definedName name="IQ_EPS_NUM_EST">"c402"</definedName>
    <definedName name="IQ_EPS_NUM_EST_REUT">"c5451"</definedName>
    <definedName name="IQ_EPS_SBC_ACT_OR_EST">"c4376"</definedName>
    <definedName name="IQ_EPS_SBC_GW_ACT_OR_EST">"c4380"</definedName>
    <definedName name="IQ_EPS_STDDEV_EST">"c403"</definedName>
    <definedName name="IQ_EPS_STDDEV_EST_REUT">"c5452"</definedName>
    <definedName name="IQ_EQUITY_AFFIL">"c1451"</definedName>
    <definedName name="IQ_EQUITY_METHOD">"c404"</definedName>
    <definedName name="IQ_EQV_OVER_BV">"c1596"</definedName>
    <definedName name="IQ_EQV_OVER_LTM_PRETAX_INC">"c1390"</definedName>
    <definedName name="IQ_ESOP_DEBT">"c1597"</definedName>
    <definedName name="IQ_EST_ACT_EPS" hidden="1">"c1648"</definedName>
    <definedName name="IQ_EST_CURRENCY">"c2140"</definedName>
    <definedName name="IQ_EST_CURRENCY_REUT">"c5437"</definedName>
    <definedName name="IQ_EST_DATE">"c1634"</definedName>
    <definedName name="IQ_EST_DATE_REUT">"c5438"</definedName>
    <definedName name="IQ_EST_EPS_DIFF" hidden="1">"c1864"</definedName>
    <definedName name="IQ_EST_EPS_GROWTH_1YR">"c1636"</definedName>
    <definedName name="IQ_EST_EPS_GROWTH_1YR_REUT">"c3646"</definedName>
    <definedName name="IQ_EST_EPS_GROWTH_5YR">"c1655"</definedName>
    <definedName name="IQ_EST_EPS_GROWTH_5YR_REUT">"c3633"</definedName>
    <definedName name="IQ_EST_EPS_GROWTH_Q_1YR">"c1641"</definedName>
    <definedName name="IQ_EST_EPS_GROWTH_Q_1YR_REUT">"c5410"</definedName>
    <definedName name="IQ_EST_VENDOR">"c5564"</definedName>
    <definedName name="IQ_EV_OVER_EMPLOYEE">"c1428"</definedName>
    <definedName name="IQ_EV_OVER_LTM_EBIT">"c1426"</definedName>
    <definedName name="IQ_EV_OVER_LTM_EBITDA">"c1427"</definedName>
    <definedName name="IQ_EV_OVER_LTM_REVENUE">"c1429"</definedName>
    <definedName name="IQ_EVAL_DATE">"c2180"</definedName>
    <definedName name="IQ_EXCHANGE">"c405"</definedName>
    <definedName name="IQ_EXCISE_TAXES_EXCL_SALES">"c5515"</definedName>
    <definedName name="IQ_EXCISE_TAXES_INCL_SALES">"c5514"</definedName>
    <definedName name="IQ_EXERCISE_PRICE">"c1897"</definedName>
    <definedName name="IQ_EXERCISED">"c406"</definedName>
    <definedName name="IQ_EXP_RETURN_PENSION_DOMESTIC">"c407"</definedName>
    <definedName name="IQ_EXP_RETURN_PENSION_FOREIGN">"c408"</definedName>
    <definedName name="IQ_EXPLORE_DRILL">"c409"</definedName>
    <definedName name="IQ_EXTRA_ACC_ITEMS">"c410"</definedName>
    <definedName name="IQ_EXTRA_ACC_ITEMS_BNK">"c411"</definedName>
    <definedName name="IQ_EXTRA_ACC_ITEMS_BR">"c412"</definedName>
    <definedName name="IQ_EXTRA_ACC_ITEMS_FIN">"c413"</definedName>
    <definedName name="IQ_EXTRA_ACC_ITEMS_INS">"c414"</definedName>
    <definedName name="IQ_EXTRA_ACC_ITEMS_REIT">"c415"</definedName>
    <definedName name="IQ_EXTRA_ACC_ITEMS_UTI">"c416"</definedName>
    <definedName name="IQ_EXTRA_ITEMS">"c1459"</definedName>
    <definedName name="IQ_FDIC">"c417"</definedName>
    <definedName name="IQ_FEDFUNDS_SOLD">"c2256"</definedName>
    <definedName name="IQ_FFO">"c1574"</definedName>
    <definedName name="IQ_FFO_ADJ_ACT_OR_EST">"c4435"</definedName>
    <definedName name="IQ_FFO_PAYOUT_RATIO">"c3492"</definedName>
    <definedName name="IQ_FFO_SHARE_ACT_OR_EST">"c4446"</definedName>
    <definedName name="IQ_FHLB_DEBT">"c423"</definedName>
    <definedName name="IQ_FHLB_DUE_CY">"c2080"</definedName>
    <definedName name="IQ_FHLB_DUE_CY1">"c2081"</definedName>
    <definedName name="IQ_FHLB_DUE_CY2">"c2082"</definedName>
    <definedName name="IQ_FHLB_DUE_CY3">"c2083"</definedName>
    <definedName name="IQ_FHLB_DUE_CY4">"c2084"</definedName>
    <definedName name="IQ_FHLB_DUE_NEXT_FIVE">"c2085"</definedName>
    <definedName name="IQ_FILING_CURRENCY">"c2129"</definedName>
    <definedName name="IQ_FILINGDATE_BS">"c424"</definedName>
    <definedName name="IQ_FILINGDATE_CF">"c425"</definedName>
    <definedName name="IQ_FILINGDATE_IS">"c426"</definedName>
    <definedName name="IQ_FILM_RIGHTS">"c2254"</definedName>
    <definedName name="IQ_FIN_DIV_ASSETS_CURRENT">"c427"</definedName>
    <definedName name="IQ_FIN_DIV_ASSETS_LT">"c428"</definedName>
    <definedName name="IQ_FIN_DIV_CURRENT_PORT_DEBT_TOTAL">"c5524"</definedName>
    <definedName name="IQ_FIN_DIV_CURRENT_PORT_LEASES_TOTAL">"c5523"</definedName>
    <definedName name="IQ_FIN_DIV_DEBT_CURRENT">"c429"</definedName>
    <definedName name="IQ_FIN_DIV_DEBT_LT">"c430"</definedName>
    <definedName name="IQ_FIN_DIV_DEBT_LT_TOTAL">"c5526"</definedName>
    <definedName name="IQ_FIN_DIV_EXP">"c431"</definedName>
    <definedName name="IQ_FIN_DIV_INT_EXP">"c432"</definedName>
    <definedName name="IQ_FIN_DIV_LEASES_LT_TOTAL">"c5525"</definedName>
    <definedName name="IQ_FIN_DIV_LIAB_CURRENT">"c433"</definedName>
    <definedName name="IQ_FIN_DIV_LIAB_LT">"c434"</definedName>
    <definedName name="IQ_FIN_DIV_LOANS_CURRENT">"c435"</definedName>
    <definedName name="IQ_FIN_DIV_LOANS_LT">"c436"</definedName>
    <definedName name="IQ_FIN_DIV_NOTES_PAY_TOTAL">"c5522"</definedName>
    <definedName name="IQ_FIN_DIV_REV">"c437"</definedName>
    <definedName name="IQ_FIN_DIV_ST_DEBT_TOTAL">"c5527"</definedName>
    <definedName name="IQ_FINANCING_CASH">"c1405"</definedName>
    <definedName name="IQ_FINANCING_CASH_SUPPL">"c1406"</definedName>
    <definedName name="IQ_FINISHED_INV">"c438"</definedName>
    <definedName name="IQ_FIRST_INT_DATE">"c2186"</definedName>
    <definedName name="IQ_FIRST_YEAR_LIFE">"c439"</definedName>
    <definedName name="IQ_FIRST_YEAR_LIFE_PREM">"c2787"</definedName>
    <definedName name="IQ_FIRST_YEAR_PREM">"c2786"</definedName>
    <definedName name="IQ_FIRSTPRICINGDATE">"c3050"</definedName>
    <definedName name="IQ_FISCAL_Q">"c440"</definedName>
    <definedName name="IQ_FISCAL_Y">"c441"</definedName>
    <definedName name="IQ_FIVE_PERCENT_OWNER">"c442"</definedName>
    <definedName name="IQ_FIVEPERCENT_PERCENT">"c443"</definedName>
    <definedName name="IQ_FIVEPERCENT_SHARES">"c444"</definedName>
    <definedName name="IQ_FIXED_ASSET_TURNS">"c445"</definedName>
    <definedName name="IQ_FLOAT_PERCENT">"c1575"</definedName>
    <definedName name="IQ_FOREIGN_DEP_IB">"c446"</definedName>
    <definedName name="IQ_FOREIGN_DEP_NON_IB">"c447"</definedName>
    <definedName name="IQ_FOREIGN_EXCHANGE">"c1376"</definedName>
    <definedName name="IQ_FOREIGN_LOANS">"c448"</definedName>
    <definedName name="IQ_FQ">500</definedName>
    <definedName name="IQ_FUEL">"c449"</definedName>
    <definedName name="IQ_FULL_TIME">"c450"</definedName>
    <definedName name="IQ_FWD_CY">10001</definedName>
    <definedName name="IQ_FWD_CY1">10002</definedName>
    <definedName name="IQ_FWD_CY2">10003</definedName>
    <definedName name="IQ_FWD_FY">1001</definedName>
    <definedName name="IQ_FWD_FY1">1002</definedName>
    <definedName name="IQ_FWD_FY2">1003</definedName>
    <definedName name="IQ_FWD_Q">501</definedName>
    <definedName name="IQ_FWD_Q1">502</definedName>
    <definedName name="IQ_FWD_Q2">503</definedName>
    <definedName name="IQ_FX">"c451"</definedName>
    <definedName name="IQ_FY">1000</definedName>
    <definedName name="IQ_GA_EXP">"c2241"</definedName>
    <definedName name="IQ_GAIN_ASSETS">"c452"</definedName>
    <definedName name="IQ_GAIN_ASSETS_BNK">"c453"</definedName>
    <definedName name="IQ_GAIN_ASSETS_BR">"c454"</definedName>
    <definedName name="IQ_GAIN_ASSETS_CF">"c455"</definedName>
    <definedName name="IQ_GAIN_ASSETS_CF_BNK">"c456"</definedName>
    <definedName name="IQ_GAIN_ASSETS_CF_BR">"c457"</definedName>
    <definedName name="IQ_GAIN_ASSETS_CF_FIN">"c458"</definedName>
    <definedName name="IQ_GAIN_ASSETS_CF_INS">"c459"</definedName>
    <definedName name="IQ_GAIN_ASSETS_CF_REIT">"c460"</definedName>
    <definedName name="IQ_GAIN_ASSETS_CF_UTI">"c461"</definedName>
    <definedName name="IQ_GAIN_ASSETS_FIN">"c462"</definedName>
    <definedName name="IQ_GAIN_ASSETS_INS">"c463"</definedName>
    <definedName name="IQ_GAIN_ASSETS_REIT">"c471"</definedName>
    <definedName name="IQ_GAIN_ASSETS_REV">"c472"</definedName>
    <definedName name="IQ_GAIN_ASSETS_REV_BNK">"c473"</definedName>
    <definedName name="IQ_GAIN_ASSETS_REV_BR">"c474"</definedName>
    <definedName name="IQ_GAIN_ASSETS_REV_FIN">"c475"</definedName>
    <definedName name="IQ_GAIN_ASSETS_REV_INS">"c476"</definedName>
    <definedName name="IQ_GAIN_ASSETS_REV_REIT">"c477"</definedName>
    <definedName name="IQ_GAIN_ASSETS_REV_UTI">"c478"</definedName>
    <definedName name="IQ_GAIN_ASSETS_UTI">"c479"</definedName>
    <definedName name="IQ_GAIN_INVEST">"c1463"</definedName>
    <definedName name="IQ_GAIN_INVEST_BNK">"c1582"</definedName>
    <definedName name="IQ_GAIN_INVEST_BR">"c1464"</definedName>
    <definedName name="IQ_GAIN_INVEST_CF">"c480"</definedName>
    <definedName name="IQ_GAIN_INVEST_CF_BNK">"c481"</definedName>
    <definedName name="IQ_GAIN_INVEST_CF_BR">"c482"</definedName>
    <definedName name="IQ_GAIN_INVEST_CF_FIN">"c483"</definedName>
    <definedName name="IQ_GAIN_INVEST_CF_INS">"c484"</definedName>
    <definedName name="IQ_GAIN_INVEST_CF_REIT">"c485"</definedName>
    <definedName name="IQ_GAIN_INVEST_CF_UTI">"c486"</definedName>
    <definedName name="IQ_GAIN_INVEST_FIN">"c1465"</definedName>
    <definedName name="IQ_GAIN_INVEST_INS">"c1466"</definedName>
    <definedName name="IQ_GAIN_INVEST_REIT">"c1467"</definedName>
    <definedName name="IQ_GAIN_INVEST_REV">"c494"</definedName>
    <definedName name="IQ_GAIN_INVEST_REV_BNK">"c495"</definedName>
    <definedName name="IQ_GAIN_INVEST_REV_BR">"c496"</definedName>
    <definedName name="IQ_GAIN_INVEST_REV_FIN">"c497"</definedName>
    <definedName name="IQ_GAIN_INVEST_REV_INS">"c498"</definedName>
    <definedName name="IQ_GAIN_INVEST_REV_REIT">"c499"</definedName>
    <definedName name="IQ_GAIN_INVEST_REV_UTI">"c500"</definedName>
    <definedName name="IQ_GAIN_INVEST_UTI">"c1468"</definedName>
    <definedName name="IQ_GAIN_LOANS_REC">"c501"</definedName>
    <definedName name="IQ_GAIN_LOANS_RECEIV">"c502"</definedName>
    <definedName name="IQ_GAIN_LOANS_RECEIV_REV_FIN">"c503"</definedName>
    <definedName name="IQ_GAIN_LOANS_REV">"c504"</definedName>
    <definedName name="IQ_GAIN_SALE_ASSETS">"c1377"</definedName>
    <definedName name="IQ_GEO_SEG_ASSETS">"c4069"</definedName>
    <definedName name="IQ_GEO_SEG_ASSETS_ABS">"c4091"</definedName>
    <definedName name="IQ_GEO_SEG_ASSETS_TOTAL">"c4123"</definedName>
    <definedName name="IQ_GEO_SEG_CAPEX">"c4083"</definedName>
    <definedName name="IQ_GEO_SEG_CAPEX_ABS">"c4105"</definedName>
    <definedName name="IQ_GEO_SEG_CAPEX_TOTAL">"c4127"</definedName>
    <definedName name="IQ_GEO_SEG_DA">"c4082"</definedName>
    <definedName name="IQ_GEO_SEG_DA_ABS">"c4104"</definedName>
    <definedName name="IQ_GEO_SEG_DA_TOTAL">"c4126"</definedName>
    <definedName name="IQ_GEO_SEG_EARNINGS_OP">"c4073"</definedName>
    <definedName name="IQ_GEO_SEG_EARNINGS_OP_ABS">"c4095"</definedName>
    <definedName name="IQ_GEO_SEG_EARNINGS_OP_TOTAL">"c4119"</definedName>
    <definedName name="IQ_GEO_SEG_EBT">"c4072"</definedName>
    <definedName name="IQ_GEO_SEG_EBT_ABS">"c4094"</definedName>
    <definedName name="IQ_GEO_SEG_EBT_TOTAL">"c4121"</definedName>
    <definedName name="IQ_GEO_SEG_GP">"c4070"</definedName>
    <definedName name="IQ_GEO_SEG_GP_ABS">"c4092"</definedName>
    <definedName name="IQ_GEO_SEG_GP_TOTAL">"c4120"</definedName>
    <definedName name="IQ_GEO_SEG_INC_TAX">"c4081"</definedName>
    <definedName name="IQ_GEO_SEG_INC_TAX_ABS">"c4103"</definedName>
    <definedName name="IQ_GEO_SEG_INC_TAX_TOTAL">"c4125"</definedName>
    <definedName name="IQ_GEO_SEG_INTEREST_EXP">"c4080"</definedName>
    <definedName name="IQ_GEO_SEG_INTEREST_EXP_ABS">"c4102"</definedName>
    <definedName name="IQ_GEO_SEG_INTEREST_EXP_TOTAL">"c4124"</definedName>
    <definedName name="IQ_GEO_SEG_NAME">"c5484"</definedName>
    <definedName name="IQ_GEO_SEG_NAME_ABS">"c5485"</definedName>
    <definedName name="IQ_GEO_SEG_NI">"c4071"</definedName>
    <definedName name="IQ_GEO_SEG_NI_ABS">"c4093"</definedName>
    <definedName name="IQ_GEO_SEG_NI_TOTAL">"c4122"</definedName>
    <definedName name="IQ_GEO_SEG_OPER_INC">"c4075"</definedName>
    <definedName name="IQ_GEO_SEG_OPER_INC_ABS">"c4097"</definedName>
    <definedName name="IQ_GEO_SEG_OPER_INC_TOTAL">"c4118"</definedName>
    <definedName name="IQ_GEO_SEG_REV">"c4074"</definedName>
    <definedName name="IQ_GEO_SEG_REV_ABS">"c4096"</definedName>
    <definedName name="IQ_GEO_SEG_REV_TOTAL">"c4117"</definedName>
    <definedName name="IQ_GOODWILL_NET">"c1380"</definedName>
    <definedName name="IQ_GP">"c511"</definedName>
    <definedName name="IQ_GP_10YR_ANN_GROWTH">"c512"</definedName>
    <definedName name="IQ_GP_1YR_ANN_GROWTH">"c513"</definedName>
    <definedName name="IQ_GP_2YR_ANN_GROWTH">"c514"</definedName>
    <definedName name="IQ_GP_3YR_ANN_GROWTH">"c515"</definedName>
    <definedName name="IQ_GP_5YR_ANN_GROWTH">"c516"</definedName>
    <definedName name="IQ_GP_7YR_ANN_GROWTH">"c517"</definedName>
    <definedName name="IQ_GPPE">"c518"</definedName>
    <definedName name="IQ_GROSS_AH_EARNED">"c2742"</definedName>
    <definedName name="IQ_GROSS_CLAIM_EXP_INCUR">"c2755"</definedName>
    <definedName name="IQ_GROSS_CLAIM_EXP_PAID">"c2758"</definedName>
    <definedName name="IQ_GROSS_CLAIM_EXP_RES">"c2752"</definedName>
    <definedName name="IQ_GROSS_DIVID">"c1446"</definedName>
    <definedName name="IQ_GROSS_EARNED">"c2732"</definedName>
    <definedName name="IQ_GROSS_LIFE_EARNED">"c2737"</definedName>
    <definedName name="IQ_GROSS_LIFE_IN_FORCE">"c2767"</definedName>
    <definedName name="IQ_GROSS_LOANS">"c521"</definedName>
    <definedName name="IQ_GROSS_LOANS_10YR_ANN_GROWTH">"c522"</definedName>
    <definedName name="IQ_GROSS_LOANS_1YR_ANN_GROWTH">"c523"</definedName>
    <definedName name="IQ_GROSS_LOANS_2YR_ANN_GROWTH">"c524"</definedName>
    <definedName name="IQ_GROSS_LOANS_3YR_ANN_GROWTH">"c525"</definedName>
    <definedName name="IQ_GROSS_LOANS_5YR_ANN_GROWTH">"c526"</definedName>
    <definedName name="IQ_GROSS_LOANS_7YR_ANN_GROWTH">"c527"</definedName>
    <definedName name="IQ_GROSS_LOANS_TOTAL_DEPOSITS">"c528"</definedName>
    <definedName name="IQ_GROSS_MARGIN">"c529"</definedName>
    <definedName name="IQ_GROSS_PC_EARNED">"c2747"</definedName>
    <definedName name="IQ_GROSS_PROFIT">"c1378"</definedName>
    <definedName name="IQ_GROSS_SPRD">"c2155"</definedName>
    <definedName name="IQ_GROSS_WRITTEN">"c2726"</definedName>
    <definedName name="IQ_GW">"c530"</definedName>
    <definedName name="IQ_GW_AMORT_BR">"c532"</definedName>
    <definedName name="IQ_GW_AMORT_FIN">"c540"</definedName>
    <definedName name="IQ_GW_AMORT_INS">"c541"</definedName>
    <definedName name="IQ_GW_AMORT_REIT">"c542"</definedName>
    <definedName name="IQ_GW_AMORT_UTI">"c543"</definedName>
    <definedName name="IQ_GW_INTAN_AMORT">"c1469"</definedName>
    <definedName name="IQ_GW_INTAN_AMORT_BNK">"c544"</definedName>
    <definedName name="IQ_GW_INTAN_AMORT_BR">"c1470"</definedName>
    <definedName name="IQ_GW_INTAN_AMORT_CF">"c1471"</definedName>
    <definedName name="IQ_GW_INTAN_AMORT_CF_BNK">"c1472"</definedName>
    <definedName name="IQ_GW_INTAN_AMORT_CF_BR">"c1473"</definedName>
    <definedName name="IQ_GW_INTAN_AMORT_CF_FIN">"c1474"</definedName>
    <definedName name="IQ_GW_INTAN_AMORT_CF_INS">"c1475"</definedName>
    <definedName name="IQ_GW_INTAN_AMORT_CF_REIT">"c1476"</definedName>
    <definedName name="IQ_GW_INTAN_AMORT_CF_UTI">"c1477"</definedName>
    <definedName name="IQ_GW_INTAN_AMORT_FIN">"c1478"</definedName>
    <definedName name="IQ_GW_INTAN_AMORT_INS">"c1479"</definedName>
    <definedName name="IQ_GW_INTAN_AMORT_REIT">"c1480"</definedName>
    <definedName name="IQ_GW_INTAN_AMORT_UTI">"c1481"</definedName>
    <definedName name="IQ_HIGH_TARGET_PRICE">"c1651"</definedName>
    <definedName name="IQ_HIGH_TARGET_PRICE_REUT">"c5317"</definedName>
    <definedName name="IQ_HIGHPRICE">"c545"</definedName>
    <definedName name="IQ_HOMEOWNERS_WRITTEN">"c546"</definedName>
    <definedName name="IQ_IMPAIR_OIL">"c547"</definedName>
    <definedName name="IQ_IMPAIRMENT_GW">"c548"</definedName>
    <definedName name="IQ_IMPUT_OPER_LEASE_DEPR">"c2987"</definedName>
    <definedName name="IQ_IMPUT_OPER_LEASE_INT_EXP">"c2986"</definedName>
    <definedName name="IQ_INC_AFTER_TAX">"c1598"</definedName>
    <definedName name="IQ_INC_AVAIL_EXCL">"c1395"</definedName>
    <definedName name="IQ_INC_AVAIL_INCL">"c1396"</definedName>
    <definedName name="IQ_INC_BEFORE_TAX">"c1375"</definedName>
    <definedName name="IQ_INC_EQUITY">"c549"</definedName>
    <definedName name="IQ_INC_EQUITY_BR">"c550"</definedName>
    <definedName name="IQ_INC_EQUITY_CF">"c551"</definedName>
    <definedName name="IQ_INC_EQUITY_FIN">"c552"</definedName>
    <definedName name="IQ_INC_EQUITY_INS">"c553"</definedName>
    <definedName name="IQ_INC_EQUITY_REC_BNK">"c554"</definedName>
    <definedName name="IQ_INC_EQUITY_REIT">"c555"</definedName>
    <definedName name="IQ_INC_EQUITY_REV_BNK">"c556"</definedName>
    <definedName name="IQ_INC_EQUITY_UTI">"c557"</definedName>
    <definedName name="IQ_INC_REAL_ESTATE_REC">"c558"</definedName>
    <definedName name="IQ_INC_REAL_ESTATE_REV">"c559"</definedName>
    <definedName name="IQ_INC_TAX">"c560"</definedName>
    <definedName name="IQ_INC_TAX_EXCL">"c1599"</definedName>
    <definedName name="IQ_INC_TAX_PAY_CURRENT">"c561"</definedName>
    <definedName name="IQ_INC_TRADE_ACT">"c562"</definedName>
    <definedName name="IQ_INDUSTRY">"c3601"</definedName>
    <definedName name="IQ_INDUSTRY_GROUP">"c3602"</definedName>
    <definedName name="IQ_INDUSTRY_SECTOR">"c3603"</definedName>
    <definedName name="IQ_INS_ANNUITY_LIAB">"c563"</definedName>
    <definedName name="IQ_INS_ANNUITY_REV">"c2788"</definedName>
    <definedName name="IQ_INS_DIV_EXP">"c564"</definedName>
    <definedName name="IQ_INS_DIV_REV">"c565"</definedName>
    <definedName name="IQ_INS_IN_FORCE">"c566"</definedName>
    <definedName name="IQ_INS_LIAB">"c567"</definedName>
    <definedName name="IQ_INS_POLICY_EXP">"c568"</definedName>
    <definedName name="IQ_INS_REV">"c569"</definedName>
    <definedName name="IQ_INS_SETTLE">"c570"</definedName>
    <definedName name="IQ_INS_SETTLE_BNK">"c571"</definedName>
    <definedName name="IQ_INS_SETTLE_BR">"c572"</definedName>
    <definedName name="IQ_INS_SETTLE_FIN">"c573"</definedName>
    <definedName name="IQ_INS_SETTLE_INS">"c574"</definedName>
    <definedName name="IQ_INS_SETTLE_REIT">"c575"</definedName>
    <definedName name="IQ_INS_SETTLE_UTI">"c576"</definedName>
    <definedName name="IQ_INSIDER_3MTH_BOUGHT_PCT">"c1534"</definedName>
    <definedName name="IQ_INSIDER_3MTH_NET_PCT">"c1535"</definedName>
    <definedName name="IQ_INSIDER_3MTH_SOLD_PCT">"c1533"</definedName>
    <definedName name="IQ_INSIDER_6MTH_BOUGHT_PCT">"c1537"</definedName>
    <definedName name="IQ_INSIDER_6MTH_NET_PCT">"c1538"</definedName>
    <definedName name="IQ_INSIDER_6MTH_SOLD_PCT">"c1536"</definedName>
    <definedName name="IQ_INSIDER_OVER_TOTAL">"c1581"</definedName>
    <definedName name="IQ_INSIDER_OWNER">"c577"</definedName>
    <definedName name="IQ_INSIDER_PERCENT">"c578"</definedName>
    <definedName name="IQ_INSIDER_SHARES">"c579"</definedName>
    <definedName name="IQ_INSTITUTIONAL_OVER_TOTAL">"c1580"</definedName>
    <definedName name="IQ_INSTITUTIONAL_OWNER">"c580"</definedName>
    <definedName name="IQ_INSTITUTIONAL_PERCENT">"c581"</definedName>
    <definedName name="IQ_INSTITUTIONAL_SHARES">"c582"</definedName>
    <definedName name="IQ_INSUR_RECEIV">"c1600"</definedName>
    <definedName name="IQ_INT_BORROW">"c583"</definedName>
    <definedName name="IQ_INT_DEPOSITS">"c584"</definedName>
    <definedName name="IQ_INT_DIV_INC">"c585"</definedName>
    <definedName name="IQ_INT_EXP_BR">"c586"</definedName>
    <definedName name="IQ_INT_EXP_COVERAGE">"c587"</definedName>
    <definedName name="IQ_INT_EXP_FIN">"c588"</definedName>
    <definedName name="IQ_INT_EXP_INCL_CAP">"c2988"</definedName>
    <definedName name="IQ_INT_EXP_INS">"c589"</definedName>
    <definedName name="IQ_INT_EXP_LTD">"c2086"</definedName>
    <definedName name="IQ_INT_EXP_REIT">"c590"</definedName>
    <definedName name="IQ_INT_EXP_TOTAL">"c591"</definedName>
    <definedName name="IQ_INT_EXP_UTI">"c592"</definedName>
    <definedName name="IQ_INT_INC_BR">"c593"</definedName>
    <definedName name="IQ_INT_INC_FIN">"c594"</definedName>
    <definedName name="IQ_INT_INC_INVEST">"c595"</definedName>
    <definedName name="IQ_INT_INC_LOANS">"c596"</definedName>
    <definedName name="IQ_INT_INC_REIT">"c597"</definedName>
    <definedName name="IQ_INT_INC_TOTAL">"c598"</definedName>
    <definedName name="IQ_INT_INC_UTI">"c599"</definedName>
    <definedName name="IQ_INT_INV_INC">"c600"</definedName>
    <definedName name="IQ_INT_INV_INC_REIT">"c601"</definedName>
    <definedName name="IQ_INT_INV_INC_UTI">"c602"</definedName>
    <definedName name="IQ_INT_ON_BORROWING_COVERAGE">"c603"</definedName>
    <definedName name="IQ_INT_RATE_SPREAD">"c604"</definedName>
    <definedName name="IQ_INTANGIBLES_NET">"c1407"</definedName>
    <definedName name="IQ_INTEREST_CASH_DEPOSITS">"c2255"</definedName>
    <definedName name="IQ_INTEREST_EXP">"c618"</definedName>
    <definedName name="IQ_INTEREST_EXP_NET">"c1450"</definedName>
    <definedName name="IQ_INTEREST_EXP_NON">"c1383"</definedName>
    <definedName name="IQ_INTEREST_EXP_SUPPL">"c1460"</definedName>
    <definedName name="IQ_INTEREST_INC">"c1393"</definedName>
    <definedName name="IQ_INTEREST_INC_NON">"c1384"</definedName>
    <definedName name="IQ_INTEREST_INVEST_INC">"c619"</definedName>
    <definedName name="IQ_INV_10YR_ANN_GROWTH">"c1930"</definedName>
    <definedName name="IQ_INV_1YR_ANN_GROWTH">"c1925"</definedName>
    <definedName name="IQ_INV_2YR_ANN_GROWTH">"c1926"</definedName>
    <definedName name="IQ_INV_3YR_ANN_GROWTH">"c1927"</definedName>
    <definedName name="IQ_INV_5YR_ANN_GROWTH">"c1928"</definedName>
    <definedName name="IQ_INV_7YR_ANN_GROWTH">"c1929"</definedName>
    <definedName name="IQ_INV_BANKING_FEE">"c620"</definedName>
    <definedName name="IQ_INV_METHOD">"c621"</definedName>
    <definedName name="IQ_INVENTORY">"c622"</definedName>
    <definedName name="IQ_INVENTORY_TURNS">"c623"</definedName>
    <definedName name="IQ_INVENTORY_UTI">"c624"</definedName>
    <definedName name="IQ_INVEST_DEBT">"c625"</definedName>
    <definedName name="IQ_INVEST_EQUITY_PREF">"c626"</definedName>
    <definedName name="IQ_INVEST_FHLB">"c627"</definedName>
    <definedName name="IQ_INVEST_GOV_SECURITY">"c5510"</definedName>
    <definedName name="IQ_INVEST_LOANS_CF">"c628"</definedName>
    <definedName name="IQ_INVEST_LOANS_CF_BNK">"c629"</definedName>
    <definedName name="IQ_INVEST_LOANS_CF_BR">"c630"</definedName>
    <definedName name="IQ_INVEST_LOANS_CF_FIN">"c631"</definedName>
    <definedName name="IQ_INVEST_LOANS_CF_INS">"c632"</definedName>
    <definedName name="IQ_INVEST_LOANS_CF_REIT">"c633"</definedName>
    <definedName name="IQ_INVEST_LOANS_CF_UTI">"c634"</definedName>
    <definedName name="IQ_INVEST_MUNI_SECURITY">"c5512"</definedName>
    <definedName name="IQ_INVEST_REAL_ESTATE">"c635"</definedName>
    <definedName name="IQ_INVEST_SECURITY">"c636"</definedName>
    <definedName name="IQ_INVEST_SECURITY_CF">"c637"</definedName>
    <definedName name="IQ_INVEST_SECURITY_CF_BNK">"c638"</definedName>
    <definedName name="IQ_INVEST_SECURITY_CF_BR">"c639"</definedName>
    <definedName name="IQ_INVEST_SECURITY_CF_FIN">"c640"</definedName>
    <definedName name="IQ_INVEST_SECURITY_CF_INS">"c641"</definedName>
    <definedName name="IQ_INVEST_SECURITY_CF_REIT">"c642"</definedName>
    <definedName name="IQ_INVEST_SECURITY_CF_UTI">"c643"</definedName>
    <definedName name="IQ_INVEST_SECURITY_SUPPL">"c5511"</definedName>
    <definedName name="IQ_IPRD">"c644"</definedName>
    <definedName name="IQ_ISS_DEBT_NET">"c1391"</definedName>
    <definedName name="IQ_ISS_STOCK_NET">"c1601"</definedName>
    <definedName name="IQ_ISSUE_CURRENCY">"c2156"</definedName>
    <definedName name="IQ_ISSUE_NAME">"c2142"</definedName>
    <definedName name="IQ_ISSUER">"c2143"</definedName>
    <definedName name="IQ_ISSUER_CIQID">"c2258"</definedName>
    <definedName name="IQ_ISSUER_PARENT">"c2144"</definedName>
    <definedName name="IQ_ISSUER_PARENT_CIQID">"c2260"</definedName>
    <definedName name="IQ_ISSUER_PARENT_TICKER">"c2259"</definedName>
    <definedName name="IQ_ISSUER_TICKER">"c2252"</definedName>
    <definedName name="IQ_JR_SUB_DEBT">"c2534"</definedName>
    <definedName name="IQ_JR_SUB_DEBT_EBITDA">"c2560"</definedName>
    <definedName name="IQ_JR_SUB_DEBT_EBITDA_CAPEX">"c2561"</definedName>
    <definedName name="IQ_JR_SUB_DEBT_PCT">"c2535"</definedName>
    <definedName name="IQ_LAND">"c645"</definedName>
    <definedName name="IQ_LAST_PMT_DATE">"c2188"</definedName>
    <definedName name="IQ_LAST_SPLIT_DATE">"c2095"</definedName>
    <definedName name="IQ_LAST_SPLIT_FACTOR">"c2093"</definedName>
    <definedName name="IQ_LASTPRICINGDATE">"c3051"</definedName>
    <definedName name="IQ_LASTSALEPRICE">"c646"</definedName>
    <definedName name="IQ_LASTSALEPRICE_DATE">"c2109"</definedName>
    <definedName name="IQ_LATESTK">1000</definedName>
    <definedName name="IQ_LATESTQ">500</definedName>
    <definedName name="IQ_LEGAL_SETTLE">"c647"</definedName>
    <definedName name="IQ_LEGAL_SETTLE_BNK">"c648"</definedName>
    <definedName name="IQ_LEGAL_SETTLE_BR">"c649"</definedName>
    <definedName name="IQ_LEGAL_SETTLE_FIN">"c650"</definedName>
    <definedName name="IQ_LEGAL_SETTLE_INS">"c651"</definedName>
    <definedName name="IQ_LEGAL_SETTLE_REIT">"c652"</definedName>
    <definedName name="IQ_LEGAL_SETTLE_UTI">"c653"</definedName>
    <definedName name="IQ_LEVERAGE_RATIO">"c654"</definedName>
    <definedName name="IQ_LEVERED_FCF">"c1907"</definedName>
    <definedName name="IQ_LFCF_10YR_ANN_GROWTH">"c1942"</definedName>
    <definedName name="IQ_LFCF_1YR_ANN_GROWTH">"c1937"</definedName>
    <definedName name="IQ_LFCF_2YR_ANN_GROWTH">"c1938"</definedName>
    <definedName name="IQ_LFCF_3YR_ANN_GROWTH">"c1939"</definedName>
    <definedName name="IQ_LFCF_5YR_ANN_GROWTH">"c1940"</definedName>
    <definedName name="IQ_LFCF_7YR_ANN_GROWTH">"c1941"</definedName>
    <definedName name="IQ_LFCF_MARGIN">"c1961"</definedName>
    <definedName name="IQ_LH_STATUTORY_SURPLUS">"c2771"</definedName>
    <definedName name="IQ_LICENSED_POPS">"c2123"</definedName>
    <definedName name="IQ_LIFE_EARNED">"c2739"</definedName>
    <definedName name="IQ_LIFOR">"c655"</definedName>
    <definedName name="IQ_LL">"c656"</definedName>
    <definedName name="IQ_LOAN_LEASE_RECEIV">"c657"</definedName>
    <definedName name="IQ_LOAN_LOSS">"c1386"</definedName>
    <definedName name="IQ_LOAN_SERVICE_REV">"c658"</definedName>
    <definedName name="IQ_LOANS_CF">"c659"</definedName>
    <definedName name="IQ_LOANS_CF_BNK">"c660"</definedName>
    <definedName name="IQ_LOANS_CF_BR">"c661"</definedName>
    <definedName name="IQ_LOANS_CF_FIN">"c662"</definedName>
    <definedName name="IQ_LOANS_CF_INS">"c663"</definedName>
    <definedName name="IQ_LOANS_CF_REIT">"c664"</definedName>
    <definedName name="IQ_LOANS_CF_UTI">"c665"</definedName>
    <definedName name="IQ_LOANS_FOR_SALE">"c666"</definedName>
    <definedName name="IQ_LOANS_PAST_DUE">"c667"</definedName>
    <definedName name="IQ_LOANS_RECEIV_CURRENT">"c668"</definedName>
    <definedName name="IQ_LOANS_RECEIV_LT">"c669"</definedName>
    <definedName name="IQ_LOANS_RECEIV_LT_UTI">"c670"</definedName>
    <definedName name="IQ_LONG_TERM_DEBT">"c1387"</definedName>
    <definedName name="IQ_LONG_TERM_DEBT_OVER_TOTAL_CAP">"c1388"</definedName>
    <definedName name="IQ_LONG_TERM_GROWTH">"c671"</definedName>
    <definedName name="IQ_LONG_TERM_INV">"c1389"</definedName>
    <definedName name="IQ_LOSS_LOSS_EXP">"c672"</definedName>
    <definedName name="IQ_LOSS_TO_NET_EARNED">"c2751"</definedName>
    <definedName name="IQ_LOW_TARGET_PRICE">"c1652"</definedName>
    <definedName name="IQ_LOW_TARGET_PRICE_REUT">"c5318"</definedName>
    <definedName name="IQ_LOWPRICE">"c673"</definedName>
    <definedName name="IQ_LT_DEBT">"c674"</definedName>
    <definedName name="IQ_LT_DEBT_BNK">"c675"</definedName>
    <definedName name="IQ_LT_DEBT_BR">"c676"</definedName>
    <definedName name="IQ_LT_DEBT_CAPITAL">"c677"</definedName>
    <definedName name="IQ_LT_DEBT_CAPITAL_LEASES">"c2542"</definedName>
    <definedName name="IQ_LT_DEBT_CAPITAL_LEASES_PCT">"c2543"</definedName>
    <definedName name="IQ_LT_DEBT_EQUITY">"c678"</definedName>
    <definedName name="IQ_LT_DEBT_FIN">"c679"</definedName>
    <definedName name="IQ_LT_DEBT_INS">"c680"</definedName>
    <definedName name="IQ_LT_DEBT_ISSUED">"c681"</definedName>
    <definedName name="IQ_LT_DEBT_ISSUED_BNK">"c682"</definedName>
    <definedName name="IQ_LT_DEBT_ISSUED_BR">"c683"</definedName>
    <definedName name="IQ_LT_DEBT_ISSUED_FIN">"c684"</definedName>
    <definedName name="IQ_LT_DEBT_ISSUED_INS">"c685"</definedName>
    <definedName name="IQ_LT_DEBT_ISSUED_REIT">"c686"</definedName>
    <definedName name="IQ_LT_DEBT_ISSUED_UTI">"c687"</definedName>
    <definedName name="IQ_LT_DEBT_REIT">"c688"</definedName>
    <definedName name="IQ_LT_DEBT_REPAID">"c689"</definedName>
    <definedName name="IQ_LT_DEBT_REPAID_BNK">"c690"</definedName>
    <definedName name="IQ_LT_DEBT_REPAID_BR">"c691"</definedName>
    <definedName name="IQ_LT_DEBT_REPAID_FIN">"c692"</definedName>
    <definedName name="IQ_LT_DEBT_REPAID_INS">"c693"</definedName>
    <definedName name="IQ_LT_DEBT_REPAID_REIT">"c694"</definedName>
    <definedName name="IQ_LT_DEBT_REPAID_UTI">"c695"</definedName>
    <definedName name="IQ_LT_DEBT_UTI">"c696"</definedName>
    <definedName name="IQ_LT_INVEST">"c697"</definedName>
    <definedName name="IQ_LT_INVEST_BR">"c698"</definedName>
    <definedName name="IQ_LT_INVEST_FIN">"c699"</definedName>
    <definedName name="IQ_LT_INVEST_REIT">"c700"</definedName>
    <definedName name="IQ_LT_INVEST_UTI">"c701"</definedName>
    <definedName name="IQ_LT_NOTE_RECEIV">"c1602"</definedName>
    <definedName name="IQ_LTD_DUE_AFTER_FIVE">"c704"</definedName>
    <definedName name="IQ_LTD_DUE_CY">"c705"</definedName>
    <definedName name="IQ_LTD_DUE_CY1">"c706"</definedName>
    <definedName name="IQ_LTD_DUE_CY2">"c707"</definedName>
    <definedName name="IQ_LTD_DUE_CY3">"c708"</definedName>
    <definedName name="IQ_LTD_DUE_CY4">"c709"</definedName>
    <definedName name="IQ_LTD_DUE_NEXT_FIVE">"c710"</definedName>
    <definedName name="IQ_LTM">2000</definedName>
    <definedName name="IQ_LTM_REVENUE_OVER_EMPLOYEES">"c1437"</definedName>
    <definedName name="IQ_MACHINERY">"c711"</definedName>
    <definedName name="IQ_MAINT_CAPEX">"c2947"</definedName>
    <definedName name="IQ_MAINT_CAPEX_ACT_OR_EST">"c4458"</definedName>
    <definedName name="IQ_MAINT_REPAIR">"c2087"</definedName>
    <definedName name="IQ_MAKE_WHOLE_END_DATE">"c2493"</definedName>
    <definedName name="IQ_MAKE_WHOLE_SPREAD">"c2494"</definedName>
    <definedName name="IQ_MAKE_WHOLE_START_DATE">"c2492"</definedName>
    <definedName name="IQ_MARKET_CAP_LFCF">"c2209"</definedName>
    <definedName name="IQ_MARKETCAP">"c712"</definedName>
    <definedName name="IQ_MARKETING">"c2239"</definedName>
    <definedName name="IQ_MATURITY_DATE">"c2146"</definedName>
    <definedName name="IQ_MC_RATIO">"c2783"</definedName>
    <definedName name="IQ_MC_STATUTORY_SURPLUS">"c2772"</definedName>
    <definedName name="IQ_MEDIAN_TARGET_PRICE">"c1650"</definedName>
    <definedName name="IQ_MEDIAN_TARGET_PRICE_REUT">"c5316"</definedName>
    <definedName name="IQ_MERGER">"c713"</definedName>
    <definedName name="IQ_MERGER_BNK">"c714"</definedName>
    <definedName name="IQ_MERGER_BR">"c715"</definedName>
    <definedName name="IQ_MERGER_FIN">"c716"</definedName>
    <definedName name="IQ_MERGER_INS">"c717"</definedName>
    <definedName name="IQ_MERGER_REIT">"c718"</definedName>
    <definedName name="IQ_MERGER_RESTRUCTURE">"c719"</definedName>
    <definedName name="IQ_MERGER_RESTRUCTURE_BNK">"c720"</definedName>
    <definedName name="IQ_MERGER_RESTRUCTURE_BR">"c721"</definedName>
    <definedName name="IQ_MERGER_RESTRUCTURE_FIN">"c722"</definedName>
    <definedName name="IQ_MERGER_RESTRUCTURE_INS">"c723"</definedName>
    <definedName name="IQ_MERGER_RESTRUCTURE_REIT">"c724"</definedName>
    <definedName name="IQ_MERGER_RESTRUCTURE_UTI">"c725"</definedName>
    <definedName name="IQ_MERGER_UTI">"c726"</definedName>
    <definedName name="IQ_MINORITY_INTEREST">"c727"</definedName>
    <definedName name="IQ_MINORITY_INTEREST_BNK">"c728"</definedName>
    <definedName name="IQ_MINORITY_INTEREST_BR">"c729"</definedName>
    <definedName name="IQ_MINORITY_INTEREST_CF">"c730"</definedName>
    <definedName name="IQ_MINORITY_INTEREST_FIN">"c731"</definedName>
    <definedName name="IQ_MINORITY_INTEREST_INS">"c732"</definedName>
    <definedName name="IQ_MINORITY_INTEREST_IS">"c733"</definedName>
    <definedName name="IQ_MINORITY_INTEREST_REIT">"c734"</definedName>
    <definedName name="IQ_MINORITY_INTEREST_TOTAL">"c1905"</definedName>
    <definedName name="IQ_MINORITY_INTEREST_UTI">"c735"</definedName>
    <definedName name="IQ_MISC_ADJUST_CF">"c736"</definedName>
    <definedName name="IQ_MISC_EARN_ADJ">"c1603"</definedName>
    <definedName name="IQ_MKTCAP_EBT_EXCL">"c737"</definedName>
    <definedName name="IQ_MKTCAP_EBT_EXCL_AVG">"c738"</definedName>
    <definedName name="IQ_MKTCAP_EBT_INCL_AVG">"c739"</definedName>
    <definedName name="IQ_MKTCAP_TOTAL_REV">"c740"</definedName>
    <definedName name="IQ_MKTCAP_TOTAL_REV_AVG">"c741"</definedName>
    <definedName name="IQ_MKTCAP_TOTAL_REV_FWD">"c742"</definedName>
    <definedName name="IQ_MKTCAP_TOTAL_REV_FWD_REUT">"c4048"</definedName>
    <definedName name="IQ_MM_ACCOUNT">"c743"</definedName>
    <definedName name="IQ_MORT_BANK_ACT">"c744"</definedName>
    <definedName name="IQ_MORT_BANKING_FEE">"c745"</definedName>
    <definedName name="IQ_MORT_INT_INC">"c746"</definedName>
    <definedName name="IQ_MORT_LOANS">"c747"</definedName>
    <definedName name="IQ_MORT_SECURITY">"c748"</definedName>
    <definedName name="IQ_MORTGAGE_SERV_RIGHTS">"c2242"</definedName>
    <definedName name="IQ_NAMES_REVISION_DATE_" hidden="1">41898.2831828704</definedName>
    <definedName name="IQ_NET_CHANGE">"c749"</definedName>
    <definedName name="IQ_NET_CLAIM_EXP_INCUR">"c2757"</definedName>
    <definedName name="IQ_NET_CLAIM_EXP_INCUR_CY">"c2761"</definedName>
    <definedName name="IQ_NET_CLAIM_EXP_INCUR_PY">"c2762"</definedName>
    <definedName name="IQ_NET_CLAIM_EXP_PAID">"c2760"</definedName>
    <definedName name="IQ_NET_CLAIM_EXP_PAID_CY">"c2763"</definedName>
    <definedName name="IQ_NET_CLAIM_EXP_PAID_PY">"c2764"</definedName>
    <definedName name="IQ_NET_CLAIM_EXP_RES">"c2754"</definedName>
    <definedName name="IQ_NET_DEBT">"c1584"</definedName>
    <definedName name="IQ_NET_DEBT_EBITDA">"c750"</definedName>
    <definedName name="IQ_NET_DEBT_EBITDA_CAPEX">"c2949"</definedName>
    <definedName name="IQ_NET_DEBT_ISSUED">"c751"</definedName>
    <definedName name="IQ_NET_DEBT_ISSUED_BNK">"c752"</definedName>
    <definedName name="IQ_NET_DEBT_ISSUED_BR">"c753"</definedName>
    <definedName name="IQ_NET_DEBT_ISSUED_FIN">"c754"</definedName>
    <definedName name="IQ_NET_DEBT_ISSUED_INS">"c755"</definedName>
    <definedName name="IQ_NET_DEBT_ISSUED_REIT">"c756"</definedName>
    <definedName name="IQ_NET_DEBT_ISSUED_UTI">"c757"</definedName>
    <definedName name="IQ_NET_EARNED">"c2734"</definedName>
    <definedName name="IQ_NET_INC">"c1394"</definedName>
    <definedName name="IQ_NET_INC_BEFORE">"c1368"</definedName>
    <definedName name="IQ_NET_INC_CF">"c1397"</definedName>
    <definedName name="IQ_NET_INC_MARGIN">"c1398"</definedName>
    <definedName name="IQ_NET_INT_INC_10YR_ANN_GROWTH">"c758"</definedName>
    <definedName name="IQ_NET_INT_INC_1YR_ANN_GROWTH">"c759"</definedName>
    <definedName name="IQ_NET_INT_INC_2YR_ANN_GROWTH">"c760"</definedName>
    <definedName name="IQ_NET_INT_INC_3YR_ANN_GROWTH">"c761"</definedName>
    <definedName name="IQ_NET_INT_INC_5YR_ANN_GROWTH">"c762"</definedName>
    <definedName name="IQ_NET_INT_INC_7YR_ANN_GROWTH">"c763"</definedName>
    <definedName name="IQ_NET_INT_INC_BNK">"c764"</definedName>
    <definedName name="IQ_NET_INT_INC_BR">"c765"</definedName>
    <definedName name="IQ_NET_INT_INC_FIN">"c766"</definedName>
    <definedName name="IQ_NET_INT_INC_TOTAL_REV">"c767"</definedName>
    <definedName name="IQ_NET_INT_MARGIN">"c768"</definedName>
    <definedName name="IQ_NET_INTEREST_EXP">"c769"</definedName>
    <definedName name="IQ_NET_INTEREST_EXP_REIT">"c770"</definedName>
    <definedName name="IQ_NET_INTEREST_EXP_UTI">"c771"</definedName>
    <definedName name="IQ_NET_INTEREST_INC">"c1392"</definedName>
    <definedName name="IQ_NET_INTEREST_INC_AFTER_LL">"c1604"</definedName>
    <definedName name="IQ_NET_LIFE_INS_IN_FORCE">"c2769"</definedName>
    <definedName name="IQ_NET_LOANS">"c772"</definedName>
    <definedName name="IQ_NET_LOANS_10YR_ANN_GROWTH">"c773"</definedName>
    <definedName name="IQ_NET_LOANS_1YR_ANN_GROWTH">"c774"</definedName>
    <definedName name="IQ_NET_LOANS_2YR_ANN_GROWTH">"c775"</definedName>
    <definedName name="IQ_NET_LOANS_3YR_ANN_GROWTH">"c776"</definedName>
    <definedName name="IQ_NET_LOANS_5YR_ANN_GROWTH">"c777"</definedName>
    <definedName name="IQ_NET_LOANS_7YR_ANN_GROWTH">"c778"</definedName>
    <definedName name="IQ_NET_LOANS_TOTAL_DEPOSITS">"c779"</definedName>
    <definedName name="IQ_NET_RENTAL_EXP_FN">"c780"</definedName>
    <definedName name="IQ_NET_TO_GROSS_EARNED">"c2750"</definedName>
    <definedName name="IQ_NET_TO_GROSS_WRITTEN">"c2729"</definedName>
    <definedName name="IQ_NET_WORKING_CAP">"c3493"</definedName>
    <definedName name="IQ_NET_WRITTEN">"c2728"</definedName>
    <definedName name="IQ_NEW_PREM">"c2785"</definedName>
    <definedName name="IQ_NEXT_CALL_DATE">"c2198"</definedName>
    <definedName name="IQ_NEXT_CALL_PRICE">"c2199"</definedName>
    <definedName name="IQ_NEXT_INT_DATE">"c2187"</definedName>
    <definedName name="IQ_NEXT_PUT_DATE">"c2200"</definedName>
    <definedName name="IQ_NEXT_PUT_PRICE">"c2201"</definedName>
    <definedName name="IQ_NEXT_SINK_FUND_AMOUNT">"c2490"</definedName>
    <definedName name="IQ_NEXT_SINK_FUND_DATE">"c2489"</definedName>
    <definedName name="IQ_NEXT_SINK_FUND_PRICE">"c2491"</definedName>
    <definedName name="IQ_NI">"c781"</definedName>
    <definedName name="IQ_NI_10YR_ANN_GROWTH">"c782"</definedName>
    <definedName name="IQ_NI_1YR_ANN_GROWTH">"c783"</definedName>
    <definedName name="IQ_NI_2YR_ANN_GROWTH">"c784"</definedName>
    <definedName name="IQ_NI_3YR_ANN_GROWTH">"c785"</definedName>
    <definedName name="IQ_NI_5YR_ANN_GROWTH">"c786"</definedName>
    <definedName name="IQ_NI_7YR_ANN_GROWTH">"c787"</definedName>
    <definedName name="IQ_NI_AFTER_CAPITALIZED">"c788"</definedName>
    <definedName name="IQ_NI_AVAIL_EXCL">"c789"</definedName>
    <definedName name="IQ_NI_AVAIL_EXCL_MARGIN">"c790"</definedName>
    <definedName name="IQ_NI_AVAIL_INCL">"c791"</definedName>
    <definedName name="IQ_NI_BEFORE_CAPITALIZED">"c792"</definedName>
    <definedName name="IQ_NI_CF">"c793"</definedName>
    <definedName name="IQ_NI_MARGIN">"c794"</definedName>
    <definedName name="IQ_NI_NORM">"c1901"</definedName>
    <definedName name="IQ_NI_NORM_10YR_ANN_GROWTH">"c1960"</definedName>
    <definedName name="IQ_NI_NORM_1YR_ANN_GROWTH">"c1955"</definedName>
    <definedName name="IQ_NI_NORM_2YR_ANN_GROWTH">"c1956"</definedName>
    <definedName name="IQ_NI_NORM_3YR_ANN_GROWTH">"c1957"</definedName>
    <definedName name="IQ_NI_NORM_5YR_ANN_GROWTH">"c1958"</definedName>
    <definedName name="IQ_NI_NORM_7YR_ANN_GROWTH">"c1959"</definedName>
    <definedName name="IQ_NI_NORM_MARGIN">"c1964"</definedName>
    <definedName name="IQ_NI_SBC_ACT_OR_EST">"c4474"</definedName>
    <definedName name="IQ_NI_SBC_GW_ACT_OR_EST">"c4478"</definedName>
    <definedName name="IQ_NI_SFAS">"c795"</definedName>
    <definedName name="IQ_NOL_CF_1YR">"c3465"</definedName>
    <definedName name="IQ_NOL_CF_2YR">"c3466"</definedName>
    <definedName name="IQ_NOL_CF_3YR">"c3467"</definedName>
    <definedName name="IQ_NOL_CF_4YR">"c3468"</definedName>
    <definedName name="IQ_NOL_CF_5YR">"c3469"</definedName>
    <definedName name="IQ_NOL_CF_AFTER_FIVE">"c3470"</definedName>
    <definedName name="IQ_NOL_CF_MAX_YEAR">"c3473"</definedName>
    <definedName name="IQ_NOL_CF_NO_EXP">"c3471"</definedName>
    <definedName name="IQ_NOL_CF_TOTAL">"c3472"</definedName>
    <definedName name="IQ_NON_ACCRUAL_LOANS">"c796"</definedName>
    <definedName name="IQ_NON_CASH">"c1399"</definedName>
    <definedName name="IQ_NON_CASH_ITEMS">"c797"</definedName>
    <definedName name="IQ_NON_INS_EXP">"c798"</definedName>
    <definedName name="IQ_NON_INS_REV">"c799"</definedName>
    <definedName name="IQ_NON_INT_BEAR_CD">"c800"</definedName>
    <definedName name="IQ_NON_INT_EXP">"c801"</definedName>
    <definedName name="IQ_NON_INT_INC">"c802"</definedName>
    <definedName name="IQ_NON_INT_INC_10YR_ANN_GROWTH">"c803"</definedName>
    <definedName name="IQ_NON_INT_INC_1YR_ANN_GROWTH">"c804"</definedName>
    <definedName name="IQ_NON_INT_INC_2YR_ANN_GROWTH">"c805"</definedName>
    <definedName name="IQ_NON_INT_INC_3YR_ANN_GROWTH">"c806"</definedName>
    <definedName name="IQ_NON_INT_INC_5YR_ANN_GROWTH">"c807"</definedName>
    <definedName name="IQ_NON_INT_INC_7YR_ANN_GROWTH">"c808"</definedName>
    <definedName name="IQ_NON_INTEREST_EXP">"c1400"</definedName>
    <definedName name="IQ_NON_INTEREST_INC">"c1401"</definedName>
    <definedName name="IQ_NON_OPER_EXP">"c809"</definedName>
    <definedName name="IQ_NON_OPER_INC">"c810"</definedName>
    <definedName name="IQ_NON_PERF_ASSETS_10YR_ANN_GROWTH">"c811"</definedName>
    <definedName name="IQ_NON_PERF_ASSETS_1YR_ANN_GROWTH">"c812"</definedName>
    <definedName name="IQ_NON_PERF_ASSETS_2YR_ANN_GROWTH">"c813"</definedName>
    <definedName name="IQ_NON_PERF_ASSETS_3YR_ANN_GROWTH">"c814"</definedName>
    <definedName name="IQ_NON_PERF_ASSETS_5YR_ANN_GROWTH">"c815"</definedName>
    <definedName name="IQ_NON_PERF_ASSETS_7YR_ANN_GROWTH">"c816"</definedName>
    <definedName name="IQ_NON_PERF_ASSETS_TOTAL_ASSETS">"c817"</definedName>
    <definedName name="IQ_NON_PERF_LOANS_10YR_ANN_GROWTH">"c818"</definedName>
    <definedName name="IQ_NON_PERF_LOANS_1YR_ANN_GROWTH">"c819"</definedName>
    <definedName name="IQ_NON_PERF_LOANS_2YR_ANN_GROWTH">"c820"</definedName>
    <definedName name="IQ_NON_PERF_LOANS_3YR_ANN_GROWTH">"c821"</definedName>
    <definedName name="IQ_NON_PERF_LOANS_5YR_ANN_GROWTH">"c822"</definedName>
    <definedName name="IQ_NON_PERF_LOANS_7YR_ANN_GROWTH">"c823"</definedName>
    <definedName name="IQ_NON_PERF_LOANS_TOTAL_ASSETS">"c824"</definedName>
    <definedName name="IQ_NON_PERF_LOANS_TOTAL_LOANS">"c825"</definedName>
    <definedName name="IQ_NON_PERFORMING_ASSETS">"c826"</definedName>
    <definedName name="IQ_NON_PERFORMING_LOANS">"c827"</definedName>
    <definedName name="IQ_NONCASH_PENSION_EXP">"c3000"</definedName>
    <definedName name="IQ_NONRECOURSE_DEBT">"c2550"</definedName>
    <definedName name="IQ_NONRECOURSE_DEBT_PCT">"c2551"</definedName>
    <definedName name="IQ_NONUTIL_REV">"c2089"</definedName>
    <definedName name="IQ_NORMAL_INC_AFTER">"c1605"</definedName>
    <definedName name="IQ_NORMAL_INC_AVAIL">"c1606"</definedName>
    <definedName name="IQ_NORMAL_INC_BEFORE">"c1607"</definedName>
    <definedName name="IQ_NOTES_PAY">"c1423"</definedName>
    <definedName name="IQ_NOW_ACCOUNT">"c828"</definedName>
    <definedName name="IQ_NPPE">"c829"</definedName>
    <definedName name="IQ_NPPE_10YR_ANN_GROWTH">"c830"</definedName>
    <definedName name="IQ_NPPE_1YR_ANN_GROWTH">"c831"</definedName>
    <definedName name="IQ_NPPE_2YR_ANN_GROWTH">"c832"</definedName>
    <definedName name="IQ_NPPE_3YR_ANN_GROWTH">"c833"</definedName>
    <definedName name="IQ_NPPE_5YR_ANN_GROWTH">"c834"</definedName>
    <definedName name="IQ_NPPE_7YR_ANN_GROWTH">"c835"</definedName>
    <definedName name="IQ_NTM">6000</definedName>
    <definedName name="IQ_NUKE">"c836"</definedName>
    <definedName name="IQ_NUKE_CF">"c837"</definedName>
    <definedName name="IQ_NUKE_CONTR">"c838"</definedName>
    <definedName name="IQ_NUM_BRANCHES">"c2088"</definedName>
    <definedName name="IQ_NUMBER_ADRHOLDERS">"c1970"</definedName>
    <definedName name="IQ_NUMBER_DAYS">"c1904"</definedName>
    <definedName name="IQ_NUMBER_SHAREHOLDERS">"c1967"</definedName>
    <definedName name="IQ_NUMBER_SHAREHOLDERS_CLASSA">"c1968"</definedName>
    <definedName name="IQ_NUMBER_SHAREHOLDERS_OTHER">"c1969"</definedName>
    <definedName name="IQ_OCCUPY_EXP">"c839"</definedName>
    <definedName name="IQ_OFFER_AMOUNT">"c2152"</definedName>
    <definedName name="IQ_OFFER_COUPON">"c2147"</definedName>
    <definedName name="IQ_OFFER_COUPON_TYPE">"c2148"</definedName>
    <definedName name="IQ_OFFER_DATE">"c2149"</definedName>
    <definedName name="IQ_OFFER_PRICE">"c2150"</definedName>
    <definedName name="IQ_OFFER_YIELD">"c2151"</definedName>
    <definedName name="IQ_OG_10DISC">"c1998"</definedName>
    <definedName name="IQ_OG_10DISC_GAS">"c2018"</definedName>
    <definedName name="IQ_OG_10DISC_OIL">"c2008"</definedName>
    <definedName name="IQ_OG_ACQ_COST_PROVED">"c1975"</definedName>
    <definedName name="IQ_OG_ACQ_COST_PROVED_GAS">"c1987"</definedName>
    <definedName name="IQ_OG_ACQ_COST_PROVED_OIL">"c1981"</definedName>
    <definedName name="IQ_OG_ACQ_COST_UNPROVED">"c1976"</definedName>
    <definedName name="IQ_OG_ACQ_COST_UNPROVED_GAS">"c1988"</definedName>
    <definedName name="IQ_OG_ACQ_COST_UNPROVED_OIL">"c1982"</definedName>
    <definedName name="IQ_OG_AVG_DAILY_PROD_GAS">"c2910"</definedName>
    <definedName name="IQ_OG_AVG_DAILY_PROD_NGL">"c2911"</definedName>
    <definedName name="IQ_OG_AVG_DAILY_PROD_OIL">"c2909"</definedName>
    <definedName name="IQ_OG_CLOSE_BALANCE_GAS">"c2049"</definedName>
    <definedName name="IQ_OG_CLOSE_BALANCE_NGL">"c2920"</definedName>
    <definedName name="IQ_OG_CLOSE_BALANCE_OIL">"c2037"</definedName>
    <definedName name="IQ_OG_DCF_BEFORE_TAXES">"c2023"</definedName>
    <definedName name="IQ_OG_DCF_BEFORE_TAXES_GAS">"c2025"</definedName>
    <definedName name="IQ_OG_DCF_BEFORE_TAXES_OIL">"c2024"</definedName>
    <definedName name="IQ_OG_DEVELOPED_RESERVES_GAS">"c2053"</definedName>
    <definedName name="IQ_OG_DEVELOPED_RESERVES_NGL">"c2922"</definedName>
    <definedName name="IQ_OG_DEVELOPED_RESERVES_OIL">"c2054"</definedName>
    <definedName name="IQ_OG_DEVELOPMENT_COSTS">"c1978"</definedName>
    <definedName name="IQ_OG_DEVELOPMENT_COSTS_GAS">"c1990"</definedName>
    <definedName name="IQ_OG_DEVELOPMENT_COSTS_OIL">"c1984"</definedName>
    <definedName name="IQ_OG_EQUITY_DCF">"c2002"</definedName>
    <definedName name="IQ_OG_EQUITY_DCF_GAS">"c2022"</definedName>
    <definedName name="IQ_OG_EQUITY_DCF_OIL">"c2012"</definedName>
    <definedName name="IQ_OG_EQUTY_RESERVES_GAS">"c2050"</definedName>
    <definedName name="IQ_OG_EQUTY_RESERVES_NGL">"c2921"</definedName>
    <definedName name="IQ_OG_EQUTY_RESERVES_OIL">"c2038"</definedName>
    <definedName name="IQ_OG_EXPLORATION_COSTS">"c1977"</definedName>
    <definedName name="IQ_OG_EXPLORATION_COSTS_GAS">"c1989"</definedName>
    <definedName name="IQ_OG_EXPLORATION_COSTS_OIL">"c1983"</definedName>
    <definedName name="IQ_OG_EXT_DISC_GAS">"c2043"</definedName>
    <definedName name="IQ_OG_EXT_DISC_NGL">"c2914"</definedName>
    <definedName name="IQ_OG_EXT_DISC_OIL">"c2031"</definedName>
    <definedName name="IQ_OG_FUTURE_CASH_INFLOWS">"c1993"</definedName>
    <definedName name="IQ_OG_FUTURE_CASH_INFLOWS_GAS">"c2013"</definedName>
    <definedName name="IQ_OG_FUTURE_CASH_INFLOWS_OIL">"c2003"</definedName>
    <definedName name="IQ_OG_FUTURE_DEVELOPMENT_COSTS">"c1995"</definedName>
    <definedName name="IQ_OG_FUTURE_DEVELOPMENT_COSTS_GAS">"c2015"</definedName>
    <definedName name="IQ_OG_FUTURE_DEVELOPMENT_COSTS_OIL">"c2005"</definedName>
    <definedName name="IQ_OG_FUTURE_INC_TAXES">"c1997"</definedName>
    <definedName name="IQ_OG_FUTURE_INC_TAXES_GAS">"c2017"</definedName>
    <definedName name="IQ_OG_FUTURE_INC_TAXES_OIL">"c2007"</definedName>
    <definedName name="IQ_OG_FUTURE_PRODUCTION_COSTS">"c1994"</definedName>
    <definedName name="IQ_OG_FUTURE_PRODUCTION_COSTS_GAS">"c2014"</definedName>
    <definedName name="IQ_OG_FUTURE_PRODUCTION_COSTS_OIL">"c2004"</definedName>
    <definedName name="IQ_OG_GAS_PRICE_HEDGED">"c2056"</definedName>
    <definedName name="IQ_OG_GAS_PRICE_UNHEDGED">"c2058"</definedName>
    <definedName name="IQ_OG_IMPROVED_RECOVERY_GAS">"c2044"</definedName>
    <definedName name="IQ_OG_IMPROVED_RECOVERY_NGL">"c2915"</definedName>
    <definedName name="IQ_OG_IMPROVED_RECOVERY_OIL">"c2032"</definedName>
    <definedName name="IQ_OG_LIQUID_GAS_PRICE_HEDGED">"c2233"</definedName>
    <definedName name="IQ_OG_LIQUID_GAS_PRICE_UNHEDGED">"c2234"</definedName>
    <definedName name="IQ_OG_NET_FUTURE_CASH_FLOWS">"c1996"</definedName>
    <definedName name="IQ_OG_NET_FUTURE_CASH_FLOWS_GAS">"c2016"</definedName>
    <definedName name="IQ_OG_NET_FUTURE_CASH_FLOWS_OIL">"c2006"</definedName>
    <definedName name="IQ_OG_OIL_PRICE_HEDGED">"c2055"</definedName>
    <definedName name="IQ_OG_OIL_PRICE_UNHEDGED">"c2057"</definedName>
    <definedName name="IQ_OG_OPEN_BALANCE_GAS">"c2041"</definedName>
    <definedName name="IQ_OG_OPEN_BALANCE_NGL">"c2912"</definedName>
    <definedName name="IQ_OG_OPEN_BALANCE_OIL">"c2029"</definedName>
    <definedName name="IQ_OG_OTHER_ADJ_FCF">"c1999"</definedName>
    <definedName name="IQ_OG_OTHER_ADJ_FCF_GAS">"c2019"</definedName>
    <definedName name="IQ_OG_OTHER_ADJ_FCF_OIL">"c2009"</definedName>
    <definedName name="IQ_OG_OTHER_ADJ_GAS">"c2048"</definedName>
    <definedName name="IQ_OG_OTHER_ADJ_NGL">"c2919"</definedName>
    <definedName name="IQ_OG_OTHER_ADJ_OIL">"c2036"</definedName>
    <definedName name="IQ_OG_OTHER_COSTS">"c1979"</definedName>
    <definedName name="IQ_OG_OTHER_COSTS_GAS">"c1991"</definedName>
    <definedName name="IQ_OG_OTHER_COSTS_OIL">"c1985"</definedName>
    <definedName name="IQ_OG_PRODUCTION_GAS">"c2047"</definedName>
    <definedName name="IQ_OG_PRODUCTION_NGL">"c2918"</definedName>
    <definedName name="IQ_OG_PRODUCTION_OIL">"c2035"</definedName>
    <definedName name="IQ_OG_PURCHASES_GAS">"c2045"</definedName>
    <definedName name="IQ_OG_PURCHASES_NGL">"c2916"</definedName>
    <definedName name="IQ_OG_PURCHASES_OIL">"c2033"</definedName>
    <definedName name="IQ_OG_REVISIONS_GAS">"c2042"</definedName>
    <definedName name="IQ_OG_REVISIONS_NGL">"c2913"</definedName>
    <definedName name="IQ_OG_REVISIONS_OIL">"c2030"</definedName>
    <definedName name="IQ_OG_SALES_IN_PLACE_GAS">"c2046"</definedName>
    <definedName name="IQ_OG_SALES_IN_PLACE_NGL">"c2917"</definedName>
    <definedName name="IQ_OG_SALES_IN_PLACE_OIL">"c2034"</definedName>
    <definedName name="IQ_OG_STANDARDIZED_DCF">"c2000"</definedName>
    <definedName name="IQ_OG_STANDARDIZED_DCF_GAS">"c2020"</definedName>
    <definedName name="IQ_OG_STANDARDIZED_DCF_HEDGED">"c2001"</definedName>
    <definedName name="IQ_OG_STANDARDIZED_DCF_HEDGED_GAS">"c2021"</definedName>
    <definedName name="IQ_OG_STANDARDIZED_DCF_HEDGED_OIL">"c2011"</definedName>
    <definedName name="IQ_OG_STANDARDIZED_DCF_OIL">"c2010"</definedName>
    <definedName name="IQ_OG_TAXES">"c2026"</definedName>
    <definedName name="IQ_OG_TAXES_GAS">"c2028"</definedName>
    <definedName name="IQ_OG_TAXES_OIL">"c2027"</definedName>
    <definedName name="IQ_OG_TOTAL_COSTS">"c1980"</definedName>
    <definedName name="IQ_OG_TOTAL_COSTS_GAS">"c1992"</definedName>
    <definedName name="IQ_OG_TOTAL_COSTS_OIL">"c1986"</definedName>
    <definedName name="IQ_OG_TOTAL_EST_PROVED_RESERVES_GAS">"c2052"</definedName>
    <definedName name="IQ_OG_TOTAL_GAS_PRODUCTION">"c2060"</definedName>
    <definedName name="IQ_OG_TOTAL_LIQUID_GAS_PRODUCTION">"c2235"</definedName>
    <definedName name="IQ_OG_TOTAL_OIL_PRODUCTION">"c2059"</definedName>
    <definedName name="IQ_OG_UNDEVELOPED_RESERVES_GAS">"c2051"</definedName>
    <definedName name="IQ_OG_UNDEVELOPED_RESERVES_NGL">"c2923"</definedName>
    <definedName name="IQ_OG_UNDEVELOPED_RESERVES_OIL">"c2039"</definedName>
    <definedName name="IQ_OIL_IMPAIR">"c840"</definedName>
    <definedName name="IQ_OL_COMM_AFTER_FIVE">"c841"</definedName>
    <definedName name="IQ_OL_COMM_CY">"c842"</definedName>
    <definedName name="IQ_OL_COMM_CY1">"c843"</definedName>
    <definedName name="IQ_OL_COMM_CY2">"c844"</definedName>
    <definedName name="IQ_OL_COMM_CY3">"c845"</definedName>
    <definedName name="IQ_OL_COMM_CY4">"c846"</definedName>
    <definedName name="IQ_OL_COMM_NEXT_FIVE">"c847"</definedName>
    <definedName name="IQ_OPEB_ACCRUED_LIAB">"c3308"</definedName>
    <definedName name="IQ_OPEB_ACCRUED_LIAB_DOM">"c3306"</definedName>
    <definedName name="IQ_OPEB_ACCRUED_LIAB_FOREIGN">"c3307"</definedName>
    <definedName name="IQ_OPEB_ACCUM_OTHER_CI">"c3314"</definedName>
    <definedName name="IQ_OPEB_ACCUM_OTHER_CI_DOM">"c3312"</definedName>
    <definedName name="IQ_OPEB_ACCUM_OTHER_CI_FOREIGN">"c3313"</definedName>
    <definedName name="IQ_OPEB_ASSETS">"c3356"</definedName>
    <definedName name="IQ_OPEB_ASSETS_ACQ">"c3347"</definedName>
    <definedName name="IQ_OPEB_ASSETS_ACQ_DOM">"c3345"</definedName>
    <definedName name="IQ_OPEB_ASSETS_ACQ_FOREIGN">"c3346"</definedName>
    <definedName name="IQ_OPEB_ASSETS_ACTUAL_RETURN">"c3332"</definedName>
    <definedName name="IQ_OPEB_ASSETS_ACTUAL_RETURN_DOM">"c3330"</definedName>
    <definedName name="IQ_OPEB_ASSETS_ACTUAL_RETURN_FOREIGN">"c3331"</definedName>
    <definedName name="IQ_OPEB_ASSETS_BEG">"c3329"</definedName>
    <definedName name="IQ_OPEB_ASSETS_BEG_DOM">"c3327"</definedName>
    <definedName name="IQ_OPEB_ASSETS_BEG_FOREIGN">"c3328"</definedName>
    <definedName name="IQ_OPEB_ASSETS_BENEFITS_PAID">"c3341"</definedName>
    <definedName name="IQ_OPEB_ASSETS_BENEFITS_PAID_DOM">"c3339"</definedName>
    <definedName name="IQ_OPEB_ASSETS_BENEFITS_PAID_FOREIGN">"c3340"</definedName>
    <definedName name="IQ_OPEB_ASSETS_CURTAIL">"c3350"</definedName>
    <definedName name="IQ_OPEB_ASSETS_CURTAIL_DOM">"c3348"</definedName>
    <definedName name="IQ_OPEB_ASSETS_CURTAIL_FOREIGN">"c3349"</definedName>
    <definedName name="IQ_OPEB_ASSETS_DOM">"c3354"</definedName>
    <definedName name="IQ_OPEB_ASSETS_EMPLOYER_CONTRIBUTIONS">"c3335"</definedName>
    <definedName name="IQ_OPEB_ASSETS_EMPLOYER_CONTRIBUTIONS_DOM">"c3333"</definedName>
    <definedName name="IQ_OPEB_ASSETS_EMPLOYER_CONTRIBUTIONS_FOREIGN">"c3334"</definedName>
    <definedName name="IQ_OPEB_ASSETS_FOREIGN">"c3355"</definedName>
    <definedName name="IQ_OPEB_ASSETS_FX_ADJ">"c3344"</definedName>
    <definedName name="IQ_OPEB_ASSETS_FX_ADJ_DOM">"c3342"</definedName>
    <definedName name="IQ_OPEB_ASSETS_FX_ADJ_FOREIGN">"c3343"</definedName>
    <definedName name="IQ_OPEB_ASSETS_OTHER_PLAN_ADJ">"c3353"</definedName>
    <definedName name="IQ_OPEB_ASSETS_OTHER_PLAN_ADJ_DOM">"c3351"</definedName>
    <definedName name="IQ_OPEB_ASSETS_OTHER_PLAN_ADJ_FOREIGN">"c3352"</definedName>
    <definedName name="IQ_OPEB_ASSETS_PARTICIP_CONTRIBUTIONS">"c3338"</definedName>
    <definedName name="IQ_OPEB_ASSETS_PARTICIP_CONTRIBUTIONS_DOM">"c3336"</definedName>
    <definedName name="IQ_OPEB_ASSETS_PARTICIP_CONTRIBUTIONS_FOREIGN">"c3337"</definedName>
    <definedName name="IQ_OPEB_BENEFIT_INFO_DATE">"c3410"</definedName>
    <definedName name="IQ_OPEB_BENEFIT_INFO_DATE_DOM">"c3408"</definedName>
    <definedName name="IQ_OPEB_BENEFIT_INFO_DATE_FOREIGN">"c3409"</definedName>
    <definedName name="IQ_OPEB_BREAKDOWN_EQ">"c3275"</definedName>
    <definedName name="IQ_OPEB_BREAKDOWN_EQ_DOM">"c3273"</definedName>
    <definedName name="IQ_OPEB_BREAKDOWN_EQ_FOREIGN">"c3274"</definedName>
    <definedName name="IQ_OPEB_BREAKDOWN_FI">"c3278"</definedName>
    <definedName name="IQ_OPEB_BREAKDOWN_FI_DOM">"c3276"</definedName>
    <definedName name="IQ_OPEB_BREAKDOWN_FI_FOREIGN">"c3277"</definedName>
    <definedName name="IQ_OPEB_BREAKDOWN_OTHER">"c3284"</definedName>
    <definedName name="IQ_OPEB_BREAKDOWN_OTHER_DOM">"c3282"</definedName>
    <definedName name="IQ_OPEB_BREAKDOWN_OTHER_FOREIGN">"c3283"</definedName>
    <definedName name="IQ_OPEB_BREAKDOWN_PCT_EQ">"c3263"</definedName>
    <definedName name="IQ_OPEB_BREAKDOWN_PCT_EQ_DOM">"c3261"</definedName>
    <definedName name="IQ_OPEB_BREAKDOWN_PCT_EQ_FOREIGN">"c3262"</definedName>
    <definedName name="IQ_OPEB_BREAKDOWN_PCT_FI">"c3266"</definedName>
    <definedName name="IQ_OPEB_BREAKDOWN_PCT_FI_DOM">"c3264"</definedName>
    <definedName name="IQ_OPEB_BREAKDOWN_PCT_FI_FOREIGN">"c3265"</definedName>
    <definedName name="IQ_OPEB_BREAKDOWN_PCT_OTHER">"c3272"</definedName>
    <definedName name="IQ_OPEB_BREAKDOWN_PCT_OTHER_DOM">"c3270"</definedName>
    <definedName name="IQ_OPEB_BREAKDOWN_PCT_OTHER_FOREIGN">"c3271"</definedName>
    <definedName name="IQ_OPEB_BREAKDOWN_PCT_RE">"c3269"</definedName>
    <definedName name="IQ_OPEB_BREAKDOWN_PCT_RE_DOM">"c3267"</definedName>
    <definedName name="IQ_OPEB_BREAKDOWN_PCT_RE_FOREIGN">"c3268"</definedName>
    <definedName name="IQ_OPEB_BREAKDOWN_RE">"c3281"</definedName>
    <definedName name="IQ_OPEB_BREAKDOWN_RE_DOM">"c3279"</definedName>
    <definedName name="IQ_OPEB_BREAKDOWN_RE_FOREIGN">"c3280"</definedName>
    <definedName name="IQ_OPEB_DECREASE_EFFECT_PBO">"c3458"</definedName>
    <definedName name="IQ_OPEB_DECREASE_EFFECT_PBO_DOM">"c3456"</definedName>
    <definedName name="IQ_OPEB_DECREASE_EFFECT_PBO_FOREIGN">"c3457"</definedName>
    <definedName name="IQ_OPEB_DECREASE_EFFECT_SERVICE_INT_COST">"c3455"</definedName>
    <definedName name="IQ_OPEB_DECREASE_EFFECT_SERVICE_INT_COST_DOM">"c3453"</definedName>
    <definedName name="IQ_OPEB_DECREASE_EFFECT_SERVICE_INT_COST_FOREIGN">"c3454"</definedName>
    <definedName name="IQ_OPEB_DISC_RATE_MAX">"c3422"</definedName>
    <definedName name="IQ_OPEB_DISC_RATE_MAX_DOM">"c3420"</definedName>
    <definedName name="IQ_OPEB_DISC_RATE_MAX_FOREIGN">"c3421"</definedName>
    <definedName name="IQ_OPEB_DISC_RATE_MIN">"c3419"</definedName>
    <definedName name="IQ_OPEB_DISC_RATE_MIN_DOM">"c3417"</definedName>
    <definedName name="IQ_OPEB_DISC_RATE_MIN_FOREIGN">"c3418"</definedName>
    <definedName name="IQ_OPEB_EST_BENEFIT_1YR">"c3287"</definedName>
    <definedName name="IQ_OPEB_EST_BENEFIT_1YR_DOM">"c3285"</definedName>
    <definedName name="IQ_OPEB_EST_BENEFIT_1YR_FOREIGN">"c3286"</definedName>
    <definedName name="IQ_OPEB_EST_BENEFIT_2YR">"c3290"</definedName>
    <definedName name="IQ_OPEB_EST_BENEFIT_2YR_DOM">"c3288"</definedName>
    <definedName name="IQ_OPEB_EST_BENEFIT_2YR_FOREIGN">"c3289"</definedName>
    <definedName name="IQ_OPEB_EST_BENEFIT_3YR">"c3293"</definedName>
    <definedName name="IQ_OPEB_EST_BENEFIT_3YR_DOM">"c3291"</definedName>
    <definedName name="IQ_OPEB_EST_BENEFIT_3YR_FOREIGN">"c3292"</definedName>
    <definedName name="IQ_OPEB_EST_BENEFIT_4YR">"c3296"</definedName>
    <definedName name="IQ_OPEB_EST_BENEFIT_4YR_DOM">"c3294"</definedName>
    <definedName name="IQ_OPEB_EST_BENEFIT_4YR_FOREIGN">"c3295"</definedName>
    <definedName name="IQ_OPEB_EST_BENEFIT_5YR">"c3299"</definedName>
    <definedName name="IQ_OPEB_EST_BENEFIT_5YR_DOM">"c3297"</definedName>
    <definedName name="IQ_OPEB_EST_BENEFIT_5YR_FOREIGN">"c3298"</definedName>
    <definedName name="IQ_OPEB_EST_BENEFIT_AFTER5">"c3302"</definedName>
    <definedName name="IQ_OPEB_EST_BENEFIT_AFTER5_DOM">"c3300"</definedName>
    <definedName name="IQ_OPEB_EST_BENEFIT_AFTER5_FOREIGN">"c3301"</definedName>
    <definedName name="IQ_OPEB_EXP_RATE_RETURN_MAX">"c3434"</definedName>
    <definedName name="IQ_OPEB_EXP_RATE_RETURN_MAX_DOM">"c3432"</definedName>
    <definedName name="IQ_OPEB_EXP_RATE_RETURN_MAX_FOREIGN">"c3433"</definedName>
    <definedName name="IQ_OPEB_EXP_RATE_RETURN_MIN">"c3431"</definedName>
    <definedName name="IQ_OPEB_EXP_RATE_RETURN_MIN_DOM">"c3429"</definedName>
    <definedName name="IQ_OPEB_EXP_RATE_RETURN_MIN_FOREIGN">"c3430"</definedName>
    <definedName name="IQ_OPEB_EXP_RETURN">"c3398"</definedName>
    <definedName name="IQ_OPEB_EXP_RETURN_DOM">"c3396"</definedName>
    <definedName name="IQ_OPEB_EXP_RETURN_FOREIGN">"c3397"</definedName>
    <definedName name="IQ_OPEB_HEALTH_COST_TREND_INITIAL">"c3413"</definedName>
    <definedName name="IQ_OPEB_HEALTH_COST_TREND_INITIAL_DOM">"c3411"</definedName>
    <definedName name="IQ_OPEB_HEALTH_COST_TREND_INITIAL_FOREIGN">"c3412"</definedName>
    <definedName name="IQ_OPEB_HEALTH_COST_TREND_ULTIMATE">"c3416"</definedName>
    <definedName name="IQ_OPEB_HEALTH_COST_TREND_ULTIMATE_DOM">"c3414"</definedName>
    <definedName name="IQ_OPEB_HEALTH_COST_TREND_ULTIMATE_FOREIGN">"c3415"</definedName>
    <definedName name="IQ_OPEB_INCREASE_EFFECT_PBO">"c3452"</definedName>
    <definedName name="IQ_OPEB_INCREASE_EFFECT_PBO_DOM">"c3450"</definedName>
    <definedName name="IQ_OPEB_INCREASE_EFFECT_PBO_FOREIGN">"c3451"</definedName>
    <definedName name="IQ_OPEB_INCREASE_EFFECT_SERVICE_INT_COST">"c3449"</definedName>
    <definedName name="IQ_OPEB_INCREASE_EFFECT_SERVICE_INT_COST_DOM">"c3447"</definedName>
    <definedName name="IQ_OPEB_INCREASE_EFFECT_SERVICE_INT_COST_FOREIGN">"c3448"</definedName>
    <definedName name="IQ_OPEB_INTAN_ASSETS">"c3311"</definedName>
    <definedName name="IQ_OPEB_INTAN_ASSETS_DOM">"c3309"</definedName>
    <definedName name="IQ_OPEB_INTAN_ASSETS_FOREIGN">"c3310"</definedName>
    <definedName name="IQ_OPEB_INTEREST_COST">"c3395"</definedName>
    <definedName name="IQ_OPEB_INTEREST_COST_DOM">"c3393"</definedName>
    <definedName name="IQ_OPEB_INTEREST_COST_FOREIGN">"c3394"</definedName>
    <definedName name="IQ_OPEB_NET_ASSET_RECOG">"c3326"</definedName>
    <definedName name="IQ_OPEB_NET_ASSET_RECOG_DOM">"c3324"</definedName>
    <definedName name="IQ_OPEB_NET_ASSET_RECOG_FOREIGN">"c3325"</definedName>
    <definedName name="IQ_OPEB_OBLIGATION_ACCUMULATED">"c3407"</definedName>
    <definedName name="IQ_OPEB_OBLIGATION_ACCUMULATED_DOM">"c3405"</definedName>
    <definedName name="IQ_OPEB_OBLIGATION_ACCUMULATED_FOREIGN">"c3406"</definedName>
    <definedName name="IQ_OPEB_OBLIGATION_ACQ">"c3380"</definedName>
    <definedName name="IQ_OPEB_OBLIGATION_ACQ_DOM">"c3378"</definedName>
    <definedName name="IQ_OPEB_OBLIGATION_ACQ_FOREIGN">"c3379"</definedName>
    <definedName name="IQ_OPEB_OBLIGATION_ACTUARIAL_GAIN_LOSS">"c3371"</definedName>
    <definedName name="IQ_OPEB_OBLIGATION_ACTUARIAL_GAIN_LOSS_DOM">"c3369"</definedName>
    <definedName name="IQ_OPEB_OBLIGATION_ACTUARIAL_GAIN_LOSS_FOREIGN">"c3370"</definedName>
    <definedName name="IQ_OPEB_OBLIGATION_BEG">"c3359"</definedName>
    <definedName name="IQ_OPEB_OBLIGATION_BEG_DOM">"c3357"</definedName>
    <definedName name="IQ_OPEB_OBLIGATION_BEG_FOREIGN">"c3358"</definedName>
    <definedName name="IQ_OPEB_OBLIGATION_CURTAIL">"c3383"</definedName>
    <definedName name="IQ_OPEB_OBLIGATION_CURTAIL_DOM">"c3381"</definedName>
    <definedName name="IQ_OPEB_OBLIGATION_CURTAIL_FOREIGN">"c3382"</definedName>
    <definedName name="IQ_OPEB_OBLIGATION_EMPLOYEE_CONTRIBUTIONS">"c3368"</definedName>
    <definedName name="IQ_OPEB_OBLIGATION_EMPLOYEE_CONTRIBUTIONS_DOM">"c3366"</definedName>
    <definedName name="IQ_OPEB_OBLIGATION_EMPLOYEE_CONTRIBUTIONS_FOREIGN">"c3367"</definedName>
    <definedName name="IQ_OPEB_OBLIGATION_FX_ADJ">"c3377"</definedName>
    <definedName name="IQ_OPEB_OBLIGATION_FX_ADJ_DOM">"c3375"</definedName>
    <definedName name="IQ_OPEB_OBLIGATION_FX_ADJ_FOREIGN">"c3376"</definedName>
    <definedName name="IQ_OPEB_OBLIGATION_INTEREST_COST">"c3365"</definedName>
    <definedName name="IQ_OPEB_OBLIGATION_INTEREST_COST_DOM">"c3363"</definedName>
    <definedName name="IQ_OPEB_OBLIGATION_INTEREST_COST_FOREIGN">"c3364"</definedName>
    <definedName name="IQ_OPEB_OBLIGATION_OTHER_PLAN_ADJ">"c3386"</definedName>
    <definedName name="IQ_OPEB_OBLIGATION_OTHER_PLAN_ADJ_DOM">"c3384"</definedName>
    <definedName name="IQ_OPEB_OBLIGATION_OTHER_PLAN_ADJ_FOREIGN">"c3385"</definedName>
    <definedName name="IQ_OPEB_OBLIGATION_PAID">"c3374"</definedName>
    <definedName name="IQ_OPEB_OBLIGATION_PAID_DOM">"c3372"</definedName>
    <definedName name="IQ_OPEB_OBLIGATION_PAID_FOREIGN">"c3373"</definedName>
    <definedName name="IQ_OPEB_OBLIGATION_PROJECTED">"c3389"</definedName>
    <definedName name="IQ_OPEB_OBLIGATION_PROJECTED_DOM">"c3387"</definedName>
    <definedName name="IQ_OPEB_OBLIGATION_PROJECTED_FOREIGN">"c3388"</definedName>
    <definedName name="IQ_OPEB_OBLIGATION_SERVICE_COST">"c3362"</definedName>
    <definedName name="IQ_OPEB_OBLIGATION_SERVICE_COST_DOM">"c3360"</definedName>
    <definedName name="IQ_OPEB_OBLIGATION_SERVICE_COST_FOREIGN">"c3361"</definedName>
    <definedName name="IQ_OPEB_OTHER">"c3317"</definedName>
    <definedName name="IQ_OPEB_OTHER_ADJ">"c3323"</definedName>
    <definedName name="IQ_OPEB_OTHER_ADJ_DOM">"c3321"</definedName>
    <definedName name="IQ_OPEB_OTHER_ADJ_FOREIGN">"c3322"</definedName>
    <definedName name="IQ_OPEB_OTHER_COST">"c3401"</definedName>
    <definedName name="IQ_OPEB_OTHER_COST_DOM">"c3399"</definedName>
    <definedName name="IQ_OPEB_OTHER_COST_FOREIGN">"c3400"</definedName>
    <definedName name="IQ_OPEB_OTHER_DOM">"c3315"</definedName>
    <definedName name="IQ_OPEB_OTHER_FOREIGN">"c3316"</definedName>
    <definedName name="IQ_OPEB_PBO_ASSUMED_RATE_RET_MAX">"c3440"</definedName>
    <definedName name="IQ_OPEB_PBO_ASSUMED_RATE_RET_MAX_DOM">"c3438"</definedName>
    <definedName name="IQ_OPEB_PBO_ASSUMED_RATE_RET_MAX_FOREIGN">"c3439"</definedName>
    <definedName name="IQ_OPEB_PBO_ASSUMED_RATE_RET_MIN">"c3437"</definedName>
    <definedName name="IQ_OPEB_PBO_ASSUMED_RATE_RET_MIN_DOM">"c3435"</definedName>
    <definedName name="IQ_OPEB_PBO_ASSUMED_RATE_RET_MIN_FOREIGN">"c3436"</definedName>
    <definedName name="IQ_OPEB_PBO_RATE_COMP_INCREASE_MAX">"c3446"</definedName>
    <definedName name="IQ_OPEB_PBO_RATE_COMP_INCREASE_MAX_DOM">"c3444"</definedName>
    <definedName name="IQ_OPEB_PBO_RATE_COMP_INCREASE_MAX_FOREIGN">"c3445"</definedName>
    <definedName name="IQ_OPEB_PBO_RATE_COMP_INCREASE_MIN">"c3443"</definedName>
    <definedName name="IQ_OPEB_PBO_RATE_COMP_INCREASE_MIN_DOM">"c3441"</definedName>
    <definedName name="IQ_OPEB_PBO_RATE_COMP_INCREASE_MIN_FOREIGN">"c3442"</definedName>
    <definedName name="IQ_OPEB_PREPAID_COST">"c3305"</definedName>
    <definedName name="IQ_OPEB_PREPAID_COST_DOM">"c3303"</definedName>
    <definedName name="IQ_OPEB_PREPAID_COST_FOREIGN">"c3304"</definedName>
    <definedName name="IQ_OPEB_RATE_COMP_INCREASE_MAX">"c3428"</definedName>
    <definedName name="IQ_OPEB_RATE_COMP_INCREASE_MAX_DOM">"c3426"</definedName>
    <definedName name="IQ_OPEB_RATE_COMP_INCREASE_MAX_FOREIGN">"c3427"</definedName>
    <definedName name="IQ_OPEB_RATE_COMP_INCREASE_MIN">"c3425"</definedName>
    <definedName name="IQ_OPEB_RATE_COMP_INCREASE_MIN_DOM">"c3423"</definedName>
    <definedName name="IQ_OPEB_RATE_COMP_INCREASE_MIN_FOREIGN">"c3424"</definedName>
    <definedName name="IQ_OPEB_SERVICE_COST">"c3392"</definedName>
    <definedName name="IQ_OPEB_SERVICE_COST_DOM">"c3390"</definedName>
    <definedName name="IQ_OPEB_SERVICE_COST_FOREIGN">"c3391"</definedName>
    <definedName name="IQ_OPEB_TOTAL_COST">"c3404"</definedName>
    <definedName name="IQ_OPEB_TOTAL_COST_DOM">"c3402"</definedName>
    <definedName name="IQ_OPEB_TOTAL_COST_FOREIGN">"c3403"</definedName>
    <definedName name="IQ_OPEB_UNRECOG_PRIOR">"c3320"</definedName>
    <definedName name="IQ_OPEB_UNRECOG_PRIOR_DOM">"c3318"</definedName>
    <definedName name="IQ_OPEB_UNRECOG_PRIOR_FOREIGN">"c3319"</definedName>
    <definedName name="IQ_OPENPRICE">"c848"</definedName>
    <definedName name="IQ_OPER_INC">"c849"</definedName>
    <definedName name="IQ_OPER_INC_BR">"c850"</definedName>
    <definedName name="IQ_OPER_INC_FIN">"c851"</definedName>
    <definedName name="IQ_OPER_INC_INS">"c852"</definedName>
    <definedName name="IQ_OPER_INC_MARGIN">"c1448"</definedName>
    <definedName name="IQ_OPER_INC_REIT">"c853"</definedName>
    <definedName name="IQ_OPER_INC_UTI">"c854"</definedName>
    <definedName name="IQ_OPERATIONS_EXP">"c855"</definedName>
    <definedName name="IQ_OPTIONS_BEG_OS">"c1572"</definedName>
    <definedName name="IQ_OPTIONS_CANCELLED">"c856"</definedName>
    <definedName name="IQ_OPTIONS_END_OS">"c1573"</definedName>
    <definedName name="IQ_OPTIONS_EXERCISED">"c2116"</definedName>
    <definedName name="IQ_OPTIONS_GRANTED">"c2673"</definedName>
    <definedName name="IQ_OPTIONS_ISSUED">"c857"</definedName>
    <definedName name="IQ_OPTIONS_STRIKE_PRICE_GRANTED">"c2678"</definedName>
    <definedName name="IQ_OPTIONS_STRIKE_PRICE_OS">"c2677"</definedName>
    <definedName name="IQ_ORDER_BACKLOG">"c2090"</definedName>
    <definedName name="IQ_OTHER_ADJUST_GROSS_LOANS">"c859"</definedName>
    <definedName name="IQ_OTHER_AMORT">"c5563"</definedName>
    <definedName name="IQ_OTHER_ASSETS">"c860"</definedName>
    <definedName name="IQ_OTHER_ASSETS_BNK">"c861"</definedName>
    <definedName name="IQ_OTHER_ASSETS_BR">"c862"</definedName>
    <definedName name="IQ_OTHER_ASSETS_FIN">"c863"</definedName>
    <definedName name="IQ_OTHER_ASSETS_INS">"c864"</definedName>
    <definedName name="IQ_OTHER_ASSETS_REIT">"c865"</definedName>
    <definedName name="IQ_OTHER_ASSETS_SERV_RIGHTS">"c2243"</definedName>
    <definedName name="IQ_OTHER_ASSETS_UTI">"c866"</definedName>
    <definedName name="IQ_OTHER_BEARING_LIAB">"c1608"</definedName>
    <definedName name="IQ_OTHER_BENEFITS_OBLIGATION">"c867"</definedName>
    <definedName name="IQ_OTHER_CA">"c868"</definedName>
    <definedName name="IQ_OTHER_CA_SUPPL">"c869"</definedName>
    <definedName name="IQ_OTHER_CA_SUPPL_BNK">"c870"</definedName>
    <definedName name="IQ_OTHER_CA_SUPPL_BR">"c871"</definedName>
    <definedName name="IQ_OTHER_CA_SUPPL_FIN">"c872"</definedName>
    <definedName name="IQ_OTHER_CA_SUPPL_INS">"c873"</definedName>
    <definedName name="IQ_OTHER_CA_SUPPL_REIT">"c874"</definedName>
    <definedName name="IQ_OTHER_CA_SUPPL_UTI">"c875"</definedName>
    <definedName name="IQ_OTHER_CA_UTI">"c876"</definedName>
    <definedName name="IQ_OTHER_CL">"c877"</definedName>
    <definedName name="IQ_OTHER_CL_SUPPL">"c878"</definedName>
    <definedName name="IQ_OTHER_CL_SUPPL_BNK">"c879"</definedName>
    <definedName name="IQ_OTHER_CL_SUPPL_BR">"c880"</definedName>
    <definedName name="IQ_OTHER_CL_SUPPL_FIN">"c881"</definedName>
    <definedName name="IQ_OTHER_CL_SUPPL_REIT">"c882"</definedName>
    <definedName name="IQ_OTHER_CL_SUPPL_UTI">"c883"</definedName>
    <definedName name="IQ_OTHER_CL_UTI">"c884"</definedName>
    <definedName name="IQ_OTHER_CURRENT_ASSETS">"c1403"</definedName>
    <definedName name="IQ_OTHER_CURRENT_LIAB">"c1404"</definedName>
    <definedName name="IQ_OTHER_DEBT">"c2507"</definedName>
    <definedName name="IQ_OTHER_DEBT_PCT">"c2508"</definedName>
    <definedName name="IQ_OTHER_DEP">"c885"</definedName>
    <definedName name="IQ_OTHER_EARNING">"c1609"</definedName>
    <definedName name="IQ_OTHER_EQUITY">"c886"</definedName>
    <definedName name="IQ_OTHER_EQUITY_BNK">"c887"</definedName>
    <definedName name="IQ_OTHER_EQUITY_BR">"c888"</definedName>
    <definedName name="IQ_OTHER_EQUITY_FIN">"c889"</definedName>
    <definedName name="IQ_OTHER_EQUITY_INS">"c890"</definedName>
    <definedName name="IQ_OTHER_EQUITY_REIT">"c891"</definedName>
    <definedName name="IQ_OTHER_EQUITY_UTI">"c892"</definedName>
    <definedName name="IQ_OTHER_FINANCE_ACT">"c893"</definedName>
    <definedName name="IQ_OTHER_FINANCE_ACT_BNK">"c894"</definedName>
    <definedName name="IQ_OTHER_FINANCE_ACT_BR">"c895"</definedName>
    <definedName name="IQ_OTHER_FINANCE_ACT_FIN">"c896"</definedName>
    <definedName name="IQ_OTHER_FINANCE_ACT_INS">"c897"</definedName>
    <definedName name="IQ_OTHER_FINANCE_ACT_REIT">"c898"</definedName>
    <definedName name="IQ_OTHER_FINANCE_ACT_SUPPL">"c899"</definedName>
    <definedName name="IQ_OTHER_FINANCE_ACT_SUPPL_BNK">"c900"</definedName>
    <definedName name="IQ_OTHER_FINANCE_ACT_SUPPL_BR">"c901"</definedName>
    <definedName name="IQ_OTHER_FINANCE_ACT_SUPPL_FIN">"c902"</definedName>
    <definedName name="IQ_OTHER_FINANCE_ACT_SUPPL_INS">"c903"</definedName>
    <definedName name="IQ_OTHER_FINANCE_ACT_SUPPL_REIT">"c904"</definedName>
    <definedName name="IQ_OTHER_FINANCE_ACT_SUPPL_UTI">"c905"</definedName>
    <definedName name="IQ_OTHER_FINANCE_ACT_UTI">"c906"</definedName>
    <definedName name="IQ_OTHER_INTAN">"c907"</definedName>
    <definedName name="IQ_OTHER_INTAN_BNK">"c908"</definedName>
    <definedName name="IQ_OTHER_INTAN_BR">"c909"</definedName>
    <definedName name="IQ_OTHER_INTAN_FIN">"c910"</definedName>
    <definedName name="IQ_OTHER_INTAN_INS">"c911"</definedName>
    <definedName name="IQ_OTHER_INTAN_REIT">"c912"</definedName>
    <definedName name="IQ_OTHER_INTAN_UTI">"c913"</definedName>
    <definedName name="IQ_OTHER_INV">"c914"</definedName>
    <definedName name="IQ_OTHER_INVEST">"c915"</definedName>
    <definedName name="IQ_OTHER_INVEST_ACT">"c916"</definedName>
    <definedName name="IQ_OTHER_INVEST_ACT_BNK">"c917"</definedName>
    <definedName name="IQ_OTHER_INVEST_ACT_BR">"c918"</definedName>
    <definedName name="IQ_OTHER_INVEST_ACT_FIN">"c919"</definedName>
    <definedName name="IQ_OTHER_INVEST_ACT_INS">"c920"</definedName>
    <definedName name="IQ_OTHER_INVEST_ACT_REIT">"c921"</definedName>
    <definedName name="IQ_OTHER_INVEST_ACT_SUPPL">"c922"</definedName>
    <definedName name="IQ_OTHER_INVEST_ACT_SUPPL_BNK">"c923"</definedName>
    <definedName name="IQ_OTHER_INVEST_ACT_SUPPL_BR">"c924"</definedName>
    <definedName name="IQ_OTHER_INVEST_ACT_SUPPL_FIN">"c925"</definedName>
    <definedName name="IQ_OTHER_INVEST_ACT_SUPPL_INS">"c926"</definedName>
    <definedName name="IQ_OTHER_INVEST_ACT_SUPPL_REIT">"c927"</definedName>
    <definedName name="IQ_OTHER_INVEST_ACT_SUPPL_UTI">"c928"</definedName>
    <definedName name="IQ_OTHER_INVEST_ACT_UTI">"c929"</definedName>
    <definedName name="IQ_OTHER_INVESTING">"c1408"</definedName>
    <definedName name="IQ_OTHER_LIAB">"c930"</definedName>
    <definedName name="IQ_OTHER_LIAB_BNK">"c931"</definedName>
    <definedName name="IQ_OTHER_LIAB_BR">"c932"</definedName>
    <definedName name="IQ_OTHER_LIAB_FIN">"c933"</definedName>
    <definedName name="IQ_OTHER_LIAB_INS">"c934"</definedName>
    <definedName name="IQ_OTHER_LIAB_LT">"c935"</definedName>
    <definedName name="IQ_OTHER_LIAB_LT_BNK">"c936"</definedName>
    <definedName name="IQ_OTHER_LIAB_LT_BR">"c937"</definedName>
    <definedName name="IQ_OTHER_LIAB_LT_FIN">"c938"</definedName>
    <definedName name="IQ_OTHER_LIAB_LT_INS">"c939"</definedName>
    <definedName name="IQ_OTHER_LIAB_LT_REIT">"c940"</definedName>
    <definedName name="IQ_OTHER_LIAB_LT_UTI">"c941"</definedName>
    <definedName name="IQ_OTHER_LIAB_REIT">"c942"</definedName>
    <definedName name="IQ_OTHER_LIAB_UTI">"c943"</definedName>
    <definedName name="IQ_OTHER_LIAB_WRITTEN">"c944"</definedName>
    <definedName name="IQ_OTHER_LOANS">"c945"</definedName>
    <definedName name="IQ_OTHER_LONG_TERM">"c1409"</definedName>
    <definedName name="IQ_OTHER_LT_ASSETS">"c946"</definedName>
    <definedName name="IQ_OTHER_LT_ASSETS_BNK">"c947"</definedName>
    <definedName name="IQ_OTHER_LT_ASSETS_BR">"c948"</definedName>
    <definedName name="IQ_OTHER_LT_ASSETS_FIN">"c949"</definedName>
    <definedName name="IQ_OTHER_LT_ASSETS_INS">"c950"</definedName>
    <definedName name="IQ_OTHER_LT_ASSETS_REIT">"c951"</definedName>
    <definedName name="IQ_OTHER_LT_ASSETS_UTI">"c952"</definedName>
    <definedName name="IQ_OTHER_NET">"c1453"</definedName>
    <definedName name="IQ_OTHER_NON_INT_EXP">"c953"</definedName>
    <definedName name="IQ_OTHER_NON_INT_EXP_TOTAL">"c954"</definedName>
    <definedName name="IQ_OTHER_NON_INT_INC">"c955"</definedName>
    <definedName name="IQ_OTHER_NON_OPER_EXP">"c956"</definedName>
    <definedName name="IQ_OTHER_NON_OPER_EXP_BR">"c957"</definedName>
    <definedName name="IQ_OTHER_NON_OPER_EXP_FIN">"c958"</definedName>
    <definedName name="IQ_OTHER_NON_OPER_EXP_INS">"c959"</definedName>
    <definedName name="IQ_OTHER_NON_OPER_EXP_REIT">"c960"</definedName>
    <definedName name="IQ_OTHER_NON_OPER_EXP_SUPPL">"c961"</definedName>
    <definedName name="IQ_OTHER_NON_OPER_EXP_SUPPL_BR">"c962"</definedName>
    <definedName name="IQ_OTHER_NON_OPER_EXP_SUPPL_FIN">"c963"</definedName>
    <definedName name="IQ_OTHER_NON_OPER_EXP_SUPPL_INS">"c964"</definedName>
    <definedName name="IQ_OTHER_NON_OPER_EXP_SUPPL_REIT">"c965"</definedName>
    <definedName name="IQ_OTHER_NON_OPER_EXP_SUPPL_UTI">"c966"</definedName>
    <definedName name="IQ_OTHER_NON_OPER_EXP_UTI">"c967"</definedName>
    <definedName name="IQ_OTHER_OPER">"c982"</definedName>
    <definedName name="IQ_OTHER_OPER_ACT">"c983"</definedName>
    <definedName name="IQ_OTHER_OPER_ACT_BNK">"c984"</definedName>
    <definedName name="IQ_OTHER_OPER_ACT_BR">"c985"</definedName>
    <definedName name="IQ_OTHER_OPER_ACT_FIN">"c986"</definedName>
    <definedName name="IQ_OTHER_OPER_ACT_INS">"c987"</definedName>
    <definedName name="IQ_OTHER_OPER_ACT_REIT">"c988"</definedName>
    <definedName name="IQ_OTHER_OPER_ACT_UTI">"c989"</definedName>
    <definedName name="IQ_OTHER_OPER_BR">"c990"</definedName>
    <definedName name="IQ_OTHER_OPER_FIN">"c991"</definedName>
    <definedName name="IQ_OTHER_OPER_INS">"c992"</definedName>
    <definedName name="IQ_OTHER_OPER_REIT">"c993"</definedName>
    <definedName name="IQ_OTHER_OPER_SUPPL_BR">"c994"</definedName>
    <definedName name="IQ_OTHER_OPER_SUPPL_FIN">"c995"</definedName>
    <definedName name="IQ_OTHER_OPER_SUPPL_INS">"c996"</definedName>
    <definedName name="IQ_OTHER_OPER_SUPPL_REIT">"c997"</definedName>
    <definedName name="IQ_OTHER_OPER_SUPPL_UTI">"c998"</definedName>
    <definedName name="IQ_OTHER_OPER_TOT_BNK">"c999"</definedName>
    <definedName name="IQ_OTHER_OPER_TOT_BR">"c1000"</definedName>
    <definedName name="IQ_OTHER_OPER_TOT_FIN">"c1001"</definedName>
    <definedName name="IQ_OTHER_OPER_TOT_INS">"c1002"</definedName>
    <definedName name="IQ_OTHER_OPER_TOT_REIT">"c1003"</definedName>
    <definedName name="IQ_OTHER_OPER_TOT_UTI">"c1004"</definedName>
    <definedName name="IQ_OTHER_OPER_UTI">"c1005"</definedName>
    <definedName name="IQ_OTHER_OPTIONS_BEG_OS">"c2686"</definedName>
    <definedName name="IQ_OTHER_OPTIONS_CANCELLED">"c2689"</definedName>
    <definedName name="IQ_OTHER_OPTIONS_END_OS">"c2690"</definedName>
    <definedName name="IQ_OTHER_OPTIONS_EXERCISED">"c2688"</definedName>
    <definedName name="IQ_OTHER_OPTIONS_GRANTED">"c2687"</definedName>
    <definedName name="IQ_OTHER_OPTIONS_STRIKE_PRICE_OS">"c2691"</definedName>
    <definedName name="IQ_OTHER_OUTSTANDING_BS_DATE">"c1972"</definedName>
    <definedName name="IQ_OTHER_OUTSTANDING_FILING_DATE">"c1974"</definedName>
    <definedName name="IQ_OTHER_PC_WRITTEN">"c1006"</definedName>
    <definedName name="IQ_OTHER_REAL_ESTATE">"c1007"</definedName>
    <definedName name="IQ_OTHER_RECEIV">"c1008"</definedName>
    <definedName name="IQ_OTHER_RECEIV_INS">"c1009"</definedName>
    <definedName name="IQ_OTHER_REV">"c1010"</definedName>
    <definedName name="IQ_OTHER_REV_BR">"c1011"</definedName>
    <definedName name="IQ_OTHER_REV_FIN">"c1012"</definedName>
    <definedName name="IQ_OTHER_REV_INS">"c1013"</definedName>
    <definedName name="IQ_OTHER_REV_REIT">"c1014"</definedName>
    <definedName name="IQ_OTHER_REV_SUPPL">"c1015"</definedName>
    <definedName name="IQ_OTHER_REV_SUPPL_BR">"c1016"</definedName>
    <definedName name="IQ_OTHER_REV_SUPPL_FIN">"c1017"</definedName>
    <definedName name="IQ_OTHER_REV_SUPPL_INS">"c1018"</definedName>
    <definedName name="IQ_OTHER_REV_SUPPL_REIT">"c1019"</definedName>
    <definedName name="IQ_OTHER_REV_SUPPL_UTI">"c1020"</definedName>
    <definedName name="IQ_OTHER_REV_UTI">"c1021"</definedName>
    <definedName name="IQ_OTHER_REVENUE">"c1410"</definedName>
    <definedName name="IQ_OTHER_STRIKE_PRICE_GRANTED">"c2692"</definedName>
    <definedName name="IQ_OTHER_UNDRAWN">"c2522"</definedName>
    <definedName name="IQ_OTHER_UNUSUAL">"c1488"</definedName>
    <definedName name="IQ_OTHER_UNUSUAL_BNK">"c1560"</definedName>
    <definedName name="IQ_OTHER_UNUSUAL_BR">"c1561"</definedName>
    <definedName name="IQ_OTHER_UNUSUAL_FIN">"c1562"</definedName>
    <definedName name="IQ_OTHER_UNUSUAL_INS">"c1563"</definedName>
    <definedName name="IQ_OTHER_UNUSUAL_REIT">"c1564"</definedName>
    <definedName name="IQ_OTHER_UNUSUAL_SUPPL">"c1494"</definedName>
    <definedName name="IQ_OTHER_UNUSUAL_SUPPL_BNK">"c1495"</definedName>
    <definedName name="IQ_OTHER_UNUSUAL_SUPPL_BR">"c1496"</definedName>
    <definedName name="IQ_OTHER_UNUSUAL_SUPPL_FIN">"c1497"</definedName>
    <definedName name="IQ_OTHER_UNUSUAL_SUPPL_INS">"c1498"</definedName>
    <definedName name="IQ_OTHER_UNUSUAL_SUPPL_REIT">"c1499"</definedName>
    <definedName name="IQ_OTHER_UNUSUAL_SUPPL_UTI">"c1500"</definedName>
    <definedName name="IQ_OTHER_UNUSUAL_UTI">"c1565"</definedName>
    <definedName name="IQ_OTHER_WARRANTS_BEG_OS">"c2712"</definedName>
    <definedName name="IQ_OTHER_WARRANTS_CANCELLED">"c2715"</definedName>
    <definedName name="IQ_OTHER_WARRANTS_END_OS">"c2716"</definedName>
    <definedName name="IQ_OTHER_WARRANTS_EXERCISED">"c2714"</definedName>
    <definedName name="IQ_OTHER_WARRANTS_ISSUED">"c2713"</definedName>
    <definedName name="IQ_OTHER_WARRANTS_STRIKE_PRICE_ISSUED">"c2718"</definedName>
    <definedName name="IQ_OTHER_WARRANTS_STRIKE_PRICE_OS">"c2717"</definedName>
    <definedName name="IQ_OUTSTANDING_BS_DATE">"c2128"</definedName>
    <definedName name="IQ_OUTSTANDING_FILING_DATE">"c1023"</definedName>
    <definedName name="IQ_OWNERSHIP">"c2160"</definedName>
    <definedName name="IQ_PART_TIME">"c1024"</definedName>
    <definedName name="IQ_PAY_ACCRUED">"c1457"</definedName>
    <definedName name="IQ_PAYOUT_RATIO">"c1900"</definedName>
    <definedName name="IQ_PBV">"c1025"</definedName>
    <definedName name="IQ_PBV_AVG">"c1026"</definedName>
    <definedName name="IQ_PC_EARNED">"c2749"</definedName>
    <definedName name="IQ_PC_GAAP_COMBINED_RATIO">"c2781"</definedName>
    <definedName name="IQ_PC_GAAP_COMBINED_RATIO_EXCL_CL">"c2782"</definedName>
    <definedName name="IQ_PC_GAAP_EXPENSE_RATIO">"c2780"</definedName>
    <definedName name="IQ_PC_GAAP_LOSS">"c2779"</definedName>
    <definedName name="IQ_PC_POLICY_BENEFITS_EXP">"c2790"</definedName>
    <definedName name="IQ_PC_STAT_COMBINED_RATIO">"c2778"</definedName>
    <definedName name="IQ_PC_STAT_COMBINED_RATIO_EXCL_DIV">"c2777"</definedName>
    <definedName name="IQ_PC_STAT_DIVIDEND_RATIO">"c2776"</definedName>
    <definedName name="IQ_PC_STAT_EXPENSE_RATIO">"c2775"</definedName>
    <definedName name="IQ_PC_STAT_LOSS_RATIO">"c2774"</definedName>
    <definedName name="IQ_PC_STATUTORY_SURPLUS">"c2770"</definedName>
    <definedName name="IQ_PC_WRITTEN">"c1027"</definedName>
    <definedName name="IQ_PE_EXCL">"c1028"</definedName>
    <definedName name="IQ_PE_EXCL_AVG">"c1029"</definedName>
    <definedName name="IQ_PE_EXCL_FWD">"c1030"</definedName>
    <definedName name="IQ_PE_EXCL_FWD_REUT">"c4049"</definedName>
    <definedName name="IQ_PE_NORMALIZED">"c2207"</definedName>
    <definedName name="IQ_PE_RATIO">"c1610"</definedName>
    <definedName name="IQ_PEG_FWD">"c1863"</definedName>
    <definedName name="IQ_PEG_FWD_REUT">"c4052"</definedName>
    <definedName name="IQ_PENSION">"c1031"</definedName>
    <definedName name="IQ_PENSION_ACCRUED_LIAB">"c3134"</definedName>
    <definedName name="IQ_PENSION_ACCRUED_LIAB_DOM">"c3132"</definedName>
    <definedName name="IQ_PENSION_ACCRUED_LIAB_FOREIGN">"c3133"</definedName>
    <definedName name="IQ_PENSION_ACCUM_OTHER_CI">"c3140"</definedName>
    <definedName name="IQ_PENSION_ACCUM_OTHER_CI_DOM">"c3138"</definedName>
    <definedName name="IQ_PENSION_ACCUM_OTHER_CI_FOREIGN">"c3139"</definedName>
    <definedName name="IQ_PENSION_ACCUMULATED_OBLIGATION">"c3570"</definedName>
    <definedName name="IQ_PENSION_ACCUMULATED_OBLIGATION_DOMESTIC">"c3568"</definedName>
    <definedName name="IQ_PENSION_ACCUMULATED_OBLIGATION_FOREIGN">"c3569"</definedName>
    <definedName name="IQ_PENSION_ASSETS">"c3182"</definedName>
    <definedName name="IQ_PENSION_ASSETS_ACQ">"c3173"</definedName>
    <definedName name="IQ_PENSION_ASSETS_ACQ_DOM">"c3171"</definedName>
    <definedName name="IQ_PENSION_ASSETS_ACQ_FOREIGN">"c3172"</definedName>
    <definedName name="IQ_PENSION_ASSETS_ACTUAL_RETURN">"c3158"</definedName>
    <definedName name="IQ_PENSION_ASSETS_ACTUAL_RETURN_DOM">"c3156"</definedName>
    <definedName name="IQ_PENSION_ASSETS_ACTUAL_RETURN_FOREIGN">"c3157"</definedName>
    <definedName name="IQ_PENSION_ASSETS_BEG">"c3155"</definedName>
    <definedName name="IQ_PENSION_ASSETS_BEG_DOM">"c3153"</definedName>
    <definedName name="IQ_PENSION_ASSETS_BEG_FOREIGN">"c3154"</definedName>
    <definedName name="IQ_PENSION_ASSETS_BENEFITS_PAID">"c3167"</definedName>
    <definedName name="IQ_PENSION_ASSETS_BENEFITS_PAID_DOM">"c3165"</definedName>
    <definedName name="IQ_PENSION_ASSETS_BENEFITS_PAID_FOREIGN">"c3166"</definedName>
    <definedName name="IQ_PENSION_ASSETS_CURTAIL">"c3176"</definedName>
    <definedName name="IQ_PENSION_ASSETS_CURTAIL_DOM">"c3174"</definedName>
    <definedName name="IQ_PENSION_ASSETS_CURTAIL_FOREIGN">"c3175"</definedName>
    <definedName name="IQ_PENSION_ASSETS_DOM">"c3180"</definedName>
    <definedName name="IQ_PENSION_ASSETS_EMPLOYER_CONTRIBUTIONS">"c3161"</definedName>
    <definedName name="IQ_PENSION_ASSETS_EMPLOYER_CONTRIBUTIONS_DOM">"c3159"</definedName>
    <definedName name="IQ_PENSION_ASSETS_EMPLOYER_CONTRIBUTIONS_FOREIGN">"c3160"</definedName>
    <definedName name="IQ_PENSION_ASSETS_FOREIGN">"c3181"</definedName>
    <definedName name="IQ_PENSION_ASSETS_FX_ADJ">"c3170"</definedName>
    <definedName name="IQ_PENSION_ASSETS_FX_ADJ_DOM">"c3168"</definedName>
    <definedName name="IQ_PENSION_ASSETS_FX_ADJ_FOREIGN">"c3169"</definedName>
    <definedName name="IQ_PENSION_ASSETS_OTHER_PLAN_ADJ">"c3179"</definedName>
    <definedName name="IQ_PENSION_ASSETS_OTHER_PLAN_ADJ_DOM">"c3177"</definedName>
    <definedName name="IQ_PENSION_ASSETS_OTHER_PLAN_ADJ_FOREIGN">"c3178"</definedName>
    <definedName name="IQ_PENSION_ASSETS_PARTICIP_CONTRIBUTIONS">"c3164"</definedName>
    <definedName name="IQ_PENSION_ASSETS_PARTICIP_CONTRIBUTIONS_DOM">"c3162"</definedName>
    <definedName name="IQ_PENSION_ASSETS_PARTICIP_CONTRIBUTIONS_FOREIGN">"c3163"</definedName>
    <definedName name="IQ_PENSION_BENEFIT_INFO_DATE">"c3230"</definedName>
    <definedName name="IQ_PENSION_BENEFIT_INFO_DATE_DOM">"c3228"</definedName>
    <definedName name="IQ_PENSION_BENEFIT_INFO_DATE_FOREIGN">"c3229"</definedName>
    <definedName name="IQ_PENSION_BREAKDOWN_EQ">"c3101"</definedName>
    <definedName name="IQ_PENSION_BREAKDOWN_EQ_DOM">"c3099"</definedName>
    <definedName name="IQ_PENSION_BREAKDOWN_EQ_FOREIGN">"c3100"</definedName>
    <definedName name="IQ_PENSION_BREAKDOWN_FI">"c3104"</definedName>
    <definedName name="IQ_PENSION_BREAKDOWN_FI_DOM">"c3102"</definedName>
    <definedName name="IQ_PENSION_BREAKDOWN_FI_FOREIGN">"c3103"</definedName>
    <definedName name="IQ_PENSION_BREAKDOWN_OTHER">"c3110"</definedName>
    <definedName name="IQ_PENSION_BREAKDOWN_OTHER_DOM">"c3108"</definedName>
    <definedName name="IQ_PENSION_BREAKDOWN_OTHER_FOREIGN">"c3109"</definedName>
    <definedName name="IQ_PENSION_BREAKDOWN_PCT_EQ">"c3089"</definedName>
    <definedName name="IQ_PENSION_BREAKDOWN_PCT_EQ_DOM">"c3087"</definedName>
    <definedName name="IQ_PENSION_BREAKDOWN_PCT_EQ_FOREIGN">"c3088"</definedName>
    <definedName name="IQ_PENSION_BREAKDOWN_PCT_FI">"c3092"</definedName>
    <definedName name="IQ_PENSION_BREAKDOWN_PCT_FI_DOM">"c3090"</definedName>
    <definedName name="IQ_PENSION_BREAKDOWN_PCT_FI_FOREIGN">"c3091"</definedName>
    <definedName name="IQ_PENSION_BREAKDOWN_PCT_OTHER">"c3098"</definedName>
    <definedName name="IQ_PENSION_BREAKDOWN_PCT_OTHER_DOM">"c3096"</definedName>
    <definedName name="IQ_PENSION_BREAKDOWN_PCT_OTHER_FOREIGN">"c3097"</definedName>
    <definedName name="IQ_PENSION_BREAKDOWN_PCT_RE">"c3095"</definedName>
    <definedName name="IQ_PENSION_BREAKDOWN_PCT_RE_DOM">"c3093"</definedName>
    <definedName name="IQ_PENSION_BREAKDOWN_PCT_RE_FOREIGN">"c3094"</definedName>
    <definedName name="IQ_PENSION_BREAKDOWN_RE">"c3107"</definedName>
    <definedName name="IQ_PENSION_BREAKDOWN_RE_DOM">"c3105"</definedName>
    <definedName name="IQ_PENSION_BREAKDOWN_RE_FOREIGN">"c3106"</definedName>
    <definedName name="IQ_PENSION_CONTRIBUTION_TOTAL_COST">"c3559"</definedName>
    <definedName name="IQ_PENSION_DISC_RATE_MAX">"c3236"</definedName>
    <definedName name="IQ_PENSION_DISC_RATE_MAX_DOM">"c3234"</definedName>
    <definedName name="IQ_PENSION_DISC_RATE_MAX_FOREIGN">"c3235"</definedName>
    <definedName name="IQ_PENSION_DISC_RATE_MIN">"c3233"</definedName>
    <definedName name="IQ_PENSION_DISC_RATE_MIN_DOM">"c3231"</definedName>
    <definedName name="IQ_PENSION_DISC_RATE_MIN_FOREIGN">"c3232"</definedName>
    <definedName name="IQ_PENSION_DISCOUNT_RATE_DOMESTIC">"c3573"</definedName>
    <definedName name="IQ_PENSION_DISCOUNT_RATE_FOREIGN">"c3574"</definedName>
    <definedName name="IQ_PENSION_EST_BENEFIT_1YR">"c3113"</definedName>
    <definedName name="IQ_PENSION_EST_BENEFIT_1YR_DOM">"c3111"</definedName>
    <definedName name="IQ_PENSION_EST_BENEFIT_1YR_FOREIGN">"c3112"</definedName>
    <definedName name="IQ_PENSION_EST_BENEFIT_2YR">"c3116"</definedName>
    <definedName name="IQ_PENSION_EST_BENEFIT_2YR_DOM">"c3114"</definedName>
    <definedName name="IQ_PENSION_EST_BENEFIT_2YR_FOREIGN">"c3115"</definedName>
    <definedName name="IQ_PENSION_EST_BENEFIT_3YR">"c3119"</definedName>
    <definedName name="IQ_PENSION_EST_BENEFIT_3YR_DOM">"c3117"</definedName>
    <definedName name="IQ_PENSION_EST_BENEFIT_3YR_FOREIGN">"c3118"</definedName>
    <definedName name="IQ_PENSION_EST_BENEFIT_4YR">"c3122"</definedName>
    <definedName name="IQ_PENSION_EST_BENEFIT_4YR_DOM">"c3120"</definedName>
    <definedName name="IQ_PENSION_EST_BENEFIT_4YR_FOREIGN">"c3121"</definedName>
    <definedName name="IQ_PENSION_EST_BENEFIT_5YR">"c3125"</definedName>
    <definedName name="IQ_PENSION_EST_BENEFIT_5YR_DOM">"c3123"</definedName>
    <definedName name="IQ_PENSION_EST_BENEFIT_5YR_FOREIGN">"c3124"</definedName>
    <definedName name="IQ_PENSION_EST_BENEFIT_AFTER5">"c3128"</definedName>
    <definedName name="IQ_PENSION_EST_BENEFIT_AFTER5_DOM">"c3126"</definedName>
    <definedName name="IQ_PENSION_EST_BENEFIT_AFTER5_FOREIGN">"c3127"</definedName>
    <definedName name="IQ_PENSION_EST_CONTRIBUTIONS_NEXTYR">"c3218"</definedName>
    <definedName name="IQ_PENSION_EST_CONTRIBUTIONS_NEXTYR_DOM">"c3216"</definedName>
    <definedName name="IQ_PENSION_EST_CONTRIBUTIONS_NEXTYR_FOREIGN">"c3217"</definedName>
    <definedName name="IQ_PENSION_EXP_RATE_RETURN_MAX">"c3248"</definedName>
    <definedName name="IQ_PENSION_EXP_RATE_RETURN_MAX_DOM">"c3246"</definedName>
    <definedName name="IQ_PENSION_EXP_RATE_RETURN_MAX_FOREIGN">"c3247"</definedName>
    <definedName name="IQ_PENSION_EXP_RATE_RETURN_MIN">"c3245"</definedName>
    <definedName name="IQ_PENSION_EXP_RATE_RETURN_MIN_DOM">"c3243"</definedName>
    <definedName name="IQ_PENSION_EXP_RATE_RETURN_MIN_FOREIGN">"c3244"</definedName>
    <definedName name="IQ_PENSION_EXP_RETURN_DOMESTIC">"c3571"</definedName>
    <definedName name="IQ_PENSION_EXP_RETURN_FOREIGN">"c3572"</definedName>
    <definedName name="IQ_PENSION_INTAN_ASSETS">"c3137"</definedName>
    <definedName name="IQ_PENSION_INTAN_ASSETS_DOM">"c3135"</definedName>
    <definedName name="IQ_PENSION_INTAN_ASSETS_FOREIGN">"c3136"</definedName>
    <definedName name="IQ_PENSION_INTEREST_COST">"c3582"</definedName>
    <definedName name="IQ_PENSION_INTEREST_COST_DOM">"c3580"</definedName>
    <definedName name="IQ_PENSION_INTEREST_COST_FOREIGN">"c3581"</definedName>
    <definedName name="IQ_PENSION_NET_ASSET_RECOG">"c3152"</definedName>
    <definedName name="IQ_PENSION_NET_ASSET_RECOG_DOM">"c3150"</definedName>
    <definedName name="IQ_PENSION_NET_ASSET_RECOG_FOREIGN">"c3151"</definedName>
    <definedName name="IQ_PENSION_OBLIGATION_ACQ">"c3206"</definedName>
    <definedName name="IQ_PENSION_OBLIGATION_ACQ_DOM">"c3204"</definedName>
    <definedName name="IQ_PENSION_OBLIGATION_ACQ_FOREIGN">"c3205"</definedName>
    <definedName name="IQ_PENSION_OBLIGATION_ACTUARIAL_GAIN_LOSS">"c3197"</definedName>
    <definedName name="IQ_PENSION_OBLIGATION_ACTUARIAL_GAIN_LOSS_DOM">"c3195"</definedName>
    <definedName name="IQ_PENSION_OBLIGATION_ACTUARIAL_GAIN_LOSS_FOREIGN">"c3196"</definedName>
    <definedName name="IQ_PENSION_OBLIGATION_BEG">"c3185"</definedName>
    <definedName name="IQ_PENSION_OBLIGATION_BEG_DOM">"c3183"</definedName>
    <definedName name="IQ_PENSION_OBLIGATION_BEG_FOREIGN">"c3184"</definedName>
    <definedName name="IQ_PENSION_OBLIGATION_CURTAIL">"c3209"</definedName>
    <definedName name="IQ_PENSION_OBLIGATION_CURTAIL_DOM">"c3207"</definedName>
    <definedName name="IQ_PENSION_OBLIGATION_CURTAIL_FOREIGN">"c3208"</definedName>
    <definedName name="IQ_PENSION_OBLIGATION_EMPLOYEE_CONTRIBUTIONS">"c3194"</definedName>
    <definedName name="IQ_PENSION_OBLIGATION_EMPLOYEE_CONTRIBUTIONS_DOM">"c3192"</definedName>
    <definedName name="IQ_PENSION_OBLIGATION_EMPLOYEE_CONTRIBUTIONS_FOREIGN">"c3193"</definedName>
    <definedName name="IQ_PENSION_OBLIGATION_FX_ADJ">"c3203"</definedName>
    <definedName name="IQ_PENSION_OBLIGATION_FX_ADJ_DOM">"c3201"</definedName>
    <definedName name="IQ_PENSION_OBLIGATION_FX_ADJ_FOREIGN">"c3202"</definedName>
    <definedName name="IQ_PENSION_OBLIGATION_INTEREST_COST">"c3191"</definedName>
    <definedName name="IQ_PENSION_OBLIGATION_INTEREST_COST_DOM">"c3189"</definedName>
    <definedName name="IQ_PENSION_OBLIGATION_INTEREST_COST_FOREIGN">"c3190"</definedName>
    <definedName name="IQ_PENSION_OBLIGATION_OTHER_COST">"c3555"</definedName>
    <definedName name="IQ_PENSION_OBLIGATION_OTHER_COST_DOM">"c3553"</definedName>
    <definedName name="IQ_PENSION_OBLIGATION_OTHER_COST_FOREIGN">"c3554"</definedName>
    <definedName name="IQ_PENSION_OBLIGATION_OTHER_PLAN_ADJ">"c3212"</definedName>
    <definedName name="IQ_PENSION_OBLIGATION_OTHER_PLAN_ADJ_DOM">"c3210"</definedName>
    <definedName name="IQ_PENSION_OBLIGATION_OTHER_PLAN_ADJ_FOREIGN">"c3211"</definedName>
    <definedName name="IQ_PENSION_OBLIGATION_PAID">"c3200"</definedName>
    <definedName name="IQ_PENSION_OBLIGATION_PAID_DOM">"c3198"</definedName>
    <definedName name="IQ_PENSION_OBLIGATION_PAID_FOREIGN">"c3199"</definedName>
    <definedName name="IQ_PENSION_OBLIGATION_PROJECTED">"c3215"</definedName>
    <definedName name="IQ_PENSION_OBLIGATION_PROJECTED_DOM">"c3213"</definedName>
    <definedName name="IQ_PENSION_OBLIGATION_PROJECTED_FOREIGN">"c3214"</definedName>
    <definedName name="IQ_PENSION_OBLIGATION_ROA">"c3552"</definedName>
    <definedName name="IQ_PENSION_OBLIGATION_ROA_DOM">"c3550"</definedName>
    <definedName name="IQ_PENSION_OBLIGATION_ROA_FOREIGN">"c3551"</definedName>
    <definedName name="IQ_PENSION_OBLIGATION_SERVICE_COST">"c3188"</definedName>
    <definedName name="IQ_PENSION_OBLIGATION_SERVICE_COST_DOM">"c3186"</definedName>
    <definedName name="IQ_PENSION_OBLIGATION_SERVICE_COST_FOREIGN">"c3187"</definedName>
    <definedName name="IQ_PENSION_OBLIGATION_TOTAL_COST">"c3558"</definedName>
    <definedName name="IQ_PENSION_OBLIGATION_TOTAL_COST_DOM">"c3556"</definedName>
    <definedName name="IQ_PENSION_OBLIGATION_TOTAL_COST_FOREIGN">"c3557"</definedName>
    <definedName name="IQ_PENSION_OTHER">"c3143"</definedName>
    <definedName name="IQ_PENSION_OTHER_ADJ">"c3149"</definedName>
    <definedName name="IQ_PENSION_OTHER_ADJ_DOM">"c3147"</definedName>
    <definedName name="IQ_PENSION_OTHER_ADJ_FOREIGN">"c3148"</definedName>
    <definedName name="IQ_PENSION_OTHER_DOM">"c3141"</definedName>
    <definedName name="IQ_PENSION_OTHER_FOREIGN">"c3142"</definedName>
    <definedName name="IQ_PENSION_PBO_ASSUMED_RATE_RET_MAX">"c3254"</definedName>
    <definedName name="IQ_PENSION_PBO_ASSUMED_RATE_RET_MAX_DOM">"c3252"</definedName>
    <definedName name="IQ_PENSION_PBO_ASSUMED_RATE_RET_MAX_FOREIGN">"c3253"</definedName>
    <definedName name="IQ_PENSION_PBO_ASSUMED_RATE_RET_MIN">"c3251"</definedName>
    <definedName name="IQ_PENSION_PBO_ASSUMED_RATE_RET_MIN_DOM">"c3249"</definedName>
    <definedName name="IQ_PENSION_PBO_ASSUMED_RATE_RET_MIN_FOREIGN">"c3250"</definedName>
    <definedName name="IQ_PENSION_PBO_RATE_COMP_INCREASE_MAX">"c3260"</definedName>
    <definedName name="IQ_PENSION_PBO_RATE_COMP_INCREASE_MAX_DOM">"c3258"</definedName>
    <definedName name="IQ_PENSION_PBO_RATE_COMP_INCREASE_MAX_FOREIGN">"c3259"</definedName>
    <definedName name="IQ_PENSION_PBO_RATE_COMP_INCREASE_MIN">"c3257"</definedName>
    <definedName name="IQ_PENSION_PBO_RATE_COMP_INCREASE_MIN_DOM">"c3255"</definedName>
    <definedName name="IQ_PENSION_PBO_RATE_COMP_INCREASE_MIN_FOREIGN">"c3256"</definedName>
    <definedName name="IQ_PENSION_PREPAID_COST">"c3131"</definedName>
    <definedName name="IQ_PENSION_PREPAID_COST_DOM">"c3129"</definedName>
    <definedName name="IQ_PENSION_PREPAID_COST_FOREIGN">"c3130"</definedName>
    <definedName name="IQ_PENSION_PROJECTED_OBLIGATION">"c3566"</definedName>
    <definedName name="IQ_PENSION_PROJECTED_OBLIGATION_DOMESTIC">"c3564"</definedName>
    <definedName name="IQ_PENSION_PROJECTED_OBLIGATION_FOREIGN">"c3565"</definedName>
    <definedName name="IQ_PENSION_QUART_ADDL_CONTRIBUTIONS_EXP">"c3224"</definedName>
    <definedName name="IQ_PENSION_QUART_ADDL_CONTRIBUTIONS_EXP_DOM">"c3222"</definedName>
    <definedName name="IQ_PENSION_QUART_ADDL_CONTRIBUTIONS_EXP_FOREIGN">"c3223"</definedName>
    <definedName name="IQ_PENSION_QUART_EMPLOYER_CONTRIBUTIONS">"c3221"</definedName>
    <definedName name="IQ_PENSION_QUART_EMPLOYER_CONTRIBUTIONS_DOM">"c3219"</definedName>
    <definedName name="IQ_PENSION_QUART_EMPLOYER_CONTRIBUTIONS_FOREIGN">"c3220"</definedName>
    <definedName name="IQ_PENSION_RATE_COMP_GROWTH_DOMESTIC">"c3575"</definedName>
    <definedName name="IQ_PENSION_RATE_COMP_GROWTH_FOREIGN">"c3576"</definedName>
    <definedName name="IQ_PENSION_RATE_COMP_INCREASE_MAX">"c3242"</definedName>
    <definedName name="IQ_PENSION_RATE_COMP_INCREASE_MAX_DOM">"c3240"</definedName>
    <definedName name="IQ_PENSION_RATE_COMP_INCREASE_MAX_FOREIGN">"c3241"</definedName>
    <definedName name="IQ_PENSION_RATE_COMP_INCREASE_MIN">"c3239"</definedName>
    <definedName name="IQ_PENSION_RATE_COMP_INCREASE_MIN_DOM">"c3237"</definedName>
    <definedName name="IQ_PENSION_RATE_COMP_INCREASE_MIN_FOREIGN">"c3238"</definedName>
    <definedName name="IQ_PENSION_SERVICE_COST">"c3579"</definedName>
    <definedName name="IQ_PENSION_SERVICE_COST_DOM">"c3577"</definedName>
    <definedName name="IQ_PENSION_SERVICE_COST_FOREIGN">"c3578"</definedName>
    <definedName name="IQ_PENSION_TOTAL_ASSETS">"c3563"</definedName>
    <definedName name="IQ_PENSION_TOTAL_ASSETS_DOMESTIC">"c3561"</definedName>
    <definedName name="IQ_PENSION_TOTAL_ASSETS_FOREIGN">"c3562"</definedName>
    <definedName name="IQ_PENSION_TOTAL_EXP">"c3560"</definedName>
    <definedName name="IQ_PENSION_UNFUNDED_ADDL_MIN_LIAB">"c3227"</definedName>
    <definedName name="IQ_PENSION_UNFUNDED_ADDL_MIN_LIAB_DOM">"c3225"</definedName>
    <definedName name="IQ_PENSION_UNFUNDED_ADDL_MIN_LIAB_FOREIGN">"c3226"</definedName>
    <definedName name="IQ_PENSION_UNRECOG_PRIOR">"c3146"</definedName>
    <definedName name="IQ_PENSION_UNRECOG_PRIOR_DOM">"c3144"</definedName>
    <definedName name="IQ_PENSION_UNRECOG_PRIOR_FOREIGN">"c3145"</definedName>
    <definedName name="IQ_PENSION_UV_LIAB">"c3567"</definedName>
    <definedName name="IQ_PERIODDATE">"c1414"</definedName>
    <definedName name="IQ_PERIODDATE_BS">"c1032"</definedName>
    <definedName name="IQ_PERIODDATE_CF">"c1033"</definedName>
    <definedName name="IQ_PERIODDATE_IS">"c1034"</definedName>
    <definedName name="IQ_PERIODLENGTH_CF">"c1502"</definedName>
    <definedName name="IQ_PERIODLENGTH_IS">"c1503"</definedName>
    <definedName name="IQ_PERTYPE">"c1611"</definedName>
    <definedName name="IQ_PLL">"c2114"</definedName>
    <definedName name="IQ_PMT_FREQ">"c2236"</definedName>
    <definedName name="IQ_POISON_PUT_EFFECT_DATE">"c2486"</definedName>
    <definedName name="IQ_POISON_PUT_EXPIRATION_DATE">"c2487"</definedName>
    <definedName name="IQ_POISON_PUT_PRICE">"c2488"</definedName>
    <definedName name="IQ_POLICY_BENEFITS">"c1036"</definedName>
    <definedName name="IQ_POLICY_COST">"c1037"</definedName>
    <definedName name="IQ_POLICY_LIAB">"c1612"</definedName>
    <definedName name="IQ_POLICY_LOANS">"c1038"</definedName>
    <definedName name="IQ_POST_RETIRE_EXP">"c1039"</definedName>
    <definedName name="IQ_POSTPAID_CHURN">"c2121"</definedName>
    <definedName name="IQ_POSTPAID_SUBS">"c2118"</definedName>
    <definedName name="IQ_PRE_OPEN_COST">"c1040"</definedName>
    <definedName name="IQ_PREF_CONVERT">"c1041"</definedName>
    <definedName name="IQ_PREF_DIV_CF">"c1042"</definedName>
    <definedName name="IQ_PREF_DIV_OTHER">"c1043"</definedName>
    <definedName name="IQ_PREF_DIVID">"c1461"</definedName>
    <definedName name="IQ_PREF_EQUITY">"c1044"</definedName>
    <definedName name="IQ_PREF_ISSUED">"c1045"</definedName>
    <definedName name="IQ_PREF_ISSUED_BNK">"c1046"</definedName>
    <definedName name="IQ_PREF_ISSUED_BR">"c1047"</definedName>
    <definedName name="IQ_PREF_ISSUED_FIN">"c1048"</definedName>
    <definedName name="IQ_PREF_ISSUED_INS">"c1049"</definedName>
    <definedName name="IQ_PREF_ISSUED_REIT">"c1050"</definedName>
    <definedName name="IQ_PREF_ISSUED_UTI">"c1051"</definedName>
    <definedName name="IQ_PREF_NON_REDEEM">"c1052"</definedName>
    <definedName name="IQ_PREF_OTHER">"c1053"</definedName>
    <definedName name="IQ_PREF_OTHER_BNK">"c1054"</definedName>
    <definedName name="IQ_PREF_OTHER_BR">"c1055"</definedName>
    <definedName name="IQ_PREF_OTHER_FIN">"c1056"</definedName>
    <definedName name="IQ_PREF_OTHER_INS">"c1057"</definedName>
    <definedName name="IQ_PREF_OTHER_REIT">"c1058"</definedName>
    <definedName name="IQ_PREF_REDEEM">"c1059"</definedName>
    <definedName name="IQ_PREF_REP">"c1060"</definedName>
    <definedName name="IQ_PREF_REP_BNK">"c1061"</definedName>
    <definedName name="IQ_PREF_REP_BR">"c1062"</definedName>
    <definedName name="IQ_PREF_REP_FIN">"c1063"</definedName>
    <definedName name="IQ_PREF_REP_INS">"c1064"</definedName>
    <definedName name="IQ_PREF_REP_REIT">"c1065"</definedName>
    <definedName name="IQ_PREF_REP_UTI">"c1066"</definedName>
    <definedName name="IQ_PREF_STOCK">"c1416"</definedName>
    <definedName name="IQ_PREF_TOT">"c1415"</definedName>
    <definedName name="IQ_PREMIUMS_ANNUITY_REV">"c1067"</definedName>
    <definedName name="IQ_PREPAID_CHURN">"c2120"</definedName>
    <definedName name="IQ_PREPAID_EXP">"c1068"</definedName>
    <definedName name="IQ_PREPAID_EXPEN">"c1418"</definedName>
    <definedName name="IQ_PREPAID_SUBS">"c2117"</definedName>
    <definedName name="IQ_PRICE_OVER_BVPS">"c1412"</definedName>
    <definedName name="IQ_PRICE_OVER_LTM_EPS">"c1413"</definedName>
    <definedName name="IQ_PRICE_TARGET">"c82"</definedName>
    <definedName name="IQ_PRICE_TARGET_REUT">"c3631"</definedName>
    <definedName name="IQ_PRICEDATE">"c1069"</definedName>
    <definedName name="IQ_PRICING_DATE">"c1613"</definedName>
    <definedName name="IQ_PRIMARY_INDUSTRY">"c1070"</definedName>
    <definedName name="IQ_PRINCIPAL_AMT">"c2157"</definedName>
    <definedName name="IQ_PRO_FORMA_BASIC_EPS">"c1614"</definedName>
    <definedName name="IQ_PRO_FORMA_DILUT_EPS">"c1615"</definedName>
    <definedName name="IQ_PRO_FORMA_NET_INC">"c1452"</definedName>
    <definedName name="IQ_PROFESSIONAL">"c1071"</definedName>
    <definedName name="IQ_PROFESSIONAL_TITLE">"c1072"</definedName>
    <definedName name="IQ_PROJECTED_PENSION_OBLIGATION">"c1292"</definedName>
    <definedName name="IQ_PROJECTED_PENSION_OBLIGATION_DOMESTIC">"c2656"</definedName>
    <definedName name="IQ_PROJECTED_PENSION_OBLIGATION_FOREIGN">"c2664"</definedName>
    <definedName name="IQ_PROPERTY_EXP">"c1073"</definedName>
    <definedName name="IQ_PROPERTY_GROSS">"c1379"</definedName>
    <definedName name="IQ_PROPERTY_MGMT_FEE">"c1074"</definedName>
    <definedName name="IQ_PROPERTY_NET">"c1402"</definedName>
    <definedName name="IQ_PROV_BAD_DEBTS">"c1075"</definedName>
    <definedName name="IQ_PROV_BAD_DEBTS_CF">"c1076"</definedName>
    <definedName name="IQ_PROVISION_10YR_ANN_GROWTH">"c1077"</definedName>
    <definedName name="IQ_PROVISION_1YR_ANN_GROWTH">"c1078"</definedName>
    <definedName name="IQ_PROVISION_2YR_ANN_GROWTH">"c1079"</definedName>
    <definedName name="IQ_PROVISION_3YR_ANN_GROWTH">"c1080"</definedName>
    <definedName name="IQ_PROVISION_5YR_ANN_GROWTH">"c1081"</definedName>
    <definedName name="IQ_PROVISION_7YR_ANN_GROWTH">"c1082"</definedName>
    <definedName name="IQ_PROVISION_CHARGE_OFFS">"c1083"</definedName>
    <definedName name="IQ_PTBV">"c1084"</definedName>
    <definedName name="IQ_PTBV_AVG">"c1085"</definedName>
    <definedName name="IQ_PUT_DATE_SCHEDULE">"c2483"</definedName>
    <definedName name="IQ_PUT_NOTIFICATION">"c2485"</definedName>
    <definedName name="IQ_PUT_PRICE_SCHEDULE">"c2484"</definedName>
    <definedName name="IQ_QUICK_RATIO">"c1086"</definedName>
    <definedName name="IQ_RATE_COMP_GROWTH_DOMESTIC">"c1087"</definedName>
    <definedName name="IQ_RATE_COMP_GROWTH_FOREIGN">"c1088"</definedName>
    <definedName name="IQ_RAW_INV">"c1089"</definedName>
    <definedName name="IQ_RC">"c2497"</definedName>
    <definedName name="IQ_RC_PCT">"c2498"</definedName>
    <definedName name="IQ_RD_EXP">"c1090"</definedName>
    <definedName name="IQ_RD_EXP_FN">"c1091"</definedName>
    <definedName name="IQ_RE">"c1092"</definedName>
    <definedName name="IQ_REAL_ESTATE">"c1093"</definedName>
    <definedName name="IQ_REAL_ESTATE_ASSETS">"c1094"</definedName>
    <definedName name="IQ_RECURRING_PROFIT_ACT_OR_EST">"c4507"</definedName>
    <definedName name="IQ_RECURRING_PROFIT_SHARE_ACT_OR_EST">"c4508"</definedName>
    <definedName name="IQ_REDEEM_PREF_STOCK">"c1417"</definedName>
    <definedName name="IQ_REG_ASSETS">"c1095"</definedName>
    <definedName name="IQ_REINSUR_PAY">"c1096"</definedName>
    <definedName name="IQ_REINSUR_PAY_CF">"c1097"</definedName>
    <definedName name="IQ_REINSUR_RECOVER">"c1098"</definedName>
    <definedName name="IQ_REINSUR_RECOVER_CF">"c1099"</definedName>
    <definedName name="IQ_REINSURANCE">"c1100"</definedName>
    <definedName name="IQ_RENTAL_REV">"c1101"</definedName>
    <definedName name="IQ_RESEARCH_DEV">"c1419"</definedName>
    <definedName name="IQ_RESIDENTIAL_LOANS">"c1102"</definedName>
    <definedName name="IQ_RESTATEMENT_BS">"c1643"</definedName>
    <definedName name="IQ_RESTATEMENT_CF">"c1644"</definedName>
    <definedName name="IQ_RESTATEMENT_IS">"c1642"</definedName>
    <definedName name="IQ_RESTR_STOCK_COMP">"c3506"</definedName>
    <definedName name="IQ_RESTR_STOCK_COMP_PRETAX">"c3504"</definedName>
    <definedName name="IQ_RESTR_STOCK_COMP_TAX">"c3505"</definedName>
    <definedName name="IQ_RESTRICTED_CASH">"c1103"</definedName>
    <definedName name="IQ_RESTRUCTURE">"c1104"</definedName>
    <definedName name="IQ_RESTRUCTURE_BNK">"c1105"</definedName>
    <definedName name="IQ_RESTRUCTURE_BR">"c1106"</definedName>
    <definedName name="IQ_RESTRUCTURE_CF">"c1107"</definedName>
    <definedName name="IQ_RESTRUCTURE_FIN">"c1108"</definedName>
    <definedName name="IQ_RESTRUCTURE_INS">"c1109"</definedName>
    <definedName name="IQ_RESTRUCTURE_REIT">"c1110"</definedName>
    <definedName name="IQ_RESTRUCTURE_UTI">"c1111"</definedName>
    <definedName name="IQ_RESTRUCTURED_LOANS">"c1112"</definedName>
    <definedName name="IQ_RETAIL_ACQUIRED_FRANCHISE_STORES" localSheetId="16" hidden="1">"c2895"</definedName>
    <definedName name="IQ_RETAIL_ACQUIRED_FRANCHISE_STORES">"c2903"</definedName>
    <definedName name="IQ_RETAIL_ACQUIRED_OWNED_STORES" localSheetId="16" hidden="1">"c2903"</definedName>
    <definedName name="IQ_RETAIL_ACQUIRED_OWNED_STORES">"c2895"</definedName>
    <definedName name="IQ_RETAIL_ACQUIRED_STORES">"c2887"</definedName>
    <definedName name="IQ_RETAIL_AVG_STORE_SIZE_GROSS">"c2066"</definedName>
    <definedName name="IQ_RETAIL_AVG_STORE_SIZE_NET">"c2067"</definedName>
    <definedName name="IQ_RETAIL_AVG_WK_SALES">"c2891"</definedName>
    <definedName name="IQ_RETAIL_AVG_WK_SALES_FRANCHISE">"c2899"</definedName>
    <definedName name="IQ_RETAIL_AVG_WK_SALES_OWNED">"c2907"</definedName>
    <definedName name="IQ_RETAIL_CLOSED_FRANCHISE_STORES">"c2896"</definedName>
    <definedName name="IQ_RETAIL_CLOSED_OWNED_STORES">"c2904"</definedName>
    <definedName name="IQ_RETAIL_CLOSED_STORES">"c2063"</definedName>
    <definedName name="IQ_RETAIL_FRANCHISE_STORES_BEG">"c2893"</definedName>
    <definedName name="IQ_RETAIL_OPENED_FRANCHISE_STORES">"c2894"</definedName>
    <definedName name="IQ_RETAIL_OPENED_OWNED_STORES">"c2902"</definedName>
    <definedName name="IQ_RETAIL_OPENED_STORES">"c2062"</definedName>
    <definedName name="IQ_RETAIL_OWNED_STORES_BEG">"c2901"</definedName>
    <definedName name="IQ_RETAIL_SALES_SQFT_ALL_GROSS">"c2138"</definedName>
    <definedName name="IQ_RETAIL_SALES_SQFT_ALL_NET">"c2139"</definedName>
    <definedName name="IQ_RETAIL_SALES_SQFT_COMPARABLE_GROSS">"c2136"</definedName>
    <definedName name="IQ_RETAIL_SALES_SQFT_COMPARABLE_NET">"c2137"</definedName>
    <definedName name="IQ_RETAIL_SALES_SQFT_OWNED_GROSS">"c2134"</definedName>
    <definedName name="IQ_RETAIL_SALES_SQFT_OWNED_NET">"c2135"</definedName>
    <definedName name="IQ_RETAIL_SOLD_FRANCHISE_STORES">"c2897"</definedName>
    <definedName name="IQ_RETAIL_SOLD_OWNED_STORES">"c2905"</definedName>
    <definedName name="IQ_RETAIL_SOLD_STORES">"c2889"</definedName>
    <definedName name="IQ_RETAIL_SQ_FOOTAGE">"c2064"</definedName>
    <definedName name="IQ_RETAIL_STORE_SELLING_AREA">"c2065"</definedName>
    <definedName name="IQ_RETAIL_STORES_BEG">"c2885"</definedName>
    <definedName name="IQ_RETAIL_TOTAL_FRANCHISE_STORES">"c2898"</definedName>
    <definedName name="IQ_RETAIL_TOTAL_OWNED_STORES">"c2906"</definedName>
    <definedName name="IQ_RETAIL_TOTAL_STORES">"c2061"</definedName>
    <definedName name="IQ_RETAINED_EARN">"c1420"</definedName>
    <definedName name="IQ_RETURN_ASSETS">"c1113"</definedName>
    <definedName name="IQ_RETURN_ASSETS_BANK">"c1114"</definedName>
    <definedName name="IQ_RETURN_ASSETS_BROK">"c1115"</definedName>
    <definedName name="IQ_RETURN_ASSETS_FS">"c1116"</definedName>
    <definedName name="IQ_RETURN_CAPITAL">"c1117"</definedName>
    <definedName name="IQ_RETURN_EQUITY">"c1118"</definedName>
    <definedName name="IQ_RETURN_EQUITY_BANK">"c1119"</definedName>
    <definedName name="IQ_RETURN_EQUITY_BROK">"c1120"</definedName>
    <definedName name="IQ_RETURN_EQUITY_FS">"c1121"</definedName>
    <definedName name="IQ_RETURN_INVESTMENT">"c1421"</definedName>
    <definedName name="IQ_REV">"c1122"</definedName>
    <definedName name="IQ_REV_BEFORE_LL">"c1123"</definedName>
    <definedName name="IQ_REV_STDDEV_EST">"c1124"</definedName>
    <definedName name="IQ_REV_STDDEV_EST_REUT">"c3639"</definedName>
    <definedName name="IQ_REV_UTI">"c1125"</definedName>
    <definedName name="IQ_REVENUE">"c1422"</definedName>
    <definedName name="IQ_REVENUE_ACT_OR_EST" hidden="1">"c2214"</definedName>
    <definedName name="IQ_REVENUE_EST">"c1126"</definedName>
    <definedName name="IQ_REVENUE_EST_REUT">"c3634"</definedName>
    <definedName name="IQ_REVENUE_HIGH_EST">"c1127"</definedName>
    <definedName name="IQ_REVENUE_HIGH_EST_REUT">"c3636"</definedName>
    <definedName name="IQ_REVENUE_LOW_EST">"c1128"</definedName>
    <definedName name="IQ_REVENUE_LOW_EST_REUT">"c3637"</definedName>
    <definedName name="IQ_REVENUE_MEDIAN_EST">"c1662"</definedName>
    <definedName name="IQ_REVENUE_MEDIAN_EST_REUT">"c3635"</definedName>
    <definedName name="IQ_REVENUE_NUM_EST">"c1129"</definedName>
    <definedName name="IQ_REVENUE_NUM_EST_REUT">"c3638"</definedName>
    <definedName name="IQ_REVISION_DATE_" localSheetId="16" hidden="1">39489.6256597222</definedName>
    <definedName name="IQ_REVISION_DATE_">39244.4711574074</definedName>
    <definedName name="IQ_RISK_ADJ_BANK_ASSETS">"c2670"</definedName>
    <definedName name="IQ_SALARY">"c1130"</definedName>
    <definedName name="IQ_SALE_INTAN_CF">"c1131"</definedName>
    <definedName name="IQ_SALE_INTAN_CF_BNK">"c1132"</definedName>
    <definedName name="IQ_SALE_INTAN_CF_BR">"c1133"</definedName>
    <definedName name="IQ_SALE_INTAN_CF_FIN">"c1134"</definedName>
    <definedName name="IQ_SALE_INTAN_CF_INS">"c1135"</definedName>
    <definedName name="IQ_SALE_INTAN_CF_REIT">"c1627"</definedName>
    <definedName name="IQ_SALE_INTAN_CF_UTI">"c1136"</definedName>
    <definedName name="IQ_SALE_PPE_CF">"c1137"</definedName>
    <definedName name="IQ_SALE_PPE_CF_BNK">"c1138"</definedName>
    <definedName name="IQ_SALE_PPE_CF_BR">"c1139"</definedName>
    <definedName name="IQ_SALE_PPE_CF_FIN">"c1140"</definedName>
    <definedName name="IQ_SALE_PPE_CF_INS">"c1141"</definedName>
    <definedName name="IQ_SALE_PPE_CF_UTI">"c1142"</definedName>
    <definedName name="IQ_SALE_RE_ASSETS">"c1629"</definedName>
    <definedName name="IQ_SALE_REAL_ESTATE_CF">"c1143"</definedName>
    <definedName name="IQ_SALE_REAL_ESTATE_CF_BNK">"c1144"</definedName>
    <definedName name="IQ_SALE_REAL_ESTATE_CF_BR">"c1145"</definedName>
    <definedName name="IQ_SALE_REAL_ESTATE_CF_FIN">"c1146"</definedName>
    <definedName name="IQ_SALE_REAL_ESTATE_CF_INS">"c1147"</definedName>
    <definedName name="IQ_SALE_REAL_ESTATE_CF_UTI">"c1148"</definedName>
    <definedName name="IQ_SALES_MARKETING">"c2240"</definedName>
    <definedName name="IQ_SAME_STORE">"c1149"</definedName>
    <definedName name="IQ_SAME_STORE_FRANCHISE">"c2900"</definedName>
    <definedName name="IQ_SAME_STORE_OWNED">"c2908"</definedName>
    <definedName name="IQ_SAME_STORE_TOTAL">"c2892"</definedName>
    <definedName name="IQ_SAVING_DEP">"c1150"</definedName>
    <definedName name="IQ_SEC_PURCHASED_RESELL">"c5513"</definedName>
    <definedName name="IQ_SECUR_RECEIV">"c1151"</definedName>
    <definedName name="IQ_SECURED_DEBT">"c2546"</definedName>
    <definedName name="IQ_SECURED_DEBT_PCT">"c2547"</definedName>
    <definedName name="IQ_SECURITY_BORROW">"c1152"</definedName>
    <definedName name="IQ_SECURITY_LEVEL">"c2159"</definedName>
    <definedName name="IQ_SECURITY_NOTES">"c2202"</definedName>
    <definedName name="IQ_SECURITY_OWN">"c1153"</definedName>
    <definedName name="IQ_SECURITY_RESELL">"c1154"</definedName>
    <definedName name="IQ_SECURITY_TYPE">"c2158"</definedName>
    <definedName name="IQ_SEPARATE_ACCT_ASSETS">"c1155"</definedName>
    <definedName name="IQ_SEPARATE_ACCT_LIAB">"c1156"</definedName>
    <definedName name="IQ_SERV_CHARGE_DEPOSITS">"c1157"</definedName>
    <definedName name="IQ_SGA">"c1158"</definedName>
    <definedName name="IQ_SGA_BNK">"c1159"</definedName>
    <definedName name="IQ_SGA_INS">"c1160"</definedName>
    <definedName name="IQ_SGA_MARGIN">"c1898"</definedName>
    <definedName name="IQ_SGA_REIT">"c1161"</definedName>
    <definedName name="IQ_SGA_SUPPL">"c1162"</definedName>
    <definedName name="IQ_SGA_UTI">"c1163"</definedName>
    <definedName name="IQ_SHAREOUTSTANDING">"c1347"</definedName>
    <definedName name="IQ_SHARESOUTSTANDING">"c1164"</definedName>
    <definedName name="IQ_SHORT_INTEREST">"c1165"</definedName>
    <definedName name="IQ_SHORT_INTEREST_OVER_FLOAT">"c1577"</definedName>
    <definedName name="IQ_SHORT_INTEREST_PERCENT">"c1576"</definedName>
    <definedName name="IQ_SHORT_TERM_INVEST">"c1425"</definedName>
    <definedName name="IQ_SMALL_INT_BEAR_CD">"c1166"</definedName>
    <definedName name="IQ_SOFTWARE">"c1167"</definedName>
    <definedName name="IQ_SOURCE">"c1168"</definedName>
    <definedName name="IQ_SP">"c2171"</definedName>
    <definedName name="IQ_SP_BANK">"c2637"</definedName>
    <definedName name="IQ_SP_BANK_ACTION">"c2636"</definedName>
    <definedName name="IQ_SP_BANK_DATE">"c2635"</definedName>
    <definedName name="IQ_SP_DATE">"c2172"</definedName>
    <definedName name="IQ_SP_FIN_ENHANCE_FX">"c2631"</definedName>
    <definedName name="IQ_SP_FIN_ENHANCE_FX_ACTION">"c2630"</definedName>
    <definedName name="IQ_SP_FIN_ENHANCE_FX_DATE">"c2629"</definedName>
    <definedName name="IQ_SP_FIN_ENHANCE_LC">"c2634"</definedName>
    <definedName name="IQ_SP_FIN_ENHANCE_LC_ACTION">"c2633"</definedName>
    <definedName name="IQ_SP_FIN_ENHANCE_LC_DATE">"c2632"</definedName>
    <definedName name="IQ_SP_FIN_STRENGTH_LC_ACTION_LT">"c2625"</definedName>
    <definedName name="IQ_SP_FIN_STRENGTH_LC_ACTION_ST">"c2626"</definedName>
    <definedName name="IQ_SP_FIN_STRENGTH_LC_DATE_LT">"c2623"</definedName>
    <definedName name="IQ_SP_FIN_STRENGTH_LC_DATE_ST">"c2624"</definedName>
    <definedName name="IQ_SP_FIN_STRENGTH_LC_LT">"c2627"</definedName>
    <definedName name="IQ_SP_FIN_STRENGTH_LC_ST">"c2628"</definedName>
    <definedName name="IQ_SP_FX_ACTION_LT">"c2613"</definedName>
    <definedName name="IQ_SP_FX_ACTION_ST">"c2614"</definedName>
    <definedName name="IQ_SP_FX_DATE_LT">"c2611"</definedName>
    <definedName name="IQ_SP_FX_DATE_ST">"c2612"</definedName>
    <definedName name="IQ_SP_FX_LT">"c2615"</definedName>
    <definedName name="IQ_SP_FX_ST">"c2616"</definedName>
    <definedName name="IQ_SP_ISSUE_ACTION">"c2644"</definedName>
    <definedName name="IQ_SP_ISSUE_DATE">"c2643"</definedName>
    <definedName name="IQ_SP_ISSUE_LT">"c2645"</definedName>
    <definedName name="IQ_SP_ISSUE_OUTLOOK_WATCH">"c2650"</definedName>
    <definedName name="IQ_SP_ISSUE_OUTLOOK_WATCH_DATE">"c2649"</definedName>
    <definedName name="IQ_SP_ISSUE_RECOVER">"c2648"</definedName>
    <definedName name="IQ_SP_ISSUE_RECOVER_ACTION">"c2647"</definedName>
    <definedName name="IQ_SP_ISSUE_RECOVER_DATE">"c2646"</definedName>
    <definedName name="IQ_SP_LC_ACTION_LT">"c2619"</definedName>
    <definedName name="IQ_SP_LC_ACTION_ST">"c2620"</definedName>
    <definedName name="IQ_SP_LC_DATE_LT">"c2617"</definedName>
    <definedName name="IQ_SP_LC_DATE_ST">"c2618"</definedName>
    <definedName name="IQ_SP_LC_LT">"c2621"</definedName>
    <definedName name="IQ_SP_LC_ST">"c2622"</definedName>
    <definedName name="IQ_SP_OUTLOOK_WATCH">"c2639"</definedName>
    <definedName name="IQ_SP_OUTLOOK_WATCH_DATE">"c2638"</definedName>
    <definedName name="IQ_SP_REASON">"c2174"</definedName>
    <definedName name="IQ_SP_STATUS">"c2173"</definedName>
    <definedName name="IQ_SPECIAL_DIV_CF">"c1169"</definedName>
    <definedName name="IQ_SPECIAL_DIV_CF_BNK">"c1170"</definedName>
    <definedName name="IQ_SPECIAL_DIV_CF_BR">"c1171"</definedName>
    <definedName name="IQ_SPECIAL_DIV_CF_FIN">"c1172"</definedName>
    <definedName name="IQ_SPECIAL_DIV_CF_INS">"c1173"</definedName>
    <definedName name="IQ_SPECIAL_DIV_CF_REIT">"c1174"</definedName>
    <definedName name="IQ_SPECIAL_DIV_CF_UTI">"c1175"</definedName>
    <definedName name="IQ_SPECIAL_DIV_SHARE">"c3007"</definedName>
    <definedName name="IQ_SR_BONDS_NOTES">"c2501"</definedName>
    <definedName name="IQ_SR_BONDS_NOTES_PCT">"c2502"</definedName>
    <definedName name="IQ_SR_DEBT">"c2526"</definedName>
    <definedName name="IQ_SR_DEBT_EBITDA">"c2552"</definedName>
    <definedName name="IQ_SR_DEBT_EBITDA_CAPEX">"c2553"</definedName>
    <definedName name="IQ_SR_DEBT_PCT">"c2527"</definedName>
    <definedName name="IQ_SR_SUB_DEBT">"c2530"</definedName>
    <definedName name="IQ_SR_SUB_DEBT_EBITDA">"c2556"</definedName>
    <definedName name="IQ_SR_SUB_DEBT_EBITDA_CAPEX">"c2557"</definedName>
    <definedName name="IQ_SR_SUB_DEBT_PCT">"c2531"</definedName>
    <definedName name="IQ_ST_DEBT">"c1176"</definedName>
    <definedName name="IQ_ST_DEBT_BNK">"c1177"</definedName>
    <definedName name="IQ_ST_DEBT_BR">"c1178"</definedName>
    <definedName name="IQ_ST_DEBT_FIN">"c1179"</definedName>
    <definedName name="IQ_ST_DEBT_INS">"c1180"</definedName>
    <definedName name="IQ_ST_DEBT_ISSUED">"c1181"</definedName>
    <definedName name="IQ_ST_DEBT_ISSUED_BNK">"c1182"</definedName>
    <definedName name="IQ_ST_DEBT_ISSUED_BR">"c1183"</definedName>
    <definedName name="IQ_ST_DEBT_ISSUED_FIN">"c1184"</definedName>
    <definedName name="IQ_ST_DEBT_ISSUED_INS">"c1185"</definedName>
    <definedName name="IQ_ST_DEBT_ISSUED_REIT">"c1186"</definedName>
    <definedName name="IQ_ST_DEBT_ISSUED_UTI">"c1187"</definedName>
    <definedName name="IQ_ST_DEBT_PCT">"c2539"</definedName>
    <definedName name="IQ_ST_DEBT_REIT">"c1188"</definedName>
    <definedName name="IQ_ST_DEBT_REPAID">"c1189"</definedName>
    <definedName name="IQ_ST_DEBT_REPAID_BNK">"c1190"</definedName>
    <definedName name="IQ_ST_DEBT_REPAID_BR">"c1191"</definedName>
    <definedName name="IQ_ST_DEBT_REPAID_FIN">"c1192"</definedName>
    <definedName name="IQ_ST_DEBT_REPAID_INS">"c1193"</definedName>
    <definedName name="IQ_ST_DEBT_REPAID_REIT">"c1194"</definedName>
    <definedName name="IQ_ST_DEBT_REPAID_UTI">"c1195"</definedName>
    <definedName name="IQ_ST_DEBT_UTI">"c1196"</definedName>
    <definedName name="IQ_ST_INVEST">"c1197"</definedName>
    <definedName name="IQ_ST_INVEST_UTI">"c1198"</definedName>
    <definedName name="IQ_ST_NOTE_RECEIV">"c1199"</definedName>
    <definedName name="IQ_STATE">"c1200"</definedName>
    <definedName name="IQ_STATUTORY_SURPLUS">"c1201"</definedName>
    <definedName name="IQ_STOCK_BASED">"c1202"</definedName>
    <definedName name="IQ_STOCK_BASED_AT">"c2999"</definedName>
    <definedName name="IQ_STOCK_BASED_CF">"c1203"</definedName>
    <definedName name="IQ_STOCK_BASED_COGS">"c2990"</definedName>
    <definedName name="IQ_STOCK_BASED_COMP">"c3512"</definedName>
    <definedName name="IQ_STOCK_BASED_COMP_PRETAX">"c3510"</definedName>
    <definedName name="IQ_STOCK_BASED_COMP_TAX">"c3511"</definedName>
    <definedName name="IQ_STOCK_BASED_GA">"c2993"</definedName>
    <definedName name="IQ_STOCK_BASED_OTHER">"c2995"</definedName>
    <definedName name="IQ_STOCK_BASED_RD">"c2991"</definedName>
    <definedName name="IQ_STOCK_BASED_SGA">"c2994"</definedName>
    <definedName name="IQ_STOCK_BASED_SM">"c2992"</definedName>
    <definedName name="IQ_STOCK_BASED_TOTAL">"c3040"</definedName>
    <definedName name="IQ_STOCK_OPTIONS_COMP">"c3509"</definedName>
    <definedName name="IQ_STOCK_OPTIONS_COMP_PRETAX">"c3507"</definedName>
    <definedName name="IQ_STOCK_OPTIONS_COMP_TAX">"c3508"</definedName>
    <definedName name="IQ_STRIKE_PRICE_ISSUED">"c1645"</definedName>
    <definedName name="IQ_STRIKE_PRICE_OS">"c1646"</definedName>
    <definedName name="IQ_STW">"c2166"</definedName>
    <definedName name="IQ_SUB_BONDS_NOTES">"c2503"</definedName>
    <definedName name="IQ_SUB_BONDS_NOTES_PCT">"c2504"</definedName>
    <definedName name="IQ_SUB_DEBT">"c2532"</definedName>
    <definedName name="IQ_SUB_DEBT_EBITDA">"c2558"</definedName>
    <definedName name="IQ_SUB_DEBT_EBITDA_CAPEX">"c2559"</definedName>
    <definedName name="IQ_SUB_DEBT_PCT">"c2533"</definedName>
    <definedName name="IQ_SUB_LEASE_AFTER_FIVE">"c1207"</definedName>
    <definedName name="IQ_SUB_LEASE_INC_CY">"c1208"</definedName>
    <definedName name="IQ_SUB_LEASE_INC_CY1">"c1209"</definedName>
    <definedName name="IQ_SUB_LEASE_INC_CY2">"c1210"</definedName>
    <definedName name="IQ_SUB_LEASE_INC_CY3">"c1211"</definedName>
    <definedName name="IQ_SUB_LEASE_INC_CY4">"c1212"</definedName>
    <definedName name="IQ_SUB_LEASE_NEXT_FIVE">"c1213"</definedName>
    <definedName name="IQ_SVA">"c1214"</definedName>
    <definedName name="IQ_TARGET_PRICE_NUM">"c1653"</definedName>
    <definedName name="IQ_TARGET_PRICE_NUM_REUT">"c5319"</definedName>
    <definedName name="IQ_TARGET_PRICE_STDDEV">"c1654"</definedName>
    <definedName name="IQ_TARGET_PRICE_STDDEV_REUT">"c5320"</definedName>
    <definedName name="IQ_TAX_BENEFIT_CF_1YR">"c3483"</definedName>
    <definedName name="IQ_TAX_BENEFIT_CF_2YR">"c3484"</definedName>
    <definedName name="IQ_TAX_BENEFIT_CF_3YR">"c3485"</definedName>
    <definedName name="IQ_TAX_BENEFIT_CF_4YR">"c3486"</definedName>
    <definedName name="IQ_TAX_BENEFIT_CF_5YR">"c3487"</definedName>
    <definedName name="IQ_TAX_BENEFIT_CF_AFTER_FIVE">"c3488"</definedName>
    <definedName name="IQ_TAX_BENEFIT_CF_MAX_YEAR">"c3491"</definedName>
    <definedName name="IQ_TAX_BENEFIT_CF_NO_EXP">"c3489"</definedName>
    <definedName name="IQ_TAX_BENEFIT_CF_TOTAL">"c3490"</definedName>
    <definedName name="IQ_TAX_BENEFIT_OPTIONS">"c1215"</definedName>
    <definedName name="IQ_TAX_EQUIV_NET_INT_INC">"c1216"</definedName>
    <definedName name="IQ_TBV">"c1906"</definedName>
    <definedName name="IQ_TBV_10YR_ANN_GROWTH">"c1936"</definedName>
    <definedName name="IQ_TBV_1YR_ANN_GROWTH">"c1931"</definedName>
    <definedName name="IQ_TBV_2YR_ANN_GROWTH">"c1932"</definedName>
    <definedName name="IQ_TBV_3YR_ANN_GROWTH">"c1933"</definedName>
    <definedName name="IQ_TBV_5YR_ANN_GROWTH">"c1934"</definedName>
    <definedName name="IQ_TBV_7YR_ANN_GROWTH">"c1935"</definedName>
    <definedName name="IQ_TBV_SHARE">"c1217"</definedName>
    <definedName name="IQ_TEMPLATE">"c1521"</definedName>
    <definedName name="IQ_TENANT">"c1218"</definedName>
    <definedName name="IQ_TERM_LOANS">"c2499"</definedName>
    <definedName name="IQ_TERM_LOANS_PCT">"c2500"</definedName>
    <definedName name="IQ_TEV">"c1219"</definedName>
    <definedName name="IQ_TEV_EBIT">"c1220"</definedName>
    <definedName name="IQ_TEV_EBIT_AVG">"c1221"</definedName>
    <definedName name="IQ_TEV_EBITDA">"c1222"</definedName>
    <definedName name="IQ_TEV_EBITDA_AVG">"c1223"</definedName>
    <definedName name="IQ_TEV_EBITDA_FWD">"c1224"</definedName>
    <definedName name="IQ_TEV_EBITDA_FWD_REUT">"c4050"</definedName>
    <definedName name="IQ_TEV_EMPLOYEE_AVG">"c1225"</definedName>
    <definedName name="IQ_TEV_TOTAL_REV">"c1226"</definedName>
    <definedName name="IQ_TEV_TOTAL_REV_AVG">"c1227"</definedName>
    <definedName name="IQ_TEV_TOTAL_REV_FWD">"c1228"</definedName>
    <definedName name="IQ_TEV_TOTAL_REV_FWD_REUT">"c4051"</definedName>
    <definedName name="IQ_TEV_UFCF">"c2208"</definedName>
    <definedName name="IQ_TIER_ONE_CAPITAL">"c2667"</definedName>
    <definedName name="IQ_TIER_ONE_RATIO">"c1229"</definedName>
    <definedName name="IQ_TIER_TWO_CAPITAL">"c2669"</definedName>
    <definedName name="IQ_TIME_DEP">"c1230"</definedName>
    <definedName name="IQ_TODAY">0</definedName>
    <definedName name="IQ_TOT_ADJ_INC">"c1616"</definedName>
    <definedName name="IQ_TOTAL_AR_BR">"c1231"</definedName>
    <definedName name="IQ_TOTAL_AR_REIT">"c1232"</definedName>
    <definedName name="IQ_TOTAL_AR_UTI">"c1233"</definedName>
    <definedName name="IQ_TOTAL_ASSETS">"c1234"</definedName>
    <definedName name="IQ_TOTAL_ASSETS_10YR_ANN_GROWTH">"c1235"</definedName>
    <definedName name="IQ_TOTAL_ASSETS_1YR_ANN_GROWTH">"c1236"</definedName>
    <definedName name="IQ_TOTAL_ASSETS_2YR_ANN_GROWTH">"c1237"</definedName>
    <definedName name="IQ_TOTAL_ASSETS_3YR_ANN_GROWTH">"c1238"</definedName>
    <definedName name="IQ_TOTAL_ASSETS_5YR_ANN_GROWTH">"c1239"</definedName>
    <definedName name="IQ_TOTAL_ASSETS_7YR_ANN_GROWTH">"c1240"</definedName>
    <definedName name="IQ_TOTAL_AVG_CE_TOTAL_AVG_ASSETS">"c1241"</definedName>
    <definedName name="IQ_TOTAL_AVG_EQUITY_TOTAL_AVG_ASSETS">"c1242"</definedName>
    <definedName name="IQ_TOTAL_BANK_CAPITAL">"c2668"</definedName>
    <definedName name="IQ_TOTAL_CA">"c1243"</definedName>
    <definedName name="IQ_TOTAL_CAP">"c1507"</definedName>
    <definedName name="IQ_TOTAL_CAPITAL_RATIO">"c1244"</definedName>
    <definedName name="IQ_TOTAL_CASH_DIVID">"c1455"</definedName>
    <definedName name="IQ_TOTAL_CASH_FINAN">"c1352"</definedName>
    <definedName name="IQ_TOTAL_CASH_INVEST">"c1353"</definedName>
    <definedName name="IQ_TOTAL_CASH_OPER">"c1354"</definedName>
    <definedName name="IQ_TOTAL_CHURN">"c2122"</definedName>
    <definedName name="IQ_TOTAL_CL">"c1245"</definedName>
    <definedName name="IQ_TOTAL_COMMON">"c1411"</definedName>
    <definedName name="IQ_TOTAL_COMMON_EQUITY">"c1246"</definedName>
    <definedName name="IQ_TOTAL_CURRENT_ASSETS">"c1430"</definedName>
    <definedName name="IQ_TOTAL_CURRENT_LIAB">"c1431"</definedName>
    <definedName name="IQ_TOTAL_DEBT">"c1247"</definedName>
    <definedName name="IQ_TOTAL_DEBT_CAPITAL">"c1248"</definedName>
    <definedName name="IQ_TOTAL_DEBT_EBITDA">"c1249"</definedName>
    <definedName name="IQ_TOTAL_DEBT_EBITDA_CAPEX">"c2948"</definedName>
    <definedName name="IQ_TOTAL_DEBT_EQUITY">"c1250"</definedName>
    <definedName name="IQ_TOTAL_DEBT_EXCL_FIN">"c2937"</definedName>
    <definedName name="IQ_TOTAL_DEBT_ISSUED">"c1251"</definedName>
    <definedName name="IQ_TOTAL_DEBT_ISSUED_BNK">"c1252"</definedName>
    <definedName name="IQ_TOTAL_DEBT_ISSUED_BR">"c1253"</definedName>
    <definedName name="IQ_TOTAL_DEBT_ISSUED_FIN">"c1254"</definedName>
    <definedName name="IQ_TOTAL_DEBT_ISSUED_REIT">"c1255"</definedName>
    <definedName name="IQ_TOTAL_DEBT_ISSUED_UTI">"c1256"</definedName>
    <definedName name="IQ_TOTAL_DEBT_ISSUES_INS">"c1257"</definedName>
    <definedName name="IQ_TOTAL_DEBT_OVER_EBITDA">"c1433"</definedName>
    <definedName name="IQ_TOTAL_DEBT_OVER_TOTAL_BV">"c1434"</definedName>
    <definedName name="IQ_TOTAL_DEBT_OVER_TOTAL_CAP">"c1432"</definedName>
    <definedName name="IQ_TOTAL_DEBT_REPAID">"c1258"</definedName>
    <definedName name="IQ_TOTAL_DEBT_REPAID_BNK">"c1259"</definedName>
    <definedName name="IQ_TOTAL_DEBT_REPAID_BR">"c1260"</definedName>
    <definedName name="IQ_TOTAL_DEBT_REPAID_FIN">"c1261"</definedName>
    <definedName name="IQ_TOTAL_DEBT_REPAID_INS">"c1262"</definedName>
    <definedName name="IQ_TOTAL_DEBT_REPAID_REIT">"c1263"</definedName>
    <definedName name="IQ_TOTAL_DEBT_REPAID_UTI">"c1264"</definedName>
    <definedName name="IQ_TOTAL_DEPOSITS">"c1265"</definedName>
    <definedName name="IQ_TOTAL_DIV_PAID_CF">"c1266"</definedName>
    <definedName name="IQ_TOTAL_EMPLOYEE">"c2141"</definedName>
    <definedName name="IQ_TOTAL_EMPLOYEES">"c1522"</definedName>
    <definedName name="IQ_TOTAL_EQUITY">"c1267"</definedName>
    <definedName name="IQ_TOTAL_EQUITY_10YR_ANN_GROWTH">"c1268"</definedName>
    <definedName name="IQ_TOTAL_EQUITY_1YR_ANN_GROWTH">"c1269"</definedName>
    <definedName name="IQ_TOTAL_EQUITY_2YR_ANN_GROWTH">"c1270"</definedName>
    <definedName name="IQ_TOTAL_EQUITY_3YR_ANN_GROWTH">"c1271"</definedName>
    <definedName name="IQ_TOTAL_EQUITY_5YR_ANN_GROWTH">"c1272"</definedName>
    <definedName name="IQ_TOTAL_EQUITY_7YR_ANN_GROWTH">"c1273"</definedName>
    <definedName name="IQ_TOTAL_EQUITY_ALLOWANCE_TOTAL_LOANS">"c1274"</definedName>
    <definedName name="IQ_TOTAL_INTEREST_EXP">"c1382"</definedName>
    <definedName name="IQ_TOTAL_INVENTORY">"c1385"</definedName>
    <definedName name="IQ_TOTAL_INVEST">"c1275"</definedName>
    <definedName name="IQ_TOTAL_LIAB">"c1276"</definedName>
    <definedName name="IQ_TOTAL_LIAB_BNK">"c1277"</definedName>
    <definedName name="IQ_TOTAL_LIAB_BR">"c1278"</definedName>
    <definedName name="IQ_TOTAL_LIAB_EQUITY">"c1279"</definedName>
    <definedName name="IQ_TOTAL_LIAB_FIN">"c1280"</definedName>
    <definedName name="IQ_TOTAL_LIAB_INS">"c1281"</definedName>
    <definedName name="IQ_TOTAL_LIAB_REIT">"c1282"</definedName>
    <definedName name="IQ_TOTAL_LIAB_SHAREHOLD">"c1435"</definedName>
    <definedName name="IQ_TOTAL_LIAB_TOTAL_ASSETS">"c1283"</definedName>
    <definedName name="IQ_TOTAL_LONG_DEBT">"c1617"</definedName>
    <definedName name="IQ_TOTAL_NON_REC">"c1444"</definedName>
    <definedName name="IQ_TOTAL_OPER_EXP_BR">"c1284"</definedName>
    <definedName name="IQ_TOTAL_OPER_EXP_FIN">"c1285"</definedName>
    <definedName name="IQ_TOTAL_OPER_EXP_INS">"c1286"</definedName>
    <definedName name="IQ_TOTAL_OPER_EXP_REIT">"c1287"</definedName>
    <definedName name="IQ_TOTAL_OPER_EXP_UTI">"c1288"</definedName>
    <definedName name="IQ_TOTAL_OPER_EXPEN">"c1445"</definedName>
    <definedName name="IQ_TOTAL_OPTIONS_BEG_OS">"c2693"</definedName>
    <definedName name="IQ_TOTAL_OPTIONS_CANCELLED">"c2696"</definedName>
    <definedName name="IQ_TOTAL_OPTIONS_END_OS">"c2697"</definedName>
    <definedName name="IQ_TOTAL_OPTIONS_EXERCISED">"c2695"</definedName>
    <definedName name="IQ_TOTAL_OPTIONS_GRANTED">"c2694"</definedName>
    <definedName name="IQ_TOTAL_OTHER_OPER">"c1289"</definedName>
    <definedName name="IQ_TOTAL_OUTSTANDING_BS_DATE">"c1022"</definedName>
    <definedName name="IQ_TOTAL_OUTSTANDING_FILING_DATE">"c2107"</definedName>
    <definedName name="IQ_TOTAL_PENSION_ASSETS">"c1290"</definedName>
    <definedName name="IQ_TOTAL_PENSION_ASSETS_DOMESTIC">"c2658"</definedName>
    <definedName name="IQ_TOTAL_PENSION_ASSETS_FOREIGN">"c2666"</definedName>
    <definedName name="IQ_TOTAL_PENSION_EXP">"c1291"</definedName>
    <definedName name="IQ_TOTAL_PRINCIPAL">"c2509"</definedName>
    <definedName name="IQ_TOTAL_PRINCIPAL_PCT">"c2510"</definedName>
    <definedName name="IQ_TOTAL_PROVED_RESERVES_NGL">"c2924"</definedName>
    <definedName name="IQ_TOTAL_PROVED_RESERVES_OIL">"c2040"</definedName>
    <definedName name="IQ_TOTAL_RECEIV">"c1293"</definedName>
    <definedName name="IQ_TOTAL_REV">"c1294"</definedName>
    <definedName name="IQ_TOTAL_REV_10YR_ANN_GROWTH">"c1295"</definedName>
    <definedName name="IQ_TOTAL_REV_1YR_ANN_GROWTH">"c1296"</definedName>
    <definedName name="IQ_TOTAL_REV_2YR_ANN_GROWTH">"c1297"</definedName>
    <definedName name="IQ_TOTAL_REV_3YR_ANN_GROWTH">"c1298"</definedName>
    <definedName name="IQ_TOTAL_REV_5YR_ANN_GROWTH">"c1299"</definedName>
    <definedName name="IQ_TOTAL_REV_7YR_ANN_GROWTH">"c1300"</definedName>
    <definedName name="IQ_TOTAL_REV_AS_REPORTED">"c1301"</definedName>
    <definedName name="IQ_TOTAL_REV_BNK">"c1302"</definedName>
    <definedName name="IQ_TOTAL_REV_BR">"c1303"</definedName>
    <definedName name="IQ_TOTAL_REV_EMPLOYEE">"c1304"</definedName>
    <definedName name="IQ_TOTAL_REV_FIN">"c1305"</definedName>
    <definedName name="IQ_TOTAL_REV_INS">"c1306"</definedName>
    <definedName name="IQ_TOTAL_REV_REIT">"c1307"</definedName>
    <definedName name="IQ_TOTAL_REV_SHARE">"c1912"</definedName>
    <definedName name="IQ_TOTAL_REV_UTI">"c1308"</definedName>
    <definedName name="IQ_TOTAL_REVENUE">"c1436"</definedName>
    <definedName name="IQ_TOTAL_SPECIAL">"c1618"</definedName>
    <definedName name="IQ_TOTAL_ST_BORROW">"c1424"</definedName>
    <definedName name="IQ_TOTAL_SUB_DEBT">"c2528"</definedName>
    <definedName name="IQ_TOTAL_SUB_DEBT_EBITDA">"c2554"</definedName>
    <definedName name="IQ_TOTAL_SUB_DEBT_EBITDA_CAPEX">"c2555"</definedName>
    <definedName name="IQ_TOTAL_SUB_DEBT_PCT">"c2529"</definedName>
    <definedName name="IQ_TOTAL_SUBS">"c2119"</definedName>
    <definedName name="IQ_TOTAL_UNUSUAL">"c1508"</definedName>
    <definedName name="IQ_TOTAL_UNUSUAL_BNK">"c5516"</definedName>
    <definedName name="IQ_TOTAL_UNUSUAL_BR">"c5517"</definedName>
    <definedName name="IQ_TOTAL_UNUSUAL_FIN">"c5518"</definedName>
    <definedName name="IQ_TOTAL_UNUSUAL_INS">"c5519"</definedName>
    <definedName name="IQ_TOTAL_UNUSUAL_REIT">"c5520"</definedName>
    <definedName name="IQ_TOTAL_UNUSUAL_UTI">"c5521"</definedName>
    <definedName name="IQ_TOTAL_WARRANTS_BEG_OS">"c2719"</definedName>
    <definedName name="IQ_TOTAL_WARRANTS_CANCELLED">"c2722"</definedName>
    <definedName name="IQ_TOTAL_WARRANTS_END_OS">"c2723"</definedName>
    <definedName name="IQ_TOTAL_WARRANTS_EXERCISED">"c2721"</definedName>
    <definedName name="IQ_TOTAL_WARRANTS_ISSUED">"c2720"</definedName>
    <definedName name="IQ_TR_ACCT_METHOD">"c2363"</definedName>
    <definedName name="IQ_TR_ACQ_52_WK_HI_PCT">"c2348"</definedName>
    <definedName name="IQ_TR_ACQ_52_WK_LOW_PCT">"c2347"</definedName>
    <definedName name="IQ_TR_ACQ_CASH_ST_INVEST">"c2372"</definedName>
    <definedName name="IQ_TR_ACQ_CLOSEPRICE_1D">"c3027"</definedName>
    <definedName name="IQ_TR_ACQ_DILUT_EPS_EXCL">"c3028"</definedName>
    <definedName name="IQ_TR_ACQ_EARNING_CO">"c2379"</definedName>
    <definedName name="IQ_TR_ACQ_EBIT">"c2380"</definedName>
    <definedName name="IQ_TR_ACQ_EBIT_EQ_INC">"c3611"</definedName>
    <definedName name="IQ_TR_ACQ_EBITDA">"c2381"</definedName>
    <definedName name="IQ_TR_ACQ_EBITDA_EQ_INC">"c3610"</definedName>
    <definedName name="IQ_TR_ACQ_FILING_CURRENCY">"c3033"</definedName>
    <definedName name="IQ_TR_ACQ_FILINGDATE">"c3607"</definedName>
    <definedName name="IQ_TR_ACQ_MCAP_1DAY">"c2345"</definedName>
    <definedName name="IQ_TR_ACQ_MIN_INT">"c2374"</definedName>
    <definedName name="IQ_TR_ACQ_NET_DEBT">"c2373"</definedName>
    <definedName name="IQ_TR_ACQ_NI">"c2378"</definedName>
    <definedName name="IQ_TR_ACQ_PERIODDATE">"c3606"</definedName>
    <definedName name="IQ_TR_ACQ_PRICEDATE_1D">"c2346"</definedName>
    <definedName name="IQ_TR_ACQ_RETURN">"c2349"</definedName>
    <definedName name="IQ_TR_ACQ_STOCKYEARHIGH_1D">"c2343"</definedName>
    <definedName name="IQ_TR_ACQ_STOCKYEARLOW_1D">"c2344"</definedName>
    <definedName name="IQ_TR_ACQ_TOTAL_ASSETS">"c2371"</definedName>
    <definedName name="IQ_TR_ACQ_TOTAL_COMMON_EQ">"c2377"</definedName>
    <definedName name="IQ_TR_ACQ_TOTAL_DEBT">"c2376"</definedName>
    <definedName name="IQ_TR_ACQ_TOTAL_PREF">"c2375"</definedName>
    <definedName name="IQ_TR_ACQ_TOTAL_REV">"c2382"</definedName>
    <definedName name="IQ_TR_ADJ_SIZE">"c3024"</definedName>
    <definedName name="IQ_TR_ANN_DATE">"c2395"</definedName>
    <definedName name="IQ_TR_ANN_DATE_BL">"c2394"</definedName>
    <definedName name="IQ_TR_BID_DATE">"c2357"</definedName>
    <definedName name="IQ_TR_BLUESKY_FEES">"c2277"</definedName>
    <definedName name="IQ_TR_BUY_ACC_ADVISORS">"c3048"</definedName>
    <definedName name="IQ_TR_BUY_FIN_ADVISORS">"c3045"</definedName>
    <definedName name="IQ_TR_BUY_LEG_ADVISORS">"c2387"</definedName>
    <definedName name="IQ_TR_BUYER_ID">"c2404"</definedName>
    <definedName name="IQ_TR_BUYERNAME">"c2401"</definedName>
    <definedName name="IQ_TR_CANCELLED_DATE">"c2284"</definedName>
    <definedName name="IQ_TR_CASH_CONSID_PCT">"c2296"</definedName>
    <definedName name="IQ_TR_CASH_ST_INVEST">"c3025"</definedName>
    <definedName name="IQ_TR_CHANGE_CONTROL">"c2365"</definedName>
    <definedName name="IQ_TR_CLOSED_DATE">"c2283"</definedName>
    <definedName name="IQ_TR_CO_NET_PROCEEDS">"c2268"</definedName>
    <definedName name="IQ_TR_CO_NET_PROCEEDS_PCT">"c2270"</definedName>
    <definedName name="IQ_TR_COMMENTS">"c2383"</definedName>
    <definedName name="IQ_TR_CURRENCY">"c3016"</definedName>
    <definedName name="IQ_TR_DEAL_ATTITUDE">"c2364"</definedName>
    <definedName name="IQ_TR_DEAL_CONDITIONS">"c2367"</definedName>
    <definedName name="IQ_TR_DEAL_RESOLUTION">"c2391"</definedName>
    <definedName name="IQ_TR_DEAL_RESPONSES">"c2366"</definedName>
    <definedName name="IQ_TR_DEBT_CONSID_PCT">"c2299"</definedName>
    <definedName name="IQ_TR_DEF_AGRMT_DATE">"c2285"</definedName>
    <definedName name="IQ_TR_DISCLOSED_FEES_EXP">"c2288"</definedName>
    <definedName name="IQ_TR_EARNOUTS">"c3023"</definedName>
    <definedName name="IQ_TR_EXPIRED_DATE">"c2412"</definedName>
    <definedName name="IQ_TR_GROSS_OFFERING_AMT">"c2262"</definedName>
    <definedName name="IQ_TR_HYBRID_CONSID_PCT">"c2300"</definedName>
    <definedName name="IQ_TR_IMPLIED_EQ">"c3018"</definedName>
    <definedName name="IQ_TR_IMPLIED_EQ_BV">"c3019"</definedName>
    <definedName name="IQ_TR_IMPLIED_EQ_NI_LTM">"c3020"</definedName>
    <definedName name="IQ_TR_IMPLIED_EV">"c2301"</definedName>
    <definedName name="IQ_TR_IMPLIED_EV_BV">"c2306"</definedName>
    <definedName name="IQ_TR_IMPLIED_EV_EBIT">"c2302"</definedName>
    <definedName name="IQ_TR_IMPLIED_EV_EBITDA">"c2303"</definedName>
    <definedName name="IQ_TR_IMPLIED_EV_NI_LTM">"c2307"</definedName>
    <definedName name="IQ_TR_IMPLIED_EV_REV">"c2304"</definedName>
    <definedName name="IQ_TR_INIT_FILED_DATE">"c3495"</definedName>
    <definedName name="IQ_TR_LOI_DATE">"c2282"</definedName>
    <definedName name="IQ_TR_MAJ_MIN_STAKE">"c2389"</definedName>
    <definedName name="IQ_TR_NEGOTIATED_BUYBACK_PRICE">"c2414"</definedName>
    <definedName name="IQ_TR_NET_ASSUM_LIABILITIES">"c2308"</definedName>
    <definedName name="IQ_TR_NET_PROCEEDS">"c2267"</definedName>
    <definedName name="IQ_TR_OFFER_DATE">"c2265"</definedName>
    <definedName name="IQ_TR_OFFER_DATE_MA">"c3035"</definedName>
    <definedName name="IQ_TR_OFFER_PER_SHARE">"c3017"</definedName>
    <definedName name="IQ_TR_OPTIONS_CONSID_PCT">"c2311"</definedName>
    <definedName name="IQ_TR_OTHER_CONSID">"c3022"</definedName>
    <definedName name="IQ_TR_PCT_SOUGHT">"c2309"</definedName>
    <definedName name="IQ_TR_PFEATURES">"c2384"</definedName>
    <definedName name="IQ_TR_PIPE_CONV_PRICE_SHARE">"c2292"</definedName>
    <definedName name="IQ_TR_PIPE_CPN_PCT">"c2291"</definedName>
    <definedName name="IQ_TR_PIPE_NUMBER_SHARES">"c2293"</definedName>
    <definedName name="IQ_TR_PIPE_PPS">"c2290"</definedName>
    <definedName name="IQ_TR_POSTMONEY_VAL">"c2286"</definedName>
    <definedName name="IQ_TR_PREDEAL_SITUATION">"c2390"</definedName>
    <definedName name="IQ_TR_PREF_CONSID_PCT">"c2310"</definedName>
    <definedName name="IQ_TR_PREMONEY_VAL">"c2287"</definedName>
    <definedName name="IQ_TR_PRINTING_FEES">"c2276"</definedName>
    <definedName name="IQ_TR_PT_MONETARY_VALUES">"c2415"</definedName>
    <definedName name="IQ_TR_PT_NUMBER_SHARES">"c2417"</definedName>
    <definedName name="IQ_TR_PT_PCT_SHARES">"c2416"</definedName>
    <definedName name="IQ_TR_RATING_FEES">"c2275"</definedName>
    <definedName name="IQ_TR_REG_EFFECT_DATE">"c2264"</definedName>
    <definedName name="IQ_TR_REG_FILED_DATE">"c2263"</definedName>
    <definedName name="IQ_TR_RENEWAL_BUYBACK">"c2413"</definedName>
    <definedName name="IQ_TR_ROUND_NUMBER">"c2295"</definedName>
    <definedName name="IQ_TR_SEC_FEES">"c2274"</definedName>
    <definedName name="IQ_TR_SECURITY_TYPE_REG">"c2279"</definedName>
    <definedName name="IQ_TR_SELL_ACC_ADVISORS">"c3049"</definedName>
    <definedName name="IQ_TR_SELL_FIN_ADVISORS">"c3046"</definedName>
    <definedName name="IQ_TR_SELL_LEG_ADVISORS">"c2388"</definedName>
    <definedName name="IQ_TR_SELLER_ID">"c2406"</definedName>
    <definedName name="IQ_TR_SELLERNAME">"c2402"</definedName>
    <definedName name="IQ_TR_SFEATURES">"c2385"</definedName>
    <definedName name="IQ_TR_SH_NET_PROCEEDS">"c2269"</definedName>
    <definedName name="IQ_TR_SH_NET_PROCEEDS_PCT">"c2271"</definedName>
    <definedName name="IQ_TR_SPECIAL_COMMITTEE">"c2362"</definedName>
    <definedName name="IQ_TR_STATUS">"c2399"</definedName>
    <definedName name="IQ_TR_STOCK_CONSID_PCT">"c2312"</definedName>
    <definedName name="IQ_TR_SUSPENDED_DATE">"c2407"</definedName>
    <definedName name="IQ_TR_TARGET_52WKHI_PCT">"c2351"</definedName>
    <definedName name="IQ_TR_TARGET_52WKLOW_PCT">"c2350"</definedName>
    <definedName name="IQ_TR_TARGET_ACC_ADVISORS">"c3047"</definedName>
    <definedName name="IQ_TR_TARGET_CASH_ST_INVEST">"c2327"</definedName>
    <definedName name="IQ_TR_TARGET_CLOSEPRICE_1D">"c2352"</definedName>
    <definedName name="IQ_TR_TARGET_CLOSEPRICE_1M">"c2354"</definedName>
    <definedName name="IQ_TR_TARGET_CLOSEPRICE_1W">"c2353"</definedName>
    <definedName name="IQ_TR_TARGET_DILUT_EPS_EXCL">"c2324"</definedName>
    <definedName name="IQ_TR_TARGET_EARNING_CO">"c2332"</definedName>
    <definedName name="IQ_TR_TARGET_EBIT">"c2333"</definedName>
    <definedName name="IQ_TR_TARGET_EBIT_EQ_INC">"c3609"</definedName>
    <definedName name="IQ_TR_TARGET_EBITDA">"c2334"</definedName>
    <definedName name="IQ_TR_TARGET_EBITDA_EQ_INC">"c3608"</definedName>
    <definedName name="IQ_TR_TARGET_FILING_CURRENCY">"c3034"</definedName>
    <definedName name="IQ_TR_TARGET_FILINGDATE">"c3605"</definedName>
    <definedName name="IQ_TR_TARGET_FIN_ADVISORS">"c3044"</definedName>
    <definedName name="IQ_TR_TARGET_ID">"c2405"</definedName>
    <definedName name="IQ_TR_TARGET_LEG_ADVISORS">"c2386"</definedName>
    <definedName name="IQ_TR_TARGET_MARKETCAP">"c2342"</definedName>
    <definedName name="IQ_TR_TARGET_MIN_INT">"c2328"</definedName>
    <definedName name="IQ_TR_TARGET_NET_DEBT">"c2326"</definedName>
    <definedName name="IQ_TR_TARGET_NI">"c2331"</definedName>
    <definedName name="IQ_TR_TARGET_PERIODDATE">"c3604"</definedName>
    <definedName name="IQ_TR_TARGET_PRICEDATE_1D">"c2341"</definedName>
    <definedName name="IQ_TR_TARGET_RETURN">"c2355"</definedName>
    <definedName name="IQ_TR_TARGET_SEC_DETAIL">"c3021"</definedName>
    <definedName name="IQ_TR_TARGET_SEC_TI_ID">"c2368"</definedName>
    <definedName name="IQ_TR_TARGET_SEC_TYPE">"c2369"</definedName>
    <definedName name="IQ_TR_TARGET_SPD">"c2313"</definedName>
    <definedName name="IQ_TR_TARGET_SPD_PCT">"c2314"</definedName>
    <definedName name="IQ_TR_TARGET_STOCKPREMIUM_1D">"c2336"</definedName>
    <definedName name="IQ_TR_TARGET_STOCKPREMIUM_1M">"c2337"</definedName>
    <definedName name="IQ_TR_TARGET_STOCKPREMIUM_1W">"c2338"</definedName>
    <definedName name="IQ_TR_TARGET_STOCKYEARHIGH_1D">"c2339"</definedName>
    <definedName name="IQ_TR_TARGET_STOCKYEARLOW_1D">"c2340"</definedName>
    <definedName name="IQ_TR_TARGET_TOTAL_ASSETS">"c2325"</definedName>
    <definedName name="IQ_TR_TARGET_TOTAL_COMMON_EQ">"c2421"</definedName>
    <definedName name="IQ_TR_TARGET_TOTAL_DEBT">"c2330"</definedName>
    <definedName name="IQ_TR_TARGET_TOTAL_PREF">"c2329"</definedName>
    <definedName name="IQ_TR_TARGET_TOTAL_REV">"c2335"</definedName>
    <definedName name="IQ_TR_TARGETNAME">"c2403"</definedName>
    <definedName name="IQ_TR_TERM_FEE">"c2298"</definedName>
    <definedName name="IQ_TR_TERM_FEE_PCT">"c2297"</definedName>
    <definedName name="IQ_TR_TODATE">"c3036"</definedName>
    <definedName name="IQ_TR_TODATE_MONETARY_VALUE">"c2418"</definedName>
    <definedName name="IQ_TR_TODATE_NUMBER_SHARES">"c2420"</definedName>
    <definedName name="IQ_TR_TODATE_PCT_SHARES">"c2419"</definedName>
    <definedName name="IQ_TR_TOTAL_ACCT_FEES">"c2273"</definedName>
    <definedName name="IQ_TR_TOTAL_CASH">"c2315"</definedName>
    <definedName name="IQ_TR_TOTAL_CONSID_SH">"c2316"</definedName>
    <definedName name="IQ_TR_TOTAL_DEBT">"c2317"</definedName>
    <definedName name="IQ_TR_TOTAL_GROSS_TV">"c2318"</definedName>
    <definedName name="IQ_TR_TOTAL_HYBRID">"c2319"</definedName>
    <definedName name="IQ_TR_TOTAL_LEGAL_FEES">"c2272"</definedName>
    <definedName name="IQ_TR_TOTAL_NET_TV">"c2320"</definedName>
    <definedName name="IQ_TR_TOTAL_NEWMONEY">"c2289"</definedName>
    <definedName name="IQ_TR_TOTAL_OPTIONS">"c2322"</definedName>
    <definedName name="IQ_TR_TOTAL_OPTIONS_BUYER">"c3026"</definedName>
    <definedName name="IQ_TR_TOTAL_PREFERRED">"c2321"</definedName>
    <definedName name="IQ_TR_TOTAL_REG_AMT">"c2261"</definedName>
    <definedName name="IQ_TR_TOTAL_STOCK">"c2323"</definedName>
    <definedName name="IQ_TR_TOTAL_TAKEDOWNS">"c2278"</definedName>
    <definedName name="IQ_TR_TOTAL_UW_COMP">"c2280"</definedName>
    <definedName name="IQ_TR_TOTALVALUE">"c2400"</definedName>
    <definedName name="IQ_TR_TRANSACTION_TYPE">"c2398"</definedName>
    <definedName name="IQ_TR_WITHDRAWN_DTE">"c2266"</definedName>
    <definedName name="IQ_TRADE_AR">"c1345"</definedName>
    <definedName name="IQ_TRADE_PRINCIPAL">"c1309"</definedName>
    <definedName name="IQ_TRADING_ASSETS">"c1310"</definedName>
    <definedName name="IQ_TRADING_CURRENCY">"c2212"</definedName>
    <definedName name="IQ_TREASURY">"c1311"</definedName>
    <definedName name="IQ_TREASURY_OTHER_EQUITY">"c1312"</definedName>
    <definedName name="IQ_TREASURY_OTHER_EQUITY_BNK">"c1313"</definedName>
    <definedName name="IQ_TREASURY_OTHER_EQUITY_BR">"c1314"</definedName>
    <definedName name="IQ_TREASURY_OTHER_EQUITY_FIN">"c1315"</definedName>
    <definedName name="IQ_TREASURY_OTHER_EQUITY_INS">"c1316"</definedName>
    <definedName name="IQ_TREASURY_OTHER_EQUITY_REIT">"c1317"</definedName>
    <definedName name="IQ_TREASURY_OTHER_EQUITY_UTI">"c1318"</definedName>
    <definedName name="IQ_TREASURY_STOCK">"c1438"</definedName>
    <definedName name="IQ_TRUST_INC">"c1319"</definedName>
    <definedName name="IQ_TRUST_PREF">"c1320"</definedName>
    <definedName name="IQ_TRUST_PREFERRED">"c3029"</definedName>
    <definedName name="IQ_TRUST_PREFERRED_PCT">"c3030"</definedName>
    <definedName name="IQ_UFCF_10YR_ANN_GROWTH">"c1948"</definedName>
    <definedName name="IQ_UFCF_1YR_ANN_GROWTH">"c1943"</definedName>
    <definedName name="IQ_UFCF_2YR_ANN_GROWTH">"c1944"</definedName>
    <definedName name="IQ_UFCF_3YR_ANN_GROWTH">"c1945"</definedName>
    <definedName name="IQ_UFCF_5YR_ANN_GROWTH">"c1946"</definedName>
    <definedName name="IQ_UFCF_7YR_ANN_GROWTH">"c1947"</definedName>
    <definedName name="IQ_UFCF_MARGIN">"c1962"</definedName>
    <definedName name="IQ_ULT_PARENT">"c3037"</definedName>
    <definedName name="IQ_ULT_PARENT_CIQID">"c3039"</definedName>
    <definedName name="IQ_ULT_PARENT_TICKER">"c3038"</definedName>
    <definedName name="IQ_UNAMORT_DISC">"c2513"</definedName>
    <definedName name="IQ_UNAMORT_DISC_PCT">"c2514"</definedName>
    <definedName name="IQ_UNAMORT_PREMIUM">"c2511"</definedName>
    <definedName name="IQ_UNAMORT_PREMIUM_PCT">"c2512"</definedName>
    <definedName name="IQ_UNDRAWN_CP">"c2518"</definedName>
    <definedName name="IQ_UNDRAWN_CREDIT">"c3032"</definedName>
    <definedName name="IQ_UNDRAWN_RC">"c2517"</definedName>
    <definedName name="IQ_UNDRAWN_TL">"c2519"</definedName>
    <definedName name="IQ_UNEARN_PREMIUM">"c1321"</definedName>
    <definedName name="IQ_UNEARN_REV_CURRENT">"c1322"</definedName>
    <definedName name="IQ_UNEARN_REV_CURRENT_BNK">"c1323"</definedName>
    <definedName name="IQ_UNEARN_REV_CURRENT_BR">"c1324"</definedName>
    <definedName name="IQ_UNEARN_REV_CURRENT_FIN">"c1325"</definedName>
    <definedName name="IQ_UNEARN_REV_CURRENT_INS">"c1326"</definedName>
    <definedName name="IQ_UNEARN_REV_CURRENT_REIT">"c1327"</definedName>
    <definedName name="IQ_UNEARN_REV_CURRENT_UTI">"c1328"</definedName>
    <definedName name="IQ_UNEARN_REV_LT">"c1329"</definedName>
    <definedName name="IQ_UNLEVERED_FCF">"c1908"</definedName>
    <definedName name="IQ_UNPAID_CLAIMS">"c1330"</definedName>
    <definedName name="IQ_UNREALIZED_GAIN">"c1619"</definedName>
    <definedName name="IQ_UNSECURED_DEBT">"c2548"</definedName>
    <definedName name="IQ_UNSECURED_DEBT_PCT">"c2549"</definedName>
    <definedName name="IQ_UNUSUAL_EXP">"c1456"</definedName>
    <definedName name="IQ_US_GAAP">"c1331"</definedName>
    <definedName name="IQ_US_GAAP_BASIC_EPS_EXCL">"c2984"</definedName>
    <definedName name="IQ_US_GAAP_BASIC_EPS_INCL">"c2982"</definedName>
    <definedName name="IQ_US_GAAP_BASIC_WEIGHT">"c2980"</definedName>
    <definedName name="IQ_US_GAAP_CA_ADJ">"c2925"</definedName>
    <definedName name="IQ_US_GAAP_CASH_FINAN">"c2945"</definedName>
    <definedName name="IQ_US_GAAP_CASH_FINAN_ADJ">"c2941"</definedName>
    <definedName name="IQ_US_GAAP_CASH_INVEST">"c2944"</definedName>
    <definedName name="IQ_US_GAAP_CASH_INVEST_ADJ">"c2940"</definedName>
    <definedName name="IQ_US_GAAP_CASH_OPER">"c2943"</definedName>
    <definedName name="IQ_US_GAAP_CASH_OPER_ADJ">"c2939"</definedName>
    <definedName name="IQ_US_GAAP_CL_ADJ">"c2927"</definedName>
    <definedName name="IQ_US_GAAP_COST_REV_ADJ">"c2951"</definedName>
    <definedName name="IQ_US_GAAP_DILUT_EPS_EXCL">"c2985"</definedName>
    <definedName name="IQ_US_GAAP_DILUT_EPS_INCL">"c2983"</definedName>
    <definedName name="IQ_US_GAAP_DILUT_NI">"c2979"</definedName>
    <definedName name="IQ_US_GAAP_DILUT_WEIGHT">"c2981"</definedName>
    <definedName name="IQ_US_GAAP_DO_ADJ">"c2959"</definedName>
    <definedName name="IQ_US_GAAP_EXTRA_ACC_ITEMS_ADJ">"c2958"</definedName>
    <definedName name="IQ_US_GAAP_INC_TAX_ADJ">"c2961"</definedName>
    <definedName name="IQ_US_GAAP_INTEREST_EXP_ADJ">"c2957"</definedName>
    <definedName name="IQ_US_GAAP_LIAB_LT_ADJ">"c2928"</definedName>
    <definedName name="IQ_US_GAAP_LIAB_TOTAL_LIAB">"c2933"</definedName>
    <definedName name="IQ_US_GAAP_MINORITY_INTEREST_IS_ADJ">"c2960"</definedName>
    <definedName name="IQ_US_GAAP_NCA_ADJ">"c2926"</definedName>
    <definedName name="IQ_US_GAAP_NET_CHANGE">"c2946"</definedName>
    <definedName name="IQ_US_GAAP_NET_CHANGE_ADJ">"c2942"</definedName>
    <definedName name="IQ_US_GAAP_NI">"c2976"</definedName>
    <definedName name="IQ_US_GAAP_NI_ADJ">"c2963"</definedName>
    <definedName name="IQ_US_GAAP_NI_AVAIL_INCL">"c2978"</definedName>
    <definedName name="IQ_US_GAAP_OTHER_ADJ_ADJ">"c2962"</definedName>
    <definedName name="IQ_US_GAAP_OTHER_NON_OPER_ADJ">"c2955"</definedName>
    <definedName name="IQ_US_GAAP_OTHER_OPER_ADJ">"c2954"</definedName>
    <definedName name="IQ_US_GAAP_RD_ADJ">"c2953"</definedName>
    <definedName name="IQ_US_GAAP_SGA_ADJ">"c2952"</definedName>
    <definedName name="IQ_US_GAAP_TOTAL_ASSETS">"c2931"</definedName>
    <definedName name="IQ_US_GAAP_TOTAL_EQUITY">"c2934"</definedName>
    <definedName name="IQ_US_GAAP_TOTAL_EQUITY_ADJ">"c2929"</definedName>
    <definedName name="IQ_US_GAAP_TOTAL_REV_ADJ">"c2950"</definedName>
    <definedName name="IQ_US_GAAP_TOTAL_UNUSUAL_ADJ">"c2956"</definedName>
    <definedName name="IQ_UTIL_PPE_NET">"c1620"</definedName>
    <definedName name="IQ_UTIL_REV">"c2091"</definedName>
    <definedName name="IQ_UV_PENSION_LIAB">"c1332"</definedName>
    <definedName name="IQ_VALUE_TRADED_LAST_3MTH">"c1530"</definedName>
    <definedName name="IQ_VALUE_TRADED_LAST_6MTH">"c1531"</definedName>
    <definedName name="IQ_VALUE_TRADED_LAST_MTH">"c1529"</definedName>
    <definedName name="IQ_VALUE_TRADED_LAST_WK">"c1528"</definedName>
    <definedName name="IQ_VALUE_TRADED_LAST_YR">"c1532"</definedName>
    <definedName name="IQ_VOL_LAST_3MTH">"c1525"</definedName>
    <definedName name="IQ_VOL_LAST_6MTH">"c1526"</definedName>
    <definedName name="IQ_VOL_LAST_MTH">"c1524"</definedName>
    <definedName name="IQ_VOL_LAST_WK">"c1523"</definedName>
    <definedName name="IQ_VOL_LAST_YR">"c1527"</definedName>
    <definedName name="IQ_VOLUME">"c1333"</definedName>
    <definedName name="IQ_WARRANTS_BEG_OS">"c2698"</definedName>
    <definedName name="IQ_WARRANTS_CANCELLED">"c2701"</definedName>
    <definedName name="IQ_WARRANTS_END_OS">"c2702"</definedName>
    <definedName name="IQ_WARRANTS_EXERCISED">"c2700"</definedName>
    <definedName name="IQ_WARRANTS_ISSUED">"c2699"</definedName>
    <definedName name="IQ_WARRANTS_STRIKE_PRICE_ISSUED">"c2704"</definedName>
    <definedName name="IQ_WARRANTS_STRIKE_PRICE_OS">"c2703"</definedName>
    <definedName name="IQ_WEIGHTED_AVG_PRICE">"c1334"</definedName>
    <definedName name="IQ_WIP_INV">"c1335"</definedName>
    <definedName name="IQ_WORKING_CAP">"c3494"</definedName>
    <definedName name="IQ_WORKMEN_WRITTEN">"c1336"</definedName>
    <definedName name="IQ_XDIV_DATE">"c2203"</definedName>
    <definedName name="IQ_YEARHIGH">"c1337"</definedName>
    <definedName name="IQ_YEARHIGH_DATE">"c2250"</definedName>
    <definedName name="IQ_YEARLOW">"c1338"</definedName>
    <definedName name="IQ_YEARLOW_DATE">"c2251"</definedName>
    <definedName name="IQ_YTD">3000</definedName>
    <definedName name="IQ_YTW">"c2163"</definedName>
    <definedName name="IQ_YTW_DATE">"c2164"</definedName>
    <definedName name="IQ_YTW_DATE_TYPE">"c2165"</definedName>
    <definedName name="IQ_Z_SCORE">"c1339"</definedName>
    <definedName name="KeepVersions" localSheetId="18">IndexInformation!$B$8</definedName>
    <definedName name="LanguageCode">IndexInformation!$B$38</definedName>
    <definedName name="LastCell" localSheetId="0">ImportantDisclosures!$A$22</definedName>
    <definedName name="Linking_10">bal!$A$5:$BG$52</definedName>
    <definedName name="Linking_11">flow!$A$7:$BD$49</definedName>
    <definedName name="Linking_12">sumry!$A$5:$DO$76</definedName>
    <definedName name="Linking_13">bal!$A$6:$BI$52</definedName>
    <definedName name="Linking_14">flow!$A$6:$BF$50</definedName>
    <definedName name="Linking_8">sumry!$A$5:$DN$76</definedName>
    <definedName name="Linking_9">bal!$B$5:$BG$52</definedName>
    <definedName name="Linking_Range_1">sumry!$A$5:$DE$76</definedName>
    <definedName name="Linking_Range_10" localSheetId="1">Earnings!$B$2:$J$46</definedName>
    <definedName name="Linking_Range_10">flow!$A$8:$AV$49</definedName>
    <definedName name="Linking_Range_11">Earnings!$B$2:$I$46</definedName>
    <definedName name="Linking_Range_12">sumry!$A$3:$DI$77</definedName>
    <definedName name="Linking_Range_13">BullBaseBear!$A$42:$T$120</definedName>
    <definedName name="Linking_Range_14">sumry!$A$5:$DI$89</definedName>
    <definedName name="Linking_Range_15">'yrP&amp;L'!$A$4:$AJ$54</definedName>
    <definedName name="Linking_Range_16">sumry!$A$5:$DI$76</definedName>
    <definedName name="Linking_Range_17">bal!$A$6:$BA$52</definedName>
    <definedName name="Linking_Range_18">flow!$A$7:$AX$49</definedName>
    <definedName name="Linking_Range_19">flow!$A$8:$AX$49</definedName>
    <definedName name="Linking_Range_2">bal!$A$6:$AO$52</definedName>
    <definedName name="Linking_Range_20">sumry!$A$5:$DK$90</definedName>
    <definedName name="Linking_Range_21">sumry!$A$5:$DK$89</definedName>
    <definedName name="Linking_Range_22">'qtrP&amp;L'!$A$6:$CO$64</definedName>
    <definedName name="Linking_Range_23">'qtrP&amp;L'!$A$6:$CO$114</definedName>
    <definedName name="Linking_Range_24">segSales!$A$6:$AV$148</definedName>
    <definedName name="Linking_Range_25">'qtrP&amp;L'!$A$6:$CO$67</definedName>
    <definedName name="Linking_Range_26">'qtrP&amp;L'!$A$6:$CO$124</definedName>
    <definedName name="Linking_Range_27">'yrP&amp;L'!$A$4:$AJ$55</definedName>
    <definedName name="Linking_Range_28">bal!$A$6:$BC$53</definedName>
    <definedName name="Linking_Range_29">flow!$A$8:$AZ$49</definedName>
    <definedName name="Linking_Range_3">flow!$A$7:$AL$49</definedName>
    <definedName name="Linking_Range_30">sumry!$A$5:$DK$76</definedName>
    <definedName name="Linking_Range_31">bal!$A$6:$BC$52</definedName>
    <definedName name="Linking_Range_32">'qtrP&amp;L'!$A$6:$CS$74</definedName>
    <definedName name="Linking_Range_33">'qtrP&amp;L'!$A$6:$CS$116</definedName>
    <definedName name="Linking_Range_34">segSales!$A$6:$AW$155</definedName>
    <definedName name="Linking_Range_4">bal!$A$6:$AQ$52</definedName>
    <definedName name="Linking_Range_5">flow!$A$8:$AN$49</definedName>
    <definedName name="Linking_Range_6">bal!$A$6:$AS$52</definedName>
    <definedName name="Linking_Range_7">flow!$A$8:$AP$49</definedName>
    <definedName name="Linking_Range_8">sumry!$A$5:$DG$76</definedName>
    <definedName name="Linking_Range_9" localSheetId="1">Earnings!$B$2:$I$46</definedName>
    <definedName name="Linking_Range_9">bal!$A$6:$AY$52</definedName>
    <definedName name="MacroVersion" localSheetId="18">IndexInformation!$B$1</definedName>
    <definedName name="ModelPrice" localSheetId="0">ImportantDisclosures!$A$14</definedName>
    <definedName name="Multiplier" localSheetId="18">IndexInformation!$B$35</definedName>
    <definedName name="NextYearEPS" localSheetId="18">IndexInformation!$B$13</definedName>
    <definedName name="NextYearTotalRevenue" localSheetId="18">IndexInformation!$B$12</definedName>
    <definedName name="NextYearTotalRevenueActual" localSheetId="18">IndexInformation!$B$33</definedName>
    <definedName name="ObjectType">IndexInformation!$B$37</definedName>
    <definedName name="OpMargin" localSheetId="16">OFFSET([0]!XRange2,5,0)</definedName>
    <definedName name="PANA" localSheetId="19">ModPubIndex!$A$11</definedName>
    <definedName name="PathName" localSheetId="18">IndexInformation!$B$25</definedName>
    <definedName name="Phase1NPVFCF" localSheetId="16">OFFSET([0]!XRange,39,0)</definedName>
    <definedName name="Phase2NPVFCF" localSheetId="16">OFFSET([0]!XRange,40,0)</definedName>
    <definedName name="Phase3NPVFCF" localSheetId="16">OFFSET([0]!XRange,41,0)</definedName>
    <definedName name="_xlnm.Print_Area" localSheetId="9">bal!$A$1:$BM$56</definedName>
    <definedName name="_xlnm.Print_Area" localSheetId="12">dtc!$A$1:$AP$61</definedName>
    <definedName name="_xlnm.Print_Area" localSheetId="10">flow!$A$1:$AX$52</definedName>
    <definedName name="_xlnm.Print_Area" localSheetId="6">'qtrP&amp;L'!$A$1:$CL$279</definedName>
    <definedName name="_xlnm.Print_Area" localSheetId="5">qtrSales!$A$1:$AU$821</definedName>
    <definedName name="_xlnm.Print_Area" localSheetId="4">segSales!$A$4:$AW$254</definedName>
    <definedName name="_xlnm.Print_Area" localSheetId="3">sumry!$A$1:$DP$98</definedName>
    <definedName name="_xlnm.Print_Area" localSheetId="11">turn!$A$1:$AG$191</definedName>
    <definedName name="_xlnm.Print_Area" localSheetId="13">work!$A$1:$CF$48</definedName>
    <definedName name="_xlnm.Print_Area" localSheetId="8">'yrP&amp;L'!$A$1:$AJ$71</definedName>
    <definedName name="_xlnm.Print_Area" localSheetId="7">yrSales!$A$1:$AL$71</definedName>
    <definedName name="_xlnm.Print_Area">#REF!</definedName>
    <definedName name="_xlnm.Print_Titles" localSheetId="9">bal!$1:$6</definedName>
    <definedName name="_xlnm.Print_Titles" localSheetId="6">'qtrP&amp;L'!$A:$C,'qtrP&amp;L'!$1:$6</definedName>
    <definedName name="_xlnm.Print_Titles" localSheetId="5">qtrSales!$1:$10</definedName>
    <definedName name="_xlnm.Print_Titles" localSheetId="4">segSales!$A:$B,segSales!$6:$7</definedName>
    <definedName name="_xlnm.Print_Titles">#REF!</definedName>
    <definedName name="PRODUCT" localSheetId="19">ModPubIndex!$A$6</definedName>
    <definedName name="ProjectName" localSheetId="1">{"Client Name or Project Name"}</definedName>
    <definedName name="ProjectName">{"Client Name or Project Name"}</definedName>
    <definedName name="PSYM" localSheetId="19">ModPubIndex!$A$4</definedName>
    <definedName name="PublishDate" localSheetId="18">IndexInformation!$B$2</definedName>
    <definedName name="Rating" localSheetId="18">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l_Forw" localSheetId="1">OFFSET(Date_Range,0,10,,1)</definedName>
    <definedName name="Rel_Forw">OFFSET(Date_Range,0,10,,1)</definedName>
    <definedName name="Rem_Bus_ROIC" localSheetId="16">OFFSET([0]!XRange,11,0)</definedName>
    <definedName name="ResearchTopic" localSheetId="18">IndexInformation!$B$4</definedName>
    <definedName name="RIC" localSheetId="18">IndexInformation!$B$21</definedName>
    <definedName name="rngAppName" localSheetId="16">'MWA Lease'!$A$1</definedName>
    <definedName name="rngCompany" localSheetId="16">'MWA Lease'!$F$6</definedName>
    <definedName name="rngTicker" localSheetId="16">'MWA Lease'!$I$3</definedName>
    <definedName name="RNOA_Print">#N/A</definedName>
    <definedName name="SECSettlement" localSheetId="0">ImportantDisclosures!#REF!</definedName>
    <definedName name="SEDOL" localSheetId="18">IndexInformation!$B$22</definedName>
    <definedName name="SedolTicker">'MWA Lease'!$F$4</definedName>
    <definedName name="SourceDefined" localSheetId="0">ImportantDisclosures!$A$19</definedName>
    <definedName name="StockRating" localSheetId="0">ImportantDisclosures!$A$11</definedName>
    <definedName name="SubjectCode" localSheetId="18">IndexInformation!$B$6</definedName>
    <definedName name="SubmitterUserId">IndexInformation!$B$39</definedName>
    <definedName name="SUPPRESSED" localSheetId="19">ModPubIndex!$A$13</definedName>
    <definedName name="TargetPrice" localSheetId="0">ImportantDisclosures!$A$15</definedName>
    <definedName name="TemplateRegion">IndexInformation!$B$36</definedName>
    <definedName name="Ticker" localSheetId="0">ImportantDisclosures!$A$10</definedName>
    <definedName name="TickerRegion">IndexInformation!$B$41</definedName>
    <definedName name="Tickers" localSheetId="18">IndexInformation!$B$19</definedName>
    <definedName name="Total_Bus_ROIC" localSheetId="16">OFFSET([0]!XRange,12,0)</definedName>
    <definedName name="TRSLTicker">"URBN.O"</definedName>
    <definedName name="Update_This">[5]!Update_This</definedName>
    <definedName name="UpdateReason" localSheetId="18">IndexInformation!$B$17</definedName>
    <definedName name="USRegDisclosures" localSheetId="0">ImportantDisclosures!#REF!</definedName>
    <definedName name="Version">"June 29, 2004"</definedName>
    <definedName name="WACC" localSheetId="16">OFFSET([0]!XRange,13,0)</definedName>
    <definedName name="xbrlAssumption">[4]bal!$AS$1:$AS$65536</definedName>
    <definedName name="xbrlDates">[4]bal!$A$74:$IV$74</definedName>
    <definedName name="xbrlFormat">[4]bal!$AQ$1:$AQ$65536</definedName>
    <definedName name="xbrlLabels">[4]bal!$B$1:$B$65536</definedName>
    <definedName name="xbrlNames">[4]bal!$AO$1:$AO$65536</definedName>
    <definedName name="xbrlReverseSign">[4]bal!$AR$1:$AR$65536</definedName>
    <definedName name="xbrlScale">[4]bal!$AP$1:$AP$65536</definedName>
    <definedName name="xbrlsegment">[4]sumry!$ET$1:$ET$65536</definedName>
  </definedNames>
  <calcPr calcId="145621"/>
</workbook>
</file>

<file path=xl/calcChain.xml><?xml version="1.0" encoding="utf-8"?>
<calcChain xmlns="http://schemas.openxmlformats.org/spreadsheetml/2006/main">
  <c r="AY48" i="2" l="1"/>
  <c r="AY50" i="2"/>
  <c r="CP42" i="11"/>
  <c r="CP43" i="11"/>
  <c r="CP19" i="11"/>
  <c r="CQ19" i="11" s="1"/>
  <c r="CP36" i="11"/>
  <c r="CQ36" i="11" s="1"/>
  <c r="CR36" i="11"/>
  <c r="CR37" i="11"/>
  <c r="CQ30" i="11"/>
  <c r="CR30" i="11"/>
  <c r="CQ31" i="11"/>
  <c r="CR31" i="11"/>
  <c r="CQ24" i="11"/>
  <c r="CR24" i="11"/>
  <c r="CQ25" i="11"/>
  <c r="CR25" i="11"/>
  <c r="CR19" i="11"/>
  <c r="CQ18" i="11"/>
  <c r="CR18" i="11"/>
  <c r="CP18" i="11"/>
  <c r="AV58" i="23"/>
  <c r="AV52" i="23"/>
  <c r="AV53" i="23"/>
  <c r="AV46" i="23"/>
  <c r="AV47" i="23"/>
  <c r="AV34" i="23"/>
  <c r="AV35" i="23"/>
  <c r="AV59" i="23" s="1"/>
  <c r="AV28" i="23"/>
  <c r="AV29" i="23"/>
  <c r="AV10" i="23"/>
  <c r="AF174" i="10"/>
  <c r="AD174" i="10"/>
  <c r="H174" i="10"/>
  <c r="CP37" i="11" l="1"/>
  <c r="CQ37" i="11" s="1"/>
  <c r="AY70" i="2"/>
  <c r="AW70" i="2"/>
  <c r="AY76" i="2"/>
  <c r="AY75" i="2"/>
  <c r="AY74" i="2"/>
  <c r="AY73" i="2"/>
  <c r="AY72" i="2"/>
  <c r="CQ13" i="11" l="1"/>
  <c r="P116" i="61"/>
  <c r="P75" i="61"/>
  <c r="P122" i="61"/>
  <c r="P112" i="61"/>
  <c r="P111" i="61"/>
  <c r="P110" i="61"/>
  <c r="P109" i="61"/>
  <c r="P104" i="61"/>
  <c r="P98" i="61"/>
  <c r="P95" i="61"/>
  <c r="P91" i="61"/>
  <c r="P90" i="61"/>
  <c r="P93" i="61" s="1"/>
  <c r="P96" i="61" s="1"/>
  <c r="P101" i="61" s="1"/>
  <c r="P103" i="61" s="1"/>
  <c r="P88" i="61"/>
  <c r="P86" i="61"/>
  <c r="P81" i="61"/>
  <c r="P71" i="61"/>
  <c r="P70" i="61"/>
  <c r="P69" i="61"/>
  <c r="P68" i="61"/>
  <c r="P63" i="61"/>
  <c r="P57" i="61"/>
  <c r="P54" i="61"/>
  <c r="P50" i="61"/>
  <c r="P49" i="61"/>
  <c r="P52" i="61" s="1"/>
  <c r="P55" i="61" s="1"/>
  <c r="P60" i="61" s="1"/>
  <c r="P62" i="61" s="1"/>
  <c r="P47" i="61"/>
  <c r="P45" i="61"/>
  <c r="AN162" i="30"/>
  <c r="X26" i="5"/>
  <c r="F360" i="9" l="1"/>
  <c r="F359" i="9"/>
  <c r="F358" i="9"/>
  <c r="F357" i="9"/>
  <c r="CQ83" i="1"/>
  <c r="CQ23" i="1"/>
  <c r="CU83" i="1" l="1"/>
  <c r="CU33" i="1"/>
  <c r="CV33" i="1" s="1"/>
  <c r="CU23" i="1"/>
  <c r="CV23" i="1"/>
  <c r="CQ19" i="1" l="1"/>
  <c r="DD100" i="1" l="1"/>
  <c r="AA34" i="61" l="1"/>
  <c r="Y29" i="5" l="1"/>
  <c r="I637" i="9"/>
  <c r="D637" i="9"/>
  <c r="I530" i="9"/>
  <c r="D530" i="9"/>
  <c r="T353" i="9"/>
  <c r="I353" i="9"/>
  <c r="D353" i="9"/>
  <c r="F353" i="9"/>
  <c r="CY110" i="1"/>
  <c r="AR161" i="30"/>
  <c r="P161" i="30"/>
  <c r="W637" i="9"/>
  <c r="CW14" i="1" l="1"/>
  <c r="AP161" i="30"/>
  <c r="AL161" i="30"/>
  <c r="CY120" i="1" l="1"/>
  <c r="AL21" i="61" l="1"/>
  <c r="D62" i="62" l="1"/>
  <c r="C62" i="62"/>
  <c r="D61" i="62"/>
  <c r="C61" i="62"/>
  <c r="D60" i="62"/>
  <c r="C60" i="62"/>
  <c r="D57" i="62"/>
  <c r="C57" i="62"/>
  <c r="D56" i="62"/>
  <c r="C56" i="62"/>
  <c r="D55" i="62"/>
  <c r="C55" i="62"/>
  <c r="D54" i="62"/>
  <c r="C54" i="62"/>
  <c r="D50" i="62"/>
  <c r="C50" i="62"/>
  <c r="C51" i="62" s="1"/>
  <c r="D49" i="62"/>
  <c r="D51" i="62" s="1"/>
  <c r="C49" i="62"/>
  <c r="D33" i="62"/>
  <c r="F33" i="62" s="1"/>
  <c r="C33" i="62"/>
  <c r="C32" i="62"/>
  <c r="V29" i="62"/>
  <c r="F24" i="62"/>
  <c r="F20" i="62"/>
  <c r="C21" i="62" l="1"/>
  <c r="F18" i="62"/>
  <c r="F21" i="62" l="1"/>
  <c r="F14" i="62"/>
  <c r="F16" i="62" l="1"/>
  <c r="F28" i="62" s="1"/>
  <c r="C13" i="62"/>
  <c r="F11" i="62"/>
  <c r="F13" i="62" l="1"/>
  <c r="F4" i="62"/>
  <c r="F29" i="62" l="1"/>
  <c r="F27" i="62"/>
  <c r="F6" i="62"/>
  <c r="F8" i="62" s="1"/>
  <c r="F26" i="62"/>
  <c r="C4" i="62"/>
  <c r="F32" i="62" s="1"/>
  <c r="H3" i="62"/>
  <c r="E3" i="62"/>
  <c r="I3" i="62" s="1"/>
  <c r="O149" i="71"/>
  <c r="P149" i="71" s="1"/>
  <c r="Q149" i="71" s="1"/>
  <c r="R149" i="71" s="1"/>
  <c r="S149" i="71" s="1"/>
  <c r="T149" i="71" s="1"/>
  <c r="U149" i="71" s="1"/>
  <c r="V149" i="71" s="1"/>
  <c r="W149" i="71" s="1"/>
  <c r="N149" i="71"/>
  <c r="M149" i="71"/>
  <c r="L149" i="71"/>
  <c r="K149" i="71"/>
  <c r="J149" i="71"/>
  <c r="I149" i="71"/>
  <c r="H149" i="71"/>
  <c r="C131" i="71"/>
  <c r="B131" i="71"/>
  <c r="B132" i="71" s="1"/>
  <c r="C130" i="71"/>
  <c r="C129" i="71"/>
  <c r="C128" i="71"/>
  <c r="C127" i="71"/>
  <c r="C126" i="71"/>
  <c r="C125" i="71"/>
  <c r="C124" i="71"/>
  <c r="C123" i="71"/>
  <c r="C122" i="71"/>
  <c r="C121" i="71"/>
  <c r="C120" i="71"/>
  <c r="C119" i="71"/>
  <c r="C118" i="71"/>
  <c r="C117" i="71"/>
  <c r="C116" i="71"/>
  <c r="C115" i="71"/>
  <c r="C114" i="71"/>
  <c r="C113" i="71"/>
  <c r="P116" i="71"/>
  <c r="O116" i="71"/>
  <c r="N116" i="71"/>
  <c r="M116" i="71"/>
  <c r="L116" i="71"/>
  <c r="K116" i="71"/>
  <c r="J116" i="71"/>
  <c r="P115" i="71"/>
  <c r="O115" i="71"/>
  <c r="N115" i="71"/>
  <c r="M115" i="71"/>
  <c r="L115" i="71"/>
  <c r="K115" i="71"/>
  <c r="J115" i="71"/>
  <c r="P114" i="71"/>
  <c r="O114" i="71"/>
  <c r="N114" i="71"/>
  <c r="M114" i="71"/>
  <c r="L114" i="71"/>
  <c r="K114" i="71"/>
  <c r="J114" i="71"/>
  <c r="P113" i="71"/>
  <c r="O113" i="71"/>
  <c r="N113" i="71"/>
  <c r="M113" i="71"/>
  <c r="L113" i="71"/>
  <c r="K113" i="71"/>
  <c r="J113" i="71"/>
  <c r="P112" i="71"/>
  <c r="O112" i="71"/>
  <c r="N112" i="71"/>
  <c r="M112" i="71"/>
  <c r="L112" i="71"/>
  <c r="K112" i="71"/>
  <c r="J112" i="71"/>
  <c r="P82" i="71"/>
  <c r="Q82" i="71" s="1"/>
  <c r="R82" i="71" s="1"/>
  <c r="O82" i="71"/>
  <c r="N82" i="71"/>
  <c r="M82" i="71"/>
  <c r="M83" i="71" s="1"/>
  <c r="L82" i="71"/>
  <c r="M117" i="71" s="1"/>
  <c r="K82" i="71"/>
  <c r="J82" i="71"/>
  <c r="I82" i="71"/>
  <c r="F3" i="62" l="1"/>
  <c r="J3" i="62" s="1"/>
  <c r="F25" i="62"/>
  <c r="K117" i="71"/>
  <c r="S82" i="71"/>
  <c r="M84" i="71"/>
  <c r="N83" i="71"/>
  <c r="J117" i="71"/>
  <c r="N117" i="71"/>
  <c r="I83" i="71"/>
  <c r="J83" i="71"/>
  <c r="N118" i="71"/>
  <c r="O117" i="71"/>
  <c r="O83" i="71"/>
  <c r="O84" i="71" s="1"/>
  <c r="L83" i="71"/>
  <c r="L84" i="71" s="1"/>
  <c r="L85" i="71" s="1"/>
  <c r="P83" i="71"/>
  <c r="P84" i="71" s="1"/>
  <c r="P117" i="71"/>
  <c r="L117" i="71"/>
  <c r="K83" i="71"/>
  <c r="K84" i="71" s="1"/>
  <c r="K85" i="71" s="1"/>
  <c r="C133" i="71"/>
  <c r="B133" i="71"/>
  <c r="C132" i="71"/>
  <c r="Q81" i="71"/>
  <c r="R81" i="71" s="1"/>
  <c r="Q80" i="71"/>
  <c r="Q79" i="71"/>
  <c r="R79" i="71" s="1"/>
  <c r="Q78" i="71"/>
  <c r="R77" i="71"/>
  <c r="Q77" i="71"/>
  <c r="Q76" i="71"/>
  <c r="R76" i="71" s="1"/>
  <c r="P72" i="71"/>
  <c r="O72" i="71"/>
  <c r="N72" i="71"/>
  <c r="M72" i="71"/>
  <c r="L72" i="71"/>
  <c r="K72" i="71"/>
  <c r="J72" i="71"/>
  <c r="I72" i="71"/>
  <c r="H72" i="71"/>
  <c r="F9" i="62" l="1"/>
  <c r="S76" i="71"/>
  <c r="S79" i="71"/>
  <c r="L86" i="71"/>
  <c r="L87" i="71" s="1"/>
  <c r="Q84" i="71"/>
  <c r="N119" i="71"/>
  <c r="O118" i="71"/>
  <c r="P119" i="71"/>
  <c r="Q83" i="71"/>
  <c r="O85" i="71"/>
  <c r="R78" i="71"/>
  <c r="B134" i="71"/>
  <c r="C134" i="71"/>
  <c r="L118" i="71"/>
  <c r="L119" i="71"/>
  <c r="I84" i="71"/>
  <c r="M118" i="71"/>
  <c r="N84" i="71"/>
  <c r="O119" i="71" s="1"/>
  <c r="M85" i="71"/>
  <c r="S77" i="71"/>
  <c r="K118" i="71"/>
  <c r="L120" i="71"/>
  <c r="K86" i="71"/>
  <c r="K87" i="71" s="1"/>
  <c r="P118" i="71"/>
  <c r="M119" i="71"/>
  <c r="J84" i="71"/>
  <c r="J118" i="71"/>
  <c r="J119" i="71"/>
  <c r="M120" i="71"/>
  <c r="R80" i="71"/>
  <c r="S81" i="71"/>
  <c r="P85" i="71"/>
  <c r="T82" i="71"/>
  <c r="P66" i="71"/>
  <c r="O66" i="71"/>
  <c r="N66" i="71"/>
  <c r="M66" i="71"/>
  <c r="L66" i="71"/>
  <c r="K66" i="71"/>
  <c r="J66" i="71"/>
  <c r="I66" i="71"/>
  <c r="P63" i="71"/>
  <c r="Q63" i="71" s="1"/>
  <c r="R63" i="71" s="1"/>
  <c r="S63" i="71" s="1"/>
  <c r="T63" i="71" s="1"/>
  <c r="U63" i="71" s="1"/>
  <c r="V63" i="71" s="1"/>
  <c r="W63" i="71" s="1"/>
  <c r="O63" i="71"/>
  <c r="N63" i="71"/>
  <c r="M63" i="71"/>
  <c r="L63" i="71"/>
  <c r="K63" i="71"/>
  <c r="J63" i="71"/>
  <c r="I63" i="71"/>
  <c r="M121" i="71" l="1"/>
  <c r="N64" i="71"/>
  <c r="N67" i="71"/>
  <c r="M86" i="71"/>
  <c r="L88" i="71"/>
  <c r="L89" i="71" s="1"/>
  <c r="L64" i="71"/>
  <c r="K64" i="71"/>
  <c r="O64" i="71"/>
  <c r="J64" i="71"/>
  <c r="L67" i="71"/>
  <c r="P67" i="71"/>
  <c r="M67" i="71"/>
  <c r="J67" i="71"/>
  <c r="K67" i="71"/>
  <c r="O67" i="71"/>
  <c r="M64" i="71"/>
  <c r="P121" i="71"/>
  <c r="Q85" i="71"/>
  <c r="S80" i="71"/>
  <c r="K88" i="71"/>
  <c r="L123" i="71" s="1"/>
  <c r="P64" i="71"/>
  <c r="U82" i="71"/>
  <c r="N85" i="71"/>
  <c r="I85" i="71"/>
  <c r="J120" i="71" s="1"/>
  <c r="J85" i="71"/>
  <c r="J86" i="71" s="1"/>
  <c r="J87" i="71" s="1"/>
  <c r="O86" i="71"/>
  <c r="S78" i="71"/>
  <c r="L121" i="71"/>
  <c r="T79" i="71"/>
  <c r="T81" i="71"/>
  <c r="K119" i="71"/>
  <c r="R84" i="71"/>
  <c r="P86" i="71"/>
  <c r="P87" i="71" s="1"/>
  <c r="T77" i="71"/>
  <c r="C135" i="71"/>
  <c r="B135" i="71"/>
  <c r="O87" i="71"/>
  <c r="P120" i="71"/>
  <c r="T76" i="71"/>
  <c r="N120" i="71"/>
  <c r="R83" i="71"/>
  <c r="L122" i="71"/>
  <c r="P48" i="71"/>
  <c r="O48" i="71"/>
  <c r="N48" i="71"/>
  <c r="M48" i="71"/>
  <c r="L48" i="71"/>
  <c r="K48" i="71"/>
  <c r="J48" i="71"/>
  <c r="I48" i="71"/>
  <c r="Q47" i="71"/>
  <c r="R47" i="71" s="1"/>
  <c r="S47" i="71" s="1"/>
  <c r="T47" i="71" s="1"/>
  <c r="U47" i="71" s="1"/>
  <c r="V47" i="71" s="1"/>
  <c r="W47" i="71" s="1"/>
  <c r="Q45" i="71"/>
  <c r="R45" i="71" s="1"/>
  <c r="Q7" i="71"/>
  <c r="R7" i="71" s="1"/>
  <c r="S7" i="71" s="1"/>
  <c r="T7" i="71" s="1"/>
  <c r="U7" i="71" s="1"/>
  <c r="V7" i="71" s="1"/>
  <c r="W7" i="71" s="1"/>
  <c r="O7" i="71"/>
  <c r="N7" i="71"/>
  <c r="M7" i="71"/>
  <c r="M5" i="71" s="1"/>
  <c r="L7" i="71"/>
  <c r="K7" i="71" s="1"/>
  <c r="J7" i="71" s="1"/>
  <c r="P5" i="71"/>
  <c r="O5" i="71"/>
  <c r="N5" i="71"/>
  <c r="L5" i="71"/>
  <c r="O190" i="71"/>
  <c r="I4" i="71"/>
  <c r="P190" i="71"/>
  <c r="L190" i="71"/>
  <c r="H194" i="71"/>
  <c r="N190" i="71"/>
  <c r="M190" i="71"/>
  <c r="H78" i="71"/>
  <c r="H79" i="71"/>
  <c r="G56" i="71"/>
  <c r="H80" i="71"/>
  <c r="H68" i="71"/>
  <c r="H77" i="71"/>
  <c r="H81" i="71"/>
  <c r="H76" i="71"/>
  <c r="H195" i="71"/>
  <c r="K89" i="71" l="1"/>
  <c r="K90" i="71" s="1"/>
  <c r="M122" i="71"/>
  <c r="M87" i="71"/>
  <c r="I116" i="71"/>
  <c r="H117" i="71"/>
  <c r="I115" i="71"/>
  <c r="H116" i="71"/>
  <c r="I114" i="71"/>
  <c r="H115" i="71"/>
  <c r="I113" i="71"/>
  <c r="H114" i="71"/>
  <c r="I112" i="71"/>
  <c r="H113" i="71"/>
  <c r="H112" i="71"/>
  <c r="H63" i="71"/>
  <c r="I64" i="71" s="1"/>
  <c r="H82" i="71"/>
  <c r="H66" i="71"/>
  <c r="I67" i="71" s="1"/>
  <c r="T9" i="71"/>
  <c r="P9" i="71"/>
  <c r="L9" i="71"/>
  <c r="W9" i="71"/>
  <c r="R9" i="71"/>
  <c r="V9" i="71"/>
  <c r="K9" i="71"/>
  <c r="U9" i="71"/>
  <c r="O9" i="71"/>
  <c r="J9" i="71"/>
  <c r="S9" i="71"/>
  <c r="N9" i="71"/>
  <c r="I9" i="71"/>
  <c r="M9" i="71"/>
  <c r="Q9" i="71"/>
  <c r="I7" i="71"/>
  <c r="J5" i="71"/>
  <c r="K5" i="71"/>
  <c r="R112" i="71"/>
  <c r="R117" i="71"/>
  <c r="R115" i="71"/>
  <c r="R113" i="71"/>
  <c r="R116" i="71"/>
  <c r="R114" i="71"/>
  <c r="R118" i="71"/>
  <c r="S45" i="71"/>
  <c r="S114" i="71" s="1"/>
  <c r="P88" i="71"/>
  <c r="L90" i="71"/>
  <c r="O88" i="71"/>
  <c r="K120" i="71"/>
  <c r="V82" i="71"/>
  <c r="U76" i="71"/>
  <c r="B136" i="71"/>
  <c r="C136" i="71"/>
  <c r="U81" i="71"/>
  <c r="T78" i="71"/>
  <c r="I86" i="71"/>
  <c r="I87" i="71" s="1"/>
  <c r="J88" i="71"/>
  <c r="J89" i="71" s="1"/>
  <c r="Q121" i="71"/>
  <c r="R85" i="71"/>
  <c r="R119" i="71"/>
  <c r="S83" i="71"/>
  <c r="U77" i="71"/>
  <c r="R120" i="71"/>
  <c r="S84" i="71"/>
  <c r="U79" i="71"/>
  <c r="T80" i="71"/>
  <c r="Q117" i="71"/>
  <c r="Q112" i="71"/>
  <c r="Q115" i="71"/>
  <c r="Q114" i="71"/>
  <c r="Q113" i="71"/>
  <c r="Q118" i="71"/>
  <c r="Q116" i="71"/>
  <c r="Q119" i="71"/>
  <c r="K122" i="71"/>
  <c r="Q87" i="71"/>
  <c r="P122" i="71"/>
  <c r="Q86" i="71"/>
  <c r="Q120" i="71"/>
  <c r="K121" i="71"/>
  <c r="P89" i="71"/>
  <c r="P90" i="71" s="1"/>
  <c r="N121" i="71"/>
  <c r="O120" i="71"/>
  <c r="N86" i="71"/>
  <c r="L124" i="71"/>
  <c r="H4" i="71"/>
  <c r="H196" i="71"/>
  <c r="C4" i="71"/>
  <c r="J190" i="71"/>
  <c r="K190" i="71"/>
  <c r="S118" i="71" l="1"/>
  <c r="S116" i="71"/>
  <c r="M88" i="71"/>
  <c r="M89" i="71" s="1"/>
  <c r="M125" i="71" s="1"/>
  <c r="M123" i="71"/>
  <c r="U80" i="71"/>
  <c r="S119" i="71"/>
  <c r="T83" i="71"/>
  <c r="K91" i="71"/>
  <c r="K92" i="71" s="1"/>
  <c r="K93" i="71" s="1"/>
  <c r="Q122" i="71"/>
  <c r="R86" i="71"/>
  <c r="R121" i="71"/>
  <c r="S85" i="71"/>
  <c r="I5" i="71"/>
  <c r="H7" i="71"/>
  <c r="N187" i="71"/>
  <c r="N74" i="71"/>
  <c r="N110" i="71" s="1"/>
  <c r="N147" i="71" s="1"/>
  <c r="N8" i="71"/>
  <c r="U74" i="71"/>
  <c r="U110" i="71" s="1"/>
  <c r="U147" i="71" s="1"/>
  <c r="U8" i="71"/>
  <c r="W74" i="71"/>
  <c r="W110" i="71" s="1"/>
  <c r="W147" i="71" s="1"/>
  <c r="W8" i="71"/>
  <c r="T74" i="71"/>
  <c r="T110" i="71" s="1"/>
  <c r="T147" i="71" s="1"/>
  <c r="T8" i="71"/>
  <c r="Q90" i="71"/>
  <c r="V81" i="71"/>
  <c r="I187" i="71"/>
  <c r="I74" i="71"/>
  <c r="I110" i="71" s="1"/>
  <c r="I147" i="71" s="1"/>
  <c r="I8" i="71"/>
  <c r="R74" i="71"/>
  <c r="R110" i="71" s="1"/>
  <c r="R147" i="71" s="1"/>
  <c r="R8" i="71"/>
  <c r="J90" i="71"/>
  <c r="S120" i="71"/>
  <c r="T84" i="71"/>
  <c r="I88" i="71"/>
  <c r="U78" i="71"/>
  <c r="V76" i="71"/>
  <c r="K124" i="71"/>
  <c r="L91" i="71"/>
  <c r="Q89" i="71"/>
  <c r="Q123" i="71"/>
  <c r="R87" i="71"/>
  <c r="V79" i="71"/>
  <c r="K123" i="71"/>
  <c r="L125" i="71"/>
  <c r="J121" i="71"/>
  <c r="S115" i="71"/>
  <c r="S113" i="71"/>
  <c r="S117" i="71"/>
  <c r="S112" i="71"/>
  <c r="T45" i="71"/>
  <c r="T114" i="71" s="1"/>
  <c r="Q74" i="71"/>
  <c r="Q110" i="71" s="1"/>
  <c r="Q147" i="71" s="1"/>
  <c r="Q8" i="71"/>
  <c r="S74" i="71"/>
  <c r="S110" i="71" s="1"/>
  <c r="S147" i="71" s="1"/>
  <c r="S8" i="71"/>
  <c r="K187" i="71"/>
  <c r="K74" i="71"/>
  <c r="K110" i="71" s="1"/>
  <c r="K147" i="71" s="1"/>
  <c r="K8" i="71"/>
  <c r="C137" i="71"/>
  <c r="B137" i="71"/>
  <c r="O89" i="71"/>
  <c r="P124" i="71" s="1"/>
  <c r="O187" i="71"/>
  <c r="O74" i="71"/>
  <c r="O110" i="71" s="1"/>
  <c r="O147" i="71" s="1"/>
  <c r="O8" i="71"/>
  <c r="P187" i="71"/>
  <c r="P74" i="71"/>
  <c r="P110" i="71" s="1"/>
  <c r="P147" i="71" s="1"/>
  <c r="P8" i="71"/>
  <c r="V77" i="71"/>
  <c r="N122" i="71"/>
  <c r="O121" i="71"/>
  <c r="N87" i="71"/>
  <c r="J122" i="71"/>
  <c r="P123" i="71"/>
  <c r="P91" i="71"/>
  <c r="W82" i="71"/>
  <c r="Q88" i="71"/>
  <c r="M187" i="71"/>
  <c r="M74" i="71"/>
  <c r="M110" i="71" s="1"/>
  <c r="M147" i="71" s="1"/>
  <c r="M8" i="71"/>
  <c r="J187" i="71"/>
  <c r="J74" i="71"/>
  <c r="J110" i="71" s="1"/>
  <c r="J147" i="71" s="1"/>
  <c r="J8" i="71"/>
  <c r="V74" i="71"/>
  <c r="V110" i="71" s="1"/>
  <c r="V147" i="71" s="1"/>
  <c r="V8" i="71"/>
  <c r="L187" i="71"/>
  <c r="L74" i="71"/>
  <c r="L110" i="71" s="1"/>
  <c r="L147" i="71" s="1"/>
  <c r="L8" i="71"/>
  <c r="I117" i="71"/>
  <c r="H118" i="71"/>
  <c r="H83" i="71"/>
  <c r="I191" i="71"/>
  <c r="I190" i="71"/>
  <c r="L126" i="71" l="1"/>
  <c r="M90" i="71"/>
  <c r="M126" i="71" s="1"/>
  <c r="M91" i="71"/>
  <c r="M92" i="71" s="1"/>
  <c r="M124" i="71"/>
  <c r="K94" i="71"/>
  <c r="H84" i="71"/>
  <c r="H85" i="71" s="1"/>
  <c r="Q124" i="71"/>
  <c r="R88" i="71"/>
  <c r="B138" i="71"/>
  <c r="C138" i="71"/>
  <c r="Q125" i="71"/>
  <c r="R89" i="71"/>
  <c r="L127" i="71"/>
  <c r="L92" i="71"/>
  <c r="L93" i="71" s="1"/>
  <c r="L129" i="71" s="1"/>
  <c r="V78" i="71"/>
  <c r="K125" i="71"/>
  <c r="J91" i="71"/>
  <c r="W81" i="71"/>
  <c r="O90" i="71"/>
  <c r="O91" i="71" s="1"/>
  <c r="T119" i="71"/>
  <c r="U83" i="71"/>
  <c r="T116" i="71"/>
  <c r="Q91" i="71"/>
  <c r="N88" i="71"/>
  <c r="N89" i="71" s="1"/>
  <c r="R123" i="71"/>
  <c r="S87" i="71"/>
  <c r="H5" i="71"/>
  <c r="H9" i="71"/>
  <c r="S121" i="71"/>
  <c r="T85" i="71"/>
  <c r="H119" i="71"/>
  <c r="I118" i="71"/>
  <c r="N123" i="71"/>
  <c r="O122" i="71"/>
  <c r="W77" i="71"/>
  <c r="U45" i="71"/>
  <c r="U118" i="71" s="1"/>
  <c r="T115" i="71"/>
  <c r="T112" i="71"/>
  <c r="T113" i="71"/>
  <c r="T117" i="71"/>
  <c r="W79" i="71"/>
  <c r="W76" i="71"/>
  <c r="T120" i="71"/>
  <c r="U84" i="71"/>
  <c r="P92" i="71"/>
  <c r="T118" i="71"/>
  <c r="J123" i="71"/>
  <c r="I89" i="71"/>
  <c r="I90" i="71" s="1"/>
  <c r="Q126" i="71"/>
  <c r="R90" i="71"/>
  <c r="R122" i="71"/>
  <c r="S86" i="71"/>
  <c r="K95" i="71"/>
  <c r="V80" i="71"/>
  <c r="H190" i="71"/>
  <c r="U116" i="71" l="1"/>
  <c r="M93" i="71"/>
  <c r="M94" i="71" s="1"/>
  <c r="M95" i="71" s="1"/>
  <c r="I91" i="71"/>
  <c r="J125" i="71"/>
  <c r="P126" i="71"/>
  <c r="O92" i="71"/>
  <c r="S122" i="71"/>
  <c r="T86" i="71"/>
  <c r="R126" i="71"/>
  <c r="S90" i="71"/>
  <c r="V45" i="71"/>
  <c r="U112" i="71"/>
  <c r="U115" i="71"/>
  <c r="U113" i="71"/>
  <c r="U117" i="71"/>
  <c r="N125" i="71"/>
  <c r="O124" i="71"/>
  <c r="H187" i="71"/>
  <c r="H74" i="71"/>
  <c r="H110" i="71" s="1"/>
  <c r="H147" i="71" s="1"/>
  <c r="C155" i="71" s="1" a="1"/>
  <c r="H8" i="71"/>
  <c r="N124" i="71"/>
  <c r="O123" i="71"/>
  <c r="H86" i="71"/>
  <c r="U119" i="71"/>
  <c r="V83" i="71"/>
  <c r="V118" i="71"/>
  <c r="V114" i="71"/>
  <c r="W78" i="71"/>
  <c r="N90" i="71"/>
  <c r="H120" i="71"/>
  <c r="I119" i="71"/>
  <c r="T121" i="71"/>
  <c r="U85" i="71"/>
  <c r="S123" i="71"/>
  <c r="T87" i="71"/>
  <c r="Q127" i="71"/>
  <c r="R91" i="71"/>
  <c r="J92" i="71"/>
  <c r="K126" i="71"/>
  <c r="U114" i="71"/>
  <c r="L128" i="71"/>
  <c r="M127" i="71"/>
  <c r="L94" i="71"/>
  <c r="M129" i="71" s="1"/>
  <c r="K96" i="71"/>
  <c r="J124" i="71"/>
  <c r="U120" i="71"/>
  <c r="V84" i="71"/>
  <c r="P125" i="71"/>
  <c r="R124" i="71"/>
  <c r="S88" i="71"/>
  <c r="H121" i="71"/>
  <c r="I120" i="71"/>
  <c r="V116" i="71"/>
  <c r="W80" i="71"/>
  <c r="Q92" i="71"/>
  <c r="P93" i="71"/>
  <c r="M128" i="71"/>
  <c r="R125" i="71"/>
  <c r="S89" i="71"/>
  <c r="C139" i="71"/>
  <c r="B139" i="71"/>
  <c r="S125" i="71" l="1"/>
  <c r="T89" i="71"/>
  <c r="Q93" i="71"/>
  <c r="P94" i="71"/>
  <c r="R127" i="71"/>
  <c r="S91" i="71"/>
  <c r="U121" i="71"/>
  <c r="V85" i="71"/>
  <c r="H122" i="71"/>
  <c r="I121" i="71"/>
  <c r="H87" i="71"/>
  <c r="Q128" i="71"/>
  <c r="R92" i="71"/>
  <c r="M96" i="71"/>
  <c r="J93" i="71"/>
  <c r="K127" i="71"/>
  <c r="N126" i="71"/>
  <c r="O125" i="71"/>
  <c r="N91" i="71"/>
  <c r="F5" i="71"/>
  <c r="H30" i="71" s="1"/>
  <c r="S126" i="71"/>
  <c r="T90" i="71"/>
  <c r="O93" i="71"/>
  <c r="P127" i="71"/>
  <c r="I92" i="71"/>
  <c r="J126" i="71"/>
  <c r="B140" i="71"/>
  <c r="C140" i="71"/>
  <c r="S124" i="71"/>
  <c r="T88" i="71"/>
  <c r="K97" i="71"/>
  <c r="T123" i="71"/>
  <c r="U87" i="71"/>
  <c r="V119" i="71"/>
  <c r="W83" i="71"/>
  <c r="C167" i="71"/>
  <c r="C163" i="71"/>
  <c r="C159" i="71"/>
  <c r="C155" i="71"/>
  <c r="C166" i="71"/>
  <c r="C162" i="71"/>
  <c r="C158" i="71"/>
  <c r="C169" i="71"/>
  <c r="C165" i="71"/>
  <c r="C161" i="71"/>
  <c r="C157" i="71"/>
  <c r="C168" i="71"/>
  <c r="C164" i="71"/>
  <c r="C160" i="71"/>
  <c r="C156" i="71"/>
  <c r="W116" i="71"/>
  <c r="V120" i="71"/>
  <c r="W84" i="71"/>
  <c r="L130" i="71"/>
  <c r="L95" i="71"/>
  <c r="W45" i="71"/>
  <c r="W114" i="71" s="1"/>
  <c r="V113" i="71"/>
  <c r="V112" i="71"/>
  <c r="V115" i="71"/>
  <c r="V117" i="71"/>
  <c r="T122" i="71"/>
  <c r="U86" i="71"/>
  <c r="W118" i="71" l="1"/>
  <c r="T126" i="71"/>
  <c r="U90" i="71"/>
  <c r="S127" i="71"/>
  <c r="T91" i="71"/>
  <c r="W112" i="71"/>
  <c r="W113" i="71"/>
  <c r="W117" i="71"/>
  <c r="W115" i="71"/>
  <c r="W120" i="71"/>
  <c r="U123" i="71"/>
  <c r="V87" i="71"/>
  <c r="C141" i="71"/>
  <c r="B141" i="71"/>
  <c r="J94" i="71"/>
  <c r="K128" i="71"/>
  <c r="R128" i="71"/>
  <c r="S92" i="71"/>
  <c r="T125" i="71"/>
  <c r="U89" i="71"/>
  <c r="W119" i="71"/>
  <c r="T124" i="71"/>
  <c r="U88" i="71"/>
  <c r="O94" i="71"/>
  <c r="P128" i="71"/>
  <c r="H35" i="71"/>
  <c r="L11" i="71"/>
  <c r="P11" i="71"/>
  <c r="K11" i="71"/>
  <c r="W11" i="71"/>
  <c r="V11" i="71"/>
  <c r="N11" i="71"/>
  <c r="J11" i="71"/>
  <c r="Q11" i="71"/>
  <c r="O11" i="71"/>
  <c r="T11" i="71"/>
  <c r="U11" i="71"/>
  <c r="S11" i="71"/>
  <c r="I11" i="71"/>
  <c r="R11" i="71"/>
  <c r="M11" i="71"/>
  <c r="V121" i="71"/>
  <c r="W85" i="71"/>
  <c r="Q94" i="71"/>
  <c r="P95" i="71"/>
  <c r="U122" i="71"/>
  <c r="V86" i="71"/>
  <c r="L131" i="71"/>
  <c r="L96" i="71"/>
  <c r="M130" i="71"/>
  <c r="K98" i="71"/>
  <c r="I93" i="71"/>
  <c r="J127" i="71"/>
  <c r="N127" i="71"/>
  <c r="N92" i="71"/>
  <c r="O126" i="71"/>
  <c r="M97" i="71"/>
  <c r="H123" i="71"/>
  <c r="I122" i="71"/>
  <c r="H88" i="71"/>
  <c r="H89" i="71" s="1"/>
  <c r="Q129" i="71"/>
  <c r="R93" i="71"/>
  <c r="D636" i="9"/>
  <c r="D529" i="9"/>
  <c r="D352" i="9"/>
  <c r="R129" i="71" l="1"/>
  <c r="S93" i="71"/>
  <c r="H90" i="71"/>
  <c r="H91" i="71" s="1"/>
  <c r="N128" i="71"/>
  <c r="O127" i="71"/>
  <c r="N93" i="71"/>
  <c r="I94" i="71"/>
  <c r="J128" i="71"/>
  <c r="Q130" i="71"/>
  <c r="R94" i="71"/>
  <c r="R31" i="71"/>
  <c r="U31" i="71"/>
  <c r="K31" i="71"/>
  <c r="L31" i="71"/>
  <c r="O95" i="71"/>
  <c r="P129" i="71"/>
  <c r="T127" i="71"/>
  <c r="U91" i="71"/>
  <c r="U126" i="71"/>
  <c r="V90" i="71"/>
  <c r="H125" i="71"/>
  <c r="I124" i="71"/>
  <c r="H124" i="71"/>
  <c r="I123" i="71"/>
  <c r="M98" i="71"/>
  <c r="V122" i="71"/>
  <c r="W86" i="71"/>
  <c r="W122" i="71" s="1"/>
  <c r="I31" i="71"/>
  <c r="O31" i="71"/>
  <c r="K129" i="71"/>
  <c r="J95" i="71"/>
  <c r="V123" i="71"/>
  <c r="W87" i="71"/>
  <c r="K99" i="71"/>
  <c r="L132" i="71"/>
  <c r="L97" i="71"/>
  <c r="M131" i="71"/>
  <c r="W121" i="71"/>
  <c r="M31" i="71"/>
  <c r="T31" i="71"/>
  <c r="N31" i="71"/>
  <c r="W31" i="71"/>
  <c r="P31" i="71"/>
  <c r="S128" i="71"/>
  <c r="T92" i="71"/>
  <c r="Q95" i="71"/>
  <c r="P96" i="71"/>
  <c r="S31" i="71"/>
  <c r="Q31" i="71"/>
  <c r="J31" i="71"/>
  <c r="V31" i="71"/>
  <c r="U124" i="71"/>
  <c r="V88" i="71"/>
  <c r="U125" i="71"/>
  <c r="V89" i="71"/>
  <c r="V125" i="71" l="1"/>
  <c r="W89" i="71"/>
  <c r="W125" i="71" s="1"/>
  <c r="T128" i="71"/>
  <c r="U92" i="71"/>
  <c r="V126" i="71"/>
  <c r="W90" i="71"/>
  <c r="V124" i="71"/>
  <c r="W88" i="71"/>
  <c r="W124" i="71" s="1"/>
  <c r="W123" i="71"/>
  <c r="M99" i="71"/>
  <c r="O96" i="71"/>
  <c r="P130" i="71"/>
  <c r="S129" i="71"/>
  <c r="T93" i="71"/>
  <c r="L133" i="71"/>
  <c r="L98" i="71"/>
  <c r="M132" i="71"/>
  <c r="U127" i="71"/>
  <c r="V91" i="71"/>
  <c r="I95" i="71"/>
  <c r="J129" i="71"/>
  <c r="Q96" i="71"/>
  <c r="P97" i="71"/>
  <c r="H127" i="71"/>
  <c r="I126" i="71"/>
  <c r="R130" i="71"/>
  <c r="S94" i="71"/>
  <c r="H92" i="71"/>
  <c r="J96" i="71"/>
  <c r="K130" i="71"/>
  <c r="Q131" i="71"/>
  <c r="R95" i="71"/>
  <c r="Q68" i="71"/>
  <c r="Q66" i="71" s="1"/>
  <c r="Q67" i="71" s="1"/>
  <c r="K100" i="71"/>
  <c r="N129" i="71"/>
  <c r="N94" i="71"/>
  <c r="O128" i="71"/>
  <c r="H126" i="71"/>
  <c r="I125" i="71"/>
  <c r="CV32" i="1"/>
  <c r="CQ12" i="11"/>
  <c r="T173" i="30"/>
  <c r="AP160" i="30"/>
  <c r="AL160" i="30"/>
  <c r="W636" i="9"/>
  <c r="CV82" i="1"/>
  <c r="CV22" i="1"/>
  <c r="H128" i="71" l="1"/>
  <c r="I127" i="71"/>
  <c r="H93" i="71"/>
  <c r="N130" i="71"/>
  <c r="N95" i="71"/>
  <c r="O129" i="71"/>
  <c r="S130" i="71"/>
  <c r="T94" i="71"/>
  <c r="Q97" i="71"/>
  <c r="P98" i="71"/>
  <c r="I96" i="71"/>
  <c r="J130" i="71"/>
  <c r="T129" i="71"/>
  <c r="U93" i="71"/>
  <c r="J97" i="71"/>
  <c r="K131" i="71"/>
  <c r="Q132" i="71"/>
  <c r="R96" i="71"/>
  <c r="M100" i="71"/>
  <c r="U128" i="71"/>
  <c r="V92" i="71"/>
  <c r="R131" i="71"/>
  <c r="S95" i="71"/>
  <c r="S68" i="71" s="1"/>
  <c r="S66" i="71" s="1"/>
  <c r="R68" i="71"/>
  <c r="R66" i="71" s="1"/>
  <c r="R67" i="71" s="1"/>
  <c r="L134" i="71"/>
  <c r="L99" i="71"/>
  <c r="M133" i="71"/>
  <c r="W126" i="71"/>
  <c r="K101" i="71"/>
  <c r="V127" i="71"/>
  <c r="W91" i="71"/>
  <c r="O97" i="71"/>
  <c r="P131" i="71"/>
  <c r="U83" i="61"/>
  <c r="U124" i="61" s="1"/>
  <c r="U172" i="61"/>
  <c r="U171" i="61"/>
  <c r="U169" i="61" s="1"/>
  <c r="U170" i="61"/>
  <c r="U125" i="61"/>
  <c r="U42" i="61"/>
  <c r="U36" i="61"/>
  <c r="CJ71" i="20" a="1"/>
  <c r="CL71" i="20" s="1"/>
  <c r="CJ70" i="20" a="1"/>
  <c r="CM70" i="20" s="1"/>
  <c r="CJ69" i="20" a="1"/>
  <c r="CM69" i="20" s="1"/>
  <c r="CC84" i="20"/>
  <c r="DO85" i="20"/>
  <c r="DO84" i="20"/>
  <c r="DO79" i="20"/>
  <c r="DO72" i="20"/>
  <c r="DO68" i="20"/>
  <c r="DO14" i="20"/>
  <c r="DO6" i="20"/>
  <c r="CM97" i="20"/>
  <c r="CL97" i="20"/>
  <c r="CK97" i="20"/>
  <c r="CJ97" i="20"/>
  <c r="CM96" i="20"/>
  <c r="CL96" i="20"/>
  <c r="CK96" i="20"/>
  <c r="CJ96" i="20"/>
  <c r="CM95" i="20"/>
  <c r="CL95" i="20"/>
  <c r="CK95" i="20"/>
  <c r="CJ95" i="20"/>
  <c r="CM46" i="20"/>
  <c r="CL46" i="20"/>
  <c r="CK46" i="20"/>
  <c r="CJ46" i="20"/>
  <c r="CM45" i="20"/>
  <c r="CL45" i="20"/>
  <c r="CK45" i="20"/>
  <c r="CJ45" i="20"/>
  <c r="CM43" i="20"/>
  <c r="CL43" i="20"/>
  <c r="CL33" i="20" s="1"/>
  <c r="CK43" i="20"/>
  <c r="CK44" i="20" s="1"/>
  <c r="CJ43" i="20"/>
  <c r="CJ44" i="20" s="1"/>
  <c r="CM41" i="20"/>
  <c r="CL41" i="20"/>
  <c r="CK41" i="20"/>
  <c r="CJ41" i="20"/>
  <c r="CM37" i="20"/>
  <c r="CM39" i="20" s="1"/>
  <c r="CL37" i="20"/>
  <c r="CL39" i="20" s="1"/>
  <c r="CK37" i="20"/>
  <c r="CJ37" i="20"/>
  <c r="CJ39" i="20" s="1"/>
  <c r="CM35" i="20"/>
  <c r="CM40" i="20" s="1"/>
  <c r="CL35" i="20"/>
  <c r="CL40" i="20" s="1"/>
  <c r="CK35" i="20"/>
  <c r="CL36" i="20" s="1"/>
  <c r="CJ35" i="20"/>
  <c r="CJ40" i="20" s="1"/>
  <c r="CM33" i="20"/>
  <c r="CK32" i="20"/>
  <c r="CJ32" i="20"/>
  <c r="CM6" i="20"/>
  <c r="CL6" i="20"/>
  <c r="CK6" i="20"/>
  <c r="CJ6" i="20"/>
  <c r="AW67" i="2"/>
  <c r="V179" i="10"/>
  <c r="B178" i="10"/>
  <c r="BF12" i="3"/>
  <c r="BI83" i="2"/>
  <c r="BI60" i="2"/>
  <c r="CJ33" i="20" l="1"/>
  <c r="W127" i="71"/>
  <c r="O98" i="71"/>
  <c r="P132" i="71"/>
  <c r="K102" i="71"/>
  <c r="L135" i="71"/>
  <c r="L100" i="71"/>
  <c r="M134" i="71"/>
  <c r="Q133" i="71"/>
  <c r="R97" i="71"/>
  <c r="H129" i="71"/>
  <c r="I128" i="71"/>
  <c r="H94" i="71"/>
  <c r="M101" i="71"/>
  <c r="I97" i="71"/>
  <c r="J131" i="71"/>
  <c r="J98" i="71"/>
  <c r="K132" i="71"/>
  <c r="U129" i="71"/>
  <c r="V93" i="71"/>
  <c r="S67" i="71"/>
  <c r="N131" i="71"/>
  <c r="N96" i="71"/>
  <c r="O130" i="71"/>
  <c r="S131" i="71"/>
  <c r="T95" i="71"/>
  <c r="V128" i="71"/>
  <c r="W92" i="71"/>
  <c r="R132" i="71"/>
  <c r="S96" i="71"/>
  <c r="Q98" i="71"/>
  <c r="P99" i="71"/>
  <c r="T130" i="71"/>
  <c r="U94" i="71"/>
  <c r="CK71" i="20"/>
  <c r="CJ71" i="20"/>
  <c r="CM71" i="20"/>
  <c r="CL70" i="20"/>
  <c r="CK70" i="20"/>
  <c r="CJ70" i="20"/>
  <c r="CL69" i="20"/>
  <c r="CK69" i="20"/>
  <c r="CJ69" i="20"/>
  <c r="CK33" i="20"/>
  <c r="CJ34" i="20"/>
  <c r="CK39" i="20"/>
  <c r="CK34" i="20"/>
  <c r="CL44" i="20"/>
  <c r="CL32" i="20"/>
  <c r="CL34" i="20" s="1"/>
  <c r="CM44" i="20"/>
  <c r="CM32" i="20"/>
  <c r="CM34" i="20" s="1"/>
  <c r="CM36" i="20"/>
  <c r="CJ36" i="20"/>
  <c r="CK36" i="20"/>
  <c r="CK40" i="20"/>
  <c r="W59" i="15"/>
  <c r="AD58" i="15"/>
  <c r="X58" i="15"/>
  <c r="X59" i="15" s="1"/>
  <c r="W58" i="15"/>
  <c r="AD22" i="15"/>
  <c r="AD61" i="5"/>
  <c r="AD60" i="5"/>
  <c r="AD59" i="5"/>
  <c r="AD58" i="5"/>
  <c r="AD22" i="5"/>
  <c r="AD16" i="5"/>
  <c r="AR153" i="30"/>
  <c r="AR152" i="30"/>
  <c r="AG152" i="30"/>
  <c r="AG153" i="30"/>
  <c r="BF13" i="5"/>
  <c r="W128" i="71" l="1"/>
  <c r="T131" i="71"/>
  <c r="U95" i="71"/>
  <c r="T68" i="71"/>
  <c r="T66" i="71" s="1"/>
  <c r="T67" i="71" s="1"/>
  <c r="H130" i="71"/>
  <c r="H95" i="71"/>
  <c r="H33" i="71" s="1"/>
  <c r="I129" i="71"/>
  <c r="Q99" i="71"/>
  <c r="P100" i="71"/>
  <c r="Q134" i="71"/>
  <c r="R98" i="71"/>
  <c r="N132" i="71"/>
  <c r="N97" i="71"/>
  <c r="O131" i="71"/>
  <c r="V129" i="71"/>
  <c r="W93" i="71"/>
  <c r="L136" i="71"/>
  <c r="L101" i="71"/>
  <c r="M135" i="71"/>
  <c r="S132" i="71"/>
  <c r="T96" i="71"/>
  <c r="U130" i="71"/>
  <c r="V94" i="71"/>
  <c r="R133" i="71"/>
  <c r="S97" i="71"/>
  <c r="O99" i="71"/>
  <c r="P133" i="71"/>
  <c r="M102" i="71"/>
  <c r="I98" i="71"/>
  <c r="J132" i="71"/>
  <c r="K103" i="71"/>
  <c r="J99" i="71"/>
  <c r="K133" i="71"/>
  <c r="W27" i="5"/>
  <c r="W28" i="5"/>
  <c r="W29" i="5"/>
  <c r="T181" i="30"/>
  <c r="T180" i="30"/>
  <c r="T179" i="30"/>
  <c r="T178" i="30"/>
  <c r="N181" i="30"/>
  <c r="N180" i="30"/>
  <c r="N179" i="30"/>
  <c r="N178" i="30"/>
  <c r="H178" i="30"/>
  <c r="H179" i="30"/>
  <c r="H180" i="30"/>
  <c r="H181" i="30"/>
  <c r="CU266" i="1"/>
  <c r="CY266" i="1"/>
  <c r="CU256" i="1"/>
  <c r="CY62" i="1"/>
  <c r="CY61" i="1"/>
  <c r="CY60" i="1"/>
  <c r="CY270" i="1"/>
  <c r="CZ265" i="1"/>
  <c r="CY200" i="1"/>
  <c r="CY199" i="1"/>
  <c r="CY198" i="1"/>
  <c r="CY197" i="1"/>
  <c r="CY168" i="1"/>
  <c r="CY65" i="1"/>
  <c r="DA23" i="1"/>
  <c r="DA22" i="1"/>
  <c r="DA21" i="1"/>
  <c r="CY6" i="1"/>
  <c r="CY201" i="1" l="1"/>
  <c r="I29" i="71"/>
  <c r="H24" i="71"/>
  <c r="I99" i="71"/>
  <c r="J133" i="71"/>
  <c r="N133" i="71"/>
  <c r="N98" i="71"/>
  <c r="O132" i="71"/>
  <c r="K104" i="71"/>
  <c r="O100" i="71"/>
  <c r="P134" i="71"/>
  <c r="V130" i="71"/>
  <c r="W94" i="71"/>
  <c r="W129" i="71"/>
  <c r="Q135" i="71"/>
  <c r="R99" i="71"/>
  <c r="M103" i="71"/>
  <c r="L137" i="71"/>
  <c r="L102" i="71"/>
  <c r="M136" i="71"/>
  <c r="R134" i="71"/>
  <c r="S98" i="71"/>
  <c r="J100" i="71"/>
  <c r="K134" i="71"/>
  <c r="S133" i="71"/>
  <c r="T97" i="71"/>
  <c r="T132" i="71"/>
  <c r="U96" i="71"/>
  <c r="U131" i="71"/>
  <c r="V95" i="71"/>
  <c r="U68" i="71"/>
  <c r="U66" i="71" s="1"/>
  <c r="U67" i="71" s="1"/>
  <c r="Q100" i="71"/>
  <c r="P101" i="71"/>
  <c r="H131" i="71"/>
  <c r="H96" i="71"/>
  <c r="I130" i="71"/>
  <c r="CY66" i="1"/>
  <c r="CJ18" i="20" a="1"/>
  <c r="CY267" i="1"/>
  <c r="CY64" i="1"/>
  <c r="Z36" i="15" s="1"/>
  <c r="DA20" i="1"/>
  <c r="CY271" i="1"/>
  <c r="AN602" i="9"/>
  <c r="AN601" i="9"/>
  <c r="AN600" i="9"/>
  <c r="AN599" i="9"/>
  <c r="AN528" i="9"/>
  <c r="AN527" i="9"/>
  <c r="AN523" i="9"/>
  <c r="AN522" i="9"/>
  <c r="AN521" i="9"/>
  <c r="AN520" i="9"/>
  <c r="AN516" i="9"/>
  <c r="AN515" i="9"/>
  <c r="AN514" i="9"/>
  <c r="AN513" i="9"/>
  <c r="AN509" i="9"/>
  <c r="AN508" i="9"/>
  <c r="AN507" i="9"/>
  <c r="AN506" i="9"/>
  <c r="AN502" i="9"/>
  <c r="AN501" i="9"/>
  <c r="AN500" i="9"/>
  <c r="AN499" i="9"/>
  <c r="AN495" i="9"/>
  <c r="AN494" i="9"/>
  <c r="AN493" i="9"/>
  <c r="AN492" i="9"/>
  <c r="AN351" i="9"/>
  <c r="AN350" i="9"/>
  <c r="AN346" i="9"/>
  <c r="AN345" i="9"/>
  <c r="AN344" i="9"/>
  <c r="AN343" i="9"/>
  <c r="AN339" i="9"/>
  <c r="AN338" i="9"/>
  <c r="AN337" i="9"/>
  <c r="AN336" i="9"/>
  <c r="AN332" i="9"/>
  <c r="AN331" i="9"/>
  <c r="AN330" i="9"/>
  <c r="AN329" i="9"/>
  <c r="AN325" i="9"/>
  <c r="AN324" i="9"/>
  <c r="AN323" i="9"/>
  <c r="AN322" i="9"/>
  <c r="AN318" i="9"/>
  <c r="AN317" i="9"/>
  <c r="AN316" i="9"/>
  <c r="AN315" i="9"/>
  <c r="AN308" i="9"/>
  <c r="H153" i="71" l="1"/>
  <c r="H154" i="71"/>
  <c r="H37" i="71"/>
  <c r="I21" i="71"/>
  <c r="Q101" i="71"/>
  <c r="P102" i="71"/>
  <c r="M104" i="71"/>
  <c r="O101" i="71"/>
  <c r="P135" i="71"/>
  <c r="Q136" i="71"/>
  <c r="R100" i="71"/>
  <c r="V131" i="71"/>
  <c r="W95" i="71"/>
  <c r="V68" i="71"/>
  <c r="V66" i="71" s="1"/>
  <c r="V67" i="71" s="1"/>
  <c r="U132" i="71"/>
  <c r="V96" i="71"/>
  <c r="J101" i="71"/>
  <c r="K135" i="71"/>
  <c r="W130" i="71"/>
  <c r="N134" i="71"/>
  <c r="N99" i="71"/>
  <c r="O133" i="71"/>
  <c r="H132" i="71"/>
  <c r="H97" i="71"/>
  <c r="I131" i="71"/>
  <c r="T133" i="71"/>
  <c r="U97" i="71"/>
  <c r="L138" i="71"/>
  <c r="L103" i="71"/>
  <c r="M137" i="71"/>
  <c r="R135" i="71"/>
  <c r="S99" i="71"/>
  <c r="K105" i="71"/>
  <c r="I100" i="71"/>
  <c r="J134" i="71"/>
  <c r="S134" i="71"/>
  <c r="T98" i="71"/>
  <c r="CL18" i="20"/>
  <c r="CK18" i="20"/>
  <c r="CJ18" i="20"/>
  <c r="CM18" i="20"/>
  <c r="K181" i="9"/>
  <c r="V180" i="10" s="1"/>
  <c r="K180" i="9"/>
  <c r="I154" i="71" l="1"/>
  <c r="H171" i="71"/>
  <c r="K106" i="71"/>
  <c r="R136" i="71"/>
  <c r="S100" i="71"/>
  <c r="T134" i="71"/>
  <c r="U98" i="71"/>
  <c r="L139" i="71"/>
  <c r="L104" i="71"/>
  <c r="M138" i="71"/>
  <c r="N135" i="71"/>
  <c r="N100" i="71"/>
  <c r="O134" i="71"/>
  <c r="J102" i="71"/>
  <c r="K136" i="71"/>
  <c r="O102" i="71"/>
  <c r="P136" i="71"/>
  <c r="Q102" i="71"/>
  <c r="P103" i="71"/>
  <c r="I101" i="71"/>
  <c r="J135" i="71"/>
  <c r="S135" i="71"/>
  <c r="T99" i="71"/>
  <c r="H133" i="71"/>
  <c r="H98" i="71"/>
  <c r="I132" i="71"/>
  <c r="W131" i="71"/>
  <c r="W68" i="71"/>
  <c r="W66" i="71" s="1"/>
  <c r="W67" i="71" s="1"/>
  <c r="Q137" i="71"/>
  <c r="R101" i="71"/>
  <c r="U133" i="71"/>
  <c r="V97" i="71"/>
  <c r="V132" i="71"/>
  <c r="W96" i="71"/>
  <c r="M105" i="71"/>
  <c r="AN166" i="30"/>
  <c r="AN165" i="30"/>
  <c r="AJ166" i="30"/>
  <c r="AJ165" i="30"/>
  <c r="F644" i="9"/>
  <c r="P643" i="9"/>
  <c r="F643" i="9"/>
  <c r="P642" i="9"/>
  <c r="F642" i="9"/>
  <c r="F641" i="9"/>
  <c r="F537" i="9"/>
  <c r="P536" i="9"/>
  <c r="K182" i="9"/>
  <c r="F536" i="9"/>
  <c r="P535" i="9"/>
  <c r="F535" i="9"/>
  <c r="F534" i="9"/>
  <c r="P359" i="9"/>
  <c r="P358" i="9"/>
  <c r="X183" i="9"/>
  <c r="X182" i="9"/>
  <c r="X181" i="9"/>
  <c r="G181" i="9" s="1"/>
  <c r="X180" i="9"/>
  <c r="G180" i="9" s="1"/>
  <c r="S169" i="30"/>
  <c r="M169" i="30"/>
  <c r="G169" i="30"/>
  <c r="S168" i="30"/>
  <c r="M168" i="30"/>
  <c r="G168" i="30"/>
  <c r="S167" i="30"/>
  <c r="M167" i="30"/>
  <c r="G167" i="30"/>
  <c r="S166" i="30"/>
  <c r="M166" i="30"/>
  <c r="G166" i="30"/>
  <c r="S165" i="30"/>
  <c r="M165" i="30"/>
  <c r="G165" i="30"/>
  <c r="W132" i="71" l="1"/>
  <c r="J154" i="71"/>
  <c r="M106" i="71"/>
  <c r="I102" i="71"/>
  <c r="J136" i="71"/>
  <c r="N136" i="71"/>
  <c r="N101" i="71"/>
  <c r="O135" i="71"/>
  <c r="T135" i="71"/>
  <c r="U99" i="71"/>
  <c r="J103" i="71"/>
  <c r="K137" i="71"/>
  <c r="U134" i="71"/>
  <c r="V98" i="71"/>
  <c r="Q103" i="71"/>
  <c r="P104" i="71"/>
  <c r="O103" i="71"/>
  <c r="P137" i="71"/>
  <c r="V133" i="71"/>
  <c r="W97" i="71"/>
  <c r="W133" i="71" s="1"/>
  <c r="R137" i="71"/>
  <c r="S101" i="71"/>
  <c r="H134" i="71"/>
  <c r="H99" i="71"/>
  <c r="I133" i="71"/>
  <c r="Q138" i="71"/>
  <c r="R102" i="71"/>
  <c r="L140" i="71"/>
  <c r="L105" i="71"/>
  <c r="M139" i="71"/>
  <c r="S136" i="71"/>
  <c r="T100" i="71"/>
  <c r="V181" i="10"/>
  <c r="P182" i="9"/>
  <c r="P181" i="9"/>
  <c r="X184" i="9"/>
  <c r="K154" i="71" l="1"/>
  <c r="U135" i="71"/>
  <c r="V99" i="71"/>
  <c r="L141" i="71"/>
  <c r="L143" i="71" s="1"/>
  <c r="L106" i="71"/>
  <c r="M141" i="71" s="1"/>
  <c r="M140" i="71"/>
  <c r="V134" i="71"/>
  <c r="W98" i="71"/>
  <c r="H135" i="71"/>
  <c r="H100" i="71"/>
  <c r="I134" i="71"/>
  <c r="I103" i="71"/>
  <c r="J137" i="71"/>
  <c r="R138" i="71"/>
  <c r="S102" i="71"/>
  <c r="Q139" i="71"/>
  <c r="R103" i="71"/>
  <c r="N137" i="71"/>
  <c r="N102" i="71"/>
  <c r="O136" i="71"/>
  <c r="T136" i="71"/>
  <c r="U100" i="71"/>
  <c r="Q104" i="71"/>
  <c r="P105" i="71"/>
  <c r="S137" i="71"/>
  <c r="T101" i="71"/>
  <c r="O104" i="71"/>
  <c r="P138" i="71"/>
  <c r="J104" i="71"/>
  <c r="K138" i="71"/>
  <c r="M143" i="71" l="1"/>
  <c r="M153" i="71" s="1"/>
  <c r="L154" i="71"/>
  <c r="W134" i="71"/>
  <c r="U136" i="71"/>
  <c r="V100" i="71"/>
  <c r="Q105" i="71"/>
  <c r="P106" i="71"/>
  <c r="Q106" i="71" s="1"/>
  <c r="R106" i="71" s="1"/>
  <c r="S106" i="71" s="1"/>
  <c r="T106" i="71" s="1"/>
  <c r="U106" i="71" s="1"/>
  <c r="V106" i="71" s="1"/>
  <c r="W106" i="71" s="1"/>
  <c r="H136" i="71"/>
  <c r="H101" i="71"/>
  <c r="I135" i="71"/>
  <c r="L153" i="71"/>
  <c r="L54" i="71"/>
  <c r="L22" i="71"/>
  <c r="O105" i="71"/>
  <c r="P139" i="71"/>
  <c r="J105" i="71"/>
  <c r="K139" i="71"/>
  <c r="Q140" i="71"/>
  <c r="R104" i="71"/>
  <c r="I104" i="71"/>
  <c r="J138" i="71"/>
  <c r="V135" i="71"/>
  <c r="W99" i="71"/>
  <c r="W135" i="71" s="1"/>
  <c r="R139" i="71"/>
  <c r="S103" i="71"/>
  <c r="T137" i="71"/>
  <c r="U101" i="71"/>
  <c r="N138" i="71"/>
  <c r="N103" i="71"/>
  <c r="O137" i="71"/>
  <c r="S138" i="71"/>
  <c r="T102" i="71"/>
  <c r="M22" i="71" l="1"/>
  <c r="M159" i="71" s="1"/>
  <c r="M54" i="71"/>
  <c r="M55" i="71" s="1"/>
  <c r="M154" i="71"/>
  <c r="S139" i="71"/>
  <c r="T103" i="71"/>
  <c r="T138" i="71"/>
  <c r="U102" i="71"/>
  <c r="L59" i="71"/>
  <c r="L60" i="71" s="1"/>
  <c r="L51" i="71"/>
  <c r="V136" i="71"/>
  <c r="W100" i="71"/>
  <c r="I105" i="71"/>
  <c r="J139" i="71"/>
  <c r="O106" i="71"/>
  <c r="P141" i="71" s="1"/>
  <c r="P140" i="71"/>
  <c r="J106" i="71"/>
  <c r="K141" i="71" s="1"/>
  <c r="K143" i="71" s="1"/>
  <c r="K140" i="71"/>
  <c r="Q141" i="71"/>
  <c r="Q143" i="71" s="1"/>
  <c r="R105" i="71"/>
  <c r="U137" i="71"/>
  <c r="V101" i="71"/>
  <c r="N139" i="71"/>
  <c r="N104" i="71"/>
  <c r="O138" i="71"/>
  <c r="R140" i="71"/>
  <c r="S104" i="71"/>
  <c r="L158" i="71"/>
  <c r="L32" i="71"/>
  <c r="H137" i="71"/>
  <c r="H102" i="71"/>
  <c r="I136" i="71"/>
  <c r="M51" i="71"/>
  <c r="M59" i="71" l="1"/>
  <c r="M60" i="71" s="1"/>
  <c r="M32" i="71"/>
  <c r="M52" i="71"/>
  <c r="N154" i="71"/>
  <c r="H138" i="71"/>
  <c r="H103" i="71"/>
  <c r="I137" i="71"/>
  <c r="R141" i="71"/>
  <c r="R143" i="71" s="1"/>
  <c r="S105" i="71"/>
  <c r="V137" i="71"/>
  <c r="W101" i="71"/>
  <c r="I106" i="71"/>
  <c r="J141" i="71" s="1"/>
  <c r="J140" i="71"/>
  <c r="P143" i="71"/>
  <c r="U138" i="71"/>
  <c r="V102" i="71"/>
  <c r="T139" i="71"/>
  <c r="U103" i="71"/>
  <c r="S140" i="71"/>
  <c r="T104" i="71"/>
  <c r="Q153" i="71"/>
  <c r="Q54" i="71"/>
  <c r="Q22" i="71"/>
  <c r="M158" i="71"/>
  <c r="N158" i="71" s="1"/>
  <c r="N140" i="71"/>
  <c r="N105" i="71"/>
  <c r="O139" i="71"/>
  <c r="N159" i="71"/>
  <c r="K153" i="71"/>
  <c r="K54" i="71"/>
  <c r="K22" i="71"/>
  <c r="W136" i="71"/>
  <c r="O154" i="71" l="1"/>
  <c r="R153" i="71"/>
  <c r="R54" i="71"/>
  <c r="R22" i="71"/>
  <c r="K157" i="71"/>
  <c r="K32" i="71"/>
  <c r="O158" i="71"/>
  <c r="U139" i="71"/>
  <c r="V103" i="71"/>
  <c r="N141" i="71"/>
  <c r="N143" i="71" s="1"/>
  <c r="N106" i="71"/>
  <c r="O141" i="71" s="1"/>
  <c r="O140" i="71"/>
  <c r="T140" i="71"/>
  <c r="U104" i="71"/>
  <c r="V138" i="71"/>
  <c r="W102" i="71"/>
  <c r="W138" i="71" s="1"/>
  <c r="W137" i="71"/>
  <c r="S141" i="71"/>
  <c r="S143" i="71" s="1"/>
  <c r="T105" i="71"/>
  <c r="Q163" i="71"/>
  <c r="Q32" i="71"/>
  <c r="O159" i="71"/>
  <c r="J143" i="71"/>
  <c r="H139" i="71"/>
  <c r="H104" i="71"/>
  <c r="I138" i="71"/>
  <c r="Q59" i="71"/>
  <c r="Q60" i="71" s="1"/>
  <c r="Q51" i="71"/>
  <c r="P153" i="71"/>
  <c r="P54" i="71"/>
  <c r="Q55" i="71" s="1"/>
  <c r="P22" i="71"/>
  <c r="K59" i="71"/>
  <c r="K60" i="71" s="1"/>
  <c r="K51" i="71"/>
  <c r="L55" i="71"/>
  <c r="P154" i="71" l="1"/>
  <c r="Q154" i="71" s="1"/>
  <c r="O143" i="71"/>
  <c r="O54" i="71" s="1"/>
  <c r="H140" i="71"/>
  <c r="H105" i="71"/>
  <c r="I139" i="71"/>
  <c r="J153" i="71"/>
  <c r="J54" i="71"/>
  <c r="J22" i="71"/>
  <c r="T141" i="71"/>
  <c r="T143" i="71" s="1"/>
  <c r="U105" i="71"/>
  <c r="N153" i="71"/>
  <c r="N54" i="71"/>
  <c r="N22" i="71"/>
  <c r="S153" i="71"/>
  <c r="S54" i="71"/>
  <c r="S22" i="71"/>
  <c r="U140" i="71"/>
  <c r="V104" i="71"/>
  <c r="L157" i="71"/>
  <c r="M157" i="71" s="1"/>
  <c r="P158" i="71"/>
  <c r="L52" i="71"/>
  <c r="P59" i="71"/>
  <c r="P60" i="71" s="1"/>
  <c r="P51" i="71"/>
  <c r="Q52" i="71" s="1"/>
  <c r="P159" i="71"/>
  <c r="Q159" i="71" s="1"/>
  <c r="R159" i="71" s="1"/>
  <c r="R164" i="71"/>
  <c r="R32" i="71"/>
  <c r="P162" i="71"/>
  <c r="P32" i="71"/>
  <c r="R163" i="71"/>
  <c r="S163" i="71" s="1"/>
  <c r="V139" i="71"/>
  <c r="W103" i="71"/>
  <c r="W139" i="71" s="1"/>
  <c r="R59" i="71"/>
  <c r="R60" i="71" s="1"/>
  <c r="R51" i="71"/>
  <c r="R52" i="71" s="1"/>
  <c r="R55" i="71"/>
  <c r="O153" i="71" l="1"/>
  <c r="O22" i="71"/>
  <c r="O161" i="71" s="1"/>
  <c r="R154" i="71"/>
  <c r="N157" i="71"/>
  <c r="O157" i="71" s="1"/>
  <c r="P157" i="71" s="1"/>
  <c r="Q158" i="71"/>
  <c r="R158" i="71" s="1"/>
  <c r="S165" i="71"/>
  <c r="S32" i="71"/>
  <c r="J59" i="71"/>
  <c r="J60" i="71" s="1"/>
  <c r="J51" i="71"/>
  <c r="K55" i="71"/>
  <c r="T163" i="71"/>
  <c r="O59" i="71"/>
  <c r="O60" i="71" s="1"/>
  <c r="O51" i="71"/>
  <c r="P52" i="71" s="1"/>
  <c r="O55" i="71"/>
  <c r="Q162" i="71"/>
  <c r="P55" i="71"/>
  <c r="J156" i="71"/>
  <c r="J32" i="71"/>
  <c r="H141" i="71"/>
  <c r="H143" i="71" s="1"/>
  <c r="H106" i="71"/>
  <c r="I141" i="71" s="1"/>
  <c r="I140" i="71"/>
  <c r="N160" i="71"/>
  <c r="N32" i="71"/>
  <c r="S159" i="71"/>
  <c r="S59" i="71"/>
  <c r="S60" i="71" s="1"/>
  <c r="S51" i="71"/>
  <c r="S52" i="71" s="1"/>
  <c r="S55" i="71"/>
  <c r="U141" i="71"/>
  <c r="U143" i="71" s="1"/>
  <c r="V105" i="71"/>
  <c r="S164" i="71"/>
  <c r="T164" i="71" s="1"/>
  <c r="V140" i="71"/>
  <c r="W104" i="71"/>
  <c r="N59" i="71"/>
  <c r="N60" i="71" s="1"/>
  <c r="N51" i="71"/>
  <c r="N52" i="71" s="1"/>
  <c r="N55" i="71"/>
  <c r="T153" i="71"/>
  <c r="T54" i="71"/>
  <c r="T22" i="71"/>
  <c r="M3" i="77"/>
  <c r="L3" i="77"/>
  <c r="K3" i="77"/>
  <c r="J3" i="77"/>
  <c r="I3" i="77"/>
  <c r="H3" i="77"/>
  <c r="G3" i="77"/>
  <c r="F3" i="77"/>
  <c r="E3" i="77"/>
  <c r="D3" i="77"/>
  <c r="C3" i="77"/>
  <c r="B3" i="77"/>
  <c r="O32" i="71" l="1"/>
  <c r="S154" i="71"/>
  <c r="W140" i="71"/>
  <c r="U163" i="71"/>
  <c r="V163" i="71" s="1"/>
  <c r="W163" i="71" s="1"/>
  <c r="K52" i="71"/>
  <c r="O160" i="71"/>
  <c r="P160" i="71" s="1"/>
  <c r="T59" i="71"/>
  <c r="T60" i="71" s="1"/>
  <c r="T55" i="71"/>
  <c r="T51" i="71"/>
  <c r="T52" i="71" s="1"/>
  <c r="U164" i="71"/>
  <c r="V141" i="71"/>
  <c r="V143" i="71" s="1"/>
  <c r="W105" i="71"/>
  <c r="W141" i="71" s="1"/>
  <c r="K156" i="71"/>
  <c r="L156" i="71" s="1"/>
  <c r="T159" i="71"/>
  <c r="U159" i="71" s="1"/>
  <c r="V159" i="71" s="1"/>
  <c r="W159" i="71" s="1"/>
  <c r="T165" i="71"/>
  <c r="T166" i="71"/>
  <c r="T32" i="71"/>
  <c r="U153" i="71"/>
  <c r="U54" i="71"/>
  <c r="U22" i="71"/>
  <c r="I143" i="71"/>
  <c r="Q157" i="71"/>
  <c r="P161" i="71"/>
  <c r="Q161" i="71" s="1"/>
  <c r="R162" i="71"/>
  <c r="O52" i="71"/>
  <c r="S158" i="71"/>
  <c r="T158" i="71" s="1"/>
  <c r="W635" i="9"/>
  <c r="F528" i="9"/>
  <c r="F351" i="9"/>
  <c r="AP159" i="30"/>
  <c r="F635" i="9"/>
  <c r="H173" i="10"/>
  <c r="CP17" i="11"/>
  <c r="CQ17" i="11" s="1"/>
  <c r="CQ11" i="11"/>
  <c r="AV27" i="23"/>
  <c r="AV33" i="23" s="1"/>
  <c r="AV9" i="23"/>
  <c r="CV31" i="1"/>
  <c r="CV21" i="1"/>
  <c r="T174" i="30"/>
  <c r="T172" i="30"/>
  <c r="T171" i="30"/>
  <c r="N174" i="30"/>
  <c r="N173" i="30"/>
  <c r="N172" i="30"/>
  <c r="N171" i="30"/>
  <c r="H172" i="30"/>
  <c r="H173" i="30"/>
  <c r="H174" i="30"/>
  <c r="H171" i="30"/>
  <c r="C34" i="76"/>
  <c r="G15" i="76"/>
  <c r="H15" i="76" s="1"/>
  <c r="I15" i="76" s="1"/>
  <c r="J15" i="76" s="1"/>
  <c r="F15" i="76"/>
  <c r="E15" i="76"/>
  <c r="D15" i="76"/>
  <c r="C15" i="76"/>
  <c r="H33" i="76"/>
  <c r="E23" i="76"/>
  <c r="F23" i="76"/>
  <c r="G23" i="76" s="1"/>
  <c r="H23" i="76" s="1"/>
  <c r="I23" i="76" s="1"/>
  <c r="J23" i="76" s="1"/>
  <c r="H8" i="76"/>
  <c r="I8" i="76" s="1"/>
  <c r="J8" i="76" s="1"/>
  <c r="H2" i="76"/>
  <c r="I2" i="76" s="1"/>
  <c r="J2" i="76" s="1"/>
  <c r="AL21" i="15"/>
  <c r="AC30" i="61"/>
  <c r="K173" i="9"/>
  <c r="CP34" i="11"/>
  <c r="CP16" i="11"/>
  <c r="AV44" i="23"/>
  <c r="AV26" i="23"/>
  <c r="AV50" i="23" s="1"/>
  <c r="AV8" i="23"/>
  <c r="AP158" i="30"/>
  <c r="J158" i="30"/>
  <c r="D158" i="30"/>
  <c r="H172" i="10"/>
  <c r="D350" i="9"/>
  <c r="D527" i="9"/>
  <c r="W634" i="9"/>
  <c r="P158" i="30" s="1"/>
  <c r="CV30" i="1"/>
  <c r="CV20" i="1"/>
  <c r="BU68" i="20"/>
  <c r="Y12" i="15"/>
  <c r="Y16" i="15" s="1"/>
  <c r="X16" i="15"/>
  <c r="X18" i="15"/>
  <c r="AU49" i="2"/>
  <c r="AT40" i="3"/>
  <c r="AT38" i="3"/>
  <c r="AT15" i="3"/>
  <c r="AW48" i="2"/>
  <c r="AW50" i="2" s="1"/>
  <c r="X12" i="15"/>
  <c r="W18" i="15"/>
  <c r="V18" i="15"/>
  <c r="DK10" i="1"/>
  <c r="CM13" i="11"/>
  <c r="W509" i="9"/>
  <c r="AW74" i="2"/>
  <c r="BA74" i="2" s="1"/>
  <c r="BC74" i="2" s="1"/>
  <c r="BE74" i="2" s="1"/>
  <c r="BG74" i="2" s="1"/>
  <c r="BI74" i="2" s="1"/>
  <c r="H168" i="10"/>
  <c r="AT11" i="23"/>
  <c r="CM31" i="11"/>
  <c r="CM25" i="11"/>
  <c r="CL19" i="11"/>
  <c r="CQ124" i="1"/>
  <c r="CM124" i="1"/>
  <c r="CR33" i="1"/>
  <c r="CR23" i="1"/>
  <c r="CW23" i="1" s="1"/>
  <c r="AL153" i="30"/>
  <c r="D523" i="9"/>
  <c r="D346" i="9"/>
  <c r="AT29" i="23"/>
  <c r="AT47" i="23" s="1"/>
  <c r="AT59" i="23" s="1"/>
  <c r="M160" i="30"/>
  <c r="M161" i="30"/>
  <c r="M162" i="30"/>
  <c r="AL154" i="30"/>
  <c r="K46" i="20"/>
  <c r="J46" i="20"/>
  <c r="I46" i="20"/>
  <c r="H46" i="20"/>
  <c r="K21" i="20"/>
  <c r="J21" i="20"/>
  <c r="I21" i="20"/>
  <c r="H21" i="20"/>
  <c r="K18" i="20"/>
  <c r="J18" i="20"/>
  <c r="I18" i="20"/>
  <c r="H18" i="20"/>
  <c r="K13" i="20"/>
  <c r="J13" i="20"/>
  <c r="I13" i="20"/>
  <c r="H13" i="20"/>
  <c r="K10" i="20"/>
  <c r="J10" i="20"/>
  <c r="I10" i="20"/>
  <c r="H10" i="20"/>
  <c r="K8" i="20"/>
  <c r="J8" i="20"/>
  <c r="I8" i="20"/>
  <c r="H8" i="20"/>
  <c r="CQ266" i="1"/>
  <c r="CQ267" i="1"/>
  <c r="CZ266" i="1"/>
  <c r="CL17" i="11"/>
  <c r="BZ26" i="20" a="1"/>
  <c r="BZ26" i="20" s="1"/>
  <c r="W630" i="9"/>
  <c r="CB84" i="20"/>
  <c r="Q172" i="61"/>
  <c r="R172" i="61"/>
  <c r="R124" i="61"/>
  <c r="T172" i="61"/>
  <c r="S172" i="61"/>
  <c r="T170" i="61"/>
  <c r="S170" i="61"/>
  <c r="R170" i="61"/>
  <c r="Q170" i="61"/>
  <c r="T36" i="61"/>
  <c r="T171" i="61" s="1"/>
  <c r="S36" i="61"/>
  <c r="S171" i="61" s="1"/>
  <c r="R36" i="61"/>
  <c r="R171" i="61"/>
  <c r="DN68" i="20"/>
  <c r="DM68" i="20"/>
  <c r="DL68" i="20"/>
  <c r="Q42" i="61"/>
  <c r="S125" i="61"/>
  <c r="R125" i="61"/>
  <c r="Q125" i="61"/>
  <c r="S124" i="61"/>
  <c r="Q124" i="61"/>
  <c r="S42" i="61"/>
  <c r="R42" i="61"/>
  <c r="BD12" i="3"/>
  <c r="BG83" i="2"/>
  <c r="DN85" i="20"/>
  <c r="DN84" i="20"/>
  <c r="AC22" i="15"/>
  <c r="AC22" i="5"/>
  <c r="AC16" i="5"/>
  <c r="DN79" i="20"/>
  <c r="CH71" i="20"/>
  <c r="CG71" i="20"/>
  <c r="CF71" i="20"/>
  <c r="CE71" i="20"/>
  <c r="CH70" i="20"/>
  <c r="CG70" i="20"/>
  <c r="CF70" i="20"/>
  <c r="CE70" i="20"/>
  <c r="CH69" i="20"/>
  <c r="CG69" i="20"/>
  <c r="CF69" i="20"/>
  <c r="CE69" i="20"/>
  <c r="CH97" i="20"/>
  <c r="CG97" i="20"/>
  <c r="CF97" i="20"/>
  <c r="CE97" i="20"/>
  <c r="CH96" i="20"/>
  <c r="CG96" i="20"/>
  <c r="CF96" i="20"/>
  <c r="CE96" i="20"/>
  <c r="CH95" i="20"/>
  <c r="CG95" i="20"/>
  <c r="CF95" i="20"/>
  <c r="CE95" i="20"/>
  <c r="CC97" i="20"/>
  <c r="CB97" i="20"/>
  <c r="CA97" i="20"/>
  <c r="BZ97" i="20"/>
  <c r="CC96" i="20"/>
  <c r="CB96" i="20"/>
  <c r="CA96" i="20"/>
  <c r="BZ96" i="20"/>
  <c r="CC95" i="20"/>
  <c r="CB95" i="20"/>
  <c r="CA95" i="20"/>
  <c r="BZ95" i="20"/>
  <c r="BK84" i="20"/>
  <c r="CU45" i="20"/>
  <c r="CU43" i="20"/>
  <c r="CU41" i="20"/>
  <c r="CU37" i="20"/>
  <c r="CU35" i="20"/>
  <c r="CU32" i="20"/>
  <c r="DD15" i="20"/>
  <c r="J12" i="61" s="1"/>
  <c r="J51" i="61" s="1"/>
  <c r="CG45" i="20"/>
  <c r="CB45" i="20"/>
  <c r="BW45" i="20"/>
  <c r="CE18" i="20" a="1"/>
  <c r="CH18" i="20" s="1"/>
  <c r="CH46" i="20"/>
  <c r="CG46" i="20"/>
  <c r="CF46" i="20"/>
  <c r="CE46" i="20"/>
  <c r="CH45" i="20"/>
  <c r="CH43" i="20" s="1"/>
  <c r="CF45" i="20"/>
  <c r="CE45" i="20"/>
  <c r="CH41" i="20"/>
  <c r="CG41" i="20"/>
  <c r="CF41" i="20"/>
  <c r="CE41" i="20"/>
  <c r="CH37" i="20"/>
  <c r="CG37" i="20"/>
  <c r="CG39" i="20" s="1"/>
  <c r="CF37" i="20"/>
  <c r="CE37" i="20"/>
  <c r="CE39" i="20" s="1"/>
  <c r="CH35" i="20"/>
  <c r="CG35" i="20"/>
  <c r="CH32" i="20" s="1"/>
  <c r="CF35" i="20"/>
  <c r="CE35" i="20"/>
  <c r="CF32" i="20" s="1"/>
  <c r="CG32" i="20"/>
  <c r="DM85" i="20"/>
  <c r="DM84" i="20"/>
  <c r="DM79" i="20"/>
  <c r="DM14" i="20"/>
  <c r="CQ28" i="11"/>
  <c r="CQ22" i="11"/>
  <c r="CQ10" i="11"/>
  <c r="J4" i="77" s="1" a="1"/>
  <c r="A1" i="3"/>
  <c r="BB12" i="3"/>
  <c r="BE83" i="2"/>
  <c r="AB22" i="5"/>
  <c r="AB16" i="5"/>
  <c r="AB22" i="15"/>
  <c r="D153" i="30"/>
  <c r="F352" i="9"/>
  <c r="I352" i="9" s="1"/>
  <c r="T352" i="9" s="1"/>
  <c r="F350" i="9"/>
  <c r="F527" i="9"/>
  <c r="F529" i="9"/>
  <c r="I529" i="9" s="1"/>
  <c r="T529" i="9" s="1"/>
  <c r="F530" i="9"/>
  <c r="F637" i="9"/>
  <c r="F636" i="9"/>
  <c r="I636" i="9" s="1"/>
  <c r="T636" i="9" s="1"/>
  <c r="F634" i="9"/>
  <c r="AN167" i="30"/>
  <c r="AN168" i="30"/>
  <c r="AJ167" i="30"/>
  <c r="X176" i="9"/>
  <c r="X175" i="9"/>
  <c r="X174" i="9"/>
  <c r="G174" i="9" s="1"/>
  <c r="X173" i="9"/>
  <c r="G173" i="9" s="1"/>
  <c r="S162" i="30"/>
  <c r="G162" i="30"/>
  <c r="AJ168" i="30"/>
  <c r="S161" i="30"/>
  <c r="G161" i="30"/>
  <c r="S160" i="30"/>
  <c r="G160" i="30"/>
  <c r="S159" i="30"/>
  <c r="M159" i="30"/>
  <c r="G159" i="30"/>
  <c r="S158" i="30"/>
  <c r="M158" i="30"/>
  <c r="G158" i="30"/>
  <c r="CU64" i="1"/>
  <c r="Y36" i="15" s="1"/>
  <c r="CU65" i="1"/>
  <c r="CU66" i="1"/>
  <c r="CU168" i="1"/>
  <c r="CU197" i="1"/>
  <c r="CU198" i="1"/>
  <c r="CU199" i="1"/>
  <c r="CU200" i="1"/>
  <c r="CV265" i="1"/>
  <c r="AA62" i="61"/>
  <c r="Y50" i="61"/>
  <c r="X16" i="5"/>
  <c r="H167" i="10"/>
  <c r="AT46" i="23"/>
  <c r="AT35" i="23"/>
  <c r="AT28" i="23"/>
  <c r="AT52" i="23" s="1"/>
  <c r="AT10" i="23"/>
  <c r="CM30" i="11"/>
  <c r="CM24" i="11"/>
  <c r="CL18" i="11"/>
  <c r="CM12" i="11"/>
  <c r="W629" i="9"/>
  <c r="D522" i="9"/>
  <c r="D345" i="9"/>
  <c r="CQ52" i="1"/>
  <c r="CR32" i="1"/>
  <c r="CR22" i="1"/>
  <c r="AL60" i="15"/>
  <c r="DX25" i="20"/>
  <c r="X66" i="61"/>
  <c r="DF102" i="1"/>
  <c r="AN155" i="30"/>
  <c r="AJ152" i="30"/>
  <c r="AL159" i="30" s="1"/>
  <c r="AJ151" i="30"/>
  <c r="AL158" i="30" s="1"/>
  <c r="H166" i="10"/>
  <c r="AT34" i="23"/>
  <c r="AT58" i="23" s="1"/>
  <c r="AT27" i="23"/>
  <c r="AT9" i="23"/>
  <c r="CL29" i="11"/>
  <c r="CQ29" i="11" s="1"/>
  <c r="CL23" i="11"/>
  <c r="CQ23" i="11" s="1"/>
  <c r="W628" i="9"/>
  <c r="D521" i="9"/>
  <c r="D344" i="9"/>
  <c r="AL152" i="30"/>
  <c r="CR31" i="1"/>
  <c r="CR21" i="1"/>
  <c r="AU74" i="2"/>
  <c r="AS74" i="2"/>
  <c r="DF311" i="1"/>
  <c r="DE307" i="1"/>
  <c r="DE311" i="1" s="1"/>
  <c r="DE312" i="1" s="1"/>
  <c r="DE313" i="1" s="1"/>
  <c r="DE305" i="1"/>
  <c r="DE308" i="1" s="1"/>
  <c r="CR121" i="1"/>
  <c r="AR29" i="23"/>
  <c r="AR38" i="3"/>
  <c r="AU60" i="2" s="1"/>
  <c r="AR37" i="3"/>
  <c r="AR40" i="3"/>
  <c r="AR12" i="3"/>
  <c r="AR15" i="3"/>
  <c r="AT26" i="23"/>
  <c r="AG80" i="5"/>
  <c r="BB185" i="30"/>
  <c r="P654" i="9"/>
  <c r="R654" i="9" s="1"/>
  <c r="W654" i="9"/>
  <c r="F654" i="9" s="1"/>
  <c r="X654" i="9"/>
  <c r="Z654" i="9"/>
  <c r="AB654" i="9" s="1"/>
  <c r="AG654" i="9"/>
  <c r="AI654" i="9" s="1"/>
  <c r="AN654" i="9"/>
  <c r="AP654" i="9"/>
  <c r="AR654" i="9"/>
  <c r="AT654" i="9" s="1"/>
  <c r="AC103" i="61"/>
  <c r="DI50" i="1"/>
  <c r="X29" i="5"/>
  <c r="X28" i="5"/>
  <c r="DI82" i="20" s="1"/>
  <c r="H165" i="10"/>
  <c r="CL16" i="11"/>
  <c r="CQ16" i="11"/>
  <c r="AT8" i="23"/>
  <c r="AR8" i="23"/>
  <c r="AL151" i="30"/>
  <c r="P714" i="9"/>
  <c r="X714" i="9"/>
  <c r="P715" i="9"/>
  <c r="X715" i="9"/>
  <c r="K716" i="9"/>
  <c r="X716" i="9"/>
  <c r="X717" i="9"/>
  <c r="X721" i="9"/>
  <c r="X722" i="9"/>
  <c r="X723" i="9"/>
  <c r="X724" i="9"/>
  <c r="X728" i="9"/>
  <c r="D728" i="9" s="1"/>
  <c r="G728" i="9" s="1"/>
  <c r="G175" i="9" s="1"/>
  <c r="P729" i="9"/>
  <c r="X729" i="9"/>
  <c r="K730" i="9"/>
  <c r="X730" i="9"/>
  <c r="K731" i="9"/>
  <c r="P735" i="9" s="1"/>
  <c r="X731" i="9"/>
  <c r="X735" i="9"/>
  <c r="P736" i="9"/>
  <c r="R736" i="9" s="1"/>
  <c r="X736" i="9"/>
  <c r="K737" i="9"/>
  <c r="P737" i="9" s="1"/>
  <c r="X737" i="9"/>
  <c r="X742" i="9"/>
  <c r="P743" i="9"/>
  <c r="X743" i="9"/>
  <c r="P744" i="9"/>
  <c r="X744" i="9"/>
  <c r="X745" i="9"/>
  <c r="X749" i="9"/>
  <c r="P750" i="9"/>
  <c r="R750" i="9" s="1"/>
  <c r="I750" i="9" s="1"/>
  <c r="D750" i="9" s="1"/>
  <c r="X750" i="9"/>
  <c r="P751" i="9"/>
  <c r="R751" i="9" s="1"/>
  <c r="I751" i="9" s="1"/>
  <c r="D751" i="9" s="1"/>
  <c r="X751" i="9"/>
  <c r="X752" i="9"/>
  <c r="X756" i="9"/>
  <c r="P757" i="9"/>
  <c r="X757" i="9"/>
  <c r="P758" i="9"/>
  <c r="X758" i="9"/>
  <c r="X759" i="9"/>
  <c r="P764" i="9"/>
  <c r="P765" i="9"/>
  <c r="R765" i="9" s="1"/>
  <c r="I765" i="9" s="1"/>
  <c r="D765" i="9" s="1"/>
  <c r="X765" i="9"/>
  <c r="P766" i="9"/>
  <c r="X766" i="9"/>
  <c r="P770" i="9"/>
  <c r="P771" i="9"/>
  <c r="P772" i="9"/>
  <c r="W627" i="9"/>
  <c r="D634" i="9" s="1"/>
  <c r="I634" i="9" s="1"/>
  <c r="D520" i="9"/>
  <c r="D343" i="9"/>
  <c r="CR30" i="1"/>
  <c r="CR20" i="1"/>
  <c r="P730" i="9"/>
  <c r="R758" i="9"/>
  <c r="I758" i="9" s="1"/>
  <c r="D758" i="9" s="1"/>
  <c r="R764" i="9"/>
  <c r="I764" i="9" s="1"/>
  <c r="D764" i="9" s="1"/>
  <c r="P716" i="9"/>
  <c r="W12" i="15"/>
  <c r="W16" i="15" s="1"/>
  <c r="BC60" i="2"/>
  <c r="BA60" i="2"/>
  <c r="X61" i="5"/>
  <c r="Y61" i="5" s="1"/>
  <c r="Z61" i="5" s="1"/>
  <c r="AA61" i="5" s="1"/>
  <c r="AB61" i="5" s="1"/>
  <c r="AC61" i="5" s="1"/>
  <c r="K166" i="9"/>
  <c r="V165" i="10" s="1"/>
  <c r="AW39" i="2"/>
  <c r="AY39" i="2" s="1"/>
  <c r="BA39" i="2" s="1"/>
  <c r="C30" i="76" s="1"/>
  <c r="C44" i="76" s="1"/>
  <c r="AR47" i="23"/>
  <c r="AR53" i="23" s="1"/>
  <c r="AR11" i="23"/>
  <c r="AR35" i="23" s="1"/>
  <c r="CI31" i="11"/>
  <c r="CI25" i="11"/>
  <c r="CH19" i="11"/>
  <c r="CM19" i="11" s="1"/>
  <c r="CI13" i="11"/>
  <c r="CO33" i="1"/>
  <c r="CN33" i="1"/>
  <c r="CN23" i="1"/>
  <c r="CO13" i="1"/>
  <c r="DJ13" i="1" s="1"/>
  <c r="AA22" i="5"/>
  <c r="Z22" i="5"/>
  <c r="X22" i="5"/>
  <c r="DJ85" i="20"/>
  <c r="W22" i="5"/>
  <c r="DH83" i="20"/>
  <c r="T42" i="61"/>
  <c r="P42" i="61"/>
  <c r="O42" i="61"/>
  <c r="N42" i="61"/>
  <c r="L42" i="61"/>
  <c r="F345" i="9"/>
  <c r="F344" i="9"/>
  <c r="F343" i="9"/>
  <c r="F515" i="9"/>
  <c r="F514" i="9"/>
  <c r="F516" i="9"/>
  <c r="CB71" i="20"/>
  <c r="CA71" i="20"/>
  <c r="BZ71" i="20"/>
  <c r="F513" i="9"/>
  <c r="P521" i="9"/>
  <c r="Z521" i="9" s="1"/>
  <c r="D339" i="9"/>
  <c r="AL147" i="30"/>
  <c r="W623" i="9"/>
  <c r="J147" i="30"/>
  <c r="D147" i="30"/>
  <c r="H160" i="10"/>
  <c r="AR28" i="23"/>
  <c r="AP28" i="23"/>
  <c r="AR27" i="23"/>
  <c r="AR26" i="23"/>
  <c r="CI30" i="11"/>
  <c r="AP47" i="23"/>
  <c r="AP53" i="23" s="1"/>
  <c r="AP46" i="23"/>
  <c r="AP52" i="23"/>
  <c r="AT45" i="23"/>
  <c r="AT44" i="23"/>
  <c r="AT50" i="23"/>
  <c r="AR45" i="23"/>
  <c r="AR51" i="23" s="1"/>
  <c r="AR44" i="23"/>
  <c r="AR50" i="23"/>
  <c r="L38" i="23"/>
  <c r="AT33" i="23"/>
  <c r="AT57" i="23" s="1"/>
  <c r="AT32" i="23"/>
  <c r="AR32" i="23"/>
  <c r="AR56" i="23" s="1"/>
  <c r="AP29" i="23"/>
  <c r="AP27" i="23"/>
  <c r="AP26" i="23"/>
  <c r="AN29" i="23"/>
  <c r="AN28" i="23"/>
  <c r="AN27" i="23"/>
  <c r="AN26" i="23"/>
  <c r="AN44" i="23" s="1"/>
  <c r="AN50" i="23" s="1"/>
  <c r="AL29" i="23"/>
  <c r="AL47" i="23" s="1"/>
  <c r="AL28" i="23"/>
  <c r="AL27" i="23"/>
  <c r="AL33" i="23" s="1"/>
  <c r="AL57" i="23" s="1"/>
  <c r="AL26" i="23"/>
  <c r="AJ29" i="23"/>
  <c r="AJ28" i="23"/>
  <c r="AJ27" i="23"/>
  <c r="AJ26" i="23"/>
  <c r="AH29" i="23"/>
  <c r="AH47" i="23" s="1"/>
  <c r="AH28" i="23"/>
  <c r="AH27" i="23"/>
  <c r="AH26" i="23"/>
  <c r="AH44" i="23"/>
  <c r="AF29" i="23"/>
  <c r="AF35" i="23" s="1"/>
  <c r="AF59" i="23" s="1"/>
  <c r="AF28" i="23"/>
  <c r="AF27" i="23"/>
  <c r="AF26" i="23"/>
  <c r="AF44" i="23" s="1"/>
  <c r="AF50" i="23" s="1"/>
  <c r="AD29" i="23"/>
  <c r="AD47" i="23" s="1"/>
  <c r="AD28" i="23"/>
  <c r="AD27" i="23"/>
  <c r="AD33" i="23" s="1"/>
  <c r="AD57" i="23" s="1"/>
  <c r="AD26" i="23"/>
  <c r="AD32" i="23" s="1"/>
  <c r="AB29" i="23"/>
  <c r="AB28" i="23"/>
  <c r="AB46" i="23"/>
  <c r="AB27" i="23"/>
  <c r="AB26" i="23"/>
  <c r="Z29" i="23"/>
  <c r="Z28" i="23"/>
  <c r="Z46" i="23" s="1"/>
  <c r="Z58" i="23" s="1"/>
  <c r="Z27" i="23"/>
  <c r="Z26" i="23"/>
  <c r="X29" i="23"/>
  <c r="X35" i="23" s="1"/>
  <c r="X59" i="23" s="1"/>
  <c r="X28" i="23"/>
  <c r="X27" i="23"/>
  <c r="X26" i="23"/>
  <c r="X32" i="23" s="1"/>
  <c r="X56" i="23" s="1"/>
  <c r="V29" i="23"/>
  <c r="V47" i="23" s="1"/>
  <c r="V28" i="23"/>
  <c r="V46" i="23" s="1"/>
  <c r="V27" i="23"/>
  <c r="V26" i="23"/>
  <c r="T29" i="23"/>
  <c r="T28" i="23"/>
  <c r="T27" i="23"/>
  <c r="T26" i="23"/>
  <c r="T44" i="23"/>
  <c r="R29" i="23"/>
  <c r="R47" i="23" s="1"/>
  <c r="R28" i="23"/>
  <c r="R27" i="23"/>
  <c r="R26" i="23"/>
  <c r="R44" i="23" s="1"/>
  <c r="R50" i="23" s="1"/>
  <c r="P29" i="23"/>
  <c r="P28" i="23"/>
  <c r="P34" i="23" s="1"/>
  <c r="P58" i="23" s="1"/>
  <c r="P27" i="23"/>
  <c r="P26" i="23"/>
  <c r="P44" i="23" s="1"/>
  <c r="P50" i="23" s="1"/>
  <c r="N29" i="23"/>
  <c r="N28" i="23"/>
  <c r="N27" i="23"/>
  <c r="N45" i="23"/>
  <c r="N26" i="23"/>
  <c r="L29" i="23"/>
  <c r="L28" i="23"/>
  <c r="L34" i="23" s="1"/>
  <c r="L58" i="23" s="1"/>
  <c r="L27" i="23"/>
  <c r="L26" i="23"/>
  <c r="L32" i="23" s="1"/>
  <c r="L56" i="23" s="1"/>
  <c r="J29" i="23"/>
  <c r="J28" i="23"/>
  <c r="J27" i="23"/>
  <c r="J26" i="23"/>
  <c r="H29" i="23"/>
  <c r="H28" i="23"/>
  <c r="H27" i="23"/>
  <c r="H26" i="23"/>
  <c r="F29" i="23"/>
  <c r="F28" i="23"/>
  <c r="F46" i="23"/>
  <c r="F27" i="23"/>
  <c r="F26" i="23"/>
  <c r="F44" i="23" s="1"/>
  <c r="D29" i="23"/>
  <c r="D28" i="23"/>
  <c r="D27" i="23"/>
  <c r="D45" i="23" s="1"/>
  <c r="D51" i="23" s="1"/>
  <c r="D26" i="23"/>
  <c r="AP11" i="23"/>
  <c r="AP35" i="23"/>
  <c r="AP59" i="23" s="1"/>
  <c r="AP10" i="23"/>
  <c r="AP34" i="23" s="1"/>
  <c r="AP58" i="23" s="1"/>
  <c r="AP9" i="23"/>
  <c r="AN11" i="23"/>
  <c r="AN10" i="23"/>
  <c r="AN34" i="23"/>
  <c r="AN9" i="23"/>
  <c r="AJ11" i="23"/>
  <c r="AJ10" i="23"/>
  <c r="AJ9" i="23"/>
  <c r="AJ8" i="23"/>
  <c r="AH11" i="23"/>
  <c r="AH10" i="23"/>
  <c r="AH9" i="23"/>
  <c r="AH8" i="23"/>
  <c r="AH32" i="23"/>
  <c r="AH56" i="23" s="1"/>
  <c r="AF11" i="23"/>
  <c r="AF10" i="23"/>
  <c r="AF34" i="23"/>
  <c r="AF9" i="23"/>
  <c r="AF8" i="23"/>
  <c r="AD11" i="23"/>
  <c r="AD10" i="23"/>
  <c r="AD9" i="23"/>
  <c r="AD8" i="23"/>
  <c r="AB11" i="23"/>
  <c r="AB35" i="23" s="1"/>
  <c r="AB10" i="23"/>
  <c r="AB34" i="23" s="1"/>
  <c r="AB58" i="23" s="1"/>
  <c r="AB9" i="23"/>
  <c r="AB33" i="23"/>
  <c r="AB8" i="23"/>
  <c r="Z11" i="23"/>
  <c r="Z10" i="23"/>
  <c r="Z9" i="23"/>
  <c r="Z8" i="23"/>
  <c r="X11" i="23"/>
  <c r="X10" i="23"/>
  <c r="X9" i="23"/>
  <c r="X8" i="23"/>
  <c r="V11" i="23"/>
  <c r="V10" i="23"/>
  <c r="V9" i="23"/>
  <c r="V33" i="23" s="1"/>
  <c r="V57" i="23" s="1"/>
  <c r="V8" i="23"/>
  <c r="T11" i="23"/>
  <c r="T10" i="23"/>
  <c r="T9" i="23"/>
  <c r="T8" i="23"/>
  <c r="T32" i="23"/>
  <c r="R11" i="23"/>
  <c r="R10" i="23"/>
  <c r="R9" i="23"/>
  <c r="R8" i="23"/>
  <c r="R32" i="23" s="1"/>
  <c r="R56" i="23" s="1"/>
  <c r="P11" i="23"/>
  <c r="P35" i="23"/>
  <c r="P10" i="23"/>
  <c r="P9" i="23"/>
  <c r="P8" i="23"/>
  <c r="P32" i="23" s="1"/>
  <c r="P56" i="23" s="1"/>
  <c r="N11" i="23"/>
  <c r="N35" i="23" s="1"/>
  <c r="N59" i="23" s="1"/>
  <c r="N10" i="23"/>
  <c r="N9" i="23"/>
  <c r="N8" i="23"/>
  <c r="N32" i="23"/>
  <c r="L11" i="23"/>
  <c r="L10" i="23"/>
  <c r="L9" i="23"/>
  <c r="L8" i="23"/>
  <c r="J11" i="23"/>
  <c r="J35" i="23"/>
  <c r="J10" i="23"/>
  <c r="J9" i="23"/>
  <c r="J8" i="23"/>
  <c r="H11" i="23"/>
  <c r="H35" i="23" s="1"/>
  <c r="H10" i="23"/>
  <c r="H9" i="23"/>
  <c r="H8" i="23"/>
  <c r="F11" i="23"/>
  <c r="F35" i="23" s="1"/>
  <c r="F10" i="23"/>
  <c r="F9" i="23"/>
  <c r="F8" i="23"/>
  <c r="D11" i="23"/>
  <c r="D10" i="23"/>
  <c r="D9" i="23"/>
  <c r="D8" i="23"/>
  <c r="AR10" i="23"/>
  <c r="AR9" i="23"/>
  <c r="AL9" i="23"/>
  <c r="AL8" i="23"/>
  <c r="A3" i="23"/>
  <c r="AP35" i="11"/>
  <c r="AP34" i="11"/>
  <c r="AH35" i="11"/>
  <c r="AL31" i="11"/>
  <c r="AH31" i="11"/>
  <c r="AD31" i="11"/>
  <c r="AI31" i="11" s="1"/>
  <c r="Z31" i="11"/>
  <c r="V31" i="11"/>
  <c r="R31" i="11"/>
  <c r="J31" i="11"/>
  <c r="F31" i="11"/>
  <c r="D31" i="11"/>
  <c r="D30" i="11"/>
  <c r="G30" i="11" s="1"/>
  <c r="D29" i="11"/>
  <c r="G29" i="11" s="1"/>
  <c r="D28" i="11"/>
  <c r="G28" i="11" s="1"/>
  <c r="AT29" i="11"/>
  <c r="CM28" i="11"/>
  <c r="CI29" i="11"/>
  <c r="CI28" i="11"/>
  <c r="CE31" i="11"/>
  <c r="CE30" i="11"/>
  <c r="CE29" i="11"/>
  <c r="CE28" i="11"/>
  <c r="CA31" i="11"/>
  <c r="CA30" i="11"/>
  <c r="CA29" i="11"/>
  <c r="CA28" i="11"/>
  <c r="BW31" i="11"/>
  <c r="BW30" i="11"/>
  <c r="BW29" i="11"/>
  <c r="BW28" i="11"/>
  <c r="BS31" i="11"/>
  <c r="BS30" i="11"/>
  <c r="BS29" i="11"/>
  <c r="BS28" i="11"/>
  <c r="BO31" i="11"/>
  <c r="BO30" i="11"/>
  <c r="BO29" i="11"/>
  <c r="BO28" i="11"/>
  <c r="BK31" i="11"/>
  <c r="BK30" i="11"/>
  <c r="BK29" i="11"/>
  <c r="BK28" i="11"/>
  <c r="BG31" i="11"/>
  <c r="BG30" i="11"/>
  <c r="BG29" i="11"/>
  <c r="BG28" i="11"/>
  <c r="BC31" i="11"/>
  <c r="BC30" i="11"/>
  <c r="BC29" i="11"/>
  <c r="BC28" i="11"/>
  <c r="AY31" i="11"/>
  <c r="AY30" i="11"/>
  <c r="AY28" i="11"/>
  <c r="AU31" i="11"/>
  <c r="AU30" i="11"/>
  <c r="AU28" i="11"/>
  <c r="AQ30" i="11"/>
  <c r="AQ29" i="11"/>
  <c r="AQ28" i="11"/>
  <c r="AM30" i="11"/>
  <c r="AM29" i="11"/>
  <c r="AI30" i="11"/>
  <c r="AI29" i="11"/>
  <c r="AH28" i="11"/>
  <c r="AE30" i="11"/>
  <c r="AE29" i="11"/>
  <c r="AE28" i="11"/>
  <c r="AA30" i="11"/>
  <c r="AA29" i="11"/>
  <c r="AA28" i="11"/>
  <c r="W30" i="11"/>
  <c r="W29" i="11"/>
  <c r="W28" i="11"/>
  <c r="N31" i="11"/>
  <c r="N30" i="11"/>
  <c r="N29" i="11"/>
  <c r="N28" i="11"/>
  <c r="S28" i="11"/>
  <c r="K30" i="11"/>
  <c r="K29" i="11"/>
  <c r="J28" i="11"/>
  <c r="K28" i="11" s="1"/>
  <c r="AD25" i="11"/>
  <c r="AI25" i="11" s="1"/>
  <c r="Z25" i="11"/>
  <c r="AE25" i="11" s="1"/>
  <c r="V25" i="11"/>
  <c r="R25" i="11"/>
  <c r="N25" i="11"/>
  <c r="J25" i="11"/>
  <c r="K25" i="11" s="1"/>
  <c r="F25" i="11"/>
  <c r="CM23" i="11"/>
  <c r="CM22" i="11"/>
  <c r="CI24" i="11"/>
  <c r="CI23" i="11"/>
  <c r="CI22" i="11"/>
  <c r="CE25" i="11"/>
  <c r="CE24" i="11"/>
  <c r="CE23" i="11"/>
  <c r="CE22" i="11"/>
  <c r="CA25" i="11"/>
  <c r="CA24" i="11"/>
  <c r="CA23" i="11"/>
  <c r="CA22" i="11"/>
  <c r="BW25" i="11"/>
  <c r="BW24" i="11"/>
  <c r="BW23" i="11"/>
  <c r="BW22" i="11"/>
  <c r="BS25" i="11"/>
  <c r="BS24" i="11"/>
  <c r="BS23" i="11"/>
  <c r="BS22" i="11"/>
  <c r="BO25" i="11"/>
  <c r="BO24" i="11"/>
  <c r="BO23" i="11"/>
  <c r="BO22" i="11"/>
  <c r="BK25" i="11"/>
  <c r="BK24" i="11"/>
  <c r="BK23" i="11"/>
  <c r="BK22" i="11"/>
  <c r="BG25" i="11"/>
  <c r="BG24" i="11"/>
  <c r="BG23" i="11"/>
  <c r="BG22" i="11"/>
  <c r="BC25" i="11"/>
  <c r="BC24" i="11"/>
  <c r="BC23" i="11"/>
  <c r="BC22" i="11"/>
  <c r="AY25" i="11"/>
  <c r="AY24" i="11"/>
  <c r="AY23" i="11"/>
  <c r="AY22" i="11"/>
  <c r="AU25" i="11"/>
  <c r="AU24" i="11"/>
  <c r="AU23" i="11"/>
  <c r="AU22" i="11"/>
  <c r="AQ25" i="11"/>
  <c r="AQ24" i="11"/>
  <c r="AQ23" i="11"/>
  <c r="AQ22" i="11"/>
  <c r="AM25" i="11"/>
  <c r="AM24" i="11"/>
  <c r="AM23" i="11"/>
  <c r="AM22" i="11"/>
  <c r="AI24" i="11"/>
  <c r="AI23" i="11"/>
  <c r="AI22" i="11"/>
  <c r="AE24" i="11"/>
  <c r="AE23" i="11"/>
  <c r="AE22" i="11"/>
  <c r="AA24" i="11"/>
  <c r="AA23" i="11"/>
  <c r="AA22" i="11"/>
  <c r="W24" i="11"/>
  <c r="W23" i="11"/>
  <c r="W22" i="11"/>
  <c r="S24" i="11"/>
  <c r="S23" i="11"/>
  <c r="S22" i="11"/>
  <c r="O24" i="11"/>
  <c r="O23" i="11"/>
  <c r="O22" i="11"/>
  <c r="K24" i="11"/>
  <c r="K23" i="11"/>
  <c r="K22" i="11"/>
  <c r="G24" i="11"/>
  <c r="G23" i="11"/>
  <c r="G22" i="11"/>
  <c r="D19" i="11"/>
  <c r="D18" i="11"/>
  <c r="D36" i="11"/>
  <c r="D17" i="11"/>
  <c r="D35" i="11" s="1"/>
  <c r="D16" i="11"/>
  <c r="D34" i="11"/>
  <c r="AP19" i="11"/>
  <c r="AP18" i="11"/>
  <c r="AH19" i="11"/>
  <c r="AH18" i="11"/>
  <c r="AI18" i="11" s="1"/>
  <c r="CH18" i="11"/>
  <c r="CH36" i="11" s="1"/>
  <c r="CM18" i="11"/>
  <c r="CH17" i="11"/>
  <c r="CH35" i="11" s="1"/>
  <c r="CH16" i="11"/>
  <c r="CH34" i="11"/>
  <c r="CD19" i="11"/>
  <c r="CD37" i="11" s="1"/>
  <c r="CE37" i="11" s="1"/>
  <c r="CD18" i="11"/>
  <c r="CD17" i="11"/>
  <c r="CD35" i="11" s="1"/>
  <c r="CE16" i="11"/>
  <c r="CD16" i="11"/>
  <c r="CD34" i="11" s="1"/>
  <c r="BZ19" i="11"/>
  <c r="BZ18" i="11"/>
  <c r="BZ17" i="11"/>
  <c r="BZ16" i="11"/>
  <c r="BZ34" i="11"/>
  <c r="BV19" i="11"/>
  <c r="BV18" i="11"/>
  <c r="BW18" i="11" s="1"/>
  <c r="BV36" i="11"/>
  <c r="BV17" i="11"/>
  <c r="BV16" i="11"/>
  <c r="BR19" i="11"/>
  <c r="BR37" i="11" s="1"/>
  <c r="BR18" i="11"/>
  <c r="BR36" i="11" s="1"/>
  <c r="BV42" i="11" s="1"/>
  <c r="BR17" i="11"/>
  <c r="BS17" i="11" s="1"/>
  <c r="BR16" i="11"/>
  <c r="BN19" i="11"/>
  <c r="BN37" i="11"/>
  <c r="BN18" i="11"/>
  <c r="BN17" i="11"/>
  <c r="BN35" i="11" s="1"/>
  <c r="BO16" i="11"/>
  <c r="BN16" i="11"/>
  <c r="BN34" i="11" s="1"/>
  <c r="BJ19" i="11"/>
  <c r="BJ18" i="11"/>
  <c r="BJ17" i="11"/>
  <c r="BJ16" i="11"/>
  <c r="BJ34" i="11" s="1"/>
  <c r="BJ40" i="11" s="1"/>
  <c r="BF19" i="11"/>
  <c r="BF37" i="11" s="1"/>
  <c r="BF18" i="11"/>
  <c r="BG18" i="11"/>
  <c r="BF36" i="11"/>
  <c r="BF17" i="11"/>
  <c r="BF16" i="11"/>
  <c r="BB19" i="11"/>
  <c r="BB37" i="11" s="1"/>
  <c r="BB18" i="11"/>
  <c r="BB36" i="11" s="1"/>
  <c r="BB17" i="11"/>
  <c r="BB16" i="11"/>
  <c r="AX19" i="11"/>
  <c r="AX37" i="11" s="1"/>
  <c r="AX18" i="11"/>
  <c r="AX36" i="11" s="1"/>
  <c r="AX17" i="11"/>
  <c r="AX35" i="11" s="1"/>
  <c r="AX41" i="11" s="1"/>
  <c r="AX16" i="11"/>
  <c r="AX34" i="11" s="1"/>
  <c r="AT19" i="11"/>
  <c r="AU19" i="11"/>
  <c r="AT18" i="11"/>
  <c r="AT17" i="11"/>
  <c r="AT16" i="11"/>
  <c r="AU16" i="11"/>
  <c r="AT34" i="11"/>
  <c r="AL19" i="11"/>
  <c r="AM19" i="11" s="1"/>
  <c r="AL18" i="11"/>
  <c r="AL17" i="11"/>
  <c r="AM17" i="11" s="1"/>
  <c r="AL16" i="11"/>
  <c r="AH16" i="11"/>
  <c r="AD19" i="11"/>
  <c r="AD18" i="11"/>
  <c r="AD36" i="11"/>
  <c r="AD17" i="11"/>
  <c r="AD16" i="11"/>
  <c r="AE16" i="11" s="1"/>
  <c r="Z19" i="11"/>
  <c r="Z18" i="11"/>
  <c r="Z17" i="11"/>
  <c r="Z16" i="11"/>
  <c r="Z34" i="11"/>
  <c r="AA34" i="11" s="1"/>
  <c r="V19" i="11"/>
  <c r="V18" i="11"/>
  <c r="V36" i="11"/>
  <c r="V17" i="11"/>
  <c r="V35" i="11" s="1"/>
  <c r="V16" i="11"/>
  <c r="W16" i="11" s="1"/>
  <c r="R19" i="11"/>
  <c r="W19" i="11" s="1"/>
  <c r="R18" i="11"/>
  <c r="R17" i="11"/>
  <c r="R35" i="11" s="1"/>
  <c r="R16" i="11"/>
  <c r="N19" i="11"/>
  <c r="N18" i="11"/>
  <c r="N36" i="11" s="1"/>
  <c r="O36" i="11" s="1"/>
  <c r="N17" i="11"/>
  <c r="S17" i="11"/>
  <c r="N16" i="11"/>
  <c r="J19" i="11"/>
  <c r="J18" i="11"/>
  <c r="J36" i="11"/>
  <c r="J17" i="11"/>
  <c r="J35" i="11" s="1"/>
  <c r="J16" i="11"/>
  <c r="J34" i="11"/>
  <c r="F19" i="11"/>
  <c r="F18" i="11"/>
  <c r="F36" i="11" s="1"/>
  <c r="F17" i="11"/>
  <c r="F16" i="11"/>
  <c r="G16" i="11" s="1"/>
  <c r="AT13" i="11"/>
  <c r="AY13" i="11"/>
  <c r="AP13" i="11"/>
  <c r="AL13" i="11"/>
  <c r="AH13" i="11"/>
  <c r="AH37" i="11"/>
  <c r="AD13" i="11"/>
  <c r="Z13" i="11"/>
  <c r="Z37" i="11" s="1"/>
  <c r="V13" i="11"/>
  <c r="H49" i="10" s="1"/>
  <c r="R13" i="11"/>
  <c r="N13" i="11"/>
  <c r="O13" i="11"/>
  <c r="J13" i="11"/>
  <c r="F13" i="11"/>
  <c r="CI12" i="11"/>
  <c r="CI11" i="11"/>
  <c r="CI10" i="11"/>
  <c r="CE13" i="11"/>
  <c r="CE12" i="11"/>
  <c r="CE11" i="11"/>
  <c r="CE10" i="11"/>
  <c r="CA13" i="11"/>
  <c r="CA12" i="11"/>
  <c r="CA11" i="11"/>
  <c r="CA10" i="11"/>
  <c r="BW13" i="11"/>
  <c r="BW12" i="11"/>
  <c r="BW11" i="11"/>
  <c r="BW10" i="11"/>
  <c r="BS13" i="11"/>
  <c r="BS12" i="11"/>
  <c r="BS11" i="11"/>
  <c r="BS10" i="11"/>
  <c r="BO13" i="11"/>
  <c r="BO12" i="11"/>
  <c r="BO11" i="11"/>
  <c r="BO10" i="11"/>
  <c r="BK13" i="11"/>
  <c r="BK12" i="11"/>
  <c r="BK11" i="11"/>
  <c r="BK10" i="11"/>
  <c r="BG13" i="11"/>
  <c r="BG12" i="11"/>
  <c r="BG11" i="11"/>
  <c r="BG10" i="11"/>
  <c r="BC13" i="11"/>
  <c r="BC12" i="11"/>
  <c r="BC11" i="11"/>
  <c r="BC10" i="11"/>
  <c r="AY12" i="11"/>
  <c r="AY11" i="11"/>
  <c r="AY10" i="11"/>
  <c r="AU12" i="11"/>
  <c r="AU11" i="11"/>
  <c r="AU10" i="11"/>
  <c r="AQ12" i="11"/>
  <c r="AQ11" i="11"/>
  <c r="AQ10" i="11"/>
  <c r="AM12" i="11"/>
  <c r="AM11" i="11"/>
  <c r="AM10" i="11"/>
  <c r="AI12" i="11"/>
  <c r="AI11" i="11"/>
  <c r="AI10" i="11"/>
  <c r="AE12" i="11"/>
  <c r="AE11" i="11"/>
  <c r="AE10" i="11"/>
  <c r="AA12" i="11"/>
  <c r="AA11" i="11"/>
  <c r="AA10" i="11"/>
  <c r="W12" i="11"/>
  <c r="W11" i="11"/>
  <c r="W10" i="11"/>
  <c r="S12" i="11"/>
  <c r="S11" i="11"/>
  <c r="S10" i="11"/>
  <c r="O12" i="11"/>
  <c r="O11" i="11"/>
  <c r="O10" i="11"/>
  <c r="K12" i="11"/>
  <c r="K11" i="11"/>
  <c r="K10" i="11"/>
  <c r="G12" i="11"/>
  <c r="G11" i="11"/>
  <c r="G10" i="11"/>
  <c r="B13" i="11"/>
  <c r="B11" i="23" s="1"/>
  <c r="B17" i="23" s="1"/>
  <c r="B23" i="23" s="1"/>
  <c r="B29" i="23" s="1"/>
  <c r="B35" i="23" s="1"/>
  <c r="B41" i="23" s="1"/>
  <c r="B47" i="23" s="1"/>
  <c r="B53" i="23" s="1"/>
  <c r="B59" i="23" s="1"/>
  <c r="A13" i="11"/>
  <c r="A19" i="11" s="1"/>
  <c r="B12" i="11"/>
  <c r="B10" i="23"/>
  <c r="B16" i="23" s="1"/>
  <c r="B22" i="23" s="1"/>
  <c r="B28" i="23" s="1"/>
  <c r="B34" i="23" s="1"/>
  <c r="B40" i="23" s="1"/>
  <c r="B46" i="23" s="1"/>
  <c r="B52" i="23" s="1"/>
  <c r="B58" i="23" s="1"/>
  <c r="A12" i="11"/>
  <c r="A10" i="23" s="1"/>
  <c r="A16" i="23" s="1"/>
  <c r="A22" i="23" s="1"/>
  <c r="A28" i="23" s="1"/>
  <c r="A34" i="23" s="1"/>
  <c r="A40" i="23" s="1"/>
  <c r="A46" i="23" s="1"/>
  <c r="A52" i="23" s="1"/>
  <c r="A58" i="23" s="1"/>
  <c r="B11" i="11"/>
  <c r="B9" i="23" s="1"/>
  <c r="B15" i="23" s="1"/>
  <c r="B21" i="23" s="1"/>
  <c r="B27" i="23" s="1"/>
  <c r="B33" i="23" s="1"/>
  <c r="B39" i="23" s="1"/>
  <c r="B45" i="23" s="1"/>
  <c r="B51" i="23" s="1"/>
  <c r="B57" i="23" s="1"/>
  <c r="A11" i="11"/>
  <c r="B10" i="11"/>
  <c r="A10" i="11"/>
  <c r="F7" i="11"/>
  <c r="D6" i="23" s="1"/>
  <c r="A3" i="11"/>
  <c r="D169" i="10"/>
  <c r="F160" i="10"/>
  <c r="F159" i="10"/>
  <c r="F158" i="10"/>
  <c r="D160" i="10"/>
  <c r="D159" i="10"/>
  <c r="D158" i="10"/>
  <c r="H159" i="10"/>
  <c r="H158" i="10"/>
  <c r="F154" i="10"/>
  <c r="F153" i="10"/>
  <c r="F152" i="10"/>
  <c r="D154" i="10"/>
  <c r="D153" i="10"/>
  <c r="D152" i="10"/>
  <c r="D151" i="10"/>
  <c r="H154" i="10"/>
  <c r="H153" i="10"/>
  <c r="P153" i="10" s="1"/>
  <c r="H152" i="10"/>
  <c r="H151" i="10"/>
  <c r="F146" i="10"/>
  <c r="F145" i="10"/>
  <c r="F144" i="10"/>
  <c r="D147" i="10"/>
  <c r="D146" i="10"/>
  <c r="D145" i="10"/>
  <c r="D144" i="10"/>
  <c r="H147" i="10"/>
  <c r="H146" i="10"/>
  <c r="H145" i="10"/>
  <c r="J146" i="10" s="1"/>
  <c r="H144" i="10"/>
  <c r="F140" i="10"/>
  <c r="F139" i="10"/>
  <c r="F138" i="10"/>
  <c r="F137" i="10"/>
  <c r="D140" i="10"/>
  <c r="D139" i="10"/>
  <c r="D138" i="10"/>
  <c r="D137" i="10"/>
  <c r="H140" i="10"/>
  <c r="H139" i="10"/>
  <c r="H138" i="10"/>
  <c r="H137" i="10"/>
  <c r="F133" i="10"/>
  <c r="F132" i="10"/>
  <c r="F131" i="10"/>
  <c r="D133" i="10"/>
  <c r="D132" i="10"/>
  <c r="D131" i="10"/>
  <c r="D130" i="10"/>
  <c r="H133" i="10"/>
  <c r="H132" i="10"/>
  <c r="H131" i="10"/>
  <c r="H130" i="10"/>
  <c r="F126" i="10"/>
  <c r="F125" i="10"/>
  <c r="F124" i="10"/>
  <c r="F123" i="10"/>
  <c r="D126" i="10"/>
  <c r="D125" i="10"/>
  <c r="D124" i="10"/>
  <c r="L131" i="10" s="1"/>
  <c r="D123" i="10"/>
  <c r="H126" i="10"/>
  <c r="H125" i="10"/>
  <c r="J126" i="10" s="1"/>
  <c r="H124" i="10"/>
  <c r="H123" i="10"/>
  <c r="F119" i="10"/>
  <c r="F118" i="10"/>
  <c r="F117" i="10"/>
  <c r="F116" i="10"/>
  <c r="D119" i="10"/>
  <c r="D118" i="10"/>
  <c r="D117" i="10"/>
  <c r="D116" i="10"/>
  <c r="H119" i="10"/>
  <c r="H118" i="10"/>
  <c r="H117" i="10"/>
  <c r="H116" i="10"/>
  <c r="J117" i="10" s="1"/>
  <c r="F112" i="10"/>
  <c r="F111" i="10"/>
  <c r="F110" i="10"/>
  <c r="F109" i="10"/>
  <c r="D112" i="10"/>
  <c r="D111" i="10"/>
  <c r="D110" i="10"/>
  <c r="D109" i="10"/>
  <c r="H112" i="10"/>
  <c r="H111" i="10"/>
  <c r="H110" i="10"/>
  <c r="H109" i="10"/>
  <c r="F105" i="10"/>
  <c r="F104" i="10"/>
  <c r="F103" i="10"/>
  <c r="F102" i="10"/>
  <c r="D105" i="10"/>
  <c r="D104" i="10"/>
  <c r="D103" i="10"/>
  <c r="D102" i="10"/>
  <c r="H105" i="10"/>
  <c r="H104" i="10"/>
  <c r="H103" i="10"/>
  <c r="H102" i="10"/>
  <c r="F98" i="10"/>
  <c r="F97" i="10"/>
  <c r="F96" i="10"/>
  <c r="F95" i="10"/>
  <c r="D98" i="10"/>
  <c r="D97" i="10"/>
  <c r="D96" i="10"/>
  <c r="D95" i="10"/>
  <c r="H98" i="10"/>
  <c r="H97" i="10"/>
  <c r="H96" i="10"/>
  <c r="H95" i="10"/>
  <c r="F91" i="10"/>
  <c r="F90" i="10"/>
  <c r="F89" i="10"/>
  <c r="F88" i="10"/>
  <c r="D91" i="10"/>
  <c r="D90" i="10"/>
  <c r="D89" i="10"/>
  <c r="D88" i="10"/>
  <c r="H91" i="10"/>
  <c r="H90" i="10"/>
  <c r="H89" i="10"/>
  <c r="J90" i="10" s="1"/>
  <c r="H88" i="10"/>
  <c r="J89" i="10" s="1"/>
  <c r="F84" i="10"/>
  <c r="F83" i="10"/>
  <c r="F82" i="10"/>
  <c r="F81" i="10"/>
  <c r="D84" i="10"/>
  <c r="D83" i="10"/>
  <c r="D82" i="10"/>
  <c r="D81" i="10"/>
  <c r="H84" i="10"/>
  <c r="H83" i="10"/>
  <c r="H82" i="10"/>
  <c r="H81" i="10"/>
  <c r="F77" i="10"/>
  <c r="F76" i="10"/>
  <c r="F75" i="10"/>
  <c r="F74" i="10"/>
  <c r="D77" i="10"/>
  <c r="D76" i="10"/>
  <c r="D75" i="10"/>
  <c r="D74" i="10"/>
  <c r="D78" i="10" s="1"/>
  <c r="H77" i="10"/>
  <c r="H76" i="10"/>
  <c r="H75" i="10"/>
  <c r="H74" i="10"/>
  <c r="F70" i="10"/>
  <c r="F69" i="10"/>
  <c r="F68" i="10"/>
  <c r="F67" i="10"/>
  <c r="D70" i="10"/>
  <c r="D69" i="10"/>
  <c r="D68" i="10"/>
  <c r="D67" i="10"/>
  <c r="D71" i="10" s="1"/>
  <c r="H70" i="10"/>
  <c r="H69" i="10"/>
  <c r="H68" i="10"/>
  <c r="H67" i="10"/>
  <c r="J68" i="10" s="1"/>
  <c r="F63" i="10"/>
  <c r="F62" i="10"/>
  <c r="F61" i="10"/>
  <c r="F60" i="10"/>
  <c r="D63" i="10"/>
  <c r="D62" i="10"/>
  <c r="D61" i="10"/>
  <c r="D60" i="10"/>
  <c r="H62" i="10"/>
  <c r="H61" i="10"/>
  <c r="H60" i="10"/>
  <c r="F56" i="10"/>
  <c r="F55" i="10"/>
  <c r="F54" i="10"/>
  <c r="F53" i="10"/>
  <c r="D56" i="10"/>
  <c r="D55" i="10"/>
  <c r="D54" i="10"/>
  <c r="D53" i="10"/>
  <c r="H55" i="10"/>
  <c r="H54" i="10"/>
  <c r="H53" i="10"/>
  <c r="D49" i="10"/>
  <c r="D48" i="10"/>
  <c r="D47" i="10"/>
  <c r="D46" i="10"/>
  <c r="H48" i="10"/>
  <c r="H47" i="10"/>
  <c r="H46" i="10"/>
  <c r="D42" i="10"/>
  <c r="D41" i="10"/>
  <c r="D40" i="10"/>
  <c r="D43" i="10" s="1"/>
  <c r="D39" i="10"/>
  <c r="L46" i="10" s="1"/>
  <c r="H41" i="10"/>
  <c r="H40" i="10"/>
  <c r="H39" i="10"/>
  <c r="D35" i="10"/>
  <c r="D34" i="10"/>
  <c r="D33" i="10"/>
  <c r="D32" i="10"/>
  <c r="V34" i="10"/>
  <c r="V32" i="10"/>
  <c r="H35" i="10"/>
  <c r="H34" i="10"/>
  <c r="N41" i="10" s="1"/>
  <c r="H33" i="10"/>
  <c r="H32" i="10"/>
  <c r="D28" i="10"/>
  <c r="D27" i="10"/>
  <c r="D26" i="10"/>
  <c r="D25" i="10"/>
  <c r="H27" i="10"/>
  <c r="H26" i="10"/>
  <c r="H25" i="10"/>
  <c r="F20" i="10"/>
  <c r="F19" i="10"/>
  <c r="F18" i="10"/>
  <c r="D20" i="10"/>
  <c r="L27" i="10" s="1"/>
  <c r="D19" i="10"/>
  <c r="D18" i="10"/>
  <c r="B17" i="10"/>
  <c r="B24" i="10" s="1"/>
  <c r="B31" i="10" s="1"/>
  <c r="B38" i="10" s="1"/>
  <c r="B45" i="10" s="1"/>
  <c r="B52" i="10" s="1"/>
  <c r="B59" i="10" s="1"/>
  <c r="B66" i="10" s="1"/>
  <c r="B73" i="10" s="1"/>
  <c r="B80" i="10" s="1"/>
  <c r="B87" i="10" s="1"/>
  <c r="B94" i="10" s="1"/>
  <c r="B101" i="10" s="1"/>
  <c r="B108" i="10" s="1"/>
  <c r="B115" i="10" s="1"/>
  <c r="B122" i="10" s="1"/>
  <c r="B129" i="10" s="1"/>
  <c r="B136" i="10" s="1"/>
  <c r="B143" i="10" s="1"/>
  <c r="B150" i="10" s="1"/>
  <c r="B157" i="10" s="1"/>
  <c r="B164" i="10" s="1"/>
  <c r="B171" i="10" s="1"/>
  <c r="H20" i="10"/>
  <c r="N20" i="10" s="1"/>
  <c r="H19" i="10"/>
  <c r="H18" i="10"/>
  <c r="F13" i="10"/>
  <c r="F12" i="10"/>
  <c r="F11" i="10"/>
  <c r="D13" i="10"/>
  <c r="D12" i="10"/>
  <c r="D11" i="10"/>
  <c r="B15" i="10"/>
  <c r="B14" i="10"/>
  <c r="B13" i="10"/>
  <c r="B12" i="10"/>
  <c r="B11" i="10"/>
  <c r="AB13" i="10"/>
  <c r="AB12" i="10"/>
  <c r="AB11" i="10"/>
  <c r="V11" i="10"/>
  <c r="H14" i="10"/>
  <c r="P18" i="10" s="1"/>
  <c r="H13" i="10"/>
  <c r="H12" i="10"/>
  <c r="H11" i="10"/>
  <c r="A14" i="10"/>
  <c r="A13" i="10"/>
  <c r="A12" i="10"/>
  <c r="A11" i="10"/>
  <c r="AP63" i="3"/>
  <c r="AN63" i="3"/>
  <c r="AN61" i="3" s="1"/>
  <c r="AL63" i="3"/>
  <c r="AJ63" i="3"/>
  <c r="AJ61" i="3" s="1"/>
  <c r="AJ62" i="3" s="1"/>
  <c r="AH63" i="3"/>
  <c r="AH61" i="3" s="1"/>
  <c r="AH62" i="3" s="1"/>
  <c r="AF63" i="3"/>
  <c r="AD63" i="3"/>
  <c r="AD61" i="3" s="1"/>
  <c r="AB63" i="3"/>
  <c r="AB61" i="3" s="1"/>
  <c r="AB62" i="3" s="1"/>
  <c r="Z63" i="3"/>
  <c r="V63" i="3"/>
  <c r="V62" i="3"/>
  <c r="V61" i="3"/>
  <c r="T63" i="3"/>
  <c r="R63" i="3"/>
  <c r="R61" i="3"/>
  <c r="R62" i="3" s="1"/>
  <c r="P63" i="3"/>
  <c r="P62" i="3" s="1"/>
  <c r="P61" i="3"/>
  <c r="N63" i="3"/>
  <c r="N61" i="3" s="1"/>
  <c r="N62" i="3" s="1"/>
  <c r="L63" i="3"/>
  <c r="L61" i="3"/>
  <c r="J63" i="3"/>
  <c r="AP58" i="3"/>
  <c r="AN58" i="3"/>
  <c r="AL58" i="3"/>
  <c r="AJ58" i="3"/>
  <c r="AH58" i="3"/>
  <c r="AF58" i="3"/>
  <c r="AD58" i="3"/>
  <c r="AB58" i="3"/>
  <c r="Z58" i="3"/>
  <c r="X58" i="3"/>
  <c r="V58" i="3"/>
  <c r="V57" i="3" s="1"/>
  <c r="T58" i="3"/>
  <c r="T57" i="3" s="1"/>
  <c r="R58" i="3"/>
  <c r="P58" i="3"/>
  <c r="P59" i="3"/>
  <c r="N59" i="3"/>
  <c r="N58" i="3"/>
  <c r="N57" i="3" s="1"/>
  <c r="L58" i="3"/>
  <c r="L57" i="3" s="1"/>
  <c r="J58" i="3"/>
  <c r="D44" i="3"/>
  <c r="P42" i="3"/>
  <c r="AP40" i="3"/>
  <c r="AN40" i="3"/>
  <c r="AL40" i="3"/>
  <c r="AL42" i="3"/>
  <c r="AJ40" i="3"/>
  <c r="AH40" i="3"/>
  <c r="AF40" i="3"/>
  <c r="AF42" i="3"/>
  <c r="AD40" i="3"/>
  <c r="AD42" i="3" s="1"/>
  <c r="AB40" i="3"/>
  <c r="AB42" i="3"/>
  <c r="Z40" i="3"/>
  <c r="X40" i="3"/>
  <c r="X42" i="3" s="1"/>
  <c r="V40" i="3"/>
  <c r="V42" i="3" s="1"/>
  <c r="T40" i="3"/>
  <c r="T42" i="3" s="1"/>
  <c r="R40" i="3"/>
  <c r="N40" i="3"/>
  <c r="L40" i="3"/>
  <c r="L39" i="3"/>
  <c r="L38" i="3"/>
  <c r="J40" i="3"/>
  <c r="J39" i="3"/>
  <c r="J38" i="3"/>
  <c r="H40" i="3"/>
  <c r="H39" i="3"/>
  <c r="H38" i="3"/>
  <c r="F40" i="3"/>
  <c r="F39" i="3"/>
  <c r="F38" i="3"/>
  <c r="D40" i="3"/>
  <c r="D39" i="3"/>
  <c r="D38" i="3"/>
  <c r="BW39" i="3"/>
  <c r="BX39" i="3" s="1"/>
  <c r="BU39" i="3"/>
  <c r="BV39" i="3" s="1"/>
  <c r="BW38" i="3"/>
  <c r="BX38" i="3" s="1"/>
  <c r="BM38" i="3"/>
  <c r="BG60" i="2"/>
  <c r="BK38" i="3"/>
  <c r="AP38" i="3"/>
  <c r="AN38" i="3"/>
  <c r="AJ38" i="3"/>
  <c r="AJ42" i="3" s="1"/>
  <c r="AH38" i="3"/>
  <c r="Z38" i="3"/>
  <c r="R38" i="3"/>
  <c r="N38" i="3"/>
  <c r="Q60" i="2" s="1"/>
  <c r="AP29" i="3"/>
  <c r="AP31" i="3" s="1"/>
  <c r="AN29" i="3"/>
  <c r="AN31" i="3" s="1"/>
  <c r="AL29" i="3"/>
  <c r="AL31" i="3"/>
  <c r="AJ29" i="3"/>
  <c r="AJ31" i="3" s="1"/>
  <c r="AH29" i="3"/>
  <c r="AH31" i="3"/>
  <c r="AF29" i="3"/>
  <c r="AF31" i="3" s="1"/>
  <c r="AD29" i="3"/>
  <c r="AD31" i="3"/>
  <c r="AB29" i="3"/>
  <c r="AB31" i="3" s="1"/>
  <c r="Z29" i="3"/>
  <c r="Z31" i="3"/>
  <c r="X29" i="3"/>
  <c r="X31" i="3" s="1"/>
  <c r="T29" i="3"/>
  <c r="T31" i="3" s="1"/>
  <c r="R29" i="3"/>
  <c r="R31" i="3" s="1"/>
  <c r="P29" i="3"/>
  <c r="P31" i="3"/>
  <c r="BW27" i="3"/>
  <c r="BX27" i="3" s="1"/>
  <c r="BU27" i="3"/>
  <c r="BV27" i="3" s="1"/>
  <c r="BS27" i="3"/>
  <c r="BT27" i="3" s="1"/>
  <c r="BQ27" i="3"/>
  <c r="BR27" i="3"/>
  <c r="BW25" i="3"/>
  <c r="BX25" i="3" s="1"/>
  <c r="BU25" i="3"/>
  <c r="BV25" i="3" s="1"/>
  <c r="BS25" i="3"/>
  <c r="BT25" i="3" s="1"/>
  <c r="BQ25" i="3"/>
  <c r="BR25" i="3" s="1"/>
  <c r="BM25" i="3"/>
  <c r="BN25" i="3" s="1"/>
  <c r="BK25" i="3"/>
  <c r="BL25" i="3" s="1"/>
  <c r="N24" i="3"/>
  <c r="N29" i="3" s="1"/>
  <c r="N31" i="3" s="1"/>
  <c r="L24" i="3"/>
  <c r="L29" i="3"/>
  <c r="L31" i="3" s="1"/>
  <c r="J24" i="3"/>
  <c r="J29" i="3"/>
  <c r="J31" i="3" s="1"/>
  <c r="H24" i="3"/>
  <c r="H29" i="3" s="1"/>
  <c r="H31" i="3" s="1"/>
  <c r="F24" i="3"/>
  <c r="F29" i="3" s="1"/>
  <c r="F31" i="3" s="1"/>
  <c r="D24" i="3"/>
  <c r="D29" i="3" s="1"/>
  <c r="D31" i="3" s="1"/>
  <c r="BW24" i="3"/>
  <c r="BX24" i="3" s="1"/>
  <c r="BW23" i="3"/>
  <c r="BX23" i="3" s="1"/>
  <c r="BU23" i="3"/>
  <c r="BV23" i="3" s="1"/>
  <c r="BS23" i="3"/>
  <c r="BT23" i="3" s="1"/>
  <c r="BQ23" i="3"/>
  <c r="BR23" i="3" s="1"/>
  <c r="BM23" i="3"/>
  <c r="BN23" i="3" s="1"/>
  <c r="BK23" i="3"/>
  <c r="BL23" i="3" s="1"/>
  <c r="V23" i="3"/>
  <c r="V29" i="3" s="1"/>
  <c r="V31" i="3" s="1"/>
  <c r="X20" i="3"/>
  <c r="X63" i="3"/>
  <c r="AF15" i="3"/>
  <c r="AD15" i="3"/>
  <c r="AB15" i="3"/>
  <c r="Z15" i="3"/>
  <c r="X15" i="3"/>
  <c r="L15" i="3"/>
  <c r="J15" i="3"/>
  <c r="H15" i="3"/>
  <c r="BW13" i="3"/>
  <c r="BX13" i="3" s="1"/>
  <c r="BU13" i="3"/>
  <c r="BV13" i="3" s="1"/>
  <c r="BS13" i="3"/>
  <c r="BT13" i="3" s="1"/>
  <c r="BQ13" i="3"/>
  <c r="BR13" i="3" s="1"/>
  <c r="BM13" i="3"/>
  <c r="BN13" i="3" s="1"/>
  <c r="BK13" i="3"/>
  <c r="BL13" i="3" s="1"/>
  <c r="AZ12" i="3"/>
  <c r="AX12" i="3"/>
  <c r="AV12" i="3"/>
  <c r="H13" i="3"/>
  <c r="AP12" i="3"/>
  <c r="AN12" i="3"/>
  <c r="AL12" i="3"/>
  <c r="AJ12" i="3"/>
  <c r="AH12" i="3"/>
  <c r="AF12" i="3"/>
  <c r="AD12" i="3"/>
  <c r="AB12" i="3"/>
  <c r="Z12" i="3"/>
  <c r="F8" i="3"/>
  <c r="H8" i="3" s="1"/>
  <c r="J8" i="3" s="1"/>
  <c r="L8" i="3" s="1"/>
  <c r="N8" i="3" s="1"/>
  <c r="P8" i="3" s="1"/>
  <c r="A3" i="3"/>
  <c r="AS104" i="2"/>
  <c r="AQ104" i="2"/>
  <c r="AO104" i="2"/>
  <c r="AM104" i="2"/>
  <c r="AK104" i="2"/>
  <c r="AI104" i="2"/>
  <c r="AG104" i="2"/>
  <c r="AG102" i="2"/>
  <c r="AI102" i="2" s="1"/>
  <c r="AE104" i="2"/>
  <c r="AC104" i="2"/>
  <c r="AC110" i="2"/>
  <c r="AA104" i="2"/>
  <c r="Y104" i="2"/>
  <c r="W104" i="2"/>
  <c r="U104" i="2"/>
  <c r="S104" i="2"/>
  <c r="Q104" i="2"/>
  <c r="S110" i="2" s="1"/>
  <c r="AS96" i="2"/>
  <c r="AS94" i="2"/>
  <c r="AQ96" i="2"/>
  <c r="AQ94" i="2"/>
  <c r="AO96" i="2"/>
  <c r="AO94" i="2"/>
  <c r="AM94" i="2"/>
  <c r="AK94" i="2"/>
  <c r="AI94" i="2"/>
  <c r="AG94" i="2"/>
  <c r="AE94" i="2"/>
  <c r="AC94" i="2"/>
  <c r="AA94" i="2"/>
  <c r="Y94" i="2"/>
  <c r="W94" i="2"/>
  <c r="U94" i="2"/>
  <c r="S96" i="2"/>
  <c r="S103" i="2" s="1"/>
  <c r="S94" i="2"/>
  <c r="S93" i="2"/>
  <c r="Q96" i="2"/>
  <c r="Q103" i="2" s="1"/>
  <c r="Q94" i="2"/>
  <c r="Q93" i="2"/>
  <c r="Q95" i="2" s="1"/>
  <c r="BC83" i="2"/>
  <c r="BA83" i="2"/>
  <c r="AY83" i="2"/>
  <c r="AW83" i="2"/>
  <c r="AU83" i="2"/>
  <c r="AS83" i="2"/>
  <c r="AQ83" i="2"/>
  <c r="AO83" i="2"/>
  <c r="AM83" i="2"/>
  <c r="AK83" i="2"/>
  <c r="AI83" i="2"/>
  <c r="AG83" i="2"/>
  <c r="AE83" i="2"/>
  <c r="AC83" i="2"/>
  <c r="AA83" i="2"/>
  <c r="Y83" i="2"/>
  <c r="W83" i="2"/>
  <c r="U83" i="2"/>
  <c r="S83" i="2"/>
  <c r="Q83" i="2"/>
  <c r="O83" i="2"/>
  <c r="M83" i="2"/>
  <c r="AQ74" i="2"/>
  <c r="AO74" i="2"/>
  <c r="AM74" i="2"/>
  <c r="AK74" i="2"/>
  <c r="AI74" i="2"/>
  <c r="AG74" i="2"/>
  <c r="AE74" i="2"/>
  <c r="AC74" i="2"/>
  <c r="AA74" i="2"/>
  <c r="Y74" i="2"/>
  <c r="W74" i="2"/>
  <c r="U74" i="2"/>
  <c r="S74" i="2"/>
  <c r="Q74" i="2"/>
  <c r="O74" i="2"/>
  <c r="M74" i="2"/>
  <c r="K74" i="2"/>
  <c r="I74" i="2"/>
  <c r="G74" i="2"/>
  <c r="E74" i="2"/>
  <c r="AY60" i="2"/>
  <c r="AW60" i="2"/>
  <c r="AQ60" i="2"/>
  <c r="AO60" i="2"/>
  <c r="AI60" i="2"/>
  <c r="AG60" i="2"/>
  <c r="AE60" i="2"/>
  <c r="AA60" i="2"/>
  <c r="Y60" i="2"/>
  <c r="W60" i="2"/>
  <c r="S60" i="2"/>
  <c r="AS49" i="2"/>
  <c r="AS50" i="2" s="1"/>
  <c r="AO50" i="2"/>
  <c r="AM50" i="2"/>
  <c r="AK50" i="2"/>
  <c r="AI50" i="2"/>
  <c r="AG50" i="2"/>
  <c r="AE50" i="2"/>
  <c r="AA49" i="2"/>
  <c r="Y49" i="2"/>
  <c r="S50" i="2"/>
  <c r="Q50" i="2"/>
  <c r="N41" i="23" s="1"/>
  <c r="N47" i="23" s="1"/>
  <c r="O50" i="2"/>
  <c r="M50" i="2"/>
  <c r="J41" i="23" s="1"/>
  <c r="J47" i="23" s="1"/>
  <c r="K50" i="2"/>
  <c r="H41" i="23" s="1"/>
  <c r="H47" i="23" s="1"/>
  <c r="I50" i="2"/>
  <c r="G50" i="2"/>
  <c r="D41" i="23" s="1"/>
  <c r="D47" i="23" s="1"/>
  <c r="E50" i="2"/>
  <c r="AQ46" i="2"/>
  <c r="AQ50" i="2" s="1"/>
  <c r="BA40" i="2"/>
  <c r="BC40" i="2" s="1"/>
  <c r="BE40" i="2" s="1"/>
  <c r="BG40" i="2" s="1"/>
  <c r="BI40" i="2" s="1"/>
  <c r="U40" i="2"/>
  <c r="I38" i="2"/>
  <c r="I41" i="2" s="1"/>
  <c r="I52" i="2" s="1"/>
  <c r="I78" i="2" s="1"/>
  <c r="AS38" i="2"/>
  <c r="AS41" i="2" s="1"/>
  <c r="AS52" i="2" s="1"/>
  <c r="AQ38" i="2"/>
  <c r="AQ41" i="2" s="1"/>
  <c r="AO38" i="2"/>
  <c r="AO41" i="2" s="1"/>
  <c r="AO52" i="2" s="1"/>
  <c r="AM38" i="2"/>
  <c r="AM41" i="2" s="1"/>
  <c r="AM52" i="2" s="1"/>
  <c r="AK38" i="2"/>
  <c r="AK41" i="2" s="1"/>
  <c r="AK52" i="2" s="1"/>
  <c r="AI38" i="2"/>
  <c r="AI41" i="2"/>
  <c r="AI52" i="2" s="1"/>
  <c r="AG38" i="2"/>
  <c r="AG41" i="2" s="1"/>
  <c r="AG52" i="2" s="1"/>
  <c r="AE38" i="2"/>
  <c r="AE41" i="2" s="1"/>
  <c r="AE52" i="2" s="1"/>
  <c r="AC38" i="2"/>
  <c r="AC41" i="2" s="1"/>
  <c r="AA38" i="2"/>
  <c r="AA41" i="2" s="1"/>
  <c r="Y38" i="2"/>
  <c r="Y41" i="2" s="1"/>
  <c r="W38" i="2"/>
  <c r="W41" i="2" s="1"/>
  <c r="U38" i="2"/>
  <c r="S38" i="2"/>
  <c r="S41" i="2" s="1"/>
  <c r="S52" i="2" s="1"/>
  <c r="Q38" i="2"/>
  <c r="Q41" i="2" s="1"/>
  <c r="Q52" i="2" s="1"/>
  <c r="O38" i="2"/>
  <c r="O41" i="2"/>
  <c r="O52" i="2" s="1"/>
  <c r="O78" i="2" s="1"/>
  <c r="M38" i="2"/>
  <c r="M41" i="2"/>
  <c r="K38" i="2"/>
  <c r="K41" i="2" s="1"/>
  <c r="K52" i="2" s="1"/>
  <c r="G38" i="2"/>
  <c r="BM27" i="3" s="1"/>
  <c r="BN27" i="3" s="1"/>
  <c r="E38" i="2"/>
  <c r="BK27" i="3"/>
  <c r="BL27" i="3" s="1"/>
  <c r="AU104" i="2"/>
  <c r="AU110" i="2"/>
  <c r="U25" i="2"/>
  <c r="AS24" i="2"/>
  <c r="AS23" i="2"/>
  <c r="AQ24" i="2"/>
  <c r="AQ23" i="2" s="1"/>
  <c r="AO24" i="2"/>
  <c r="AO23" i="2"/>
  <c r="AM23" i="2"/>
  <c r="AM25" i="2" s="1"/>
  <c r="AK23" i="2"/>
  <c r="AK25" i="2" s="1"/>
  <c r="AI23" i="2"/>
  <c r="AI25" i="2" s="1"/>
  <c r="AG23" i="2"/>
  <c r="AG25" i="2" s="1"/>
  <c r="AE23" i="2"/>
  <c r="AE25" i="2" s="1"/>
  <c r="AC23" i="2"/>
  <c r="AC25" i="2" s="1"/>
  <c r="AA23" i="2"/>
  <c r="AA25" i="2" s="1"/>
  <c r="Y23" i="2"/>
  <c r="Y25" i="2"/>
  <c r="W23" i="2"/>
  <c r="W25" i="2" s="1"/>
  <c r="S15" i="2"/>
  <c r="S29" i="2"/>
  <c r="Q15" i="2"/>
  <c r="Q29" i="2" s="1"/>
  <c r="O15" i="2"/>
  <c r="O29" i="2"/>
  <c r="O87" i="2" s="1"/>
  <c r="M15" i="2"/>
  <c r="M29" i="2"/>
  <c r="K15" i="2"/>
  <c r="K29" i="2" s="1"/>
  <c r="I15" i="2"/>
  <c r="I29" i="2"/>
  <c r="G15" i="2"/>
  <c r="G29" i="2" s="1"/>
  <c r="E15" i="2"/>
  <c r="E29" i="2"/>
  <c r="AV25" i="3"/>
  <c r="U10" i="2"/>
  <c r="I6" i="2"/>
  <c r="K6" i="2" s="1"/>
  <c r="M6" i="2" s="1"/>
  <c r="O6" i="2" s="1"/>
  <c r="Q6" i="2" s="1"/>
  <c r="S6" i="2" s="1"/>
  <c r="U6" i="2" s="1"/>
  <c r="A1" i="2"/>
  <c r="Q66" i="15"/>
  <c r="P66" i="15"/>
  <c r="O66" i="15"/>
  <c r="N66" i="15"/>
  <c r="K66" i="15"/>
  <c r="AF61" i="15"/>
  <c r="A61" i="15"/>
  <c r="V58" i="15"/>
  <c r="U58" i="15"/>
  <c r="T58" i="15"/>
  <c r="S58" i="15"/>
  <c r="R58" i="15"/>
  <c r="Q58" i="15"/>
  <c r="P58" i="15"/>
  <c r="O58" i="15"/>
  <c r="N58" i="15"/>
  <c r="M58" i="15"/>
  <c r="L58" i="15"/>
  <c r="K58" i="15"/>
  <c r="J58" i="15"/>
  <c r="I58" i="15"/>
  <c r="H58" i="15"/>
  <c r="G58" i="15"/>
  <c r="G59" i="15" s="1"/>
  <c r="S57" i="15"/>
  <c r="DD28" i="20" s="1"/>
  <c r="S54" i="15"/>
  <c r="R54" i="15"/>
  <c r="Q54" i="15"/>
  <c r="N54" i="15"/>
  <c r="M54" i="15"/>
  <c r="D51" i="15"/>
  <c r="C51" i="15"/>
  <c r="B51" i="15"/>
  <c r="AN50" i="15"/>
  <c r="AN47" i="15"/>
  <c r="AN46" i="15"/>
  <c r="O30" i="15"/>
  <c r="CZ14" i="20" s="1"/>
  <c r="AA22" i="15"/>
  <c r="Q16" i="15"/>
  <c r="P16" i="15"/>
  <c r="O16" i="15"/>
  <c r="N16" i="15"/>
  <c r="M16" i="15"/>
  <c r="K16" i="15"/>
  <c r="J16" i="15"/>
  <c r="I16" i="15"/>
  <c r="H16" i="15"/>
  <c r="G16" i="15"/>
  <c r="F16" i="15"/>
  <c r="Q14" i="15"/>
  <c r="P14" i="15"/>
  <c r="O14" i="15"/>
  <c r="N14" i="15"/>
  <c r="K14" i="15"/>
  <c r="V12" i="15"/>
  <c r="V16" i="15" s="1"/>
  <c r="U12" i="15"/>
  <c r="T12" i="15"/>
  <c r="S12" i="15"/>
  <c r="S66" i="15" s="1"/>
  <c r="R12" i="15"/>
  <c r="R66" i="15"/>
  <c r="L12" i="15"/>
  <c r="L14" i="15" s="1"/>
  <c r="C5" i="15"/>
  <c r="D5" i="15" s="1"/>
  <c r="E5" i="15" s="1"/>
  <c r="F5" i="15" s="1"/>
  <c r="G5" i="15" s="1"/>
  <c r="H5" i="15" s="1"/>
  <c r="I5" i="15" s="1"/>
  <c r="J5" i="15" s="1"/>
  <c r="K5" i="15" s="1"/>
  <c r="L5" i="15" s="1"/>
  <c r="M5" i="15" s="1"/>
  <c r="N5" i="15" s="1"/>
  <c r="O5" i="15" s="1"/>
  <c r="P5" i="15" s="1"/>
  <c r="Q5" i="15" s="1"/>
  <c r="R5" i="15" s="1"/>
  <c r="S5" i="15" s="1"/>
  <c r="T5" i="15" s="1"/>
  <c r="U5" i="15" s="1"/>
  <c r="V5" i="15" s="1"/>
  <c r="W5" i="15" s="1"/>
  <c r="X5" i="15" s="1"/>
  <c r="Y5" i="15" s="1"/>
  <c r="Z5" i="15" s="1"/>
  <c r="AA5" i="15" s="1"/>
  <c r="AB5" i="15" s="1"/>
  <c r="AC5" i="15" s="1"/>
  <c r="AD5" i="15" s="1"/>
  <c r="A1" i="15"/>
  <c r="W60" i="5"/>
  <c r="X60" i="5"/>
  <c r="Y60" i="5" s="1"/>
  <c r="U60" i="5"/>
  <c r="T60" i="5"/>
  <c r="Q60" i="5"/>
  <c r="R60" i="5" s="1"/>
  <c r="S60" i="5" s="1"/>
  <c r="P60" i="5"/>
  <c r="O60" i="5"/>
  <c r="N60" i="5"/>
  <c r="AA59" i="5"/>
  <c r="AB59" i="5" s="1"/>
  <c r="AC59" i="5" s="1"/>
  <c r="AA58" i="5"/>
  <c r="AB58" i="5" s="1"/>
  <c r="AC58" i="5" s="1"/>
  <c r="W59" i="5"/>
  <c r="U59" i="5"/>
  <c r="V59" i="5"/>
  <c r="T59" i="5"/>
  <c r="R59" i="5"/>
  <c r="S59" i="5" s="1"/>
  <c r="Q59" i="5"/>
  <c r="P59" i="5"/>
  <c r="N59" i="5"/>
  <c r="O59" i="5" s="1"/>
  <c r="M59" i="5"/>
  <c r="L59" i="5"/>
  <c r="I59" i="5"/>
  <c r="H59" i="5"/>
  <c r="G59" i="5"/>
  <c r="F59" i="5"/>
  <c r="E59" i="5"/>
  <c r="D59" i="5"/>
  <c r="C59" i="5"/>
  <c r="B59" i="5"/>
  <c r="W58" i="5"/>
  <c r="X58" i="5" s="1"/>
  <c r="U58" i="5"/>
  <c r="V58" i="5" s="1"/>
  <c r="T58" i="5"/>
  <c r="R58" i="5"/>
  <c r="S58" i="5"/>
  <c r="Q58" i="5"/>
  <c r="P58" i="5"/>
  <c r="O58" i="5"/>
  <c r="N58" i="5"/>
  <c r="M58" i="5"/>
  <c r="L58" i="5"/>
  <c r="K58" i="5"/>
  <c r="J58" i="5"/>
  <c r="I58" i="5"/>
  <c r="H58" i="5"/>
  <c r="G58" i="5"/>
  <c r="F58" i="5"/>
  <c r="E58" i="5"/>
  <c r="D58" i="5"/>
  <c r="C58" i="5"/>
  <c r="B58" i="5"/>
  <c r="I56" i="5"/>
  <c r="H56" i="5"/>
  <c r="G56" i="5"/>
  <c r="F56" i="5"/>
  <c r="E56" i="5"/>
  <c r="D56" i="5"/>
  <c r="T55" i="5"/>
  <c r="S55" i="5"/>
  <c r="Q55" i="5"/>
  <c r="P55" i="5"/>
  <c r="O55" i="5"/>
  <c r="Q51" i="5"/>
  <c r="P51" i="5"/>
  <c r="M51" i="5"/>
  <c r="L51" i="5"/>
  <c r="K51" i="5"/>
  <c r="CV68" i="20" s="1"/>
  <c r="J51" i="5"/>
  <c r="CU68" i="20" s="1"/>
  <c r="I51" i="5"/>
  <c r="CT68" i="20" s="1"/>
  <c r="H51" i="5"/>
  <c r="G51" i="5"/>
  <c r="CR68" i="20" s="1"/>
  <c r="F51" i="5"/>
  <c r="E51" i="5"/>
  <c r="CP68" i="20" s="1"/>
  <c r="D51" i="5"/>
  <c r="CO68" i="20" s="1"/>
  <c r="C51" i="5"/>
  <c r="D48" i="5"/>
  <c r="I47" i="5"/>
  <c r="I48" i="5" s="1"/>
  <c r="H47" i="5"/>
  <c r="G47" i="5"/>
  <c r="F47" i="5"/>
  <c r="E47" i="5"/>
  <c r="E48" i="5" s="1"/>
  <c r="N41" i="5"/>
  <c r="N38" i="5"/>
  <c r="M41" i="5"/>
  <c r="L41" i="5"/>
  <c r="K41" i="5"/>
  <c r="J41" i="5"/>
  <c r="I41" i="5"/>
  <c r="H41" i="5"/>
  <c r="G41" i="5"/>
  <c r="G42" i="5"/>
  <c r="F41" i="5"/>
  <c r="E41" i="5"/>
  <c r="AE36" i="9" s="1"/>
  <c r="D41" i="5"/>
  <c r="D42" i="5" s="1"/>
  <c r="C41" i="5"/>
  <c r="B41" i="5"/>
  <c r="B38" i="5"/>
  <c r="C39" i="5" s="1"/>
  <c r="D39" i="5"/>
  <c r="P30" i="5"/>
  <c r="K717" i="9" s="1"/>
  <c r="S31" i="5"/>
  <c r="T31" i="5" s="1"/>
  <c r="S30" i="5"/>
  <c r="T30" i="5" s="1"/>
  <c r="C29" i="5"/>
  <c r="D29" i="5" s="1"/>
  <c r="E29" i="5" s="1"/>
  <c r="F29" i="5" s="1"/>
  <c r="G29" i="5" s="1"/>
  <c r="H29" i="5" s="1"/>
  <c r="I29" i="5" s="1"/>
  <c r="J29" i="5" s="1"/>
  <c r="K29" i="5" s="1"/>
  <c r="L29" i="5" s="1"/>
  <c r="M29" i="5" s="1"/>
  <c r="N29" i="5" s="1"/>
  <c r="C28" i="5"/>
  <c r="D28" i="5" s="1"/>
  <c r="E28" i="5" s="1"/>
  <c r="F28" i="5" s="1"/>
  <c r="G28" i="5" s="1"/>
  <c r="H28" i="5" s="1"/>
  <c r="I28" i="5" s="1"/>
  <c r="J28" i="5" s="1"/>
  <c r="K28" i="5" s="1"/>
  <c r="K432" i="9" s="1"/>
  <c r="C27" i="5"/>
  <c r="D27" i="5" s="1"/>
  <c r="E27" i="5" s="1"/>
  <c r="F27" i="5" s="1"/>
  <c r="G27" i="5" s="1"/>
  <c r="H27" i="5" s="1"/>
  <c r="I27" i="5" s="1"/>
  <c r="J27" i="5" s="1"/>
  <c r="V22" i="5"/>
  <c r="U22" i="5"/>
  <c r="T22" i="5"/>
  <c r="I18" i="5"/>
  <c r="H18" i="5"/>
  <c r="AV19" i="5"/>
  <c r="AW19" i="5" s="1"/>
  <c r="AX19" i="5" s="1"/>
  <c r="AY19" i="5" s="1"/>
  <c r="AZ19" i="5" s="1"/>
  <c r="BA19" i="5" s="1"/>
  <c r="AN18" i="5"/>
  <c r="AN22" i="5" s="1"/>
  <c r="AN17" i="5"/>
  <c r="AO17" i="5"/>
  <c r="AP17" i="5" s="1"/>
  <c r="AQ17" i="5" s="1"/>
  <c r="AR17" i="5" s="1"/>
  <c r="I17" i="5"/>
  <c r="H16" i="5"/>
  <c r="G16" i="5"/>
  <c r="F16" i="5"/>
  <c r="E16" i="5"/>
  <c r="D16" i="5"/>
  <c r="C16" i="5"/>
  <c r="B16" i="5"/>
  <c r="B15" i="5"/>
  <c r="AA16" i="5"/>
  <c r="Z16" i="5"/>
  <c r="Y16" i="5"/>
  <c r="W16" i="5"/>
  <c r="V16" i="5"/>
  <c r="U16" i="5"/>
  <c r="T16" i="5"/>
  <c r="S16" i="5"/>
  <c r="R16" i="5"/>
  <c r="Q16" i="5"/>
  <c r="P16" i="5"/>
  <c r="O16" i="5"/>
  <c r="N16" i="5"/>
  <c r="M16" i="5"/>
  <c r="L16" i="5"/>
  <c r="K16" i="5"/>
  <c r="J16" i="5"/>
  <c r="P10" i="5"/>
  <c r="O10" i="5"/>
  <c r="I7" i="5"/>
  <c r="H7" i="5"/>
  <c r="G7" i="5"/>
  <c r="F7" i="5"/>
  <c r="AR9" i="5" s="1"/>
  <c r="E7" i="5"/>
  <c r="AQ8" i="5" s="1"/>
  <c r="D7" i="5"/>
  <c r="C7" i="5"/>
  <c r="C13" i="5"/>
  <c r="AN5" i="5"/>
  <c r="AK5" i="5"/>
  <c r="AG5" i="5"/>
  <c r="C5" i="5"/>
  <c r="A1" i="5"/>
  <c r="D238" i="30"/>
  <c r="AR238" i="30" s="1"/>
  <c r="AU237" i="30"/>
  <c r="AU236" i="30"/>
  <c r="AU235" i="30"/>
  <c r="AU234" i="30"/>
  <c r="E237" i="30"/>
  <c r="E236" i="30"/>
  <c r="E235" i="30"/>
  <c r="E234" i="30"/>
  <c r="AR236" i="30"/>
  <c r="AR235" i="30"/>
  <c r="AR234" i="30"/>
  <c r="AJ234" i="30"/>
  <c r="AR230" i="30"/>
  <c r="AS237" i="30" s="1"/>
  <c r="AR229" i="30"/>
  <c r="AR228" i="30"/>
  <c r="AS228" i="30" s="1"/>
  <c r="AR227" i="30"/>
  <c r="D231" i="30"/>
  <c r="AR231" i="30" s="1"/>
  <c r="AU230" i="30"/>
  <c r="AU229" i="30"/>
  <c r="AU228" i="30"/>
  <c r="AU227" i="30"/>
  <c r="E230" i="30"/>
  <c r="E229" i="30"/>
  <c r="E228" i="30"/>
  <c r="E227" i="30"/>
  <c r="D224" i="30"/>
  <c r="AR224" i="30" s="1"/>
  <c r="E223" i="30"/>
  <c r="E222" i="30"/>
  <c r="E221" i="30"/>
  <c r="E220" i="30"/>
  <c r="AR223" i="30"/>
  <c r="AS230" i="30" s="1"/>
  <c r="AR222" i="30"/>
  <c r="AR221" i="30"/>
  <c r="AR220" i="30"/>
  <c r="D218" i="30"/>
  <c r="AR218" i="30" s="1"/>
  <c r="AS218" i="30" s="1"/>
  <c r="E217" i="30"/>
  <c r="E216" i="30"/>
  <c r="E215" i="30"/>
  <c r="E214" i="30"/>
  <c r="AR217" i="30"/>
  <c r="AR216" i="30"/>
  <c r="AR215" i="30"/>
  <c r="AR214" i="30"/>
  <c r="AS214" i="30" s="1"/>
  <c r="D211" i="30"/>
  <c r="AR211" i="30" s="1"/>
  <c r="E210" i="30"/>
  <c r="E209" i="30"/>
  <c r="E208" i="30"/>
  <c r="E207" i="30"/>
  <c r="AR210" i="30"/>
  <c r="AR209" i="30"/>
  <c r="AR208" i="30"/>
  <c r="AS208" i="30" s="1"/>
  <c r="AR207" i="30"/>
  <c r="AR203" i="30"/>
  <c r="AR202" i="30"/>
  <c r="AR201" i="30"/>
  <c r="AR200" i="30"/>
  <c r="D204" i="30"/>
  <c r="AR204" i="30" s="1"/>
  <c r="S155" i="30"/>
  <c r="M155" i="30"/>
  <c r="G155" i="30"/>
  <c r="W154" i="30"/>
  <c r="W161" i="30" s="1"/>
  <c r="W168" i="30" s="1"/>
  <c r="W153" i="30"/>
  <c r="W160" i="30" s="1"/>
  <c r="W167" i="30" s="1"/>
  <c r="S154" i="30"/>
  <c r="S153" i="30"/>
  <c r="S152" i="30"/>
  <c r="S151" i="30"/>
  <c r="M154" i="30"/>
  <c r="M153" i="30"/>
  <c r="M152" i="30"/>
  <c r="M151" i="30"/>
  <c r="G154" i="30"/>
  <c r="G153" i="30"/>
  <c r="G152" i="30"/>
  <c r="G151" i="30"/>
  <c r="S148" i="30"/>
  <c r="M148" i="30"/>
  <c r="G148" i="30"/>
  <c r="X764" i="9"/>
  <c r="X763" i="9"/>
  <c r="AL146" i="30"/>
  <c r="AL145" i="30"/>
  <c r="AL144" i="30"/>
  <c r="S147" i="30"/>
  <c r="S146" i="30"/>
  <c r="S145" i="30"/>
  <c r="S144" i="30"/>
  <c r="M147" i="30"/>
  <c r="M146" i="30"/>
  <c r="J146" i="30"/>
  <c r="K146" i="30" s="1"/>
  <c r="M145" i="30"/>
  <c r="J145" i="30"/>
  <c r="M144" i="30"/>
  <c r="J144" i="30"/>
  <c r="G147" i="30"/>
  <c r="G146" i="30"/>
  <c r="D146" i="30"/>
  <c r="G145" i="30"/>
  <c r="D145" i="30"/>
  <c r="G144" i="30"/>
  <c r="D144" i="30"/>
  <c r="AJ141" i="30"/>
  <c r="V12" i="5" s="1"/>
  <c r="W141" i="30"/>
  <c r="S141" i="30"/>
  <c r="M141" i="30"/>
  <c r="G141" i="30"/>
  <c r="X140" i="30"/>
  <c r="X139" i="30"/>
  <c r="X138" i="30"/>
  <c r="X137" i="30"/>
  <c r="M140" i="30"/>
  <c r="J140" i="30"/>
  <c r="BH139" i="30"/>
  <c r="BH138" i="30"/>
  <c r="BH137" i="30"/>
  <c r="BB139" i="30"/>
  <c r="BB138" i="30"/>
  <c r="BB137" i="30"/>
  <c r="P139" i="30"/>
  <c r="J138" i="30"/>
  <c r="J137" i="30"/>
  <c r="D138" i="30"/>
  <c r="D137" i="30"/>
  <c r="AL140" i="30"/>
  <c r="AL139" i="30"/>
  <c r="AL138" i="30"/>
  <c r="AL137" i="30"/>
  <c r="AG140" i="30"/>
  <c r="S140" i="30"/>
  <c r="S139" i="30"/>
  <c r="S138" i="30"/>
  <c r="S137" i="30"/>
  <c r="M139" i="30"/>
  <c r="M138" i="30"/>
  <c r="M137" i="30"/>
  <c r="G140" i="30"/>
  <c r="G139" i="30"/>
  <c r="G138" i="30"/>
  <c r="G137" i="30"/>
  <c r="BH134" i="30"/>
  <c r="BH132" i="30"/>
  <c r="BH131" i="30"/>
  <c r="BH130" i="30"/>
  <c r="BB132" i="30"/>
  <c r="BB131" i="30"/>
  <c r="BB130" i="30"/>
  <c r="AJ134" i="30"/>
  <c r="U12" i="5" s="1"/>
  <c r="W134" i="30"/>
  <c r="U11" i="5" s="1"/>
  <c r="BR133" i="30"/>
  <c r="BP133" i="30"/>
  <c r="BF133" i="30"/>
  <c r="BD133" i="30"/>
  <c r="BA133" i="30"/>
  <c r="BB133" i="30" s="1"/>
  <c r="AX133" i="30"/>
  <c r="AD133" i="30"/>
  <c r="AD140" i="30" s="1"/>
  <c r="AD147" i="30" s="1"/>
  <c r="AD154" i="30" s="1"/>
  <c r="AD161" i="30" s="1"/>
  <c r="AD168" i="30" s="1"/>
  <c r="AD132" i="30"/>
  <c r="AD139" i="30" s="1"/>
  <c r="AD146" i="30" s="1"/>
  <c r="AD153" i="30" s="1"/>
  <c r="AD160" i="30" s="1"/>
  <c r="AD167" i="30" s="1"/>
  <c r="AD131" i="30"/>
  <c r="AD138" i="30" s="1"/>
  <c r="AD145" i="30" s="1"/>
  <c r="AD152" i="30" s="1"/>
  <c r="AD159" i="30" s="1"/>
  <c r="AD166" i="30" s="1"/>
  <c r="AD130" i="30"/>
  <c r="AD137" i="30" s="1"/>
  <c r="X133" i="30"/>
  <c r="X132" i="30"/>
  <c r="X131" i="30"/>
  <c r="X130" i="30"/>
  <c r="AL133" i="30"/>
  <c r="AL132" i="30"/>
  <c r="AL131" i="30"/>
  <c r="AL130" i="30"/>
  <c r="S133" i="30"/>
  <c r="S132" i="30"/>
  <c r="S131" i="30"/>
  <c r="S130" i="30"/>
  <c r="M133" i="30"/>
  <c r="J133" i="30"/>
  <c r="M132" i="30"/>
  <c r="J132" i="30"/>
  <c r="K139" i="30" s="1"/>
  <c r="M131" i="30"/>
  <c r="J131" i="30"/>
  <c r="M130" i="30"/>
  <c r="J130" i="30"/>
  <c r="G133" i="30"/>
  <c r="D133" i="30"/>
  <c r="G132" i="30"/>
  <c r="D132" i="30"/>
  <c r="G131" i="30"/>
  <c r="D131" i="30"/>
  <c r="G130" i="30"/>
  <c r="D130" i="30"/>
  <c r="AD127" i="30"/>
  <c r="BH127" i="30"/>
  <c r="BH125" i="30"/>
  <c r="BH124" i="30"/>
  <c r="BH123" i="30"/>
  <c r="BB125" i="30"/>
  <c r="BB124" i="30"/>
  <c r="BB123" i="30"/>
  <c r="AJ127" i="30"/>
  <c r="AL134" i="30" s="1"/>
  <c r="AE127" i="30"/>
  <c r="AE126" i="30"/>
  <c r="AE125" i="30"/>
  <c r="AE124" i="30"/>
  <c r="AE123" i="30"/>
  <c r="W127" i="30"/>
  <c r="T127" i="30"/>
  <c r="DE71" i="20" s="1"/>
  <c r="N127" i="30"/>
  <c r="DE70" i="20" s="1"/>
  <c r="H127" i="30"/>
  <c r="BR126" i="30"/>
  <c r="BP126" i="30"/>
  <c r="BF126" i="30"/>
  <c r="BD126" i="30"/>
  <c r="BA126" i="30"/>
  <c r="BB126" i="30"/>
  <c r="AX126" i="30"/>
  <c r="X126" i="30"/>
  <c r="X125" i="30"/>
  <c r="X124" i="30"/>
  <c r="X123" i="30"/>
  <c r="AL126" i="30"/>
  <c r="AL125" i="30"/>
  <c r="AL124" i="30"/>
  <c r="S125" i="30"/>
  <c r="S124" i="30"/>
  <c r="S123" i="30"/>
  <c r="M126" i="30"/>
  <c r="J126" i="30"/>
  <c r="L126" i="30" s="1"/>
  <c r="M125" i="30"/>
  <c r="J125" i="30"/>
  <c r="L125" i="30" s="1"/>
  <c r="M124" i="30"/>
  <c r="J124" i="30"/>
  <c r="L124" i="30" s="1"/>
  <c r="M123" i="30"/>
  <c r="J123" i="30"/>
  <c r="G126" i="30"/>
  <c r="D126" i="30"/>
  <c r="G125" i="30"/>
  <c r="D125" i="30"/>
  <c r="G124" i="30"/>
  <c r="D124" i="30"/>
  <c r="G123" i="30"/>
  <c r="D123" i="30"/>
  <c r="BH118" i="30"/>
  <c r="BH117" i="30"/>
  <c r="BH116" i="30"/>
  <c r="AE120" i="30"/>
  <c r="AE119" i="30"/>
  <c r="AE118" i="30"/>
  <c r="AE117" i="30"/>
  <c r="AE116" i="30"/>
  <c r="W120" i="30"/>
  <c r="X738" i="9" s="1"/>
  <c r="BR119" i="30"/>
  <c r="BP119" i="30"/>
  <c r="BF119" i="30"/>
  <c r="BD119" i="30"/>
  <c r="BA120" i="30"/>
  <c r="AX119" i="30"/>
  <c r="X119" i="30"/>
  <c r="X118" i="30"/>
  <c r="X117" i="30"/>
  <c r="X116" i="30"/>
  <c r="BB118" i="30"/>
  <c r="BB117" i="30"/>
  <c r="AL119" i="30"/>
  <c r="AL118" i="30"/>
  <c r="AL117" i="30"/>
  <c r="AJ116" i="30"/>
  <c r="S119" i="30"/>
  <c r="S118" i="30"/>
  <c r="S117" i="30"/>
  <c r="S116" i="30"/>
  <c r="M119" i="30"/>
  <c r="J119" i="30"/>
  <c r="L119" i="30" s="1"/>
  <c r="M118" i="30"/>
  <c r="J118" i="30"/>
  <c r="M117" i="30"/>
  <c r="J117" i="30"/>
  <c r="L117" i="30" s="1"/>
  <c r="M116" i="30"/>
  <c r="J116" i="30"/>
  <c r="G119" i="30"/>
  <c r="D119" i="30"/>
  <c r="G118" i="30"/>
  <c r="D118" i="30"/>
  <c r="G117" i="30"/>
  <c r="D117" i="30"/>
  <c r="G116" i="30"/>
  <c r="D116" i="30"/>
  <c r="AJ112" i="30"/>
  <c r="R12" i="5" s="1"/>
  <c r="P109" i="30"/>
  <c r="X586" i="9" s="1"/>
  <c r="D593" i="9" s="1"/>
  <c r="I593" i="9" s="1"/>
  <c r="T593" i="9" s="1"/>
  <c r="D109" i="30"/>
  <c r="BH112" i="30"/>
  <c r="BH110" i="30"/>
  <c r="BH109" i="30"/>
  <c r="BH108" i="30"/>
  <c r="BB110" i="30"/>
  <c r="BB109" i="30"/>
  <c r="BB108" i="30"/>
  <c r="AE111" i="30"/>
  <c r="AE110" i="30"/>
  <c r="AE109" i="30"/>
  <c r="AE108" i="30"/>
  <c r="W112" i="30"/>
  <c r="BR111" i="30"/>
  <c r="BP111" i="30"/>
  <c r="BN111" i="30"/>
  <c r="BL111" i="30"/>
  <c r="BF111" i="30"/>
  <c r="BD111" i="30"/>
  <c r="BA111" i="30"/>
  <c r="BB111" i="30" s="1"/>
  <c r="AX111" i="30"/>
  <c r="V108" i="30"/>
  <c r="AL111" i="30"/>
  <c r="AL110" i="30"/>
  <c r="AL109" i="30"/>
  <c r="AL108" i="30"/>
  <c r="AG108" i="30"/>
  <c r="F108" i="30" s="1"/>
  <c r="S111" i="30"/>
  <c r="S110" i="30"/>
  <c r="S109" i="30"/>
  <c r="S108" i="30"/>
  <c r="R108" i="30"/>
  <c r="Q108" i="30"/>
  <c r="M111" i="30"/>
  <c r="M110" i="30"/>
  <c r="M109" i="30"/>
  <c r="L109" i="30"/>
  <c r="K109" i="30"/>
  <c r="M108" i="30"/>
  <c r="L108" i="30"/>
  <c r="K108" i="30"/>
  <c r="G111" i="30"/>
  <c r="G110" i="30"/>
  <c r="G109" i="30"/>
  <c r="G108" i="30"/>
  <c r="E108" i="30"/>
  <c r="AJ104" i="30"/>
  <c r="Q12" i="5" s="1"/>
  <c r="AD104" i="30"/>
  <c r="AE112" i="30" s="1"/>
  <c r="BH104" i="30"/>
  <c r="BH102" i="30"/>
  <c r="BH100" i="30"/>
  <c r="BB102" i="30"/>
  <c r="BB100" i="30"/>
  <c r="AL103" i="30"/>
  <c r="AL102" i="30"/>
  <c r="AL101" i="30"/>
  <c r="AE103" i="30"/>
  <c r="AE102" i="30"/>
  <c r="AE101" i="30"/>
  <c r="AE100" i="30"/>
  <c r="X103" i="30"/>
  <c r="X102" i="30"/>
  <c r="X101" i="30"/>
  <c r="X100" i="30"/>
  <c r="BR103" i="30"/>
  <c r="BP103" i="30"/>
  <c r="BN103" i="30"/>
  <c r="BL103" i="30"/>
  <c r="BF103" i="30"/>
  <c r="BD103" i="30"/>
  <c r="BA101" i="30"/>
  <c r="BH101" i="30" s="1"/>
  <c r="AX101" i="30"/>
  <c r="AX103" i="30" s="1"/>
  <c r="Z103" i="30"/>
  <c r="F103" i="30" s="1"/>
  <c r="Z102" i="30"/>
  <c r="Z101" i="30"/>
  <c r="Z100" i="30"/>
  <c r="S104" i="30"/>
  <c r="S103" i="30"/>
  <c r="Q103" i="30"/>
  <c r="S102" i="30"/>
  <c r="Q102" i="30"/>
  <c r="S101" i="30"/>
  <c r="Q101" i="30"/>
  <c r="S100" i="30"/>
  <c r="Q100" i="30"/>
  <c r="M104" i="30"/>
  <c r="M103" i="30"/>
  <c r="K103" i="30"/>
  <c r="M102" i="30"/>
  <c r="L102" i="30"/>
  <c r="K102" i="30"/>
  <c r="M101" i="30"/>
  <c r="K101" i="30"/>
  <c r="M100" i="30"/>
  <c r="L100" i="30"/>
  <c r="K100" i="30"/>
  <c r="G104" i="30"/>
  <c r="G103" i="30"/>
  <c r="E103" i="30"/>
  <c r="G102" i="30"/>
  <c r="E102" i="30"/>
  <c r="G101" i="30"/>
  <c r="E101" i="30"/>
  <c r="G100" i="30"/>
  <c r="E100" i="30"/>
  <c r="BH97" i="30"/>
  <c r="BH95" i="30"/>
  <c r="BH94" i="30"/>
  <c r="BH93" i="30"/>
  <c r="BB95" i="30"/>
  <c r="BB94" i="30"/>
  <c r="AL96" i="30"/>
  <c r="AL95" i="30"/>
  <c r="AD97" i="30"/>
  <c r="W97" i="30"/>
  <c r="P11" i="5" s="1"/>
  <c r="M97" i="30"/>
  <c r="J97" i="30"/>
  <c r="G97" i="30"/>
  <c r="D97" i="30"/>
  <c r="P8" i="5" s="1"/>
  <c r="BR96" i="30"/>
  <c r="BP96" i="30"/>
  <c r="BN96" i="30"/>
  <c r="BL96" i="30"/>
  <c r="BF96" i="30"/>
  <c r="BD96" i="30"/>
  <c r="BA96" i="30"/>
  <c r="BB96" i="30" s="1"/>
  <c r="AX96" i="30"/>
  <c r="AE96" i="30"/>
  <c r="AE95" i="30"/>
  <c r="AE94" i="30"/>
  <c r="AE93" i="30"/>
  <c r="AJ93" i="30"/>
  <c r="Z96" i="30"/>
  <c r="R96" i="30" s="1"/>
  <c r="Z95" i="30"/>
  <c r="Z94" i="30"/>
  <c r="Z93" i="30"/>
  <c r="R93" i="30" s="1"/>
  <c r="S97" i="30"/>
  <c r="Q97" i="30"/>
  <c r="S96" i="30"/>
  <c r="Q96" i="30"/>
  <c r="S95" i="30"/>
  <c r="Q95" i="30"/>
  <c r="S94" i="30"/>
  <c r="Q94" i="30"/>
  <c r="S93" i="30"/>
  <c r="Q93" i="30"/>
  <c r="M96" i="30"/>
  <c r="K96" i="30"/>
  <c r="M95" i="30"/>
  <c r="K95" i="30"/>
  <c r="M94" i="30"/>
  <c r="K94" i="30"/>
  <c r="M93" i="30"/>
  <c r="K93" i="30"/>
  <c r="G96" i="30"/>
  <c r="E96" i="30"/>
  <c r="G95" i="30"/>
  <c r="E95" i="30"/>
  <c r="G94" i="30"/>
  <c r="E94" i="30"/>
  <c r="G93" i="30"/>
  <c r="E93" i="30"/>
  <c r="BH90" i="30"/>
  <c r="BH88" i="30"/>
  <c r="BH87" i="30"/>
  <c r="BB88" i="30"/>
  <c r="AL89" i="30"/>
  <c r="AL88" i="30"/>
  <c r="AL86" i="30"/>
  <c r="AD90" i="30"/>
  <c r="AE97" i="30" s="1"/>
  <c r="M90" i="30"/>
  <c r="J90" i="30"/>
  <c r="G90" i="30"/>
  <c r="D90" i="30"/>
  <c r="BR89" i="30"/>
  <c r="BP89" i="30"/>
  <c r="AE89" i="30"/>
  <c r="AE88" i="30"/>
  <c r="AE87" i="30"/>
  <c r="AE86" i="30"/>
  <c r="AJ87" i="30"/>
  <c r="BB87" i="30" s="1"/>
  <c r="BN86" i="30"/>
  <c r="BN89" i="30" s="1"/>
  <c r="BL86" i="30"/>
  <c r="BL89" i="30" s="1"/>
  <c r="BF86" i="30"/>
  <c r="BF89" i="30" s="1"/>
  <c r="BD86" i="30"/>
  <c r="BD89" i="30" s="1"/>
  <c r="BA86" i="30"/>
  <c r="BA89" i="30" s="1"/>
  <c r="BB89" i="30" s="1"/>
  <c r="AX86" i="30"/>
  <c r="AX89" i="30" s="1"/>
  <c r="Z89" i="30"/>
  <c r="AG89" i="30" s="1"/>
  <c r="Z88" i="30"/>
  <c r="L88" i="30" s="1"/>
  <c r="Z87" i="30"/>
  <c r="F87" i="30" s="1"/>
  <c r="Z86" i="30"/>
  <c r="S90" i="30"/>
  <c r="S89" i="30"/>
  <c r="R89" i="30"/>
  <c r="S88" i="30"/>
  <c r="S87" i="30"/>
  <c r="S86" i="30"/>
  <c r="M89" i="30"/>
  <c r="K89" i="30"/>
  <c r="M88" i="30"/>
  <c r="K88" i="30"/>
  <c r="M87" i="30"/>
  <c r="K87" i="30"/>
  <c r="M86" i="30"/>
  <c r="K86" i="30"/>
  <c r="G89" i="30"/>
  <c r="E89" i="30"/>
  <c r="G88" i="30"/>
  <c r="E88" i="30"/>
  <c r="G87" i="30"/>
  <c r="E87" i="30"/>
  <c r="G86" i="30"/>
  <c r="E86" i="30"/>
  <c r="BH83" i="30"/>
  <c r="AL82" i="30"/>
  <c r="AL81" i="30"/>
  <c r="AL80" i="30"/>
  <c r="AL79" i="30"/>
  <c r="AJ83" i="30"/>
  <c r="AD83" i="30"/>
  <c r="M83" i="30"/>
  <c r="J83" i="30"/>
  <c r="G83" i="30"/>
  <c r="D83" i="30"/>
  <c r="N8" i="5" s="1"/>
  <c r="BR82" i="30"/>
  <c r="BP82" i="30"/>
  <c r="AE82" i="30"/>
  <c r="AE81" i="30"/>
  <c r="AE80" i="30"/>
  <c r="AE79" i="30"/>
  <c r="Z82" i="30"/>
  <c r="F82" i="30" s="1"/>
  <c r="Z81" i="30"/>
  <c r="L81" i="30" s="1"/>
  <c r="Z80" i="30"/>
  <c r="Z79" i="30"/>
  <c r="R79" i="30" s="1"/>
  <c r="S83" i="30"/>
  <c r="S82" i="30"/>
  <c r="S81" i="30"/>
  <c r="S80" i="30"/>
  <c r="S79" i="30"/>
  <c r="M82" i="30"/>
  <c r="K82" i="30"/>
  <c r="M81" i="30"/>
  <c r="K81" i="30"/>
  <c r="M80" i="30"/>
  <c r="K80" i="30"/>
  <c r="M79" i="30"/>
  <c r="K79" i="30"/>
  <c r="G82" i="30"/>
  <c r="E82" i="30"/>
  <c r="G81" i="30"/>
  <c r="E81" i="30"/>
  <c r="G80" i="30"/>
  <c r="E80" i="30"/>
  <c r="G79" i="30"/>
  <c r="E79" i="30"/>
  <c r="AL75" i="30"/>
  <c r="AL74" i="30"/>
  <c r="AL73" i="30"/>
  <c r="AL72" i="30"/>
  <c r="AJ76" i="30"/>
  <c r="AD76" i="30"/>
  <c r="M76" i="30"/>
  <c r="J76" i="30"/>
  <c r="G76" i="30"/>
  <c r="D76" i="30"/>
  <c r="BR75" i="30"/>
  <c r="BP75" i="30"/>
  <c r="AE75" i="30"/>
  <c r="AE74" i="30"/>
  <c r="AE73" i="30"/>
  <c r="AE72" i="30"/>
  <c r="Z75" i="30"/>
  <c r="Z74" i="30"/>
  <c r="AG74" i="30" s="1"/>
  <c r="Z73" i="30"/>
  <c r="R73" i="30" s="1"/>
  <c r="Z72" i="30"/>
  <c r="S76" i="30"/>
  <c r="S75" i="30"/>
  <c r="S74" i="30"/>
  <c r="S73" i="30"/>
  <c r="S72" i="30"/>
  <c r="M75" i="30"/>
  <c r="K75" i="30"/>
  <c r="M74" i="30"/>
  <c r="K74" i="30"/>
  <c r="M73" i="30"/>
  <c r="K73" i="30"/>
  <c r="M72" i="30"/>
  <c r="K72" i="30"/>
  <c r="G75" i="30"/>
  <c r="E75" i="30"/>
  <c r="G74" i="30"/>
  <c r="E74" i="30"/>
  <c r="G73" i="30"/>
  <c r="E73" i="30"/>
  <c r="G72" i="30"/>
  <c r="E72" i="30"/>
  <c r="AL68" i="30"/>
  <c r="AL67" i="30"/>
  <c r="AL66" i="30"/>
  <c r="AL65" i="30"/>
  <c r="AJ69" i="30"/>
  <c r="L12" i="5" s="1"/>
  <c r="AD69" i="30"/>
  <c r="J69" i="30"/>
  <c r="L9" i="5" s="1"/>
  <c r="D69" i="30"/>
  <c r="L8" i="5" s="1"/>
  <c r="AE68" i="30"/>
  <c r="AE67" i="30"/>
  <c r="AE66" i="30"/>
  <c r="AE65" i="30"/>
  <c r="AB68" i="30"/>
  <c r="Z68" i="30"/>
  <c r="AB67" i="30"/>
  <c r="Z67" i="30"/>
  <c r="AB66" i="30"/>
  <c r="Z66" i="30"/>
  <c r="AG66" i="30" s="1"/>
  <c r="AB65" i="30"/>
  <c r="Z65" i="30"/>
  <c r="S69" i="30"/>
  <c r="S68" i="30"/>
  <c r="S67" i="30"/>
  <c r="S66" i="30"/>
  <c r="S65" i="30"/>
  <c r="M68" i="30"/>
  <c r="K68" i="30"/>
  <c r="M67" i="30"/>
  <c r="K67" i="30"/>
  <c r="M66" i="30"/>
  <c r="K66" i="30"/>
  <c r="M65" i="30"/>
  <c r="K65" i="30"/>
  <c r="G68" i="30"/>
  <c r="E68" i="30"/>
  <c r="G67" i="30"/>
  <c r="E67" i="30"/>
  <c r="G66" i="30"/>
  <c r="E66" i="30"/>
  <c r="G65" i="30"/>
  <c r="E65" i="30"/>
  <c r="AL61" i="30"/>
  <c r="AL60" i="30"/>
  <c r="AL59" i="30"/>
  <c r="AL58" i="30"/>
  <c r="AJ62" i="30"/>
  <c r="AD62" i="30"/>
  <c r="J62" i="30"/>
  <c r="K9" i="5" s="1"/>
  <c r="G62" i="30"/>
  <c r="D62" i="30"/>
  <c r="AE61" i="30"/>
  <c r="AE60" i="30"/>
  <c r="AE59" i="30"/>
  <c r="AE58" i="30"/>
  <c r="Z61" i="30"/>
  <c r="Z60" i="30"/>
  <c r="Z59" i="30"/>
  <c r="Z58" i="30"/>
  <c r="M61" i="30"/>
  <c r="K61" i="30"/>
  <c r="M60" i="30"/>
  <c r="K60" i="30"/>
  <c r="M59" i="30"/>
  <c r="K59" i="30"/>
  <c r="M58" i="30"/>
  <c r="K58" i="30"/>
  <c r="G61" i="30"/>
  <c r="E61" i="30"/>
  <c r="G60" i="30"/>
  <c r="E60" i="30"/>
  <c r="G59" i="30"/>
  <c r="E59" i="30"/>
  <c r="G58" i="30"/>
  <c r="E58" i="30"/>
  <c r="AL54" i="30"/>
  <c r="AL53" i="30"/>
  <c r="AL52" i="30"/>
  <c r="AL51" i="30"/>
  <c r="AJ55" i="30"/>
  <c r="J12" i="5" s="1"/>
  <c r="AD55" i="30"/>
  <c r="M55" i="30"/>
  <c r="J55" i="30"/>
  <c r="G55" i="30"/>
  <c r="D55" i="30"/>
  <c r="J8" i="5" s="1"/>
  <c r="AE54" i="30"/>
  <c r="AE53" i="30"/>
  <c r="AE52" i="30"/>
  <c r="AE51" i="30"/>
  <c r="Z54" i="30"/>
  <c r="R54" i="30" s="1"/>
  <c r="Z53" i="30"/>
  <c r="F53" i="30" s="1"/>
  <c r="Z52" i="30"/>
  <c r="Z51" i="30"/>
  <c r="L51" i="30" s="1"/>
  <c r="M54" i="30"/>
  <c r="K54" i="30"/>
  <c r="M53" i="30"/>
  <c r="K53" i="30"/>
  <c r="M52" i="30"/>
  <c r="K52" i="30"/>
  <c r="M51" i="30"/>
  <c r="K51" i="30"/>
  <c r="G54" i="30"/>
  <c r="E54" i="30"/>
  <c r="G53" i="30"/>
  <c r="E53" i="30"/>
  <c r="G52" i="30"/>
  <c r="E52" i="30"/>
  <c r="G51" i="30"/>
  <c r="E51" i="30"/>
  <c r="AL47" i="30"/>
  <c r="AL46" i="30"/>
  <c r="AL45" i="30"/>
  <c r="AL44" i="30"/>
  <c r="AJ48" i="30"/>
  <c r="AD48" i="30"/>
  <c r="J48" i="30"/>
  <c r="D48" i="30"/>
  <c r="AE47" i="30"/>
  <c r="AE46" i="30"/>
  <c r="AE45" i="30"/>
  <c r="AE44" i="30"/>
  <c r="Z47" i="30"/>
  <c r="R47" i="30" s="1"/>
  <c r="Z46" i="30"/>
  <c r="AG46" i="30" s="1"/>
  <c r="Z45" i="30"/>
  <c r="Z44" i="30"/>
  <c r="K47" i="30"/>
  <c r="K46" i="30"/>
  <c r="K45" i="30"/>
  <c r="K44" i="30"/>
  <c r="E47" i="30"/>
  <c r="E46" i="30"/>
  <c r="E45" i="30"/>
  <c r="E44" i="30"/>
  <c r="AL40" i="30"/>
  <c r="AL39" i="30"/>
  <c r="AL38" i="30"/>
  <c r="AL37" i="30"/>
  <c r="AJ41" i="30"/>
  <c r="AD41" i="30"/>
  <c r="J41" i="30"/>
  <c r="D41" i="30"/>
  <c r="AE40" i="30"/>
  <c r="AE39" i="30"/>
  <c r="AE38" i="30"/>
  <c r="AE37" i="30"/>
  <c r="K40" i="30"/>
  <c r="K39" i="30"/>
  <c r="K38" i="30"/>
  <c r="Z40" i="30"/>
  <c r="F40" i="30" s="1"/>
  <c r="Z39" i="30"/>
  <c r="Z38" i="30"/>
  <c r="Z37" i="30"/>
  <c r="K37" i="30"/>
  <c r="E40" i="30"/>
  <c r="E39" i="30"/>
  <c r="E38" i="30"/>
  <c r="E37" i="30"/>
  <c r="AL33" i="30"/>
  <c r="AL32" i="30"/>
  <c r="AL31" i="30"/>
  <c r="AL30" i="30"/>
  <c r="AJ34" i="30"/>
  <c r="AD34" i="30"/>
  <c r="J34" i="30"/>
  <c r="K41" i="30" s="1"/>
  <c r="D34" i="30"/>
  <c r="AE33" i="30"/>
  <c r="AE32" i="30"/>
  <c r="AE31" i="30"/>
  <c r="AE30" i="30"/>
  <c r="Z33" i="30"/>
  <c r="L33" i="30" s="1"/>
  <c r="Z32" i="30"/>
  <c r="AA32" i="30" s="1"/>
  <c r="Z31" i="30"/>
  <c r="AA31" i="30" s="1"/>
  <c r="Z30" i="30"/>
  <c r="F30" i="30" s="1"/>
  <c r="AL26" i="30"/>
  <c r="AL25" i="30"/>
  <c r="AL24" i="30"/>
  <c r="AL23" i="30"/>
  <c r="AJ27" i="30"/>
  <c r="AD27" i="30"/>
  <c r="AE34" i="30" s="1"/>
  <c r="Z27" i="30"/>
  <c r="AA26" i="30"/>
  <c r="AA25" i="30"/>
  <c r="AA24" i="30"/>
  <c r="AA23" i="30"/>
  <c r="AG26" i="30"/>
  <c r="AR26" i="30" s="1"/>
  <c r="AG25" i="30"/>
  <c r="AR25" i="30" s="1"/>
  <c r="AG24" i="30"/>
  <c r="AR24" i="30" s="1"/>
  <c r="AG23" i="30"/>
  <c r="AL19" i="30"/>
  <c r="AL18" i="30"/>
  <c r="AL17" i="30"/>
  <c r="AL16" i="30"/>
  <c r="AJ20" i="30"/>
  <c r="AD20" i="30"/>
  <c r="Z20" i="30"/>
  <c r="AA19" i="30"/>
  <c r="AA18" i="30"/>
  <c r="AA17" i="30"/>
  <c r="AA16" i="30"/>
  <c r="AG19" i="30"/>
  <c r="AR19" i="30" s="1"/>
  <c r="AG18" i="30"/>
  <c r="AG17" i="30"/>
  <c r="AG16" i="30"/>
  <c r="AH23" i="30" s="1"/>
  <c r="AX12" i="30"/>
  <c r="AX11" i="30"/>
  <c r="AX10" i="30"/>
  <c r="AX9" i="30"/>
  <c r="AJ13" i="30"/>
  <c r="AG12" i="30"/>
  <c r="AG11" i="30"/>
  <c r="AR11" i="30" s="1"/>
  <c r="AG10" i="30"/>
  <c r="AG9" i="30"/>
  <c r="AD13" i="30"/>
  <c r="Z13" i="30"/>
  <c r="A1" i="30"/>
  <c r="X818" i="9"/>
  <c r="P816" i="9"/>
  <c r="P815" i="9"/>
  <c r="X811" i="9"/>
  <c r="P809" i="9"/>
  <c r="P808" i="9"/>
  <c r="X804" i="9"/>
  <c r="P802" i="9"/>
  <c r="P801" i="9"/>
  <c r="X797" i="9"/>
  <c r="P795" i="9"/>
  <c r="P794" i="9"/>
  <c r="X790" i="9"/>
  <c r="P788" i="9"/>
  <c r="P787" i="9"/>
  <c r="X783" i="9"/>
  <c r="P781" i="9"/>
  <c r="P780" i="9"/>
  <c r="P779" i="9"/>
  <c r="F630" i="9"/>
  <c r="F629" i="9"/>
  <c r="F628" i="9"/>
  <c r="F627" i="9"/>
  <c r="P622" i="9"/>
  <c r="Z622" i="9" s="1"/>
  <c r="P621" i="9"/>
  <c r="Z621" i="9" s="1"/>
  <c r="F623" i="9"/>
  <c r="F622" i="9"/>
  <c r="F621" i="9"/>
  <c r="F620" i="9"/>
  <c r="W622" i="9"/>
  <c r="D629" i="9"/>
  <c r="W621" i="9"/>
  <c r="W620" i="9"/>
  <c r="P615" i="9"/>
  <c r="Z615" i="9" s="1"/>
  <c r="P614" i="9"/>
  <c r="F616" i="9"/>
  <c r="F615" i="9"/>
  <c r="F614" i="9"/>
  <c r="F613" i="9"/>
  <c r="AE616" i="9"/>
  <c r="AE615" i="9"/>
  <c r="AE614" i="9"/>
  <c r="AE613" i="9"/>
  <c r="W616" i="9"/>
  <c r="W615" i="9"/>
  <c r="W154" i="9"/>
  <c r="W614" i="9"/>
  <c r="P138" i="30" s="1"/>
  <c r="W613" i="9"/>
  <c r="P608" i="9"/>
  <c r="Z608" i="9" s="1"/>
  <c r="P607" i="9"/>
  <c r="AE609" i="9"/>
  <c r="AE608" i="9"/>
  <c r="AE607" i="9"/>
  <c r="AE606" i="9"/>
  <c r="F609" i="9"/>
  <c r="F608" i="9"/>
  <c r="F607" i="9"/>
  <c r="F606" i="9"/>
  <c r="W609" i="9"/>
  <c r="W608" i="9"/>
  <c r="W607" i="9"/>
  <c r="W606" i="9"/>
  <c r="P130" i="30" s="1"/>
  <c r="P601" i="9"/>
  <c r="Z601" i="9" s="1"/>
  <c r="P600" i="9"/>
  <c r="Z600" i="9" s="1"/>
  <c r="AE602" i="9"/>
  <c r="AE601" i="9"/>
  <c r="AE600" i="9"/>
  <c r="AE599" i="9"/>
  <c r="F602" i="9"/>
  <c r="F601" i="9"/>
  <c r="F600" i="9"/>
  <c r="F599" i="9"/>
  <c r="W602" i="9"/>
  <c r="W601" i="9"/>
  <c r="P125" i="30" s="1"/>
  <c r="R125" i="30" s="1"/>
  <c r="W600" i="9"/>
  <c r="P124" i="30"/>
  <c r="R124" i="30" s="1"/>
  <c r="W599" i="9"/>
  <c r="AN595" i="9"/>
  <c r="AN594" i="9"/>
  <c r="AN593" i="9"/>
  <c r="AN592" i="9"/>
  <c r="X596" i="9"/>
  <c r="G596" i="9" s="1"/>
  <c r="S120" i="30" s="1"/>
  <c r="P593" i="9"/>
  <c r="Z593" i="9" s="1"/>
  <c r="F596" i="9"/>
  <c r="AE595" i="9"/>
  <c r="AE594" i="9"/>
  <c r="AE593" i="9"/>
  <c r="AE592" i="9"/>
  <c r="AG599" i="9" s="1"/>
  <c r="AP599" i="9" s="1"/>
  <c r="W595" i="9"/>
  <c r="W594" i="9"/>
  <c r="W593" i="9"/>
  <c r="W592" i="9"/>
  <c r="K594" i="9"/>
  <c r="P594" i="9" s="1"/>
  <c r="F595" i="9"/>
  <c r="F594" i="9"/>
  <c r="F593" i="9"/>
  <c r="F592" i="9"/>
  <c r="X585" i="9"/>
  <c r="P587" i="9"/>
  <c r="P586" i="9"/>
  <c r="F589" i="9"/>
  <c r="AE588" i="9"/>
  <c r="AP588" i="9" s="1"/>
  <c r="AE587" i="9"/>
  <c r="AP587" i="9"/>
  <c r="AE586" i="9"/>
  <c r="AP586" i="9" s="1"/>
  <c r="AE585" i="9"/>
  <c r="AP585" i="9" s="1"/>
  <c r="AP589" i="9" s="1"/>
  <c r="F588" i="9"/>
  <c r="F587" i="9"/>
  <c r="F586" i="9"/>
  <c r="F585" i="9"/>
  <c r="X581" i="9"/>
  <c r="X580" i="9"/>
  <c r="AN580" i="9" s="1"/>
  <c r="X579" i="9"/>
  <c r="X578" i="9"/>
  <c r="P579" i="9"/>
  <c r="R586" i="9" s="1"/>
  <c r="AE581" i="9"/>
  <c r="AE580" i="9"/>
  <c r="AP580" i="9"/>
  <c r="AE579" i="9"/>
  <c r="AE578" i="9"/>
  <c r="AP578" i="9" s="1"/>
  <c r="AP582" i="9" s="1"/>
  <c r="K580" i="9"/>
  <c r="P580" i="9" s="1"/>
  <c r="X574" i="9"/>
  <c r="X573" i="9"/>
  <c r="X572" i="9"/>
  <c r="AN572" i="9" s="1"/>
  <c r="X571" i="9"/>
  <c r="AN571" i="9" s="1"/>
  <c r="AE574" i="9"/>
  <c r="AP574" i="9" s="1"/>
  <c r="AE573" i="9"/>
  <c r="AE572" i="9"/>
  <c r="AP572" i="9" s="1"/>
  <c r="AE571" i="9"/>
  <c r="AN567" i="9"/>
  <c r="AE567" i="9"/>
  <c r="AE566" i="9"/>
  <c r="AE565" i="9"/>
  <c r="AE564" i="9"/>
  <c r="K566" i="9"/>
  <c r="P566" i="9" s="1"/>
  <c r="X566" i="9"/>
  <c r="X565" i="9"/>
  <c r="X564" i="9"/>
  <c r="AE560" i="9"/>
  <c r="AE559" i="9"/>
  <c r="AE558" i="9"/>
  <c r="AE557" i="9"/>
  <c r="AE553" i="9"/>
  <c r="F523" i="9"/>
  <c r="F522" i="9"/>
  <c r="I522" i="9" s="1"/>
  <c r="F521" i="9"/>
  <c r="F520" i="9"/>
  <c r="I520" i="9" s="1"/>
  <c r="P515" i="9"/>
  <c r="Z515" i="9" s="1"/>
  <c r="P514" i="9"/>
  <c r="Z514" i="9" s="1"/>
  <c r="P513" i="9"/>
  <c r="Z513" i="9" s="1"/>
  <c r="D515" i="9"/>
  <c r="I515" i="9" s="1"/>
  <c r="D514" i="9"/>
  <c r="D513" i="9"/>
  <c r="P509" i="9"/>
  <c r="Z509" i="9" s="1"/>
  <c r="P508" i="9"/>
  <c r="Z508" i="9" s="1"/>
  <c r="P507" i="9"/>
  <c r="Z507" i="9" s="1"/>
  <c r="P506" i="9"/>
  <c r="Z506" i="9" s="1"/>
  <c r="N510" i="9"/>
  <c r="M510" i="9"/>
  <c r="L510" i="9"/>
  <c r="K510" i="9"/>
  <c r="F509" i="9"/>
  <c r="F508" i="9"/>
  <c r="F507" i="9"/>
  <c r="F506" i="9"/>
  <c r="D508" i="9"/>
  <c r="D507" i="9"/>
  <c r="D506" i="9"/>
  <c r="AE509" i="9"/>
  <c r="AE508" i="9"/>
  <c r="AE507" i="9"/>
  <c r="AE506" i="9"/>
  <c r="W503" i="9"/>
  <c r="P502" i="9"/>
  <c r="Z502" i="9" s="1"/>
  <c r="P501" i="9"/>
  <c r="Z501" i="9" s="1"/>
  <c r="P500" i="9"/>
  <c r="Z500" i="9" s="1"/>
  <c r="P499" i="9"/>
  <c r="Z499" i="9" s="1"/>
  <c r="N503" i="9"/>
  <c r="M503" i="9"/>
  <c r="L503" i="9"/>
  <c r="K503" i="9"/>
  <c r="D502" i="9"/>
  <c r="D501" i="9"/>
  <c r="D500" i="9"/>
  <c r="D499" i="9"/>
  <c r="AE502" i="9"/>
  <c r="AE501" i="9"/>
  <c r="AE500" i="9"/>
  <c r="AE499" i="9"/>
  <c r="F502" i="9"/>
  <c r="F501" i="9"/>
  <c r="F500" i="9"/>
  <c r="F499" i="9"/>
  <c r="W496" i="9"/>
  <c r="P495" i="9"/>
  <c r="Z495" i="9" s="1"/>
  <c r="P494" i="9"/>
  <c r="Z494" i="9" s="1"/>
  <c r="P493" i="9"/>
  <c r="Z493" i="9" s="1"/>
  <c r="P492" i="9"/>
  <c r="Z492" i="9" s="1"/>
  <c r="N496" i="9"/>
  <c r="M496" i="9"/>
  <c r="L496" i="9"/>
  <c r="K496" i="9"/>
  <c r="D495" i="9"/>
  <c r="D494" i="9"/>
  <c r="D493" i="9"/>
  <c r="D492" i="9"/>
  <c r="AE493" i="9"/>
  <c r="AE492" i="9"/>
  <c r="F495" i="9"/>
  <c r="F494" i="9"/>
  <c r="F493" i="9"/>
  <c r="F492" i="9"/>
  <c r="AV493" i="9"/>
  <c r="AV492" i="9"/>
  <c r="AV488" i="9"/>
  <c r="AV487" i="9"/>
  <c r="AV486" i="9"/>
  <c r="AV485" i="9"/>
  <c r="AN488" i="9"/>
  <c r="AN487" i="9"/>
  <c r="AN486" i="9"/>
  <c r="AN485" i="9"/>
  <c r="X489" i="9"/>
  <c r="G489" i="9" s="1"/>
  <c r="M120" i="30" s="1"/>
  <c r="W489" i="9"/>
  <c r="J120" i="30" s="1"/>
  <c r="P486" i="9"/>
  <c r="Z486" i="9" s="1"/>
  <c r="N489" i="9"/>
  <c r="M489" i="9"/>
  <c r="L489" i="9"/>
  <c r="K489" i="9"/>
  <c r="F489" i="9"/>
  <c r="AE488" i="9"/>
  <c r="AE495" i="9" s="1"/>
  <c r="AE487" i="9"/>
  <c r="AE486" i="9"/>
  <c r="AE485" i="9"/>
  <c r="F488" i="9"/>
  <c r="F487" i="9"/>
  <c r="F486" i="9"/>
  <c r="F485" i="9"/>
  <c r="K487" i="9"/>
  <c r="P487" i="9" s="1"/>
  <c r="X479" i="9"/>
  <c r="X478" i="9"/>
  <c r="AN478" i="9" s="1"/>
  <c r="P480" i="9"/>
  <c r="P479" i="9"/>
  <c r="N482" i="9"/>
  <c r="M482" i="9"/>
  <c r="L482" i="9"/>
  <c r="AE481" i="9"/>
  <c r="AE480" i="9"/>
  <c r="AE479" i="9"/>
  <c r="AP479" i="9" s="1"/>
  <c r="AE478" i="9"/>
  <c r="X474" i="9"/>
  <c r="X473" i="9"/>
  <c r="AN473" i="9" s="1"/>
  <c r="X472" i="9"/>
  <c r="X471" i="9"/>
  <c r="P472" i="9"/>
  <c r="N475" i="9"/>
  <c r="M475" i="9"/>
  <c r="AE474" i="9"/>
  <c r="AP474" i="9" s="1"/>
  <c r="AE473" i="9"/>
  <c r="AE472" i="9"/>
  <c r="AP472" i="9"/>
  <c r="AE471" i="9"/>
  <c r="AP471" i="9" s="1"/>
  <c r="AP475" i="9" s="1"/>
  <c r="L474" i="9"/>
  <c r="L475" i="9" s="1"/>
  <c r="K473" i="9"/>
  <c r="P473" i="9" s="1"/>
  <c r="X467" i="9"/>
  <c r="X466" i="9"/>
  <c r="X465" i="9"/>
  <c r="X464" i="9"/>
  <c r="AE467" i="9"/>
  <c r="AE466" i="9"/>
  <c r="AE465" i="9"/>
  <c r="AE464" i="9"/>
  <c r="X460" i="9"/>
  <c r="X459" i="9"/>
  <c r="X458" i="9"/>
  <c r="AN458" i="9" s="1"/>
  <c r="X457" i="9"/>
  <c r="P459" i="9"/>
  <c r="Z459" i="9" s="1"/>
  <c r="AE460" i="9"/>
  <c r="AE459" i="9"/>
  <c r="AE458" i="9"/>
  <c r="AE457" i="9"/>
  <c r="AP457" i="9" s="1"/>
  <c r="AP461" i="9" s="1"/>
  <c r="X453" i="9"/>
  <c r="X452" i="9"/>
  <c r="X451" i="9"/>
  <c r="X450" i="9"/>
  <c r="P452" i="9"/>
  <c r="P451" i="9"/>
  <c r="AE453" i="9"/>
  <c r="AE452" i="9"/>
  <c r="AE451" i="9"/>
  <c r="AE450" i="9"/>
  <c r="AP450" i="9" s="1"/>
  <c r="AP454" i="9" s="1"/>
  <c r="X446" i="9"/>
  <c r="X445" i="9"/>
  <c r="X444" i="9"/>
  <c r="X443" i="9"/>
  <c r="AE446" i="9"/>
  <c r="AP446" i="9" s="1"/>
  <c r="AE445" i="9"/>
  <c r="AP445" i="9"/>
  <c r="AE444" i="9"/>
  <c r="AE443" i="9"/>
  <c r="K444" i="9"/>
  <c r="P444" i="9" s="1"/>
  <c r="X439" i="9"/>
  <c r="X438" i="9"/>
  <c r="AN438" i="9" s="1"/>
  <c r="X437" i="9"/>
  <c r="X436" i="9"/>
  <c r="AE439" i="9"/>
  <c r="AE438" i="9"/>
  <c r="AP438" i="9" s="1"/>
  <c r="AE437" i="9"/>
  <c r="AG437" i="9" s="1"/>
  <c r="AE436" i="9"/>
  <c r="X432" i="9"/>
  <c r="X431" i="9"/>
  <c r="X430" i="9"/>
  <c r="X429" i="9"/>
  <c r="AN429" i="9" s="1"/>
  <c r="AE432" i="9"/>
  <c r="AP432" i="9" s="1"/>
  <c r="AE431" i="9"/>
  <c r="AP431" i="9"/>
  <c r="AE430" i="9"/>
  <c r="AP430" i="9" s="1"/>
  <c r="AE425" i="9"/>
  <c r="AE423" i="9"/>
  <c r="AE422" i="9"/>
  <c r="X425" i="9"/>
  <c r="X424" i="9"/>
  <c r="X423" i="9"/>
  <c r="AN423" i="9" s="1"/>
  <c r="X422" i="9"/>
  <c r="D422" i="9" s="1"/>
  <c r="I422" i="9" s="1"/>
  <c r="K422" i="9"/>
  <c r="P422" i="9" s="1"/>
  <c r="AN418" i="9"/>
  <c r="AN417" i="9"/>
  <c r="AN416" i="9"/>
  <c r="AN415" i="9"/>
  <c r="AE418" i="9"/>
  <c r="AE417" i="9"/>
  <c r="AP417" i="9" s="1"/>
  <c r="AE416" i="9"/>
  <c r="AP416" i="9" s="1"/>
  <c r="AE415" i="9"/>
  <c r="AP415" i="9" s="1"/>
  <c r="X419" i="9"/>
  <c r="P418" i="9"/>
  <c r="P417" i="9"/>
  <c r="Z417" i="9" s="1"/>
  <c r="P416" i="9"/>
  <c r="AE411" i="9"/>
  <c r="AE410" i="9"/>
  <c r="AE409" i="9"/>
  <c r="K409" i="9"/>
  <c r="P409" i="9" s="1"/>
  <c r="AE404" i="9"/>
  <c r="AE408" i="9" s="1"/>
  <c r="AE403" i="9"/>
  <c r="AE401" i="9"/>
  <c r="K403" i="9"/>
  <c r="P403" i="9" s="1"/>
  <c r="P396" i="9"/>
  <c r="AE397" i="9"/>
  <c r="AE394" i="9"/>
  <c r="K397" i="9"/>
  <c r="K401" i="9" s="1"/>
  <c r="K394" i="9"/>
  <c r="P388" i="9"/>
  <c r="AE389" i="9"/>
  <c r="AE390" i="9" s="1"/>
  <c r="AG390" i="9" s="1"/>
  <c r="K389" i="9"/>
  <c r="AE383" i="9"/>
  <c r="AE387" i="9" s="1"/>
  <c r="AE382" i="9"/>
  <c r="AE381" i="9"/>
  <c r="AE380" i="9"/>
  <c r="K380" i="9"/>
  <c r="K381" i="9" s="1"/>
  <c r="P376" i="9"/>
  <c r="P375" i="9"/>
  <c r="P374" i="9"/>
  <c r="P366" i="9"/>
  <c r="AE369" i="9"/>
  <c r="AE373" i="9" s="1"/>
  <c r="AE374" i="9" s="1"/>
  <c r="AE368" i="9"/>
  <c r="AE366" i="9"/>
  <c r="K367" i="9"/>
  <c r="F346" i="9"/>
  <c r="P338" i="9"/>
  <c r="Z338" i="9" s="1"/>
  <c r="P337" i="9"/>
  <c r="Z337" i="9" s="1"/>
  <c r="F339" i="9"/>
  <c r="I339" i="9" s="1"/>
  <c r="F338" i="9"/>
  <c r="F337" i="9"/>
  <c r="F336" i="9"/>
  <c r="D338" i="9"/>
  <c r="D337" i="9"/>
  <c r="D336" i="9"/>
  <c r="W333" i="9"/>
  <c r="P331" i="9"/>
  <c r="Z331" i="9" s="1"/>
  <c r="P330" i="9"/>
  <c r="Z330" i="9" s="1"/>
  <c r="P329" i="9"/>
  <c r="Z329" i="9" s="1"/>
  <c r="F332" i="9"/>
  <c r="F331" i="9"/>
  <c r="F330" i="9"/>
  <c r="F329" i="9"/>
  <c r="D332" i="9"/>
  <c r="D331" i="9"/>
  <c r="D330" i="9"/>
  <c r="D329" i="9"/>
  <c r="AE332" i="9"/>
  <c r="AE331" i="9"/>
  <c r="AE330" i="9"/>
  <c r="AE329" i="9"/>
  <c r="W326" i="9"/>
  <c r="P325" i="9"/>
  <c r="Z325" i="9" s="1"/>
  <c r="P324" i="9"/>
  <c r="Z324" i="9" s="1"/>
  <c r="P323" i="9"/>
  <c r="Z323" i="9" s="1"/>
  <c r="P322" i="9"/>
  <c r="Z322" i="9" s="1"/>
  <c r="N326" i="9"/>
  <c r="M326" i="9"/>
  <c r="L326" i="9"/>
  <c r="K326" i="9"/>
  <c r="D325" i="9"/>
  <c r="D324" i="9"/>
  <c r="D323" i="9"/>
  <c r="D322" i="9"/>
  <c r="AE325" i="9"/>
  <c r="AE324" i="9"/>
  <c r="AG325" i="9" s="1"/>
  <c r="AE323" i="9"/>
  <c r="AE322" i="9"/>
  <c r="F325" i="9"/>
  <c r="I325" i="9" s="1"/>
  <c r="F324" i="9"/>
  <c r="F323" i="9"/>
  <c r="F322" i="9"/>
  <c r="I322" i="9" s="1"/>
  <c r="W319" i="9"/>
  <c r="P318" i="9"/>
  <c r="Z318" i="9" s="1"/>
  <c r="P317" i="9"/>
  <c r="Z317" i="9" s="1"/>
  <c r="P316" i="9"/>
  <c r="Z316" i="9" s="1"/>
  <c r="N319" i="9"/>
  <c r="M319" i="9"/>
  <c r="L319" i="9"/>
  <c r="K319" i="9"/>
  <c r="D318" i="9"/>
  <c r="D317" i="9"/>
  <c r="D316" i="9"/>
  <c r="D315" i="9"/>
  <c r="F318" i="9"/>
  <c r="I318" i="9" s="1"/>
  <c r="F317" i="9"/>
  <c r="I317" i="9" s="1"/>
  <c r="F316" i="9"/>
  <c r="F315" i="9"/>
  <c r="I315" i="9" s="1"/>
  <c r="AV316" i="9"/>
  <c r="AV315" i="9"/>
  <c r="AE315" i="9"/>
  <c r="AV311" i="9"/>
  <c r="AV310" i="9"/>
  <c r="AV309" i="9"/>
  <c r="AV308" i="9"/>
  <c r="AN311" i="9"/>
  <c r="AN310" i="9"/>
  <c r="AN309" i="9"/>
  <c r="X312" i="9"/>
  <c r="W312" i="9"/>
  <c r="D120" i="30" s="1"/>
  <c r="P309" i="9"/>
  <c r="N312" i="9"/>
  <c r="M312" i="9"/>
  <c r="L312" i="9"/>
  <c r="F312" i="9"/>
  <c r="D311" i="9"/>
  <c r="D310" i="9"/>
  <c r="D309" i="9"/>
  <c r="D308" i="9"/>
  <c r="AE311" i="9"/>
  <c r="AE318" i="9" s="1"/>
  <c r="AE310" i="9"/>
  <c r="AE309" i="9"/>
  <c r="AE308" i="9"/>
  <c r="AE131" i="9" s="1"/>
  <c r="K310" i="9"/>
  <c r="F311" i="9"/>
  <c r="F310" i="9"/>
  <c r="F309" i="9"/>
  <c r="F308" i="9"/>
  <c r="AN304" i="9"/>
  <c r="AN303" i="9"/>
  <c r="AN302" i="9"/>
  <c r="AN301" i="9"/>
  <c r="X305" i="9"/>
  <c r="P303" i="9"/>
  <c r="P302" i="9"/>
  <c r="N305" i="9"/>
  <c r="M305" i="9"/>
  <c r="L305" i="9"/>
  <c r="AE304" i="9"/>
  <c r="AE303" i="9"/>
  <c r="AE302" i="9"/>
  <c r="AE301" i="9"/>
  <c r="X297" i="9"/>
  <c r="X296" i="9"/>
  <c r="X295" i="9"/>
  <c r="X294" i="9"/>
  <c r="P295" i="9"/>
  <c r="N298" i="9"/>
  <c r="M298" i="9"/>
  <c r="AE297" i="9"/>
  <c r="AE296" i="9"/>
  <c r="AE295" i="9"/>
  <c r="AE294" i="9"/>
  <c r="L297" i="9"/>
  <c r="K296" i="9"/>
  <c r="X290" i="9"/>
  <c r="X289" i="9"/>
  <c r="AN289" i="9" s="1"/>
  <c r="X288" i="9"/>
  <c r="AN288" i="9" s="1"/>
  <c r="X287" i="9"/>
  <c r="N291" i="9"/>
  <c r="M291" i="9"/>
  <c r="AE290" i="9"/>
  <c r="AE289" i="9"/>
  <c r="AP289" i="9" s="1"/>
  <c r="AE288" i="9"/>
  <c r="AE287" i="9"/>
  <c r="X283" i="9"/>
  <c r="X282" i="9"/>
  <c r="X281" i="9"/>
  <c r="X280" i="9"/>
  <c r="AN280" i="9" s="1"/>
  <c r="P282" i="9"/>
  <c r="N284" i="9"/>
  <c r="M284" i="9"/>
  <c r="AE283" i="9"/>
  <c r="AP283" i="9" s="1"/>
  <c r="AE282" i="9"/>
  <c r="AE281" i="9"/>
  <c r="AE280" i="9"/>
  <c r="X276" i="9"/>
  <c r="X275" i="9"/>
  <c r="D282" i="9" s="1"/>
  <c r="I282" i="9" s="1"/>
  <c r="X274" i="9"/>
  <c r="X273" i="9"/>
  <c r="P275" i="9"/>
  <c r="N277" i="9"/>
  <c r="M277" i="9"/>
  <c r="AE276" i="9"/>
  <c r="AE275" i="9"/>
  <c r="AP275" i="9"/>
  <c r="AE274" i="9"/>
  <c r="AE273" i="9"/>
  <c r="X269" i="9"/>
  <c r="X268" i="9"/>
  <c r="X267" i="9"/>
  <c r="X266" i="9"/>
  <c r="AE269" i="9"/>
  <c r="AP269" i="9"/>
  <c r="AE268" i="9"/>
  <c r="AP268" i="9" s="1"/>
  <c r="AE267" i="9"/>
  <c r="AP267" i="9" s="1"/>
  <c r="AE266" i="9"/>
  <c r="K267" i="9"/>
  <c r="K268" i="9" s="1"/>
  <c r="X262" i="9"/>
  <c r="X261" i="9"/>
  <c r="X260" i="9"/>
  <c r="X259" i="9"/>
  <c r="AE262" i="9"/>
  <c r="AE261" i="9"/>
  <c r="AE260" i="9"/>
  <c r="AP260" i="9" s="1"/>
  <c r="AE259" i="9"/>
  <c r="X255" i="9"/>
  <c r="X254" i="9"/>
  <c r="AN254" i="9" s="1"/>
  <c r="X253" i="9"/>
  <c r="X252" i="9"/>
  <c r="AN252" i="9" s="1"/>
  <c r="AE255" i="9"/>
  <c r="AE254" i="9"/>
  <c r="AP254" i="9"/>
  <c r="AE253" i="9"/>
  <c r="AE252" i="9"/>
  <c r="AP252" i="9" s="1"/>
  <c r="AP256" i="9" s="1"/>
  <c r="X248" i="9"/>
  <c r="X247" i="9"/>
  <c r="X246" i="9"/>
  <c r="X245" i="9"/>
  <c r="P246" i="9"/>
  <c r="P245" i="9"/>
  <c r="Z245" i="9" s="1"/>
  <c r="AE248" i="9"/>
  <c r="AP248" i="9" s="1"/>
  <c r="AE246" i="9"/>
  <c r="K247" i="9"/>
  <c r="P247" i="9" s="1"/>
  <c r="AN241" i="9"/>
  <c r="AN240" i="9"/>
  <c r="AN239" i="9"/>
  <c r="AN238" i="9"/>
  <c r="X242" i="9"/>
  <c r="P241" i="9"/>
  <c r="P240" i="9"/>
  <c r="Z240" i="9" s="1"/>
  <c r="P239" i="9"/>
  <c r="Z239" i="9" s="1"/>
  <c r="AE241" i="9"/>
  <c r="AP241" i="9"/>
  <c r="AE240" i="9"/>
  <c r="AP240" i="9" s="1"/>
  <c r="AE239" i="9"/>
  <c r="AE238" i="9"/>
  <c r="AP238" i="9" s="1"/>
  <c r="AP242" i="9" s="1"/>
  <c r="AE234" i="9"/>
  <c r="AE233" i="9"/>
  <c r="AE232" i="9"/>
  <c r="AE231" i="9"/>
  <c r="AE227" i="9"/>
  <c r="AE226" i="9"/>
  <c r="AG226" i="9" s="1"/>
  <c r="AE225" i="9"/>
  <c r="AE224" i="9"/>
  <c r="K224" i="9"/>
  <c r="P224" i="9" s="1"/>
  <c r="AE219" i="9"/>
  <c r="AE220" i="9" s="1"/>
  <c r="AE218" i="9"/>
  <c r="AE217" i="9"/>
  <c r="K218" i="9"/>
  <c r="P218" i="9" s="1"/>
  <c r="AE213" i="9"/>
  <c r="AE211" i="9"/>
  <c r="AE212" i="9" s="1"/>
  <c r="K213" i="9"/>
  <c r="P213" i="9" s="1"/>
  <c r="K211" i="9"/>
  <c r="P211" i="9" s="1"/>
  <c r="P205" i="9"/>
  <c r="P204" i="9"/>
  <c r="AE206" i="9"/>
  <c r="AE210" i="9" s="1"/>
  <c r="K206" i="9"/>
  <c r="P210" i="9" s="1"/>
  <c r="AE199" i="9"/>
  <c r="AE203" i="9" s="1"/>
  <c r="AE197" i="9"/>
  <c r="AE196" i="9"/>
  <c r="K199" i="9"/>
  <c r="P199" i="9" s="1"/>
  <c r="K197" i="9"/>
  <c r="P198" i="9" s="1"/>
  <c r="P190" i="9"/>
  <c r="P189" i="9"/>
  <c r="B188" i="9"/>
  <c r="B365" i="9" s="1"/>
  <c r="AE192" i="9"/>
  <c r="AE191" i="9"/>
  <c r="AE189" i="9"/>
  <c r="AG189" i="9" s="1"/>
  <c r="K191" i="9"/>
  <c r="K192" i="9" s="1"/>
  <c r="P196" i="9" s="1"/>
  <c r="K161" i="9"/>
  <c r="K160" i="9"/>
  <c r="K159" i="9"/>
  <c r="BU93" i="20" s="1"/>
  <c r="W161" i="9"/>
  <c r="F161" i="9"/>
  <c r="F160" i="9"/>
  <c r="F159" i="9"/>
  <c r="W153" i="9"/>
  <c r="N155" i="9"/>
  <c r="M155" i="9"/>
  <c r="L155" i="9"/>
  <c r="N154" i="9"/>
  <c r="M154" i="9"/>
  <c r="L154" i="9"/>
  <c r="K154" i="9"/>
  <c r="N153" i="9"/>
  <c r="M153" i="9"/>
  <c r="L153" i="9"/>
  <c r="K153" i="9"/>
  <c r="BQ93" i="20" s="1"/>
  <c r="N152" i="9"/>
  <c r="M152" i="9"/>
  <c r="L152" i="9"/>
  <c r="K152" i="9"/>
  <c r="F154" i="9"/>
  <c r="F153" i="9"/>
  <c r="F152" i="9"/>
  <c r="W148" i="9"/>
  <c r="W145" i="9"/>
  <c r="N148" i="9"/>
  <c r="M148" i="9"/>
  <c r="L148" i="9"/>
  <c r="N147" i="9"/>
  <c r="M147" i="9"/>
  <c r="L147" i="9"/>
  <c r="K147" i="9"/>
  <c r="V146" i="10" s="1"/>
  <c r="N146" i="9"/>
  <c r="M146" i="9"/>
  <c r="L146" i="9"/>
  <c r="K146" i="9"/>
  <c r="N145" i="9"/>
  <c r="M145" i="9"/>
  <c r="L145" i="9"/>
  <c r="K145" i="9"/>
  <c r="V144" i="10" s="1"/>
  <c r="X144" i="10" s="1"/>
  <c r="F148" i="9"/>
  <c r="F147" i="9"/>
  <c r="F146" i="9"/>
  <c r="F145" i="9"/>
  <c r="AY142" i="9"/>
  <c r="AE139" i="9"/>
  <c r="AE138" i="9"/>
  <c r="AB137" i="10" s="1"/>
  <c r="AD137" i="10" s="1"/>
  <c r="X139" i="9"/>
  <c r="G139" i="9" s="1"/>
  <c r="W139" i="9"/>
  <c r="X138" i="9"/>
  <c r="G138" i="9" s="1"/>
  <c r="N141" i="9"/>
  <c r="M141" i="9"/>
  <c r="L141" i="9"/>
  <c r="N140" i="9"/>
  <c r="M140" i="9"/>
  <c r="L140" i="9"/>
  <c r="K140" i="9"/>
  <c r="N139" i="9"/>
  <c r="M139" i="9"/>
  <c r="L139" i="9"/>
  <c r="K139" i="9"/>
  <c r="V138" i="10" s="1"/>
  <c r="X138" i="10" s="1"/>
  <c r="N138" i="9"/>
  <c r="M138" i="9"/>
  <c r="L138" i="9"/>
  <c r="K138" i="9"/>
  <c r="F142" i="9"/>
  <c r="F141" i="9"/>
  <c r="F140" i="9"/>
  <c r="F139" i="9"/>
  <c r="F138" i="9"/>
  <c r="BC135" i="9"/>
  <c r="BC133" i="9"/>
  <c r="BC132" i="9"/>
  <c r="BC131" i="9"/>
  <c r="BA134" i="9"/>
  <c r="AE134" i="9"/>
  <c r="AG138" i="9" s="1"/>
  <c r="BE133" i="9"/>
  <c r="BE132" i="9"/>
  <c r="BE131" i="9"/>
  <c r="X134" i="9"/>
  <c r="G134" i="9" s="1"/>
  <c r="X133" i="9"/>
  <c r="W133" i="9"/>
  <c r="X132" i="9"/>
  <c r="X131" i="9"/>
  <c r="G131" i="9" s="1"/>
  <c r="N134" i="9"/>
  <c r="M134" i="9"/>
  <c r="L134" i="9"/>
  <c r="N133" i="9"/>
  <c r="M133" i="9"/>
  <c r="L133" i="9"/>
  <c r="N132" i="9"/>
  <c r="M132" i="9"/>
  <c r="L132" i="9"/>
  <c r="K132" i="9"/>
  <c r="V131" i="10" s="1"/>
  <c r="N131" i="9"/>
  <c r="M131" i="9"/>
  <c r="L131" i="9"/>
  <c r="K131" i="9"/>
  <c r="F135" i="9"/>
  <c r="F134" i="9"/>
  <c r="G133" i="9"/>
  <c r="F133" i="9"/>
  <c r="F132" i="9"/>
  <c r="F131" i="9"/>
  <c r="BE126" i="9"/>
  <c r="BE125" i="9"/>
  <c r="BE124" i="9"/>
  <c r="BC128" i="9"/>
  <c r="BC126" i="9"/>
  <c r="BC125" i="9"/>
  <c r="BC124" i="9"/>
  <c r="BA127" i="9"/>
  <c r="N127" i="9"/>
  <c r="M127" i="9"/>
  <c r="L127" i="9"/>
  <c r="N126" i="9"/>
  <c r="M126" i="9"/>
  <c r="L126" i="9"/>
  <c r="K126" i="9"/>
  <c r="AX93" i="20" s="1"/>
  <c r="N125" i="9"/>
  <c r="M125" i="9"/>
  <c r="L125" i="9"/>
  <c r="K125" i="9"/>
  <c r="V124" i="10" s="1"/>
  <c r="X124" i="10" s="1"/>
  <c r="N124" i="9"/>
  <c r="M124" i="9"/>
  <c r="L124" i="9"/>
  <c r="K124" i="9"/>
  <c r="V123" i="10" s="1"/>
  <c r="X123" i="10" s="1"/>
  <c r="BE119" i="9"/>
  <c r="BE118" i="9"/>
  <c r="BE117" i="9"/>
  <c r="BC121" i="9"/>
  <c r="BC119" i="9"/>
  <c r="BC118" i="9"/>
  <c r="BC117" i="9"/>
  <c r="G120" i="9"/>
  <c r="AB103" i="30" s="1"/>
  <c r="G119" i="9"/>
  <c r="AB102" i="30" s="1"/>
  <c r="G118" i="9"/>
  <c r="AB101" i="30" s="1"/>
  <c r="G117" i="9"/>
  <c r="AB100" i="30" s="1"/>
  <c r="BA120" i="9"/>
  <c r="N120" i="9"/>
  <c r="M120" i="9"/>
  <c r="N119" i="9"/>
  <c r="M119" i="9"/>
  <c r="L119" i="9"/>
  <c r="N118" i="9"/>
  <c r="M118" i="9"/>
  <c r="L118" i="9"/>
  <c r="N117" i="9"/>
  <c r="M117" i="9"/>
  <c r="L117" i="9"/>
  <c r="BE112" i="9"/>
  <c r="BE111" i="9"/>
  <c r="BE110" i="9"/>
  <c r="BC114" i="9"/>
  <c r="BC112" i="9"/>
  <c r="BC111" i="9"/>
  <c r="BC110" i="9"/>
  <c r="G113" i="9"/>
  <c r="AB96" i="30" s="1"/>
  <c r="G112" i="9"/>
  <c r="AB95" i="30" s="1"/>
  <c r="G111" i="9"/>
  <c r="AB94" i="30" s="1"/>
  <c r="G110" i="9"/>
  <c r="AB93" i="30" s="1"/>
  <c r="BA113" i="9"/>
  <c r="AE113" i="9"/>
  <c r="AP113" i="9" s="1"/>
  <c r="N113" i="9"/>
  <c r="M113" i="9"/>
  <c r="N112" i="9"/>
  <c r="M112" i="9"/>
  <c r="L112" i="9"/>
  <c r="N111" i="9"/>
  <c r="M111" i="9"/>
  <c r="L111" i="9"/>
  <c r="N110" i="9"/>
  <c r="M110" i="9"/>
  <c r="L110" i="9"/>
  <c r="BE105" i="9"/>
  <c r="BE104" i="9"/>
  <c r="BE103" i="9"/>
  <c r="BC107" i="9"/>
  <c r="BC105" i="9"/>
  <c r="BC104" i="9"/>
  <c r="BC103" i="9"/>
  <c r="G106" i="9"/>
  <c r="G105" i="9"/>
  <c r="AB88" i="30" s="1"/>
  <c r="G104" i="9"/>
  <c r="G103" i="9"/>
  <c r="AB86" i="30" s="1"/>
  <c r="BA106" i="9"/>
  <c r="BE106" i="9" s="1"/>
  <c r="AE106" i="9"/>
  <c r="AJ92" i="20" s="1"/>
  <c r="N106" i="9"/>
  <c r="M106" i="9"/>
  <c r="N105" i="9"/>
  <c r="M105" i="9"/>
  <c r="L105" i="9"/>
  <c r="N104" i="9"/>
  <c r="M104" i="9"/>
  <c r="L104" i="9"/>
  <c r="K104" i="9"/>
  <c r="P104" i="9" s="1"/>
  <c r="N103" i="9"/>
  <c r="M103" i="9"/>
  <c r="L103" i="9"/>
  <c r="K103" i="9"/>
  <c r="V102" i="10" s="1"/>
  <c r="X102" i="10" s="1"/>
  <c r="BE98" i="9"/>
  <c r="BE97" i="9"/>
  <c r="BE96" i="9"/>
  <c r="BC100" i="9"/>
  <c r="BC98" i="9"/>
  <c r="BC97" i="9"/>
  <c r="BC96" i="9"/>
  <c r="G100" i="9"/>
  <c r="G99" i="9"/>
  <c r="AB82" i="30" s="1"/>
  <c r="G98" i="9"/>
  <c r="AB81" i="30" s="1"/>
  <c r="G97" i="9"/>
  <c r="AB80" i="30" s="1"/>
  <c r="G96" i="9"/>
  <c r="AB79" i="30" s="1"/>
  <c r="BA99" i="9"/>
  <c r="AE99" i="9"/>
  <c r="AP99" i="9" s="1"/>
  <c r="K98" i="9"/>
  <c r="K97" i="9"/>
  <c r="V96" i="10" s="1"/>
  <c r="X96" i="10" s="1"/>
  <c r="K96" i="9"/>
  <c r="BE91" i="9"/>
  <c r="BE90" i="9"/>
  <c r="BE89" i="9"/>
  <c r="BG96" i="9" s="1"/>
  <c r="BC93" i="9"/>
  <c r="BC91" i="9"/>
  <c r="BC90" i="9"/>
  <c r="BC89" i="9"/>
  <c r="G93" i="9"/>
  <c r="AB76" i="30" s="1"/>
  <c r="G92" i="9"/>
  <c r="AB75" i="30" s="1"/>
  <c r="G91" i="9"/>
  <c r="AB74" i="30" s="1"/>
  <c r="G90" i="9"/>
  <c r="AB73" i="30" s="1"/>
  <c r="G89" i="9"/>
  <c r="AB72" i="30" s="1"/>
  <c r="BA92" i="9"/>
  <c r="AE92" i="9"/>
  <c r="AE90" i="9"/>
  <c r="X92" i="20" s="1"/>
  <c r="K91" i="9"/>
  <c r="K90" i="9"/>
  <c r="V89" i="10" s="1"/>
  <c r="X89" i="10" s="1"/>
  <c r="K89" i="9"/>
  <c r="BE84" i="9"/>
  <c r="BE83" i="9"/>
  <c r="BE82" i="9"/>
  <c r="BC86" i="9"/>
  <c r="X83" i="9"/>
  <c r="G86" i="9"/>
  <c r="AB69" i="30" s="1"/>
  <c r="BA85" i="9"/>
  <c r="BE85" i="9" s="1"/>
  <c r="AE83" i="9"/>
  <c r="AB82" i="10" s="1"/>
  <c r="AD82" i="10" s="1"/>
  <c r="BC79" i="9"/>
  <c r="G79" i="9"/>
  <c r="AB62" i="30" s="1"/>
  <c r="G78" i="9"/>
  <c r="AB61" i="30" s="1"/>
  <c r="G77" i="9"/>
  <c r="AB60" i="30" s="1"/>
  <c r="G76" i="9"/>
  <c r="AB59" i="30" s="1"/>
  <c r="G75" i="9"/>
  <c r="AB58" i="30" s="1"/>
  <c r="AE78" i="9"/>
  <c r="AE77" i="9"/>
  <c r="X70" i="9"/>
  <c r="AN70" i="9" s="1"/>
  <c r="G72" i="9"/>
  <c r="AB55" i="30" s="1"/>
  <c r="G71" i="9"/>
  <c r="AB54" i="30" s="1"/>
  <c r="G70" i="9"/>
  <c r="AB53" i="30" s="1"/>
  <c r="G69" i="9"/>
  <c r="AB52" i="30" s="1"/>
  <c r="G68" i="9"/>
  <c r="G65" i="9"/>
  <c r="AB48" i="30" s="1"/>
  <c r="G64" i="9"/>
  <c r="G63" i="9"/>
  <c r="G62" i="9"/>
  <c r="G61" i="9"/>
  <c r="AB44" i="30" s="1"/>
  <c r="AE64" i="9"/>
  <c r="G58" i="9"/>
  <c r="AB41" i="30" s="1"/>
  <c r="G57" i="9"/>
  <c r="AB40" i="30" s="1"/>
  <c r="G56" i="9"/>
  <c r="AB39" i="30" s="1"/>
  <c r="G55" i="9"/>
  <c r="AB38" i="30" s="1"/>
  <c r="G54" i="9"/>
  <c r="AB37" i="30" s="1"/>
  <c r="X50" i="9"/>
  <c r="D50" i="9" s="1"/>
  <c r="X49" i="9"/>
  <c r="AN49" i="9" s="1"/>
  <c r="X48" i="9"/>
  <c r="X47" i="9"/>
  <c r="G51" i="9"/>
  <c r="AB34" i="30" s="1"/>
  <c r="G50" i="9"/>
  <c r="AB33" i="30" s="1"/>
  <c r="G49" i="9"/>
  <c r="AB32" i="30" s="1"/>
  <c r="G48" i="9"/>
  <c r="AB31" i="30" s="1"/>
  <c r="G47" i="9"/>
  <c r="AB30" i="30" s="1"/>
  <c r="AE50" i="9"/>
  <c r="X43" i="9"/>
  <c r="AN43" i="9" s="1"/>
  <c r="X42" i="9"/>
  <c r="X41" i="9"/>
  <c r="D41" i="9" s="1"/>
  <c r="X40" i="9"/>
  <c r="AN40" i="9" s="1"/>
  <c r="G44" i="9"/>
  <c r="G43" i="9"/>
  <c r="G42" i="9"/>
  <c r="G41" i="9"/>
  <c r="G40" i="9"/>
  <c r="AE43" i="9"/>
  <c r="AB42" i="10" s="1"/>
  <c r="X36" i="9"/>
  <c r="AN36" i="9" s="1"/>
  <c r="X35" i="9"/>
  <c r="Z35" i="9" s="1"/>
  <c r="X34" i="9"/>
  <c r="X33" i="9"/>
  <c r="G37" i="9"/>
  <c r="G36" i="9"/>
  <c r="G34" i="9"/>
  <c r="G33" i="9"/>
  <c r="K34" i="9"/>
  <c r="V33" i="10" s="1"/>
  <c r="X33" i="10" s="1"/>
  <c r="X29" i="9"/>
  <c r="X28" i="9"/>
  <c r="X27" i="9"/>
  <c r="X26" i="9"/>
  <c r="D33" i="9" s="1"/>
  <c r="G30" i="9"/>
  <c r="G29" i="9"/>
  <c r="G28" i="9"/>
  <c r="G27" i="9"/>
  <c r="G26" i="9"/>
  <c r="AE29" i="9"/>
  <c r="X21" i="9"/>
  <c r="X20" i="9"/>
  <c r="AN20" i="9" s="1"/>
  <c r="X19" i="9"/>
  <c r="AN19" i="9" s="1"/>
  <c r="G23" i="9"/>
  <c r="G22" i="9"/>
  <c r="G21" i="9"/>
  <c r="G20" i="9"/>
  <c r="G19" i="9"/>
  <c r="B18" i="9"/>
  <c r="B195" i="9" s="1"/>
  <c r="B372" i="9" s="1"/>
  <c r="X14" i="9"/>
  <c r="X13" i="9"/>
  <c r="X12" i="9"/>
  <c r="B16" i="9"/>
  <c r="B15" i="9"/>
  <c r="B644" i="9" s="1"/>
  <c r="B14" i="9"/>
  <c r="B643" i="9" s="1"/>
  <c r="B13" i="9"/>
  <c r="B12" i="9"/>
  <c r="B641" i="9" s="1"/>
  <c r="AE15" i="9"/>
  <c r="AE12" i="9"/>
  <c r="AP12" i="9" s="1"/>
  <c r="K13" i="9"/>
  <c r="P13" i="9" s="1"/>
  <c r="A15" i="9"/>
  <c r="A644" i="9" s="1"/>
  <c r="A14" i="9"/>
  <c r="A13" i="9"/>
  <c r="A642" i="9" s="1"/>
  <c r="A12" i="9"/>
  <c r="A641" i="9" s="1"/>
  <c r="A1" i="9"/>
  <c r="AB269" i="1"/>
  <c r="AB266" i="1"/>
  <c r="AB267" i="1"/>
  <c r="X271" i="1"/>
  <c r="X270" i="1"/>
  <c r="T271" i="1"/>
  <c r="T270" i="1"/>
  <c r="P271" i="1"/>
  <c r="P270" i="1"/>
  <c r="L271" i="1"/>
  <c r="L270" i="1"/>
  <c r="H271" i="1"/>
  <c r="H270" i="1"/>
  <c r="D271" i="1"/>
  <c r="D270" i="1"/>
  <c r="A271" i="1"/>
  <c r="A270" i="1"/>
  <c r="B269" i="1"/>
  <c r="B268" i="1"/>
  <c r="B267" i="1"/>
  <c r="B266" i="1"/>
  <c r="B265" i="1"/>
  <c r="CM271" i="1"/>
  <c r="CM270" i="1"/>
  <c r="A268" i="1"/>
  <c r="A267" i="1"/>
  <c r="A266" i="1"/>
  <c r="A265" i="1"/>
  <c r="CN265" i="1"/>
  <c r="CI269" i="1"/>
  <c r="CI266" i="1"/>
  <c r="CI270" i="1" s="1"/>
  <c r="CN270" i="1" s="1"/>
  <c r="CE269" i="1"/>
  <c r="CE266" i="1"/>
  <c r="BL15" i="20"/>
  <c r="CA269" i="1"/>
  <c r="CB269" i="1" s="1"/>
  <c r="CA266" i="1"/>
  <c r="BW269" i="1"/>
  <c r="BW266" i="1"/>
  <c r="BB15" i="20" s="1"/>
  <c r="BS269" i="1"/>
  <c r="BX269" i="1" s="1"/>
  <c r="BS266" i="1"/>
  <c r="AW15" i="20" s="1"/>
  <c r="BO269" i="1"/>
  <c r="BO266" i="1"/>
  <c r="BO267" i="1" s="1"/>
  <c r="BK269" i="1"/>
  <c r="BP269" i="1" s="1"/>
  <c r="BK266" i="1"/>
  <c r="BK267" i="1"/>
  <c r="BG269" i="1"/>
  <c r="BG266" i="1"/>
  <c r="BC269" i="1"/>
  <c r="BC266" i="1"/>
  <c r="AY269" i="1"/>
  <c r="AY266" i="1"/>
  <c r="AU269" i="1"/>
  <c r="AU266" i="1"/>
  <c r="AN269" i="1"/>
  <c r="AN266" i="1"/>
  <c r="AN267" i="1" s="1"/>
  <c r="AJ269" i="1"/>
  <c r="AJ266" i="1"/>
  <c r="AJ267" i="1"/>
  <c r="AF269" i="1"/>
  <c r="AG269" i="1" s="1"/>
  <c r="AF266" i="1"/>
  <c r="AF270" i="1" s="1"/>
  <c r="CR265" i="1"/>
  <c r="CJ265" i="1"/>
  <c r="CF265" i="1"/>
  <c r="CB265" i="1"/>
  <c r="BX265" i="1"/>
  <c r="BT265" i="1"/>
  <c r="BP265" i="1"/>
  <c r="BL265" i="1"/>
  <c r="BH265" i="1"/>
  <c r="BD265" i="1"/>
  <c r="AZ265" i="1"/>
  <c r="AV265" i="1"/>
  <c r="AO265" i="1"/>
  <c r="AK265" i="1"/>
  <c r="AG265" i="1"/>
  <c r="BS263" i="1"/>
  <c r="CM261" i="1"/>
  <c r="CM260" i="1"/>
  <c r="CI261" i="1"/>
  <c r="CI260" i="1"/>
  <c r="CI259" i="1"/>
  <c r="DG37" i="20" s="1"/>
  <c r="CE261" i="1"/>
  <c r="CE260" i="1"/>
  <c r="CE259" i="1"/>
  <c r="CA261" i="1"/>
  <c r="CA260" i="1"/>
  <c r="CA259" i="1"/>
  <c r="DE37" i="20"/>
  <c r="BW260" i="1"/>
  <c r="BS261" i="1"/>
  <c r="BS260" i="1"/>
  <c r="BS259" i="1"/>
  <c r="R57" i="15" s="1"/>
  <c r="DC28" i="20" s="1"/>
  <c r="BO261" i="1"/>
  <c r="BO260" i="1"/>
  <c r="BO259" i="1"/>
  <c r="DB37" i="20"/>
  <c r="BK261" i="1"/>
  <c r="BK260" i="1"/>
  <c r="BK259" i="1"/>
  <c r="P57" i="15" s="1"/>
  <c r="DA28" i="20" s="1"/>
  <c r="BG261" i="1"/>
  <c r="BG260" i="1"/>
  <c r="BG259" i="1"/>
  <c r="O57" i="15" s="1"/>
  <c r="CZ28" i="20" s="1"/>
  <c r="BC261" i="1"/>
  <c r="BC260" i="1"/>
  <c r="BC259" i="1"/>
  <c r="BC245" i="1"/>
  <c r="AU259" i="1"/>
  <c r="AU257" i="1"/>
  <c r="AU256" i="1"/>
  <c r="AU255" i="1"/>
  <c r="AN259" i="1"/>
  <c r="AN258" i="1"/>
  <c r="AN257" i="1"/>
  <c r="O27" i="20"/>
  <c r="AN256" i="1"/>
  <c r="N27" i="20"/>
  <c r="AN255" i="1"/>
  <c r="AJ259" i="1"/>
  <c r="AJ258" i="1"/>
  <c r="AJ257" i="1"/>
  <c r="AJ256" i="1"/>
  <c r="AJ255" i="1"/>
  <c r="AJ260" i="1" s="1"/>
  <c r="AF258" i="1"/>
  <c r="AF257" i="1"/>
  <c r="E37" i="20"/>
  <c r="AF256" i="1"/>
  <c r="AF255" i="1"/>
  <c r="AB258" i="1"/>
  <c r="AB257" i="1"/>
  <c r="AB256" i="1"/>
  <c r="AB255" i="1"/>
  <c r="T261" i="1"/>
  <c r="T260" i="1"/>
  <c r="P261" i="1"/>
  <c r="P260" i="1"/>
  <c r="L261" i="1"/>
  <c r="L260" i="1"/>
  <c r="H261" i="1"/>
  <c r="H260" i="1"/>
  <c r="D261" i="1"/>
  <c r="D260" i="1"/>
  <c r="A261" i="1"/>
  <c r="A260" i="1"/>
  <c r="X258" i="1"/>
  <c r="X259" i="1"/>
  <c r="G57" i="15" s="1"/>
  <c r="CR28" i="20" s="1"/>
  <c r="B259" i="1"/>
  <c r="B258" i="1"/>
  <c r="B257" i="1"/>
  <c r="B256" i="1"/>
  <c r="B255" i="1"/>
  <c r="CN257" i="1"/>
  <c r="CN256" i="1"/>
  <c r="CN255" i="1"/>
  <c r="CJ258" i="1"/>
  <c r="CJ257" i="1"/>
  <c r="CJ256" i="1"/>
  <c r="CJ255" i="1"/>
  <c r="CF258" i="1"/>
  <c r="CF257" i="1"/>
  <c r="CF256" i="1"/>
  <c r="CF255" i="1"/>
  <c r="CB258" i="1"/>
  <c r="CB257" i="1"/>
  <c r="CB256" i="1"/>
  <c r="CB255" i="1"/>
  <c r="BX258" i="1"/>
  <c r="BX256" i="1"/>
  <c r="BX255" i="1"/>
  <c r="BT258" i="1"/>
  <c r="BT257" i="1"/>
  <c r="BT256" i="1"/>
  <c r="BT255" i="1"/>
  <c r="BP258" i="1"/>
  <c r="BP257" i="1"/>
  <c r="BP256" i="1"/>
  <c r="BP255" i="1"/>
  <c r="A258" i="1"/>
  <c r="A257" i="1"/>
  <c r="A256" i="1"/>
  <c r="A255" i="1"/>
  <c r="BW257" i="1"/>
  <c r="BW261" i="1"/>
  <c r="BS253" i="1"/>
  <c r="A247" i="1"/>
  <c r="A246" i="1"/>
  <c r="CM244" i="1"/>
  <c r="CQ244" i="1" s="1"/>
  <c r="CU244" i="1" s="1"/>
  <c r="CY244" i="1" s="1"/>
  <c r="CE244" i="1"/>
  <c r="CE243" i="1"/>
  <c r="CE242" i="1"/>
  <c r="CE241" i="1"/>
  <c r="CA244" i="1"/>
  <c r="CA243" i="1"/>
  <c r="CA242" i="1"/>
  <c r="CA241" i="1"/>
  <c r="BW245" i="1"/>
  <c r="BW244" i="1"/>
  <c r="BW242" i="1"/>
  <c r="BW241" i="1"/>
  <c r="BS244" i="1"/>
  <c r="BS243" i="1"/>
  <c r="BS242" i="1"/>
  <c r="BS241" i="1"/>
  <c r="BO244" i="1"/>
  <c r="BO243" i="1"/>
  <c r="BO242" i="1"/>
  <c r="BO241" i="1"/>
  <c r="BK244" i="1"/>
  <c r="BK243" i="1"/>
  <c r="BK242" i="1"/>
  <c r="BK241" i="1"/>
  <c r="BG244" i="1"/>
  <c r="BG243" i="1"/>
  <c r="BG242" i="1"/>
  <c r="BG241" i="1"/>
  <c r="BC244" i="1"/>
  <c r="BC243" i="1"/>
  <c r="BC242" i="1"/>
  <c r="BC241" i="1"/>
  <c r="B245" i="1"/>
  <c r="B244" i="1"/>
  <c r="B243" i="1"/>
  <c r="B242" i="1"/>
  <c r="B241" i="1"/>
  <c r="A244" i="1"/>
  <c r="A243" i="1"/>
  <c r="A242" i="1"/>
  <c r="A241" i="1"/>
  <c r="CI243" i="1"/>
  <c r="CM243" i="1"/>
  <c r="CQ243" i="1" s="1"/>
  <c r="CU243" i="1" s="1"/>
  <c r="CY243" i="1" s="1"/>
  <c r="CI242" i="1"/>
  <c r="CM242" i="1"/>
  <c r="CQ242" i="1" s="1"/>
  <c r="CU242" i="1" s="1"/>
  <c r="CY242" i="1" s="1"/>
  <c r="CI241" i="1"/>
  <c r="CM241" i="1"/>
  <c r="CQ241" i="1" s="1"/>
  <c r="CU241" i="1" s="1"/>
  <c r="CY241" i="1" s="1"/>
  <c r="A236" i="1"/>
  <c r="A235" i="1"/>
  <c r="B234" i="1"/>
  <c r="B233" i="1"/>
  <c r="B232" i="1"/>
  <c r="B231" i="1"/>
  <c r="B230" i="1"/>
  <c r="CI232" i="1"/>
  <c r="CI231" i="1"/>
  <c r="CI230" i="1"/>
  <c r="CE233" i="1"/>
  <c r="CE232" i="1"/>
  <c r="CE231" i="1"/>
  <c r="CE230" i="1"/>
  <c r="CA233" i="1"/>
  <c r="CA232" i="1"/>
  <c r="CA231" i="1"/>
  <c r="CA230" i="1"/>
  <c r="BW233" i="1"/>
  <c r="BW232" i="1"/>
  <c r="BW231" i="1"/>
  <c r="BW230" i="1"/>
  <c r="BS233" i="1"/>
  <c r="BS232" i="1"/>
  <c r="BS231" i="1"/>
  <c r="BS230" i="1"/>
  <c r="BO233" i="1"/>
  <c r="BO232" i="1"/>
  <c r="BO231" i="1"/>
  <c r="BO230" i="1"/>
  <c r="BK233" i="1"/>
  <c r="BK232" i="1"/>
  <c r="BK231" i="1"/>
  <c r="BK230" i="1"/>
  <c r="BG233" i="1"/>
  <c r="BG232" i="1"/>
  <c r="BG231" i="1"/>
  <c r="BG230" i="1"/>
  <c r="BC233" i="1"/>
  <c r="BC232" i="1"/>
  <c r="BC231" i="1"/>
  <c r="BC230" i="1"/>
  <c r="AY233" i="1"/>
  <c r="AY232" i="1"/>
  <c r="AY231" i="1"/>
  <c r="AY230" i="1"/>
  <c r="AU233" i="1"/>
  <c r="AU232" i="1"/>
  <c r="AU231" i="1"/>
  <c r="AU230" i="1"/>
  <c r="AN233" i="1"/>
  <c r="AN232" i="1"/>
  <c r="AN231" i="1"/>
  <c r="AN230" i="1"/>
  <c r="AJ233" i="1"/>
  <c r="AJ232" i="1"/>
  <c r="AJ231" i="1"/>
  <c r="AJ230" i="1"/>
  <c r="AF233" i="1"/>
  <c r="AF232" i="1"/>
  <c r="AF231" i="1"/>
  <c r="AF230" i="1"/>
  <c r="A233" i="1"/>
  <c r="A232" i="1"/>
  <c r="A231" i="1"/>
  <c r="A230" i="1"/>
  <c r="A225" i="1"/>
  <c r="A224" i="1"/>
  <c r="B223" i="1"/>
  <c r="B222" i="1"/>
  <c r="B221" i="1"/>
  <c r="B220" i="1"/>
  <c r="B219" i="1"/>
  <c r="A222" i="1"/>
  <c r="A221" i="1"/>
  <c r="A220" i="1"/>
  <c r="A219" i="1"/>
  <c r="A214" i="1"/>
  <c r="A213" i="1"/>
  <c r="B212" i="1"/>
  <c r="B211" i="1"/>
  <c r="B210" i="1"/>
  <c r="B209" i="1"/>
  <c r="B208" i="1"/>
  <c r="CI208" i="1"/>
  <c r="CM208" i="1" s="1"/>
  <c r="CE208" i="1"/>
  <c r="CA208" i="1"/>
  <c r="BW208" i="1"/>
  <c r="BS208" i="1"/>
  <c r="BO208" i="1"/>
  <c r="BK208" i="1"/>
  <c r="BC208" i="1"/>
  <c r="A211" i="1"/>
  <c r="A210" i="1"/>
  <c r="A209" i="1"/>
  <c r="A208" i="1"/>
  <c r="A203" i="1"/>
  <c r="A202" i="1"/>
  <c r="CQ200" i="1"/>
  <c r="CQ199" i="1"/>
  <c r="CQ198" i="1"/>
  <c r="CQ197" i="1"/>
  <c r="CM200" i="1"/>
  <c r="CM199" i="1"/>
  <c r="CM198" i="1"/>
  <c r="CM197" i="1"/>
  <c r="CI200" i="1"/>
  <c r="CE197" i="1"/>
  <c r="CA197" i="1"/>
  <c r="BW197" i="1"/>
  <c r="BS197" i="1"/>
  <c r="BO197" i="1"/>
  <c r="BK197" i="1"/>
  <c r="BG197" i="1"/>
  <c r="BC197" i="1"/>
  <c r="AY197" i="1"/>
  <c r="AU197" i="1"/>
  <c r="AN197" i="1"/>
  <c r="AJ197" i="1"/>
  <c r="B201" i="1"/>
  <c r="B200" i="1"/>
  <c r="B199" i="1"/>
  <c r="B198" i="1"/>
  <c r="B197" i="1"/>
  <c r="A200" i="1"/>
  <c r="A199" i="1"/>
  <c r="A198" i="1"/>
  <c r="A197" i="1"/>
  <c r="A192" i="1"/>
  <c r="A191" i="1"/>
  <c r="CI189" i="1"/>
  <c r="CI134" i="1" s="1"/>
  <c r="CI188" i="1"/>
  <c r="CI133" i="1" s="1"/>
  <c r="CI187" i="1"/>
  <c r="CI132" i="1" s="1"/>
  <c r="CE189" i="1"/>
  <c r="CE134" i="1" s="1"/>
  <c r="CE188" i="1"/>
  <c r="CE133" i="1" s="1"/>
  <c r="CE187" i="1"/>
  <c r="CE132" i="1" s="1"/>
  <c r="CA189" i="1"/>
  <c r="CA134" i="1" s="1"/>
  <c r="CA188" i="1"/>
  <c r="CA133" i="1" s="1"/>
  <c r="CA187" i="1"/>
  <c r="CA132" i="1" s="1"/>
  <c r="BW189" i="1"/>
  <c r="BW134" i="1" s="1"/>
  <c r="BW188" i="1"/>
  <c r="BW133" i="1" s="1"/>
  <c r="BW187" i="1"/>
  <c r="BW132" i="1" s="1"/>
  <c r="BS189" i="1"/>
  <c r="BS134" i="1" s="1"/>
  <c r="BS188" i="1"/>
  <c r="BS133" i="1" s="1"/>
  <c r="BS187" i="1"/>
  <c r="BS132" i="1" s="1"/>
  <c r="BO189" i="1"/>
  <c r="BO134" i="1" s="1"/>
  <c r="BO188" i="1"/>
  <c r="BO133" i="1" s="1"/>
  <c r="BO187" i="1"/>
  <c r="BO132" i="1" s="1"/>
  <c r="BK189" i="1"/>
  <c r="BK134" i="1" s="1"/>
  <c r="BK188" i="1"/>
  <c r="BK133" i="1" s="1"/>
  <c r="BK187" i="1"/>
  <c r="BG189" i="1"/>
  <c r="BG134" i="1" s="1"/>
  <c r="BG188" i="1"/>
  <c r="BG133" i="1" s="1"/>
  <c r="BG187" i="1"/>
  <c r="BG132" i="1" s="1"/>
  <c r="BC189" i="1"/>
  <c r="BC134" i="1" s="1"/>
  <c r="BC188" i="1"/>
  <c r="BC133" i="1" s="1"/>
  <c r="BC187" i="1"/>
  <c r="BC132" i="1" s="1"/>
  <c r="AY189" i="1"/>
  <c r="AY134" i="1" s="1"/>
  <c r="AY188" i="1"/>
  <c r="AY133" i="1" s="1"/>
  <c r="AY187" i="1"/>
  <c r="AY132" i="1" s="1"/>
  <c r="AU189" i="1"/>
  <c r="AU134" i="1" s="1"/>
  <c r="AU188" i="1"/>
  <c r="AU133" i="1" s="1"/>
  <c r="AU187" i="1"/>
  <c r="AU132" i="1" s="1"/>
  <c r="AN189" i="1"/>
  <c r="AN134" i="1" s="1"/>
  <c r="AN188" i="1"/>
  <c r="AN133" i="1" s="1"/>
  <c r="AN187" i="1"/>
  <c r="AN132" i="1" s="1"/>
  <c r="AJ189" i="1"/>
  <c r="AJ134" i="1" s="1"/>
  <c r="AJ188" i="1"/>
  <c r="AJ133" i="1" s="1"/>
  <c r="AJ187" i="1"/>
  <c r="AJ132" i="1" s="1"/>
  <c r="AF189" i="1"/>
  <c r="AF134" i="1" s="1"/>
  <c r="AF188" i="1"/>
  <c r="AF133" i="1" s="1"/>
  <c r="AF187" i="1"/>
  <c r="AF132" i="1" s="1"/>
  <c r="B190" i="1"/>
  <c r="B189" i="1"/>
  <c r="B188" i="1"/>
  <c r="B187" i="1"/>
  <c r="B186" i="1"/>
  <c r="A189" i="1"/>
  <c r="A188" i="1"/>
  <c r="A187" i="1"/>
  <c r="A186" i="1"/>
  <c r="A181" i="1"/>
  <c r="A180" i="1"/>
  <c r="B179" i="1"/>
  <c r="B178" i="1"/>
  <c r="B177" i="1"/>
  <c r="B176" i="1"/>
  <c r="B175" i="1"/>
  <c r="CI176" i="1"/>
  <c r="CI177" i="1" s="1"/>
  <c r="CI210" i="1" s="1"/>
  <c r="CM210" i="1" s="1"/>
  <c r="CE176" i="1"/>
  <c r="CE209" i="1" s="1"/>
  <c r="CA176" i="1"/>
  <c r="BW176" i="1"/>
  <c r="BW209" i="1" s="1"/>
  <c r="BS176" i="1"/>
  <c r="BS177" i="1" s="1"/>
  <c r="BO176" i="1"/>
  <c r="BO177" i="1" s="1"/>
  <c r="BK176" i="1"/>
  <c r="BK209" i="1" s="1"/>
  <c r="BG175" i="1"/>
  <c r="BC176" i="1"/>
  <c r="BC177" i="1" s="1"/>
  <c r="AY175" i="1"/>
  <c r="AY208" i="1"/>
  <c r="AU175" i="1"/>
  <c r="AU208" i="1" s="1"/>
  <c r="AN175" i="1"/>
  <c r="AN176" i="1"/>
  <c r="AN209" i="1" s="1"/>
  <c r="AJ175" i="1"/>
  <c r="AF175" i="1"/>
  <c r="AF176" i="1"/>
  <c r="AF177" i="1" s="1"/>
  <c r="AF178" i="1" s="1"/>
  <c r="A178" i="1"/>
  <c r="A177" i="1"/>
  <c r="A176" i="1"/>
  <c r="A175" i="1"/>
  <c r="AB176" i="1"/>
  <c r="AB177" i="1" s="1"/>
  <c r="A170" i="1"/>
  <c r="A169" i="1"/>
  <c r="CQ168" i="1"/>
  <c r="CM168" i="1"/>
  <c r="DH45" i="20" s="1"/>
  <c r="CE165" i="1"/>
  <c r="CE166" i="1" s="1"/>
  <c r="CE199" i="1" s="1"/>
  <c r="CA165" i="1"/>
  <c r="CA198" i="1" s="1"/>
  <c r="BW165" i="1"/>
  <c r="BS165" i="1"/>
  <c r="BS166" i="1" s="1"/>
  <c r="BO165" i="1"/>
  <c r="BO198" i="1" s="1"/>
  <c r="BK165" i="1"/>
  <c r="AM45" i="20"/>
  <c r="BG165" i="1"/>
  <c r="BG198" i="1" s="1"/>
  <c r="BC165" i="1"/>
  <c r="BC166" i="1"/>
  <c r="AY165" i="1"/>
  <c r="X45" i="20" s="1"/>
  <c r="AU165" i="1"/>
  <c r="S45" i="20" s="1"/>
  <c r="AN165" i="1"/>
  <c r="AN166" i="1" s="1"/>
  <c r="AJ165" i="1"/>
  <c r="AJ166" i="1" s="1"/>
  <c r="AF165" i="1"/>
  <c r="AF166" i="1" s="1"/>
  <c r="B168" i="1"/>
  <c r="B167" i="1"/>
  <c r="B166" i="1"/>
  <c r="B165" i="1"/>
  <c r="B164" i="1"/>
  <c r="AB164" i="1"/>
  <c r="H45" i="20" s="1"/>
  <c r="H43" i="20" s="1"/>
  <c r="H33" i="20" s="1"/>
  <c r="A167" i="1"/>
  <c r="A166" i="1"/>
  <c r="A165" i="1"/>
  <c r="A164" i="1"/>
  <c r="CI164" i="1"/>
  <c r="CI165" i="1"/>
  <c r="BQ45" i="20" s="1"/>
  <c r="A159" i="1"/>
  <c r="A158" i="1"/>
  <c r="B157" i="1"/>
  <c r="B156" i="1"/>
  <c r="B155" i="1"/>
  <c r="B154" i="1"/>
  <c r="B153" i="1"/>
  <c r="A156" i="1"/>
  <c r="A155" i="1"/>
  <c r="A154" i="1"/>
  <c r="A153" i="1"/>
  <c r="A148" i="1"/>
  <c r="A147" i="1"/>
  <c r="CE146" i="1"/>
  <c r="CI186" i="1" s="1"/>
  <c r="CA146" i="1"/>
  <c r="CE186" i="1" s="1"/>
  <c r="BW146" i="1"/>
  <c r="CA186" i="1" s="1"/>
  <c r="BS146" i="1"/>
  <c r="BW186" i="1" s="1"/>
  <c r="BO146" i="1"/>
  <c r="BS186" i="1"/>
  <c r="BK146" i="1"/>
  <c r="BO186" i="1" s="1"/>
  <c r="BG146" i="1"/>
  <c r="BK186" i="1" s="1"/>
  <c r="BC146" i="1"/>
  <c r="BG186" i="1" s="1"/>
  <c r="AY146" i="1"/>
  <c r="BC186" i="1" s="1"/>
  <c r="AU146" i="1"/>
  <c r="AY186" i="1" s="1"/>
  <c r="AN146" i="1"/>
  <c r="AU186" i="1" s="1"/>
  <c r="AJ146" i="1"/>
  <c r="AN186" i="1" s="1"/>
  <c r="AF146" i="1"/>
  <c r="AJ186" i="1"/>
  <c r="AB146" i="1"/>
  <c r="AF186" i="1" s="1"/>
  <c r="AF190" i="1" s="1"/>
  <c r="B146" i="1"/>
  <c r="B145" i="1"/>
  <c r="B144" i="1"/>
  <c r="B143" i="1"/>
  <c r="B142" i="1"/>
  <c r="A145" i="1"/>
  <c r="A144" i="1"/>
  <c r="A143" i="1"/>
  <c r="A142" i="1"/>
  <c r="A137" i="1"/>
  <c r="A136" i="1"/>
  <c r="B135" i="1"/>
  <c r="B134" i="1"/>
  <c r="B133" i="1"/>
  <c r="B132" i="1"/>
  <c r="B131" i="1"/>
  <c r="A134" i="1"/>
  <c r="A133" i="1"/>
  <c r="A132" i="1"/>
  <c r="A131" i="1"/>
  <c r="CM125" i="1"/>
  <c r="CI126" i="1"/>
  <c r="CI125" i="1"/>
  <c r="CI123" i="1"/>
  <c r="CI145" i="1"/>
  <c r="CE126" i="1"/>
  <c r="CE125" i="1"/>
  <c r="CE124" i="1"/>
  <c r="U56" i="15"/>
  <c r="DF27" i="20" s="1"/>
  <c r="CA126" i="1"/>
  <c r="CA125" i="1"/>
  <c r="CA124" i="1"/>
  <c r="T56" i="15" s="1"/>
  <c r="DE27" i="20" s="1"/>
  <c r="BW126" i="1"/>
  <c r="BW125" i="1"/>
  <c r="BW124" i="1"/>
  <c r="S56" i="15" s="1"/>
  <c r="DD27" i="20" s="1"/>
  <c r="BS126" i="1"/>
  <c r="BS125" i="1"/>
  <c r="BS124" i="1"/>
  <c r="R56" i="15" s="1"/>
  <c r="DC27" i="20" s="1"/>
  <c r="BO126" i="1"/>
  <c r="BO125" i="1"/>
  <c r="BO124" i="1"/>
  <c r="Q56" i="15"/>
  <c r="DB27" i="20" s="1"/>
  <c r="BK126" i="1"/>
  <c r="BK125" i="1"/>
  <c r="BK124" i="1"/>
  <c r="P56" i="15" s="1"/>
  <c r="DA27" i="20" s="1"/>
  <c r="BG126" i="1"/>
  <c r="BG125" i="1"/>
  <c r="BG124" i="1"/>
  <c r="O56" i="15" s="1"/>
  <c r="CZ27" i="20" s="1"/>
  <c r="BC126" i="1"/>
  <c r="BC125" i="1"/>
  <c r="BC124" i="1"/>
  <c r="N56" i="15" s="1"/>
  <c r="CY27" i="20" s="1"/>
  <c r="AU123" i="1"/>
  <c r="AU122" i="1"/>
  <c r="AU121" i="1"/>
  <c r="AU120" i="1"/>
  <c r="AN123" i="1"/>
  <c r="P28" i="20" s="1"/>
  <c r="AN122" i="1"/>
  <c r="AN121" i="1"/>
  <c r="AN120" i="1"/>
  <c r="AN125" i="1" s="1"/>
  <c r="AJ123" i="1"/>
  <c r="AJ122" i="1"/>
  <c r="AJ121" i="1"/>
  <c r="AJ120" i="1"/>
  <c r="AF123" i="1"/>
  <c r="AF122" i="1"/>
  <c r="AF121" i="1"/>
  <c r="AF120" i="1"/>
  <c r="AB123" i="1"/>
  <c r="AB122" i="1"/>
  <c r="AB121" i="1"/>
  <c r="AB120" i="1"/>
  <c r="T126" i="1"/>
  <c r="T125" i="1"/>
  <c r="P126" i="1"/>
  <c r="P125" i="1"/>
  <c r="L126" i="1"/>
  <c r="L125" i="1"/>
  <c r="H126" i="1"/>
  <c r="H125" i="1"/>
  <c r="D126" i="1"/>
  <c r="D125" i="1"/>
  <c r="A126" i="1"/>
  <c r="A125" i="1"/>
  <c r="X123" i="1"/>
  <c r="X124" i="1" s="1"/>
  <c r="G56" i="15" s="1"/>
  <c r="CR27" i="20" s="1"/>
  <c r="B124" i="1"/>
  <c r="B123" i="1"/>
  <c r="B122" i="1"/>
  <c r="B121" i="1"/>
  <c r="B120" i="1"/>
  <c r="CN122" i="1"/>
  <c r="CN121" i="1"/>
  <c r="CN120" i="1"/>
  <c r="CJ123" i="1"/>
  <c r="CJ122" i="1"/>
  <c r="A123" i="1"/>
  <c r="A122" i="1"/>
  <c r="A121" i="1"/>
  <c r="A120" i="1"/>
  <c r="AY121" i="1"/>
  <c r="AY120" i="1"/>
  <c r="CM116" i="1"/>
  <c r="CM115" i="1"/>
  <c r="CI116" i="1"/>
  <c r="CI115" i="1"/>
  <c r="CE116" i="1"/>
  <c r="CE115" i="1"/>
  <c r="CE114" i="1"/>
  <c r="CE245" i="1" s="1"/>
  <c r="CA116" i="1"/>
  <c r="CA115" i="1"/>
  <c r="CA114" i="1"/>
  <c r="BW116" i="1"/>
  <c r="BW115" i="1"/>
  <c r="BS116" i="1"/>
  <c r="BS115" i="1"/>
  <c r="BO116" i="1"/>
  <c r="BO115" i="1"/>
  <c r="BK116" i="1"/>
  <c r="BK115" i="1"/>
  <c r="BK114" i="1"/>
  <c r="BG116" i="1"/>
  <c r="BG115" i="1"/>
  <c r="BG114" i="1"/>
  <c r="BC116" i="1"/>
  <c r="BC115" i="1"/>
  <c r="AU114" i="1"/>
  <c r="AU113" i="1"/>
  <c r="AU112" i="1"/>
  <c r="AU111" i="1"/>
  <c r="AU242" i="1" s="1"/>
  <c r="AU110" i="1"/>
  <c r="AN114" i="1"/>
  <c r="K54" i="15"/>
  <c r="AN113" i="1"/>
  <c r="AN112" i="1"/>
  <c r="AN111" i="1"/>
  <c r="AN110" i="1"/>
  <c r="M41" i="20" s="1"/>
  <c r="AJ114" i="1"/>
  <c r="AJ245" i="1" s="1"/>
  <c r="AJ113" i="1"/>
  <c r="AJ244" i="1" s="1"/>
  <c r="AJ112" i="1"/>
  <c r="AJ111" i="1"/>
  <c r="AJ110" i="1"/>
  <c r="AF114" i="1"/>
  <c r="AF113" i="1"/>
  <c r="AF112" i="1"/>
  <c r="AF111" i="1"/>
  <c r="AF110" i="1"/>
  <c r="AB114" i="1"/>
  <c r="H54" i="15"/>
  <c r="Q88" i="2"/>
  <c r="AB113" i="1"/>
  <c r="AB112" i="1"/>
  <c r="AB111" i="1"/>
  <c r="AB115" i="1"/>
  <c r="AB110" i="1"/>
  <c r="X114" i="1"/>
  <c r="G54" i="15"/>
  <c r="CR26" i="20"/>
  <c r="X113" i="1"/>
  <c r="X112" i="1"/>
  <c r="X111" i="1"/>
  <c r="X110" i="1"/>
  <c r="T114" i="1"/>
  <c r="F54" i="15" s="1"/>
  <c r="T113" i="1"/>
  <c r="T112" i="1"/>
  <c r="T111" i="1"/>
  <c r="T110" i="1"/>
  <c r="P114" i="1"/>
  <c r="E54" i="15"/>
  <c r="CP26" i="20" s="1"/>
  <c r="P113" i="1"/>
  <c r="P112" i="1"/>
  <c r="P111" i="1"/>
  <c r="P110" i="1"/>
  <c r="L114" i="1"/>
  <c r="D54" i="15" s="1"/>
  <c r="CO26" i="20" s="1"/>
  <c r="L113" i="1"/>
  <c r="L112" i="1"/>
  <c r="L111" i="1"/>
  <c r="L110" i="1"/>
  <c r="H114" i="1"/>
  <c r="C54" i="15" s="1"/>
  <c r="H113" i="1"/>
  <c r="H112" i="1"/>
  <c r="H111" i="1"/>
  <c r="H110" i="1"/>
  <c r="D114" i="1"/>
  <c r="B54" i="15"/>
  <c r="D113" i="1"/>
  <c r="D112" i="1"/>
  <c r="D111" i="1"/>
  <c r="D110" i="1"/>
  <c r="D115" i="1" s="1"/>
  <c r="A116" i="1"/>
  <c r="A115" i="1"/>
  <c r="B114" i="1"/>
  <c r="B113" i="1"/>
  <c r="B112" i="1"/>
  <c r="B111" i="1"/>
  <c r="B110" i="1"/>
  <c r="CJ113" i="1"/>
  <c r="CJ112" i="1"/>
  <c r="A113" i="1"/>
  <c r="A112" i="1"/>
  <c r="A111" i="1"/>
  <c r="A110" i="1"/>
  <c r="AY111" i="1"/>
  <c r="AY110" i="1"/>
  <c r="BS108" i="1"/>
  <c r="CJ108" i="1" s="1"/>
  <c r="A106" i="1"/>
  <c r="A105" i="1"/>
  <c r="B104" i="1"/>
  <c r="B103" i="1"/>
  <c r="B102" i="1"/>
  <c r="B101" i="1"/>
  <c r="B100" i="1"/>
  <c r="A103" i="1"/>
  <c r="A102" i="1"/>
  <c r="A101" i="1"/>
  <c r="A100" i="1"/>
  <c r="BS98" i="1"/>
  <c r="CJ98" i="1" s="1"/>
  <c r="A96" i="1"/>
  <c r="A95" i="1"/>
  <c r="B94" i="1"/>
  <c r="B93" i="1"/>
  <c r="B92" i="1"/>
  <c r="B91" i="1"/>
  <c r="B90" i="1"/>
  <c r="A93" i="1"/>
  <c r="A92" i="1"/>
  <c r="A91" i="1"/>
  <c r="A90" i="1"/>
  <c r="BS88" i="1"/>
  <c r="CJ88" i="1"/>
  <c r="A86" i="1"/>
  <c r="A85" i="1"/>
  <c r="CM86" i="1"/>
  <c r="CM85" i="1"/>
  <c r="CI86" i="1"/>
  <c r="CI85" i="1"/>
  <c r="CI84" i="1"/>
  <c r="V42" i="15"/>
  <c r="M18" i="61" s="1"/>
  <c r="CE86" i="1"/>
  <c r="CE85" i="1"/>
  <c r="CE84" i="1"/>
  <c r="U42" i="15" s="1"/>
  <c r="CA86" i="1"/>
  <c r="CA85" i="1"/>
  <c r="CA84" i="1"/>
  <c r="T42" i="15"/>
  <c r="BW86" i="1"/>
  <c r="BW85" i="1"/>
  <c r="BW84" i="1"/>
  <c r="S42" i="15"/>
  <c r="DD21" i="20" s="1"/>
  <c r="BS86" i="1"/>
  <c r="BS85" i="1"/>
  <c r="BS84" i="1"/>
  <c r="R42" i="15" s="1"/>
  <c r="BO86" i="1"/>
  <c r="BO85" i="1"/>
  <c r="BO84" i="1"/>
  <c r="Q42" i="15" s="1"/>
  <c r="BK86" i="1"/>
  <c r="BK85" i="1"/>
  <c r="BK84" i="1"/>
  <c r="P42" i="15" s="1"/>
  <c r="BG86" i="1"/>
  <c r="BG85" i="1"/>
  <c r="BG84" i="1"/>
  <c r="O42" i="15"/>
  <c r="BC86" i="1"/>
  <c r="BC85" i="1"/>
  <c r="BC84" i="1"/>
  <c r="N42" i="15"/>
  <c r="AY86" i="1"/>
  <c r="AY85" i="1"/>
  <c r="AY84" i="1"/>
  <c r="M42" i="15"/>
  <c r="CX21" i="20" s="1"/>
  <c r="AU86" i="1"/>
  <c r="AU85" i="1"/>
  <c r="AU84" i="1"/>
  <c r="L42" i="15" s="1"/>
  <c r="AN86" i="1"/>
  <c r="AN85" i="1"/>
  <c r="AN84" i="1"/>
  <c r="AJ86" i="1"/>
  <c r="AJ85" i="1"/>
  <c r="AJ84" i="1"/>
  <c r="J42" i="15"/>
  <c r="AF86" i="1"/>
  <c r="AF85" i="1"/>
  <c r="AF84" i="1"/>
  <c r="I42" i="15"/>
  <c r="AB86" i="1"/>
  <c r="AB85" i="1"/>
  <c r="AB84" i="1"/>
  <c r="H42" i="15"/>
  <c r="X86" i="1"/>
  <c r="X85" i="1"/>
  <c r="X84" i="1"/>
  <c r="G42" i="15"/>
  <c r="CR21" i="20" s="1"/>
  <c r="T86" i="1"/>
  <c r="T85" i="1"/>
  <c r="T84" i="1"/>
  <c r="F42" i="15" s="1"/>
  <c r="CQ21" i="20" s="1"/>
  <c r="B84" i="1"/>
  <c r="B83" i="1"/>
  <c r="B82" i="1"/>
  <c r="B81" i="1"/>
  <c r="B80" i="1"/>
  <c r="P86" i="1"/>
  <c r="P85" i="1"/>
  <c r="P83" i="1"/>
  <c r="P84" i="1" s="1"/>
  <c r="E42" i="15" s="1"/>
  <c r="CP21" i="20" s="1"/>
  <c r="L86" i="1"/>
  <c r="L85" i="1"/>
  <c r="L83" i="1"/>
  <c r="L84" i="1" s="1"/>
  <c r="D42" i="15" s="1"/>
  <c r="CO21" i="20" s="1"/>
  <c r="H86" i="1"/>
  <c r="H85" i="1"/>
  <c r="H83" i="1"/>
  <c r="H84" i="1" s="1"/>
  <c r="C42" i="15" s="1"/>
  <c r="D86" i="1"/>
  <c r="E86" i="1"/>
  <c r="D85" i="1"/>
  <c r="E85" i="1"/>
  <c r="D83" i="1"/>
  <c r="D84" i="1"/>
  <c r="A83" i="1"/>
  <c r="A82" i="1"/>
  <c r="A81" i="1"/>
  <c r="A80" i="1"/>
  <c r="BS78" i="1"/>
  <c r="CJ78" i="1" s="1"/>
  <c r="A76" i="1"/>
  <c r="A75" i="1"/>
  <c r="B74" i="1"/>
  <c r="B73" i="1"/>
  <c r="B72" i="1"/>
  <c r="B71" i="1"/>
  <c r="B70" i="1"/>
  <c r="A73" i="1"/>
  <c r="A72" i="1"/>
  <c r="A71" i="1"/>
  <c r="A70" i="1"/>
  <c r="BS68" i="1"/>
  <c r="CJ68" i="1" s="1"/>
  <c r="A66" i="1"/>
  <c r="A65" i="1"/>
  <c r="CQ66" i="1"/>
  <c r="CQ65" i="1"/>
  <c r="CQ64" i="1"/>
  <c r="X36" i="15"/>
  <c r="CI66" i="1"/>
  <c r="CI65" i="1"/>
  <c r="CI64" i="1"/>
  <c r="CE66" i="1"/>
  <c r="CE65" i="1"/>
  <c r="CE64" i="1"/>
  <c r="U36" i="15" s="1"/>
  <c r="CA66" i="1"/>
  <c r="CA65" i="1"/>
  <c r="CA64" i="1"/>
  <c r="BW66" i="1"/>
  <c r="BW65" i="1"/>
  <c r="BW64" i="1"/>
  <c r="S36" i="15"/>
  <c r="BS66" i="1"/>
  <c r="BS65" i="1"/>
  <c r="BS64" i="1"/>
  <c r="R36" i="15"/>
  <c r="BO66" i="1"/>
  <c r="BO65" i="1"/>
  <c r="BO64" i="1"/>
  <c r="Q36" i="15"/>
  <c r="BK66" i="1"/>
  <c r="BK65" i="1"/>
  <c r="BK64" i="1"/>
  <c r="P36" i="15"/>
  <c r="BG66" i="1"/>
  <c r="BG65" i="1"/>
  <c r="BG64" i="1"/>
  <c r="O36" i="15"/>
  <c r="BC66" i="1"/>
  <c r="BC65" i="1"/>
  <c r="BC64" i="1"/>
  <c r="AY66" i="1"/>
  <c r="AY65" i="1"/>
  <c r="AY64" i="1"/>
  <c r="M36" i="15" s="1"/>
  <c r="AU66" i="1"/>
  <c r="AU65" i="1"/>
  <c r="AU64" i="1"/>
  <c r="AN66" i="1"/>
  <c r="AN65" i="1"/>
  <c r="AN64" i="1"/>
  <c r="K36" i="15" s="1"/>
  <c r="CV18" i="20" s="1"/>
  <c r="AJ66" i="1"/>
  <c r="AJ65" i="1"/>
  <c r="AJ64" i="1"/>
  <c r="AF66" i="1"/>
  <c r="AF65" i="1"/>
  <c r="AF64" i="1"/>
  <c r="I36" i="15"/>
  <c r="AB66" i="1"/>
  <c r="AB65" i="1"/>
  <c r="AB64" i="1"/>
  <c r="X66" i="1"/>
  <c r="X65" i="1"/>
  <c r="X64" i="1"/>
  <c r="G36" i="15"/>
  <c r="B64" i="1"/>
  <c r="B63" i="1"/>
  <c r="B62" i="1"/>
  <c r="B61" i="1"/>
  <c r="B60" i="1"/>
  <c r="CM66" i="1"/>
  <c r="CM65" i="1"/>
  <c r="CJ63" i="1"/>
  <c r="CJ62" i="1"/>
  <c r="CJ61" i="1"/>
  <c r="CJ60" i="1"/>
  <c r="CF63" i="1"/>
  <c r="CF62" i="1"/>
  <c r="CF61" i="1"/>
  <c r="CF60" i="1"/>
  <c r="CB63" i="1"/>
  <c r="CB62" i="1"/>
  <c r="CB61" i="1"/>
  <c r="CB60" i="1"/>
  <c r="BX63" i="1"/>
  <c r="BX62" i="1"/>
  <c r="BX61" i="1"/>
  <c r="BX60" i="1"/>
  <c r="BT63" i="1"/>
  <c r="BT62" i="1"/>
  <c r="BT61" i="1"/>
  <c r="BT60" i="1"/>
  <c r="BP63" i="1"/>
  <c r="BP62" i="1"/>
  <c r="BP61" i="1"/>
  <c r="BP60" i="1"/>
  <c r="BL63" i="1"/>
  <c r="BL62" i="1"/>
  <c r="BL61" i="1"/>
  <c r="BL60" i="1"/>
  <c r="BH63" i="1"/>
  <c r="BH62" i="1"/>
  <c r="BH61" i="1"/>
  <c r="BH60" i="1"/>
  <c r="BD63" i="1"/>
  <c r="BD62" i="1"/>
  <c r="BD61" i="1"/>
  <c r="BD60" i="1"/>
  <c r="AZ63" i="1"/>
  <c r="AZ62" i="1"/>
  <c r="AZ61" i="1"/>
  <c r="AZ60" i="1"/>
  <c r="AV63" i="1"/>
  <c r="AV62" i="1"/>
  <c r="AV61" i="1"/>
  <c r="AV60" i="1"/>
  <c r="AO63" i="1"/>
  <c r="AO62" i="1"/>
  <c r="AO61" i="1"/>
  <c r="AO60" i="1"/>
  <c r="AK63" i="1"/>
  <c r="AK62" i="1"/>
  <c r="AK61" i="1"/>
  <c r="AK60" i="1"/>
  <c r="AG63" i="1"/>
  <c r="AG62" i="1"/>
  <c r="AG61" i="1"/>
  <c r="AG60" i="1"/>
  <c r="AC63" i="1"/>
  <c r="AC62" i="1"/>
  <c r="AC61" i="1"/>
  <c r="AC60" i="1"/>
  <c r="Y63" i="1"/>
  <c r="Y62" i="1"/>
  <c r="Y61" i="1"/>
  <c r="Y60" i="1"/>
  <c r="A63" i="1"/>
  <c r="A62" i="1"/>
  <c r="A61" i="1"/>
  <c r="A60" i="1"/>
  <c r="CN62" i="1"/>
  <c r="CN61" i="1"/>
  <c r="CN60" i="1"/>
  <c r="T63" i="1"/>
  <c r="U63" i="1"/>
  <c r="T62" i="1"/>
  <c r="T61" i="1"/>
  <c r="U61" i="1" s="1"/>
  <c r="T60" i="1"/>
  <c r="U60" i="1"/>
  <c r="P63" i="1"/>
  <c r="Q63" i="1" s="1"/>
  <c r="P62" i="1"/>
  <c r="Q62" i="1"/>
  <c r="P61" i="1"/>
  <c r="Q61" i="1" s="1"/>
  <c r="P60" i="1"/>
  <c r="Q60" i="1"/>
  <c r="L62" i="1"/>
  <c r="M62" i="1" s="1"/>
  <c r="L61" i="1"/>
  <c r="M61" i="1"/>
  <c r="L60" i="1"/>
  <c r="H62" i="1"/>
  <c r="H61" i="1"/>
  <c r="I61" i="1"/>
  <c r="H60" i="1"/>
  <c r="H65" i="1" s="1"/>
  <c r="I65" i="1" s="1"/>
  <c r="D62" i="1"/>
  <c r="E62" i="1"/>
  <c r="D61" i="1"/>
  <c r="E61" i="1" s="1"/>
  <c r="D60" i="1"/>
  <c r="E60" i="1"/>
  <c r="BS58" i="1"/>
  <c r="CJ58" i="1" s="1"/>
  <c r="A56" i="1"/>
  <c r="A55" i="1"/>
  <c r="B54" i="1"/>
  <c r="B53" i="1"/>
  <c r="B52" i="1"/>
  <c r="B51" i="1"/>
  <c r="B50" i="1"/>
  <c r="AN53" i="1"/>
  <c r="AO53" i="1"/>
  <c r="A53" i="1"/>
  <c r="A52" i="1"/>
  <c r="A51" i="1"/>
  <c r="A50" i="1"/>
  <c r="AN52" i="1"/>
  <c r="CM52" i="1"/>
  <c r="CM51" i="1"/>
  <c r="CM50" i="1"/>
  <c r="CI53" i="1"/>
  <c r="CI52" i="1"/>
  <c r="CI72" i="1" s="1"/>
  <c r="CI51" i="1"/>
  <c r="CE52" i="1"/>
  <c r="CE51" i="1"/>
  <c r="CE50" i="1"/>
  <c r="CA53" i="1"/>
  <c r="CA52" i="1"/>
  <c r="CA51" i="1"/>
  <c r="CA50" i="1"/>
  <c r="BW53" i="1"/>
  <c r="BW52" i="1"/>
  <c r="BW51" i="1"/>
  <c r="BJ117" i="30" s="1"/>
  <c r="BS53" i="1"/>
  <c r="BS52" i="1"/>
  <c r="BS51" i="1"/>
  <c r="BS50" i="1"/>
  <c r="BO53" i="1"/>
  <c r="BJ103" i="30"/>
  <c r="BO52" i="1"/>
  <c r="BO51" i="1"/>
  <c r="BO50" i="1"/>
  <c r="BK53" i="1"/>
  <c r="BK52" i="1"/>
  <c r="BG53" i="1"/>
  <c r="BG52" i="1"/>
  <c r="BJ88" i="30" s="1"/>
  <c r="BG50" i="1"/>
  <c r="BJ86" i="30"/>
  <c r="BC53" i="1"/>
  <c r="BI53" i="1" s="1"/>
  <c r="BC51" i="1"/>
  <c r="BC50" i="1"/>
  <c r="AY53" i="1"/>
  <c r="AY51" i="1"/>
  <c r="BE51" i="1" s="1"/>
  <c r="AY50" i="1"/>
  <c r="AU53" i="1"/>
  <c r="AW53" i="1" s="1"/>
  <c r="AU52" i="1"/>
  <c r="AU51" i="1"/>
  <c r="AU50" i="1"/>
  <c r="AN51" i="1"/>
  <c r="AN50" i="1"/>
  <c r="AJ53" i="1"/>
  <c r="AJ52" i="1"/>
  <c r="AJ51" i="1"/>
  <c r="AJ50" i="1"/>
  <c r="AF53" i="1"/>
  <c r="AG53" i="1" s="1"/>
  <c r="F74" i="20" s="1"/>
  <c r="AF52" i="1"/>
  <c r="AF51" i="1"/>
  <c r="AF50" i="1"/>
  <c r="AB53" i="1"/>
  <c r="AB52" i="1"/>
  <c r="AB72" i="1"/>
  <c r="AB51" i="1"/>
  <c r="AB50" i="1"/>
  <c r="H52" i="1"/>
  <c r="H51" i="1"/>
  <c r="I51" i="1" s="1"/>
  <c r="H50" i="1"/>
  <c r="D52" i="1"/>
  <c r="D51" i="1"/>
  <c r="D50" i="1"/>
  <c r="E50" i="1" s="1"/>
  <c r="BS48" i="1"/>
  <c r="CJ48" i="1"/>
  <c r="A46" i="1"/>
  <c r="A45" i="1"/>
  <c r="B44" i="1"/>
  <c r="B43" i="1"/>
  <c r="B42" i="1"/>
  <c r="B41" i="1"/>
  <c r="B40" i="1"/>
  <c r="A43" i="1"/>
  <c r="A42" i="1"/>
  <c r="A41" i="1"/>
  <c r="A40" i="1"/>
  <c r="CC41" i="1"/>
  <c r="CB41" i="1"/>
  <c r="CA40" i="1"/>
  <c r="BY41" i="1"/>
  <c r="BX41" i="1"/>
  <c r="BW40" i="1"/>
  <c r="BU41" i="1"/>
  <c r="BT41" i="1"/>
  <c r="BS40" i="1"/>
  <c r="BQ41" i="1"/>
  <c r="BP41" i="1"/>
  <c r="BO40" i="1"/>
  <c r="BM41" i="1"/>
  <c r="BL41" i="1"/>
  <c r="BK40" i="1"/>
  <c r="BK45" i="1" s="1"/>
  <c r="BI41" i="1"/>
  <c r="BH41" i="1"/>
  <c r="BG40" i="1"/>
  <c r="BD41" i="1"/>
  <c r="BC40" i="1"/>
  <c r="BC42" i="1"/>
  <c r="BD42" i="1" s="1"/>
  <c r="AY43" i="1"/>
  <c r="AZ43" i="1" s="1"/>
  <c r="AY42" i="1"/>
  <c r="AZ42" i="1" s="1"/>
  <c r="AY41" i="1"/>
  <c r="AY40" i="1"/>
  <c r="A36" i="1"/>
  <c r="A35" i="1"/>
  <c r="CM36" i="1"/>
  <c r="CM35" i="1"/>
  <c r="CI36" i="1"/>
  <c r="CI35" i="1"/>
  <c r="CI34" i="1"/>
  <c r="V24" i="15"/>
  <c r="CE36" i="1"/>
  <c r="CE35" i="1"/>
  <c r="CE34" i="1"/>
  <c r="CA36" i="1"/>
  <c r="CA35" i="1"/>
  <c r="CA34" i="1"/>
  <c r="BS36" i="1"/>
  <c r="BS35" i="1"/>
  <c r="BS34" i="1"/>
  <c r="BO36" i="1"/>
  <c r="BO35" i="1"/>
  <c r="BO34" i="1"/>
  <c r="Q24" i="15"/>
  <c r="DB13" i="20" s="1"/>
  <c r="BC35" i="1"/>
  <c r="AY35" i="1"/>
  <c r="AU36" i="1"/>
  <c r="AU35" i="1"/>
  <c r="AU34" i="1"/>
  <c r="AN36" i="1"/>
  <c r="AW36" i="1"/>
  <c r="AN35" i="1"/>
  <c r="AN34" i="1"/>
  <c r="AJ36" i="1"/>
  <c r="AJ35" i="1"/>
  <c r="AJ34" i="1"/>
  <c r="U69" i="2"/>
  <c r="J24" i="15"/>
  <c r="AF36" i="1"/>
  <c r="AF35" i="1"/>
  <c r="AF34" i="1"/>
  <c r="AB36" i="1"/>
  <c r="AB35" i="1"/>
  <c r="AB34" i="1"/>
  <c r="Q69" i="2"/>
  <c r="Q75" i="2" s="1"/>
  <c r="D36" i="1"/>
  <c r="D35" i="1"/>
  <c r="D34" i="1"/>
  <c r="B34" i="1"/>
  <c r="B33" i="1"/>
  <c r="B32" i="1"/>
  <c r="B31" i="1"/>
  <c r="B30" i="1"/>
  <c r="CO32" i="1"/>
  <c r="CO31" i="1"/>
  <c r="CO30" i="1"/>
  <c r="X36" i="1"/>
  <c r="X35" i="1"/>
  <c r="X33" i="1"/>
  <c r="T36" i="1"/>
  <c r="T35" i="1"/>
  <c r="H36" i="1"/>
  <c r="H35" i="1"/>
  <c r="H33" i="1"/>
  <c r="E32" i="1"/>
  <c r="E31" i="1"/>
  <c r="E30" i="1"/>
  <c r="A33" i="1"/>
  <c r="A32" i="1"/>
  <c r="A31" i="1"/>
  <c r="A30" i="1"/>
  <c r="CN32" i="1"/>
  <c r="CN31" i="1"/>
  <c r="CN30" i="1"/>
  <c r="BC32" i="1"/>
  <c r="BC52" i="1"/>
  <c r="AY32" i="1"/>
  <c r="BA32" i="1" s="1"/>
  <c r="BK31" i="1"/>
  <c r="BK30" i="1"/>
  <c r="BG31" i="1"/>
  <c r="CK33" i="1"/>
  <c r="CJ33" i="1"/>
  <c r="CK32" i="1"/>
  <c r="CJ32" i="1"/>
  <c r="CK31" i="1"/>
  <c r="CJ31" i="1"/>
  <c r="CK30" i="1"/>
  <c r="CJ30" i="1"/>
  <c r="CG33" i="1"/>
  <c r="CF33" i="1"/>
  <c r="CG32" i="1"/>
  <c r="CF32" i="1"/>
  <c r="CG31" i="1"/>
  <c r="CF31" i="1"/>
  <c r="CG30" i="1"/>
  <c r="CF30" i="1"/>
  <c r="CC33" i="1"/>
  <c r="CB33" i="1"/>
  <c r="CC32" i="1"/>
  <c r="CB32" i="1"/>
  <c r="CC31" i="1"/>
  <c r="CB31" i="1"/>
  <c r="CB30" i="1"/>
  <c r="BY33" i="1"/>
  <c r="BX33" i="1"/>
  <c r="BY32" i="1"/>
  <c r="BX32" i="1"/>
  <c r="BY31" i="1"/>
  <c r="BX31" i="1"/>
  <c r="BW30" i="1"/>
  <c r="CC30" i="1"/>
  <c r="BU33" i="1"/>
  <c r="BT33" i="1"/>
  <c r="BU32" i="1"/>
  <c r="BT32" i="1"/>
  <c r="BU31" i="1"/>
  <c r="BT31" i="1"/>
  <c r="BU30" i="1"/>
  <c r="BT30" i="1"/>
  <c r="BQ33" i="1"/>
  <c r="BP33" i="1"/>
  <c r="BQ32" i="1"/>
  <c r="BP32" i="1"/>
  <c r="BP31" i="1"/>
  <c r="BP30" i="1"/>
  <c r="BM33" i="1"/>
  <c r="BL33" i="1"/>
  <c r="BM32" i="1"/>
  <c r="BL32" i="1"/>
  <c r="BI33" i="1"/>
  <c r="BH33" i="1"/>
  <c r="BI32" i="1"/>
  <c r="BH32" i="1"/>
  <c r="BI30" i="1"/>
  <c r="BH30" i="1"/>
  <c r="BE33" i="1"/>
  <c r="BD33" i="1"/>
  <c r="BE32" i="1"/>
  <c r="BE31" i="1"/>
  <c r="BD31" i="1"/>
  <c r="BE30" i="1"/>
  <c r="BD30" i="1"/>
  <c r="BA33" i="1"/>
  <c r="AZ33" i="1"/>
  <c r="AZ32" i="1"/>
  <c r="BA31" i="1"/>
  <c r="AZ31" i="1"/>
  <c r="BA30" i="1"/>
  <c r="AZ30" i="1"/>
  <c r="AW33" i="1"/>
  <c r="AV33" i="1"/>
  <c r="AW32" i="1"/>
  <c r="AV32" i="1"/>
  <c r="AW31" i="1"/>
  <c r="AV31" i="1"/>
  <c r="AW30" i="1"/>
  <c r="AV30" i="1"/>
  <c r="AP33" i="1"/>
  <c r="AO33" i="1"/>
  <c r="AP32" i="1"/>
  <c r="AO32" i="1"/>
  <c r="AP31" i="1"/>
  <c r="AO31" i="1"/>
  <c r="AP30" i="1"/>
  <c r="AO30" i="1"/>
  <c r="AL33" i="1"/>
  <c r="AK33" i="1"/>
  <c r="AL32" i="1"/>
  <c r="AK32" i="1"/>
  <c r="AL31" i="1"/>
  <c r="AK31" i="1"/>
  <c r="AL30" i="1"/>
  <c r="AK30" i="1"/>
  <c r="AH33" i="1"/>
  <c r="AG33" i="1"/>
  <c r="AH32" i="1"/>
  <c r="AG32" i="1"/>
  <c r="AH31" i="1"/>
  <c r="AG31" i="1"/>
  <c r="AH30" i="1"/>
  <c r="AG30" i="1"/>
  <c r="C73" i="20" s="1"/>
  <c r="AC33" i="1"/>
  <c r="AD32" i="1"/>
  <c r="AC32" i="1"/>
  <c r="AD31" i="1"/>
  <c r="AC31" i="1"/>
  <c r="AD30" i="1"/>
  <c r="AC30" i="1"/>
  <c r="Z32" i="1"/>
  <c r="Y32" i="1"/>
  <c r="Z31" i="1"/>
  <c r="Y31" i="1"/>
  <c r="Z30" i="1"/>
  <c r="Y30" i="1"/>
  <c r="U32" i="1"/>
  <c r="U31" i="1"/>
  <c r="U30" i="1"/>
  <c r="J32" i="1"/>
  <c r="I32" i="1"/>
  <c r="J31" i="1"/>
  <c r="I31" i="1"/>
  <c r="J30" i="1"/>
  <c r="I30" i="1"/>
  <c r="BS28" i="1"/>
  <c r="CJ28" i="1" s="1"/>
  <c r="CM26" i="1"/>
  <c r="CE26" i="1"/>
  <c r="CA26" i="1"/>
  <c r="BS26" i="1"/>
  <c r="BO26" i="1"/>
  <c r="BK26" i="1"/>
  <c r="AQ26" i="1"/>
  <c r="AQ25" i="1"/>
  <c r="A26" i="1"/>
  <c r="A25" i="1"/>
  <c r="BG26" i="1"/>
  <c r="BG25" i="1"/>
  <c r="BC26" i="1"/>
  <c r="BC25" i="1"/>
  <c r="CM25" i="1"/>
  <c r="CA25" i="1"/>
  <c r="CA24" i="1"/>
  <c r="BS25" i="1"/>
  <c r="BS24" i="1"/>
  <c r="F127" i="10" s="1"/>
  <c r="BO25" i="1"/>
  <c r="BO24" i="1"/>
  <c r="Q10" i="15" s="1"/>
  <c r="BK25" i="1"/>
  <c r="BK24" i="1"/>
  <c r="P10" i="15" s="1"/>
  <c r="BG24" i="1"/>
  <c r="O10" i="15"/>
  <c r="AE68" i="2" s="1"/>
  <c r="BC24" i="1"/>
  <c r="N10" i="15"/>
  <c r="AY26" i="1"/>
  <c r="AY25" i="1"/>
  <c r="AY24" i="1"/>
  <c r="M10" i="15"/>
  <c r="D8" i="61" s="1"/>
  <c r="AU26" i="1"/>
  <c r="AU25" i="1"/>
  <c r="AU24" i="1"/>
  <c r="L10" i="15"/>
  <c r="Y68" i="2" s="1"/>
  <c r="AN26" i="1"/>
  <c r="AN25" i="1"/>
  <c r="AN24" i="1"/>
  <c r="K10" i="15"/>
  <c r="AJ26" i="1"/>
  <c r="AJ25" i="1"/>
  <c r="AJ24" i="1"/>
  <c r="J10" i="15"/>
  <c r="AF26" i="1"/>
  <c r="AF25" i="1"/>
  <c r="AF24" i="1"/>
  <c r="S68" i="2"/>
  <c r="AB26" i="1"/>
  <c r="AB25" i="1"/>
  <c r="AB24" i="1"/>
  <c r="H10" i="15"/>
  <c r="CS10" i="20" s="1"/>
  <c r="B24" i="1"/>
  <c r="B23" i="1"/>
  <c r="B22" i="1"/>
  <c r="B21" i="1"/>
  <c r="B20" i="1"/>
  <c r="CS23" i="1"/>
  <c r="CE25" i="1"/>
  <c r="CE23" i="1"/>
  <c r="F147" i="10"/>
  <c r="CE53" i="1"/>
  <c r="H26" i="1"/>
  <c r="H25" i="1"/>
  <c r="H23" i="1"/>
  <c r="F21" i="10" s="1"/>
  <c r="F22" i="10" s="1"/>
  <c r="D26" i="1"/>
  <c r="D25" i="1"/>
  <c r="D23" i="1"/>
  <c r="A23" i="1"/>
  <c r="A22" i="1"/>
  <c r="A21" i="1"/>
  <c r="A20" i="1"/>
  <c r="CN22" i="1"/>
  <c r="CN21" i="1"/>
  <c r="CS21" i="1" s="1"/>
  <c r="CN20" i="1"/>
  <c r="I22" i="1"/>
  <c r="I21" i="1"/>
  <c r="I20" i="1"/>
  <c r="E22" i="1"/>
  <c r="E21" i="1"/>
  <c r="E20" i="1"/>
  <c r="CJ23" i="1"/>
  <c r="CJ22" i="1"/>
  <c r="CJ21" i="1"/>
  <c r="CI20" i="1"/>
  <c r="CF22" i="1"/>
  <c r="CF21" i="1"/>
  <c r="CF20" i="1"/>
  <c r="CB23" i="1"/>
  <c r="CB22" i="1"/>
  <c r="CB21" i="1"/>
  <c r="CB20" i="1"/>
  <c r="BX23" i="1"/>
  <c r="BX22" i="1"/>
  <c r="BX21" i="1"/>
  <c r="BW20" i="1"/>
  <c r="BW25" i="1"/>
  <c r="BT23" i="1"/>
  <c r="BT22" i="1"/>
  <c r="BT21" i="1"/>
  <c r="BU21" i="1" s="1"/>
  <c r="BT20" i="1"/>
  <c r="BP23" i="1"/>
  <c r="BP22" i="1"/>
  <c r="BU22" i="1"/>
  <c r="BP21" i="1"/>
  <c r="BP20" i="1"/>
  <c r="BL23" i="1"/>
  <c r="BL22" i="1"/>
  <c r="BL21" i="1"/>
  <c r="BL20" i="1"/>
  <c r="BQ20" i="1"/>
  <c r="BH23" i="1"/>
  <c r="BH22" i="1"/>
  <c r="BH21" i="1"/>
  <c r="BH20" i="1"/>
  <c r="BD23" i="1"/>
  <c r="BD22" i="1"/>
  <c r="BI22" i="1" s="1"/>
  <c r="BD21" i="1"/>
  <c r="BD20" i="1"/>
  <c r="AZ23" i="1"/>
  <c r="AZ22" i="1"/>
  <c r="AZ21" i="1"/>
  <c r="BE21" i="1"/>
  <c r="AZ20" i="1"/>
  <c r="BA20" i="1" s="1"/>
  <c r="AV23" i="1"/>
  <c r="AV22" i="1"/>
  <c r="AV21" i="1"/>
  <c r="AV20" i="1"/>
  <c r="AO23" i="1"/>
  <c r="AO22" i="1"/>
  <c r="AO21" i="1"/>
  <c r="AO20" i="1"/>
  <c r="AK23" i="1"/>
  <c r="AK22" i="1"/>
  <c r="AK21" i="1"/>
  <c r="AK20" i="1"/>
  <c r="AG23" i="1"/>
  <c r="AG22" i="1"/>
  <c r="AG21" i="1"/>
  <c r="AG20" i="1"/>
  <c r="AC23" i="1"/>
  <c r="AC22" i="1"/>
  <c r="AC21" i="1"/>
  <c r="AC20" i="1"/>
  <c r="AH20" i="1"/>
  <c r="X23" i="1"/>
  <c r="F49" i="10" s="1"/>
  <c r="T48" i="10" s="1"/>
  <c r="Y23" i="1"/>
  <c r="X22" i="1"/>
  <c r="X21" i="1"/>
  <c r="F47" i="10"/>
  <c r="X20" i="1"/>
  <c r="Y20" i="1" s="1"/>
  <c r="T23" i="1"/>
  <c r="T22" i="1"/>
  <c r="T21" i="1"/>
  <c r="T20" i="1"/>
  <c r="F39" i="10"/>
  <c r="P23" i="1"/>
  <c r="P22" i="1"/>
  <c r="P21" i="1"/>
  <c r="Q21" i="1" s="1"/>
  <c r="F33" i="10"/>
  <c r="P20" i="1"/>
  <c r="P30" i="1" s="1"/>
  <c r="L23" i="1"/>
  <c r="L33" i="1"/>
  <c r="L22" i="1"/>
  <c r="M22" i="1" s="1"/>
  <c r="L21" i="1"/>
  <c r="L31" i="1"/>
  <c r="L20" i="1"/>
  <c r="BS18" i="1"/>
  <c r="CJ18" i="1" s="1"/>
  <c r="AQ17" i="1"/>
  <c r="P17" i="1"/>
  <c r="P16" i="1"/>
  <c r="P15" i="1"/>
  <c r="P14" i="1"/>
  <c r="D16" i="1"/>
  <c r="E36" i="1" s="1"/>
  <c r="D15" i="1"/>
  <c r="E25" i="1"/>
  <c r="D13" i="1"/>
  <c r="BO16" i="1"/>
  <c r="BP66" i="1"/>
  <c r="BO15" i="1"/>
  <c r="BK16" i="1"/>
  <c r="BK15" i="1"/>
  <c r="BG16" i="1"/>
  <c r="BH66" i="1"/>
  <c r="BG15" i="1"/>
  <c r="BI15" i="1" s="1"/>
  <c r="BI16" i="1" s="1"/>
  <c r="BC16" i="1"/>
  <c r="BC15" i="1"/>
  <c r="BE15" i="1" s="1"/>
  <c r="AY16" i="1"/>
  <c r="AY15" i="1"/>
  <c r="AU16" i="1"/>
  <c r="AU15" i="1"/>
  <c r="AZ15" i="1" s="1"/>
  <c r="AN16" i="1"/>
  <c r="AN15" i="1"/>
  <c r="AO65" i="1" s="1"/>
  <c r="AJ16" i="1"/>
  <c r="AJ15" i="1"/>
  <c r="AF16" i="1"/>
  <c r="AF15" i="1"/>
  <c r="AB16" i="1"/>
  <c r="AB15" i="1"/>
  <c r="AC25" i="1"/>
  <c r="X16" i="1"/>
  <c r="Y66" i="1" s="1"/>
  <c r="X15" i="1"/>
  <c r="T16" i="1"/>
  <c r="T15" i="1"/>
  <c r="L16" i="1"/>
  <c r="L15" i="1"/>
  <c r="H16" i="1"/>
  <c r="H15" i="1"/>
  <c r="DI13" i="1"/>
  <c r="DI12" i="1"/>
  <c r="CI16" i="1"/>
  <c r="CJ66" i="1" s="1"/>
  <c r="CI15" i="1"/>
  <c r="CI14" i="1"/>
  <c r="CE16" i="1"/>
  <c r="CE15" i="1"/>
  <c r="CE14" i="1"/>
  <c r="CA16" i="1"/>
  <c r="CB26" i="1"/>
  <c r="CA15" i="1"/>
  <c r="CC14" i="1"/>
  <c r="CA14" i="1"/>
  <c r="BW16" i="1"/>
  <c r="BW15" i="1"/>
  <c r="BX25" i="1" s="1"/>
  <c r="BY14" i="1"/>
  <c r="S51" i="5" s="1"/>
  <c r="BW14" i="1"/>
  <c r="D134" i="10" s="1"/>
  <c r="BS16" i="1"/>
  <c r="BS15" i="1"/>
  <c r="BS14" i="1"/>
  <c r="BO14" i="1"/>
  <c r="BE121" i="9"/>
  <c r="BK14" i="1"/>
  <c r="BG14" i="1"/>
  <c r="BH64" i="1" s="1"/>
  <c r="BC14" i="1"/>
  <c r="BE100" i="9"/>
  <c r="AY14" i="1"/>
  <c r="AU14" i="1"/>
  <c r="L7" i="15"/>
  <c r="AN14" i="1"/>
  <c r="AJ14" i="1"/>
  <c r="J7" i="15" s="1"/>
  <c r="AF14" i="1"/>
  <c r="AK14" i="1"/>
  <c r="AB14" i="1"/>
  <c r="X14" i="1"/>
  <c r="G7" i="15"/>
  <c r="G17" i="15"/>
  <c r="T14" i="1"/>
  <c r="M67" i="2" s="1"/>
  <c r="M72" i="2" s="1"/>
  <c r="Q13" i="1"/>
  <c r="P13" i="11" s="1"/>
  <c r="P37" i="11" s="1"/>
  <c r="Q12" i="1"/>
  <c r="P12" i="11"/>
  <c r="Q11" i="1"/>
  <c r="P11" i="11" s="1"/>
  <c r="Q10" i="1"/>
  <c r="P10" i="11"/>
  <c r="L14" i="1"/>
  <c r="CM16" i="1"/>
  <c r="CM15" i="1"/>
  <c r="CJ13" i="1"/>
  <c r="CJ12" i="1"/>
  <c r="CF12" i="11"/>
  <c r="CF36" i="11" s="1"/>
  <c r="CJ11" i="1"/>
  <c r="CF11" i="11" s="1"/>
  <c r="CJ10" i="1"/>
  <c r="CF10" i="11"/>
  <c r="CF13" i="1"/>
  <c r="CB13" i="11" s="1"/>
  <c r="CF12" i="1"/>
  <c r="CB12" i="11"/>
  <c r="CF11" i="1"/>
  <c r="CF10" i="1"/>
  <c r="CB10" i="11"/>
  <c r="BP13" i="1"/>
  <c r="BL13" i="11" s="1"/>
  <c r="BP12" i="1"/>
  <c r="BL12" i="11" s="1"/>
  <c r="BP11" i="1"/>
  <c r="BL11" i="11" s="1"/>
  <c r="BP10" i="1"/>
  <c r="BL10" i="11"/>
  <c r="BL13" i="1"/>
  <c r="BH13" i="11"/>
  <c r="BH31" i="11" s="1"/>
  <c r="BL12" i="1"/>
  <c r="BH12" i="11" s="1"/>
  <c r="BL11" i="1"/>
  <c r="BH11" i="11" s="1"/>
  <c r="BL10" i="1"/>
  <c r="BH10" i="11"/>
  <c r="BH13" i="1"/>
  <c r="BD13" i="11"/>
  <c r="BH12" i="1"/>
  <c r="BD12" i="11"/>
  <c r="BH11" i="1"/>
  <c r="BD11" i="11"/>
  <c r="BD23" i="11" s="1"/>
  <c r="BH10" i="1"/>
  <c r="BD10" i="11"/>
  <c r="BD13" i="1"/>
  <c r="AZ13" i="11" s="1"/>
  <c r="AZ19" i="11" s="1"/>
  <c r="BD12" i="1"/>
  <c r="AZ12" i="11" s="1"/>
  <c r="BD11" i="1"/>
  <c r="AZ11" i="11" s="1"/>
  <c r="BD10" i="1"/>
  <c r="AZ10" i="11" s="1"/>
  <c r="AZ22" i="11" s="1"/>
  <c r="AZ13" i="1"/>
  <c r="AV13" i="11" s="1"/>
  <c r="AZ12" i="1"/>
  <c r="AV12" i="11"/>
  <c r="AZ11" i="1"/>
  <c r="AV11" i="11"/>
  <c r="AZ10" i="1"/>
  <c r="AV10" i="11"/>
  <c r="AV13" i="1"/>
  <c r="AR13" i="11"/>
  <c r="AR19" i="11" s="1"/>
  <c r="AR25" i="11" s="1"/>
  <c r="AR31" i="11" s="1"/>
  <c r="AV12" i="1"/>
  <c r="AR12" i="11" s="1"/>
  <c r="AR18" i="11" s="1"/>
  <c r="AR24" i="11" s="1"/>
  <c r="AR30" i="11" s="1"/>
  <c r="AR36" i="11" s="1"/>
  <c r="AV11" i="1"/>
  <c r="AR11" i="11" s="1"/>
  <c r="AV10" i="1"/>
  <c r="AR10" i="11" s="1"/>
  <c r="AO13" i="1"/>
  <c r="AN13" i="11" s="1"/>
  <c r="AO12" i="1"/>
  <c r="AN12" i="11"/>
  <c r="AN18" i="11" s="1"/>
  <c r="AO11" i="1"/>
  <c r="AN11" i="11" s="1"/>
  <c r="AO10" i="1"/>
  <c r="AN10" i="11" s="1"/>
  <c r="AK13" i="1"/>
  <c r="AJ13" i="11" s="1"/>
  <c r="AK12" i="1"/>
  <c r="AJ12" i="11" s="1"/>
  <c r="AJ24" i="11" s="1"/>
  <c r="AK11" i="1"/>
  <c r="AJ11" i="11"/>
  <c r="AK10" i="1"/>
  <c r="AJ10" i="11"/>
  <c r="AG13" i="1"/>
  <c r="AF13" i="11"/>
  <c r="AF31" i="11" s="1"/>
  <c r="AG12" i="1"/>
  <c r="AF12" i="11" s="1"/>
  <c r="AG11" i="1"/>
  <c r="AG10" i="1"/>
  <c r="AC13" i="1"/>
  <c r="AB13" i="11"/>
  <c r="AC12" i="1"/>
  <c r="AB12" i="11"/>
  <c r="AC11" i="1"/>
  <c r="AB11" i="11"/>
  <c r="AB29" i="11" s="1"/>
  <c r="AC10" i="1"/>
  <c r="AB10" i="11" s="1"/>
  <c r="Y13" i="1"/>
  <c r="X13" i="11" s="1"/>
  <c r="X19" i="11" s="1"/>
  <c r="Y12" i="1"/>
  <c r="X12" i="11" s="1"/>
  <c r="Y11" i="1"/>
  <c r="X11" i="11" s="1"/>
  <c r="X35" i="11" s="1"/>
  <c r="Y10" i="1"/>
  <c r="X10" i="11"/>
  <c r="X28" i="11" s="1"/>
  <c r="U13" i="1"/>
  <c r="T13" i="11" s="1"/>
  <c r="U12" i="1"/>
  <c r="T12" i="11" s="1"/>
  <c r="U11" i="1"/>
  <c r="T11" i="11" s="1"/>
  <c r="U10" i="1"/>
  <c r="T10" i="11" s="1"/>
  <c r="M12" i="1"/>
  <c r="L12" i="11" s="1"/>
  <c r="M11" i="1"/>
  <c r="L11" i="11" s="1"/>
  <c r="M10" i="1"/>
  <c r="L10" i="11"/>
  <c r="H13" i="1"/>
  <c r="CN12" i="1"/>
  <c r="CJ12" i="11" s="1"/>
  <c r="CN11" i="1"/>
  <c r="CJ11" i="11" s="1"/>
  <c r="CN10" i="1"/>
  <c r="CJ10" i="11" s="1"/>
  <c r="R12" i="1"/>
  <c r="G35" i="9" s="1"/>
  <c r="I12" i="1"/>
  <c r="H12" i="11" s="1"/>
  <c r="H24" i="11" s="1"/>
  <c r="I11" i="1"/>
  <c r="H11" i="11"/>
  <c r="H29" i="11" s="1"/>
  <c r="I10" i="1"/>
  <c r="H10" i="11" s="1"/>
  <c r="CG11" i="1"/>
  <c r="CG10" i="1"/>
  <c r="DJ12" i="1"/>
  <c r="DJ11" i="1"/>
  <c r="DJ10" i="1"/>
  <c r="CC13" i="1"/>
  <c r="BI68" i="20" s="1"/>
  <c r="CB13" i="1"/>
  <c r="BX13" i="11" s="1"/>
  <c r="CC12" i="1"/>
  <c r="BH68" i="20"/>
  <c r="CB12" i="1"/>
  <c r="BX12" i="11"/>
  <c r="CC11" i="1"/>
  <c r="CB11" i="1"/>
  <c r="BX11" i="11" s="1"/>
  <c r="CC10" i="1"/>
  <c r="CB10" i="1"/>
  <c r="BX10" i="11" s="1"/>
  <c r="BX34" i="11" s="1"/>
  <c r="BY13" i="1"/>
  <c r="BX13" i="1"/>
  <c r="BT13" i="11"/>
  <c r="BY12" i="1"/>
  <c r="BX12" i="1"/>
  <c r="BT12" i="11" s="1"/>
  <c r="BY11" i="1"/>
  <c r="BX11" i="1"/>
  <c r="BT11" i="11"/>
  <c r="BY10" i="1"/>
  <c r="BX10" i="1"/>
  <c r="BT10" i="11" s="1"/>
  <c r="BT16" i="11" s="1"/>
  <c r="BU13" i="1"/>
  <c r="AY68" i="20"/>
  <c r="BT13" i="1"/>
  <c r="BP13" i="11"/>
  <c r="BP19" i="11" s="1"/>
  <c r="BU12" i="1"/>
  <c r="BT12" i="1"/>
  <c r="BP12" i="11"/>
  <c r="BP24" i="11" s="1"/>
  <c r="BU11" i="1"/>
  <c r="BT11" i="1"/>
  <c r="BP11" i="11"/>
  <c r="BU10" i="1"/>
  <c r="G124" i="9" s="1"/>
  <c r="BT10" i="1"/>
  <c r="BP10" i="11"/>
  <c r="AR13" i="1"/>
  <c r="AS13" i="1"/>
  <c r="AR12" i="1"/>
  <c r="AS12" i="1"/>
  <c r="AR11" i="1"/>
  <c r="AS11" i="1"/>
  <c r="AR10" i="1"/>
  <c r="AS10" i="1"/>
  <c r="BS8" i="1"/>
  <c r="CJ8" i="1"/>
  <c r="L6" i="1"/>
  <c r="P6" i="1"/>
  <c r="T6" i="1" s="1"/>
  <c r="X6" i="1" s="1"/>
  <c r="AB6" i="1" s="1"/>
  <c r="AF6" i="1" s="1"/>
  <c r="AJ6" i="1" s="1"/>
  <c r="AN6" i="1" s="1"/>
  <c r="AU6" i="1" s="1"/>
  <c r="AY6" i="1" s="1"/>
  <c r="BC6" i="1" s="1"/>
  <c r="BG6" i="1" s="1"/>
  <c r="BK6" i="1" s="1"/>
  <c r="BO6" i="1" s="1"/>
  <c r="BS6" i="1" s="1"/>
  <c r="BW6" i="1" s="1"/>
  <c r="CA6" i="1" s="1"/>
  <c r="CE6" i="1" s="1"/>
  <c r="CI6" i="1" s="1"/>
  <c r="CM6" i="1" s="1"/>
  <c r="CQ6" i="1" s="1"/>
  <c r="CU6" i="1" s="1"/>
  <c r="A1" i="1"/>
  <c r="DB94" i="20"/>
  <c r="AR94" i="20"/>
  <c r="DA94" i="20"/>
  <c r="AO94" i="20" s="1"/>
  <c r="CZ94" i="20"/>
  <c r="CY94" i="20"/>
  <c r="AE94" i="20" s="1"/>
  <c r="CX94" i="20"/>
  <c r="Y94" i="20"/>
  <c r="CW94" i="20"/>
  <c r="CV94" i="20"/>
  <c r="O94" i="20" s="1"/>
  <c r="CU94" i="20"/>
  <c r="I94" i="20"/>
  <c r="CT94" i="20"/>
  <c r="CS94" i="20"/>
  <c r="CR94" i="20"/>
  <c r="CQ94" i="20"/>
  <c r="CP94" i="20"/>
  <c r="CO94" i="20"/>
  <c r="BX97" i="20"/>
  <c r="BW97" i="20"/>
  <c r="BV97" i="20"/>
  <c r="BU97" i="20"/>
  <c r="BX96" i="20"/>
  <c r="BW96" i="20"/>
  <c r="BV96" i="20"/>
  <c r="BU96" i="20"/>
  <c r="BX95" i="20"/>
  <c r="BW95" i="20"/>
  <c r="BV95" i="20"/>
  <c r="BU95" i="20"/>
  <c r="BW93" i="20"/>
  <c r="BS97" i="20"/>
  <c r="BR97" i="20"/>
  <c r="BQ97" i="20"/>
  <c r="BP97" i="20"/>
  <c r="BS96" i="20"/>
  <c r="BR96" i="20"/>
  <c r="BQ96" i="20"/>
  <c r="BP96" i="20"/>
  <c r="BS95" i="20"/>
  <c r="BR95" i="20"/>
  <c r="BQ95" i="20"/>
  <c r="BP95" i="20"/>
  <c r="BN97" i="20"/>
  <c r="BM97" i="20"/>
  <c r="BL97" i="20"/>
  <c r="BK97" i="20"/>
  <c r="BN96" i="20"/>
  <c r="BM96" i="20"/>
  <c r="BL96" i="20"/>
  <c r="BK96" i="20"/>
  <c r="BN95" i="20"/>
  <c r="BM95" i="20"/>
  <c r="BL95" i="20"/>
  <c r="BK95" i="20"/>
  <c r="BI97" i="20"/>
  <c r="BH97" i="20"/>
  <c r="BG97" i="20"/>
  <c r="BF97" i="20"/>
  <c r="BI96" i="20"/>
  <c r="BH96" i="20"/>
  <c r="BG96" i="20"/>
  <c r="BF96" i="20"/>
  <c r="BI95" i="20"/>
  <c r="BH95" i="20"/>
  <c r="BG95" i="20"/>
  <c r="BF95" i="20"/>
  <c r="BD97" i="20"/>
  <c r="BC97" i="20"/>
  <c r="BB97" i="20"/>
  <c r="BA97" i="20"/>
  <c r="BD96" i="20"/>
  <c r="BC96" i="20"/>
  <c r="BB96" i="20"/>
  <c r="BA96" i="20"/>
  <c r="BD95" i="20"/>
  <c r="BC95" i="20"/>
  <c r="BB95" i="20"/>
  <c r="BA95" i="20"/>
  <c r="AY97" i="20"/>
  <c r="AX97" i="20"/>
  <c r="AW97" i="20"/>
  <c r="AV97" i="20"/>
  <c r="AY96" i="20"/>
  <c r="AX96" i="20"/>
  <c r="AW96" i="20"/>
  <c r="AV96" i="20"/>
  <c r="AY95" i="20"/>
  <c r="AX95" i="20"/>
  <c r="AW95" i="20"/>
  <c r="AV95" i="20"/>
  <c r="AT97" i="20"/>
  <c r="AS97" i="20"/>
  <c r="AR97" i="20"/>
  <c r="AQ97" i="20"/>
  <c r="AT96" i="20"/>
  <c r="AS96" i="20"/>
  <c r="AR96" i="20"/>
  <c r="AQ96" i="20"/>
  <c r="AT95" i="20"/>
  <c r="AS95" i="20"/>
  <c r="AR95" i="20"/>
  <c r="AQ95" i="20"/>
  <c r="AO97" i="20"/>
  <c r="AN97" i="20"/>
  <c r="AM97" i="20"/>
  <c r="AL97" i="20"/>
  <c r="AO96" i="20"/>
  <c r="AN96" i="20"/>
  <c r="AM96" i="20"/>
  <c r="AL96" i="20"/>
  <c r="AO95" i="20"/>
  <c r="AN95" i="20"/>
  <c r="AM95" i="20"/>
  <c r="AL95" i="20"/>
  <c r="AJ97" i="20"/>
  <c r="AI97" i="20"/>
  <c r="AH97" i="20"/>
  <c r="AG97" i="20"/>
  <c r="AJ96" i="20"/>
  <c r="AI96" i="20"/>
  <c r="AH96" i="20"/>
  <c r="AG96" i="20"/>
  <c r="AJ95" i="20"/>
  <c r="AI95" i="20"/>
  <c r="AH95" i="20"/>
  <c r="AG95" i="20"/>
  <c r="AG93" i="20"/>
  <c r="AE97" i="20"/>
  <c r="AD97" i="20"/>
  <c r="AC97" i="20"/>
  <c r="AB97" i="20"/>
  <c r="AE96" i="20"/>
  <c r="AD96" i="20"/>
  <c r="AC96" i="20"/>
  <c r="AB96" i="20"/>
  <c r="AE95" i="20"/>
  <c r="AD95" i="20"/>
  <c r="AC95" i="20"/>
  <c r="AB95" i="20"/>
  <c r="AC93" i="20"/>
  <c r="Z97" i="20"/>
  <c r="Y97" i="20"/>
  <c r="X97" i="20"/>
  <c r="W97" i="20"/>
  <c r="Z96" i="20"/>
  <c r="Y96" i="20"/>
  <c r="X96" i="20"/>
  <c r="W96" i="20"/>
  <c r="Z95" i="20"/>
  <c r="Y95" i="20"/>
  <c r="X95" i="20"/>
  <c r="W95" i="20"/>
  <c r="Y93" i="20"/>
  <c r="X93" i="20"/>
  <c r="U97" i="20"/>
  <c r="T97" i="20"/>
  <c r="S97" i="20"/>
  <c r="R97" i="20"/>
  <c r="U96" i="20"/>
  <c r="T96" i="20"/>
  <c r="S96" i="20"/>
  <c r="R96" i="20"/>
  <c r="U95" i="20"/>
  <c r="T95" i="20"/>
  <c r="S95" i="20"/>
  <c r="R95" i="20"/>
  <c r="P97" i="20"/>
  <c r="O97" i="20"/>
  <c r="N97" i="20"/>
  <c r="M97" i="20"/>
  <c r="P96" i="20"/>
  <c r="O96" i="20"/>
  <c r="N96" i="20"/>
  <c r="M96" i="20"/>
  <c r="P95" i="20"/>
  <c r="O95" i="20"/>
  <c r="N95" i="20"/>
  <c r="M95" i="20"/>
  <c r="O92" i="20"/>
  <c r="K97" i="20"/>
  <c r="J97" i="20"/>
  <c r="I97" i="20"/>
  <c r="H97" i="20"/>
  <c r="K96" i="20"/>
  <c r="J96" i="20"/>
  <c r="I96" i="20"/>
  <c r="H96" i="20"/>
  <c r="K95" i="20"/>
  <c r="J95" i="20"/>
  <c r="I95" i="20"/>
  <c r="H95" i="20"/>
  <c r="F97" i="20"/>
  <c r="E97" i="20"/>
  <c r="D97" i="20"/>
  <c r="C97" i="20"/>
  <c r="F96" i="20"/>
  <c r="E96" i="20"/>
  <c r="D96" i="20"/>
  <c r="C96" i="20"/>
  <c r="F95" i="20"/>
  <c r="E95" i="20"/>
  <c r="D95" i="20"/>
  <c r="C95" i="20"/>
  <c r="DC85" i="20"/>
  <c r="DC79" i="20"/>
  <c r="CA84" i="20"/>
  <c r="BZ84" i="20"/>
  <c r="BU84" i="20"/>
  <c r="BN84" i="20"/>
  <c r="BM84" i="20"/>
  <c r="BL84" i="20"/>
  <c r="BI84" i="20"/>
  <c r="BH84" i="20"/>
  <c r="AQ81" i="20"/>
  <c r="AQ79" i="20"/>
  <c r="AB81" i="20"/>
  <c r="AB79" i="20"/>
  <c r="U81" i="20"/>
  <c r="U79" i="20"/>
  <c r="BZ81" i="20"/>
  <c r="BU81" i="20"/>
  <c r="DL79" i="20"/>
  <c r="DK79" i="20"/>
  <c r="DJ79" i="20"/>
  <c r="DI79" i="20"/>
  <c r="DH79" i="20"/>
  <c r="DG79" i="20"/>
  <c r="DF79" i="20"/>
  <c r="DE79" i="20"/>
  <c r="BN81" i="20"/>
  <c r="BM81" i="20"/>
  <c r="BL81" i="20"/>
  <c r="BK81" i="20"/>
  <c r="BN79" i="20"/>
  <c r="BM79" i="20"/>
  <c r="BL79" i="20"/>
  <c r="BI81" i="20"/>
  <c r="BH81" i="20"/>
  <c r="BI79" i="20"/>
  <c r="BH79" i="20"/>
  <c r="Z81" i="20"/>
  <c r="Y81" i="20"/>
  <c r="X81" i="20"/>
  <c r="W81" i="20"/>
  <c r="Z79" i="20"/>
  <c r="Y79" i="20"/>
  <c r="X79" i="20"/>
  <c r="W79" i="20"/>
  <c r="F73" i="20"/>
  <c r="E73" i="20"/>
  <c r="D73" i="20"/>
  <c r="DE72" i="20"/>
  <c r="DD72" i="20"/>
  <c r="DB72" i="20"/>
  <c r="DA72" i="20"/>
  <c r="CZ72" i="20"/>
  <c r="BD72" i="20"/>
  <c r="BC72" i="20"/>
  <c r="BB72" i="20"/>
  <c r="BA72" i="20"/>
  <c r="AY72" i="20"/>
  <c r="AX72" i="20"/>
  <c r="AW72" i="20"/>
  <c r="AV72" i="20"/>
  <c r="DD71" i="20"/>
  <c r="DC71" i="20"/>
  <c r="DD70" i="20"/>
  <c r="DC70" i="20"/>
  <c r="DE69" i="20"/>
  <c r="DD69" i="20"/>
  <c r="DC69" i="20"/>
  <c r="DB68" i="20"/>
  <c r="CW68" i="20"/>
  <c r="CS68" i="20"/>
  <c r="CQ68" i="20"/>
  <c r="CO67" i="20"/>
  <c r="CC71" i="20"/>
  <c r="CC70" i="20"/>
  <c r="CB70" i="20"/>
  <c r="CA70" i="20"/>
  <c r="BZ70" i="20"/>
  <c r="CC69" i="20"/>
  <c r="CB69" i="20"/>
  <c r="CA69" i="20"/>
  <c r="BZ69" i="20"/>
  <c r="BW72" i="20"/>
  <c r="BV72" i="20"/>
  <c r="BU72" i="20"/>
  <c r="BX71" i="20"/>
  <c r="BW71" i="20"/>
  <c r="BV71" i="20"/>
  <c r="BU71" i="20"/>
  <c r="BX70" i="20"/>
  <c r="BW70" i="20"/>
  <c r="BV70" i="20"/>
  <c r="BU70" i="20"/>
  <c r="BX69" i="20"/>
  <c r="BW69" i="20"/>
  <c r="BV69" i="20"/>
  <c r="BU69" i="20"/>
  <c r="BW68" i="20"/>
  <c r="BV68" i="20"/>
  <c r="BR72" i="20"/>
  <c r="BQ72" i="20"/>
  <c r="BP72" i="20"/>
  <c r="BS71" i="20"/>
  <c r="BR71" i="20"/>
  <c r="BQ71" i="20"/>
  <c r="BP71" i="20"/>
  <c r="BS70" i="20"/>
  <c r="BR70" i="20"/>
  <c r="BQ70" i="20"/>
  <c r="BP70" i="20"/>
  <c r="BS69" i="20"/>
  <c r="BR69" i="20"/>
  <c r="BQ69" i="20"/>
  <c r="BP69" i="20"/>
  <c r="BS68" i="20"/>
  <c r="BR68" i="20"/>
  <c r="BQ68" i="20"/>
  <c r="BP68" i="20"/>
  <c r="BN72" i="20"/>
  <c r="BM72" i="20"/>
  <c r="BL72" i="20"/>
  <c r="BK72" i="20"/>
  <c r="BN71" i="20"/>
  <c r="BM71" i="20"/>
  <c r="BL71" i="20"/>
  <c r="BK71" i="20"/>
  <c r="BN70" i="20"/>
  <c r="BM70" i="20"/>
  <c r="BL70" i="20"/>
  <c r="BK70" i="20"/>
  <c r="BN69" i="20"/>
  <c r="BM69" i="20"/>
  <c r="BL69" i="20"/>
  <c r="BK69" i="20"/>
  <c r="BN68" i="20"/>
  <c r="BM68" i="20"/>
  <c r="BI72" i="20"/>
  <c r="BH72" i="20"/>
  <c r="BG72" i="20"/>
  <c r="BF72" i="20"/>
  <c r="BI71" i="20"/>
  <c r="BH71" i="20"/>
  <c r="BG71" i="20"/>
  <c r="BF71" i="20"/>
  <c r="BI70" i="20"/>
  <c r="BH70" i="20"/>
  <c r="BG70" i="20"/>
  <c r="BF70" i="20"/>
  <c r="BI69" i="20"/>
  <c r="BH69" i="20"/>
  <c r="BG69" i="20"/>
  <c r="BF69" i="20"/>
  <c r="AT68" i="20"/>
  <c r="AS68" i="20"/>
  <c r="AR68" i="20"/>
  <c r="AQ68" i="20"/>
  <c r="AO68" i="20"/>
  <c r="AN68" i="20"/>
  <c r="AM68" i="20"/>
  <c r="AL68" i="20"/>
  <c r="AJ68" i="20"/>
  <c r="AI68" i="20"/>
  <c r="AH68" i="20"/>
  <c r="AG68" i="20"/>
  <c r="AE68" i="20"/>
  <c r="AD68" i="20"/>
  <c r="AC68" i="20"/>
  <c r="AB68" i="20"/>
  <c r="Z68" i="20"/>
  <c r="Y68" i="20"/>
  <c r="X68" i="20"/>
  <c r="W68" i="20"/>
  <c r="U68" i="20"/>
  <c r="T68" i="20"/>
  <c r="S68" i="20"/>
  <c r="R68" i="20"/>
  <c r="P68" i="20"/>
  <c r="O68" i="20"/>
  <c r="N68" i="20"/>
  <c r="M68" i="20"/>
  <c r="K68" i="20"/>
  <c r="J68" i="20"/>
  <c r="I68" i="20"/>
  <c r="H68" i="20"/>
  <c r="F68" i="20"/>
  <c r="E68" i="20"/>
  <c r="D68" i="20"/>
  <c r="C68" i="20"/>
  <c r="E67" i="20"/>
  <c r="F46" i="20"/>
  <c r="E46" i="20"/>
  <c r="D46" i="20"/>
  <c r="C46" i="20"/>
  <c r="C45" i="20"/>
  <c r="C43" i="20" s="1"/>
  <c r="CT43" i="20"/>
  <c r="CC46" i="20"/>
  <c r="CB46" i="20"/>
  <c r="CA46" i="20"/>
  <c r="BZ46" i="20"/>
  <c r="CC45" i="20"/>
  <c r="CC43" i="20" s="1"/>
  <c r="CA45" i="20"/>
  <c r="BZ45" i="20"/>
  <c r="BX46" i="20"/>
  <c r="BW46" i="20"/>
  <c r="BW43" i="20" s="1"/>
  <c r="BV46" i="20"/>
  <c r="BU46" i="20"/>
  <c r="BX45" i="20"/>
  <c r="BX43" i="20" s="1"/>
  <c r="BV45" i="20"/>
  <c r="BV43" i="20" s="1"/>
  <c r="BU45" i="20"/>
  <c r="BS46" i="20"/>
  <c r="BR46" i="20"/>
  <c r="BQ46" i="20"/>
  <c r="BP46" i="20"/>
  <c r="BS45" i="20"/>
  <c r="BS43" i="20" s="1"/>
  <c r="BS33" i="20" s="1"/>
  <c r="BP45" i="20"/>
  <c r="BN46" i="20"/>
  <c r="BM46" i="20"/>
  <c r="BL46" i="20"/>
  <c r="BK46" i="20"/>
  <c r="BK45" i="20"/>
  <c r="BI46" i="20"/>
  <c r="BH46" i="20"/>
  <c r="BG46" i="20"/>
  <c r="BF46" i="20"/>
  <c r="BF45" i="20"/>
  <c r="BD46" i="20"/>
  <c r="BC46" i="20"/>
  <c r="BB46" i="20"/>
  <c r="BA46" i="20"/>
  <c r="BA45" i="20"/>
  <c r="AY46" i="20"/>
  <c r="AX46" i="20"/>
  <c r="AW46" i="20"/>
  <c r="AV46" i="20"/>
  <c r="AV45" i="20"/>
  <c r="AT46" i="20"/>
  <c r="AS46" i="20"/>
  <c r="AR46" i="20"/>
  <c r="AQ46" i="20"/>
  <c r="AQ45" i="20"/>
  <c r="AO46" i="20"/>
  <c r="AN46" i="20"/>
  <c r="AM46" i="20"/>
  <c r="AL46" i="20"/>
  <c r="AL45" i="20"/>
  <c r="AJ46" i="20"/>
  <c r="AI46" i="20"/>
  <c r="AH46" i="20"/>
  <c r="AG46" i="20"/>
  <c r="AG45" i="20"/>
  <c r="AE46" i="20"/>
  <c r="AD46" i="20"/>
  <c r="AC46" i="20"/>
  <c r="AB46" i="20"/>
  <c r="AB45" i="20"/>
  <c r="Z46" i="20"/>
  <c r="Y46" i="20"/>
  <c r="X46" i="20"/>
  <c r="X43" i="20" s="1"/>
  <c r="X33" i="20" s="1"/>
  <c r="W46" i="20"/>
  <c r="W45" i="20"/>
  <c r="U46" i="20"/>
  <c r="T46" i="20"/>
  <c r="S46" i="20"/>
  <c r="R46" i="20"/>
  <c r="R45" i="20"/>
  <c r="P46" i="20"/>
  <c r="O46" i="20"/>
  <c r="N46" i="20"/>
  <c r="M46" i="20"/>
  <c r="M45" i="20"/>
  <c r="F41" i="20"/>
  <c r="DF41" i="20"/>
  <c r="DD41" i="20"/>
  <c r="DC41" i="20"/>
  <c r="DB41" i="20"/>
  <c r="DB39" i="20" s="1"/>
  <c r="CZ41" i="20"/>
  <c r="CY41" i="20"/>
  <c r="CX41" i="20"/>
  <c r="CV41" i="20"/>
  <c r="CC41" i="20"/>
  <c r="CB41" i="20"/>
  <c r="CA41" i="20"/>
  <c r="BZ41" i="20"/>
  <c r="BW41" i="20"/>
  <c r="BV41" i="20"/>
  <c r="BU41" i="20"/>
  <c r="BS41" i="20"/>
  <c r="BR41" i="20"/>
  <c r="BQ41" i="20"/>
  <c r="BP41" i="20"/>
  <c r="BN41" i="20"/>
  <c r="BN39" i="20" s="1"/>
  <c r="BM41" i="20"/>
  <c r="BL41" i="20"/>
  <c r="BK41" i="20"/>
  <c r="BI41" i="20"/>
  <c r="BH41" i="20"/>
  <c r="BG41" i="20"/>
  <c r="BF41" i="20"/>
  <c r="BD41" i="20"/>
  <c r="BC41" i="20"/>
  <c r="BB41" i="20"/>
  <c r="BA41" i="20"/>
  <c r="AY41" i="20"/>
  <c r="AY39" i="20" s="1"/>
  <c r="AY40" i="20" s="1"/>
  <c r="AX41" i="20"/>
  <c r="AW41" i="20"/>
  <c r="AV41" i="20"/>
  <c r="AT41" i="20"/>
  <c r="AS41" i="20"/>
  <c r="AR41" i="20"/>
  <c r="AQ41" i="20"/>
  <c r="AO41" i="20"/>
  <c r="AN41" i="20"/>
  <c r="AM41" i="20"/>
  <c r="AL41" i="20"/>
  <c r="AJ41" i="20"/>
  <c r="AI41" i="20"/>
  <c r="AH41" i="20"/>
  <c r="AG41" i="20"/>
  <c r="AE41" i="20"/>
  <c r="AD41" i="20"/>
  <c r="AC41" i="20"/>
  <c r="AB41" i="20"/>
  <c r="Z41" i="20"/>
  <c r="Y41" i="20"/>
  <c r="X41" i="20"/>
  <c r="W41" i="20"/>
  <c r="U41" i="20"/>
  <c r="S41" i="20"/>
  <c r="R41" i="20"/>
  <c r="N41" i="20"/>
  <c r="DD37" i="20"/>
  <c r="C35" i="20"/>
  <c r="DF35" i="20"/>
  <c r="DE35" i="20"/>
  <c r="DD35" i="20"/>
  <c r="DC35" i="20"/>
  <c r="DB35" i="20"/>
  <c r="DA35" i="20"/>
  <c r="CZ35" i="20"/>
  <c r="CY35" i="20"/>
  <c r="CX35" i="20"/>
  <c r="CW35" i="20"/>
  <c r="CV35" i="20"/>
  <c r="CT35" i="20"/>
  <c r="CC37" i="20"/>
  <c r="CC39" i="20" s="1"/>
  <c r="CB37" i="20"/>
  <c r="CA37" i="20"/>
  <c r="CA39" i="20" s="1"/>
  <c r="BZ37" i="20"/>
  <c r="CC35" i="20"/>
  <c r="CB35" i="20"/>
  <c r="CA35" i="20"/>
  <c r="BZ35" i="20"/>
  <c r="BW37" i="20"/>
  <c r="BW39" i="20" s="1"/>
  <c r="BV37" i="20"/>
  <c r="BU37" i="20"/>
  <c r="BU39" i="20" s="1"/>
  <c r="BW35" i="20"/>
  <c r="BV35" i="20"/>
  <c r="BU35" i="20"/>
  <c r="BS37" i="20"/>
  <c r="BR37" i="20"/>
  <c r="BQ37" i="20"/>
  <c r="BP37" i="20"/>
  <c r="BP39" i="20" s="1"/>
  <c r="BP40" i="20" s="1"/>
  <c r="BR35" i="20"/>
  <c r="BQ35" i="20"/>
  <c r="BP35" i="20"/>
  <c r="BQ32" i="20" s="1"/>
  <c r="BN37" i="20"/>
  <c r="BM37" i="20"/>
  <c r="BM39" i="20" s="1"/>
  <c r="BL37" i="20"/>
  <c r="BK37" i="20"/>
  <c r="BK39" i="20" s="1"/>
  <c r="BN35" i="20"/>
  <c r="BM35" i="20"/>
  <c r="BM40" i="20" s="1"/>
  <c r="BL35" i="20"/>
  <c r="BK35" i="20"/>
  <c r="BI37" i="20"/>
  <c r="BH37" i="20"/>
  <c r="BG37" i="20"/>
  <c r="BF37" i="20"/>
  <c r="BF39" i="20" s="1"/>
  <c r="BF40" i="20" s="1"/>
  <c r="BI35" i="20"/>
  <c r="BK32" i="20"/>
  <c r="BH35" i="20"/>
  <c r="BG35" i="20"/>
  <c r="BF35" i="20"/>
  <c r="BD37" i="20"/>
  <c r="BC37" i="20"/>
  <c r="BB37" i="20"/>
  <c r="BB39" i="20" s="1"/>
  <c r="BA37" i="20"/>
  <c r="BD35" i="20"/>
  <c r="BC35" i="20"/>
  <c r="BB35" i="20"/>
  <c r="BA35" i="20"/>
  <c r="AY37" i="20"/>
  <c r="AX37" i="20"/>
  <c r="AW37" i="20"/>
  <c r="AV37" i="20"/>
  <c r="AY35" i="20"/>
  <c r="BA32" i="20" s="1"/>
  <c r="AX35" i="20"/>
  <c r="AW35" i="20"/>
  <c r="AV35" i="20"/>
  <c r="AW32" i="20" s="1"/>
  <c r="AT37" i="20"/>
  <c r="AS37" i="20"/>
  <c r="AS39" i="20" s="1"/>
  <c r="AR37" i="20"/>
  <c r="AQ37" i="20"/>
  <c r="AT35" i="20"/>
  <c r="AS35" i="20"/>
  <c r="AR35" i="20"/>
  <c r="AQ35" i="20"/>
  <c r="AO37" i="20"/>
  <c r="AN37" i="20"/>
  <c r="AM37" i="20"/>
  <c r="AL37" i="20"/>
  <c r="AO35" i="20"/>
  <c r="AN35" i="20"/>
  <c r="AM35" i="20"/>
  <c r="AL35" i="20"/>
  <c r="AJ37" i="20"/>
  <c r="AI37" i="20"/>
  <c r="AH37" i="20"/>
  <c r="AG37" i="20"/>
  <c r="AJ35" i="20"/>
  <c r="AI35" i="20"/>
  <c r="AH35" i="20"/>
  <c r="AG35" i="20"/>
  <c r="AE37" i="20"/>
  <c r="AD37" i="20"/>
  <c r="AC37" i="20"/>
  <c r="AC39" i="20" s="1"/>
  <c r="AC40" i="20" s="1"/>
  <c r="AB37" i="20"/>
  <c r="AB39" i="20" s="1"/>
  <c r="AE35" i="20"/>
  <c r="AL36" i="20"/>
  <c r="AD35" i="20"/>
  <c r="AC35" i="20"/>
  <c r="AB35" i="20"/>
  <c r="Z35" i="20"/>
  <c r="Y35" i="20"/>
  <c r="X35" i="20"/>
  <c r="X36" i="20" s="1"/>
  <c r="W35" i="20"/>
  <c r="T37" i="20"/>
  <c r="R37" i="20"/>
  <c r="T35" i="20"/>
  <c r="S35" i="20"/>
  <c r="T32" i="20" s="1"/>
  <c r="R35" i="20"/>
  <c r="O37" i="20"/>
  <c r="N37" i="20"/>
  <c r="M37" i="20"/>
  <c r="P35" i="20"/>
  <c r="R32" i="20" s="1"/>
  <c r="O35" i="20"/>
  <c r="N35" i="20"/>
  <c r="M35" i="20"/>
  <c r="F37" i="20"/>
  <c r="E35" i="20"/>
  <c r="D35" i="20"/>
  <c r="E32" i="20" s="1"/>
  <c r="CQ28" i="20"/>
  <c r="CP28" i="20"/>
  <c r="CO28" i="20"/>
  <c r="DD26" i="20"/>
  <c r="DB26" i="20"/>
  <c r="CY26" i="20"/>
  <c r="CX26" i="20"/>
  <c r="BW28" i="20"/>
  <c r="BV28" i="20"/>
  <c r="BU28" i="20"/>
  <c r="BW27" i="20"/>
  <c r="BV27" i="20"/>
  <c r="BU27" i="20"/>
  <c r="BW26" i="20"/>
  <c r="BV26" i="20"/>
  <c r="BU26" i="20"/>
  <c r="BR28" i="20"/>
  <c r="BQ28" i="20"/>
  <c r="BP28" i="20"/>
  <c r="BS27" i="20"/>
  <c r="BR27" i="20"/>
  <c r="BQ27" i="20"/>
  <c r="BP27" i="20"/>
  <c r="BS26" i="20"/>
  <c r="BR26" i="20"/>
  <c r="BQ26" i="20"/>
  <c r="BP26" i="20"/>
  <c r="BN28" i="20"/>
  <c r="BM28" i="20"/>
  <c r="BL28" i="20"/>
  <c r="BK28" i="20"/>
  <c r="BN27" i="20"/>
  <c r="BM27" i="20"/>
  <c r="BL27" i="20"/>
  <c r="BK27" i="20"/>
  <c r="BN26" i="20"/>
  <c r="BM26" i="20"/>
  <c r="BL26" i="20"/>
  <c r="BK26" i="20"/>
  <c r="BI28" i="20"/>
  <c r="BH28" i="20"/>
  <c r="BG28" i="20"/>
  <c r="BF28" i="20"/>
  <c r="BI27" i="20"/>
  <c r="BH27" i="20"/>
  <c r="BG27" i="20"/>
  <c r="BF27" i="20"/>
  <c r="BI26" i="20"/>
  <c r="BH26" i="20"/>
  <c r="BG26" i="20"/>
  <c r="BF26" i="20"/>
  <c r="BD28" i="20"/>
  <c r="BC28" i="20"/>
  <c r="BB28" i="20"/>
  <c r="BA28" i="20"/>
  <c r="BD27" i="20"/>
  <c r="BC27" i="20"/>
  <c r="BB27" i="20"/>
  <c r="BA27" i="20"/>
  <c r="BD26" i="20"/>
  <c r="BC26" i="20"/>
  <c r="BB26" i="20"/>
  <c r="BA26" i="20"/>
  <c r="AY28" i="20"/>
  <c r="AX28" i="20"/>
  <c r="AW28" i="20"/>
  <c r="AV28" i="20"/>
  <c r="AY27" i="20"/>
  <c r="AX27" i="20"/>
  <c r="AW27" i="20"/>
  <c r="AV27" i="20"/>
  <c r="AY26" i="20"/>
  <c r="AX26" i="20"/>
  <c r="AW26" i="20"/>
  <c r="AV26" i="20"/>
  <c r="AT28" i="20"/>
  <c r="AS28" i="20"/>
  <c r="AR28" i="20"/>
  <c r="AQ28" i="20"/>
  <c r="AT27" i="20"/>
  <c r="AS27" i="20"/>
  <c r="AR27" i="20"/>
  <c r="AQ27" i="20"/>
  <c r="AT26" i="20"/>
  <c r="AS26" i="20"/>
  <c r="AR26" i="20"/>
  <c r="AQ26" i="20"/>
  <c r="AO28" i="20"/>
  <c r="AN28" i="20"/>
  <c r="AM28" i="20"/>
  <c r="AL28" i="20"/>
  <c r="AO27" i="20"/>
  <c r="AN27" i="20"/>
  <c r="AM27" i="20"/>
  <c r="AL27" i="20"/>
  <c r="AO26" i="20"/>
  <c r="AN26" i="20"/>
  <c r="AM26" i="20"/>
  <c r="AL26" i="20"/>
  <c r="AJ28" i="20"/>
  <c r="AI28" i="20"/>
  <c r="AH28" i="20"/>
  <c r="AG28" i="20"/>
  <c r="AJ27" i="20"/>
  <c r="AI27" i="20"/>
  <c r="AH27" i="20"/>
  <c r="AG27" i="20"/>
  <c r="AJ26" i="20"/>
  <c r="AI26" i="20"/>
  <c r="AH26" i="20"/>
  <c r="AG26" i="20"/>
  <c r="AE28" i="20"/>
  <c r="AD28" i="20"/>
  <c r="AC28" i="20"/>
  <c r="AB28" i="20"/>
  <c r="AE27" i="20"/>
  <c r="AD27" i="20"/>
  <c r="AC27" i="20"/>
  <c r="AB27" i="20"/>
  <c r="AE26" i="20"/>
  <c r="AD26" i="20"/>
  <c r="AC26" i="20"/>
  <c r="AB26" i="20"/>
  <c r="Z28" i="20"/>
  <c r="Y28" i="20"/>
  <c r="W28" i="20"/>
  <c r="Z26" i="20"/>
  <c r="Y26" i="20"/>
  <c r="X26" i="20"/>
  <c r="W26" i="20"/>
  <c r="S28" i="20"/>
  <c r="T27" i="20"/>
  <c r="R27" i="20"/>
  <c r="S26" i="20"/>
  <c r="R26" i="20"/>
  <c r="O28" i="20"/>
  <c r="N28" i="20"/>
  <c r="M28" i="20"/>
  <c r="M27" i="20"/>
  <c r="M26" i="20"/>
  <c r="E28" i="20"/>
  <c r="C28" i="20"/>
  <c r="F27" i="20"/>
  <c r="E27" i="20"/>
  <c r="C27" i="20"/>
  <c r="E26" i="20"/>
  <c r="BW21" i="20"/>
  <c r="BV21" i="20"/>
  <c r="BU21" i="20"/>
  <c r="BS21" i="20"/>
  <c r="BR21" i="20"/>
  <c r="BQ21" i="20"/>
  <c r="BP21" i="20"/>
  <c r="BN21" i="20"/>
  <c r="BM21" i="20"/>
  <c r="BL21" i="20"/>
  <c r="BK21" i="20"/>
  <c r="BI21" i="20"/>
  <c r="BH21" i="20"/>
  <c r="BG21" i="20"/>
  <c r="BF21" i="20"/>
  <c r="BD21" i="20"/>
  <c r="BC21" i="20"/>
  <c r="BB21" i="20"/>
  <c r="BA21" i="20"/>
  <c r="AY21" i="20"/>
  <c r="AX21" i="20"/>
  <c r="AW21" i="20"/>
  <c r="AV21" i="20"/>
  <c r="AT21" i="20"/>
  <c r="AS21" i="20"/>
  <c r="AR21" i="20"/>
  <c r="AQ21" i="20"/>
  <c r="AO21" i="20"/>
  <c r="AN21" i="20"/>
  <c r="AM21" i="20"/>
  <c r="AL21" i="20"/>
  <c r="AJ21" i="20"/>
  <c r="AI21" i="20"/>
  <c r="AH21" i="20"/>
  <c r="AG21" i="20"/>
  <c r="AE21" i="20"/>
  <c r="AD21" i="20"/>
  <c r="AC21" i="20"/>
  <c r="AB21" i="20"/>
  <c r="Z21" i="20"/>
  <c r="Y21" i="20"/>
  <c r="X21" i="20"/>
  <c r="W21" i="20"/>
  <c r="U21" i="20"/>
  <c r="T21" i="20"/>
  <c r="S21" i="20"/>
  <c r="R21" i="20"/>
  <c r="P21" i="20"/>
  <c r="O21" i="20"/>
  <c r="N21" i="20"/>
  <c r="M21" i="20"/>
  <c r="F21" i="20"/>
  <c r="E21" i="20"/>
  <c r="D21" i="20"/>
  <c r="C21" i="20"/>
  <c r="BZ18" i="20" a="1"/>
  <c r="CA18" i="20" s="1"/>
  <c r="BW18" i="20"/>
  <c r="BV18" i="20"/>
  <c r="BU18" i="20"/>
  <c r="BS18" i="20"/>
  <c r="BR18" i="20"/>
  <c r="BR19" i="20" s="1"/>
  <c r="BR23" i="20" s="1"/>
  <c r="BR25" i="20" s="1"/>
  <c r="BQ18" i="20"/>
  <c r="BP18" i="20"/>
  <c r="BN18" i="20"/>
  <c r="BM18" i="20"/>
  <c r="BL18" i="20"/>
  <c r="BK18" i="20"/>
  <c r="BI18" i="20"/>
  <c r="BH18" i="20"/>
  <c r="BG18" i="20"/>
  <c r="BF18" i="20"/>
  <c r="BD18" i="20"/>
  <c r="BC18" i="20"/>
  <c r="BB18" i="20"/>
  <c r="BA18" i="20"/>
  <c r="AY18" i="20"/>
  <c r="AX18" i="20"/>
  <c r="AW18" i="20"/>
  <c r="AV18" i="20"/>
  <c r="AT18" i="20"/>
  <c r="AS18" i="20"/>
  <c r="AR18" i="20"/>
  <c r="AQ18" i="20"/>
  <c r="AO18" i="20"/>
  <c r="AN18" i="20"/>
  <c r="AM18" i="20"/>
  <c r="AL18" i="20"/>
  <c r="AJ18" i="20"/>
  <c r="AI18" i="20"/>
  <c r="AH18" i="20"/>
  <c r="AG18" i="20"/>
  <c r="AE18" i="20"/>
  <c r="AD18" i="20"/>
  <c r="AC18" i="20"/>
  <c r="AB18" i="20"/>
  <c r="Z18" i="20"/>
  <c r="Y18" i="20"/>
  <c r="X18" i="20"/>
  <c r="W18" i="20"/>
  <c r="U18" i="20"/>
  <c r="T18" i="20"/>
  <c r="S18" i="20"/>
  <c r="R18" i="20"/>
  <c r="P18" i="20"/>
  <c r="O18" i="20"/>
  <c r="N18" i="20"/>
  <c r="M18" i="20"/>
  <c r="F18" i="20"/>
  <c r="E18" i="20"/>
  <c r="D18" i="20"/>
  <c r="C18" i="20"/>
  <c r="DG15" i="20"/>
  <c r="M12" i="61" s="1"/>
  <c r="DF15" i="20"/>
  <c r="L12" i="61" s="1"/>
  <c r="L133" i="61" s="1"/>
  <c r="DE15" i="20"/>
  <c r="K12" i="61" s="1"/>
  <c r="K51" i="61" s="1"/>
  <c r="DC15" i="20"/>
  <c r="I12" i="61" s="1"/>
  <c r="DB15" i="20"/>
  <c r="H12" i="61"/>
  <c r="DA15" i="20"/>
  <c r="G12" i="61" s="1"/>
  <c r="CZ15" i="20"/>
  <c r="F12" i="61" s="1"/>
  <c r="F92" i="61" s="1"/>
  <c r="CY15" i="20"/>
  <c r="E12" i="61" s="1"/>
  <c r="CX15" i="20"/>
  <c r="D12" i="61" s="1"/>
  <c r="CW15" i="20"/>
  <c r="C12" i="61" s="1"/>
  <c r="CV15" i="20"/>
  <c r="CU15" i="20"/>
  <c r="H15" i="20" s="1"/>
  <c r="CT15" i="20"/>
  <c r="CS15" i="20"/>
  <c r="CR15" i="20"/>
  <c r="CQ15" i="20"/>
  <c r="CP15" i="20"/>
  <c r="CO15" i="20"/>
  <c r="BW15" i="20"/>
  <c r="BV15" i="20"/>
  <c r="BU15" i="20"/>
  <c r="BP15" i="20"/>
  <c r="BK15" i="20"/>
  <c r="BF15" i="20"/>
  <c r="BA15" i="20"/>
  <c r="AV15" i="20"/>
  <c r="W15" i="20"/>
  <c r="R15" i="20"/>
  <c r="M15" i="20"/>
  <c r="D15" i="20"/>
  <c r="E15" i="20"/>
  <c r="DK14" i="20"/>
  <c r="CY14" i="20"/>
  <c r="BW13" i="20"/>
  <c r="BV13" i="20"/>
  <c r="BU13" i="20"/>
  <c r="BS13" i="20"/>
  <c r="BR13" i="20"/>
  <c r="BQ13" i="20"/>
  <c r="BP13" i="20"/>
  <c r="BN13" i="20"/>
  <c r="BM13" i="20"/>
  <c r="BL13" i="20"/>
  <c r="BK13" i="20"/>
  <c r="BI13" i="20"/>
  <c r="BH13" i="20"/>
  <c r="BG13" i="20"/>
  <c r="BF13" i="20"/>
  <c r="BD13" i="20"/>
  <c r="BC13" i="20"/>
  <c r="BB13" i="20"/>
  <c r="BA13" i="20"/>
  <c r="AY13" i="20"/>
  <c r="AX13" i="20"/>
  <c r="AW13" i="20"/>
  <c r="AV13" i="20"/>
  <c r="AQ15" i="20"/>
  <c r="AR14" i="20"/>
  <c r="AT13" i="20"/>
  <c r="AS13" i="20"/>
  <c r="AR13" i="20"/>
  <c r="AQ13" i="20"/>
  <c r="AL15" i="20"/>
  <c r="AM14" i="20"/>
  <c r="AL14" i="20"/>
  <c r="AO13" i="20"/>
  <c r="AN13" i="20"/>
  <c r="AG15" i="20"/>
  <c r="AH14" i="20"/>
  <c r="AJ13" i="20"/>
  <c r="AI13" i="20"/>
  <c r="AG13" i="20"/>
  <c r="AB15" i="20"/>
  <c r="AC14" i="20"/>
  <c r="AB14" i="20"/>
  <c r="AE13" i="20"/>
  <c r="AD13" i="20"/>
  <c r="AI73" i="20" s="1"/>
  <c r="AC13" i="20"/>
  <c r="AB13" i="20"/>
  <c r="Z13" i="20"/>
  <c r="Y13" i="20"/>
  <c r="X13" i="20"/>
  <c r="W13" i="20"/>
  <c r="U13" i="20"/>
  <c r="T13" i="20"/>
  <c r="S13" i="20"/>
  <c r="R13" i="20"/>
  <c r="P13" i="20"/>
  <c r="O13" i="20"/>
  <c r="N13" i="20"/>
  <c r="M13" i="20"/>
  <c r="M73" i="20" s="1"/>
  <c r="F13" i="20"/>
  <c r="E13" i="20"/>
  <c r="E59" i="20" s="1"/>
  <c r="D13" i="20"/>
  <c r="C13" i="20"/>
  <c r="BW10" i="20"/>
  <c r="BV10" i="20"/>
  <c r="BV12" i="20" s="1"/>
  <c r="BU10" i="20"/>
  <c r="BS10" i="20"/>
  <c r="BR10" i="20"/>
  <c r="BQ10" i="20"/>
  <c r="BQ12" i="20" s="1"/>
  <c r="BN10" i="20"/>
  <c r="BM10" i="20"/>
  <c r="BL10" i="20"/>
  <c r="BK10" i="20"/>
  <c r="BI10" i="20"/>
  <c r="BH10" i="20"/>
  <c r="BG10" i="20"/>
  <c r="BF10" i="20"/>
  <c r="BD10" i="20"/>
  <c r="BC10" i="20"/>
  <c r="BB10" i="20"/>
  <c r="AY10" i="20"/>
  <c r="AX10" i="20"/>
  <c r="AW10" i="20"/>
  <c r="AV10" i="20"/>
  <c r="AT10" i="20"/>
  <c r="AS10" i="20"/>
  <c r="AR10" i="20"/>
  <c r="AQ10" i="20"/>
  <c r="AO10" i="20"/>
  <c r="AN10" i="20"/>
  <c r="AM10" i="20"/>
  <c r="AL10" i="20"/>
  <c r="AJ10" i="20"/>
  <c r="AI10" i="20"/>
  <c r="AH10" i="20"/>
  <c r="AG10" i="20"/>
  <c r="AE10" i="20"/>
  <c r="AD10" i="20"/>
  <c r="AC10" i="20"/>
  <c r="AB10" i="20"/>
  <c r="Z10" i="20"/>
  <c r="Y10" i="20"/>
  <c r="X10" i="20"/>
  <c r="W10" i="20"/>
  <c r="U10" i="20"/>
  <c r="T10" i="20"/>
  <c r="S10" i="20"/>
  <c r="R10" i="20"/>
  <c r="P10" i="20"/>
  <c r="O10" i="20"/>
  <c r="N10" i="20"/>
  <c r="M10" i="20"/>
  <c r="F10" i="20"/>
  <c r="E10" i="20"/>
  <c r="D10" i="20"/>
  <c r="C10" i="20"/>
  <c r="BW8" i="20"/>
  <c r="BV8" i="20"/>
  <c r="BU8" i="20"/>
  <c r="BS8" i="20"/>
  <c r="BR8" i="20"/>
  <c r="BQ8" i="20"/>
  <c r="BP8" i="20"/>
  <c r="BN8" i="20"/>
  <c r="BM8" i="20"/>
  <c r="BL8" i="20"/>
  <c r="BK8" i="20"/>
  <c r="BI8" i="20"/>
  <c r="BH8" i="20"/>
  <c r="BG8" i="20"/>
  <c r="BF8" i="20"/>
  <c r="BD8" i="20"/>
  <c r="BD12" i="20" s="1"/>
  <c r="BC8" i="20"/>
  <c r="BB8" i="20"/>
  <c r="BA8" i="20"/>
  <c r="AY8" i="20"/>
  <c r="AX8" i="20"/>
  <c r="AW8" i="20"/>
  <c r="AV8" i="20"/>
  <c r="AT8" i="20"/>
  <c r="AS8" i="20"/>
  <c r="AR8" i="20"/>
  <c r="AQ8" i="20"/>
  <c r="AO8" i="20"/>
  <c r="AN8" i="20"/>
  <c r="AM8" i="20"/>
  <c r="AL8" i="20"/>
  <c r="AJ8" i="20"/>
  <c r="AI8" i="20"/>
  <c r="AH8" i="20"/>
  <c r="AG8" i="20"/>
  <c r="AE8" i="20"/>
  <c r="AD8" i="20"/>
  <c r="AC8" i="20"/>
  <c r="AB8" i="20"/>
  <c r="AB12" i="20" s="1"/>
  <c r="Z8" i="20"/>
  <c r="Y8" i="20"/>
  <c r="X8" i="20"/>
  <c r="W8" i="20"/>
  <c r="U8" i="20"/>
  <c r="T8" i="20"/>
  <c r="S8" i="20"/>
  <c r="R8" i="20"/>
  <c r="R59" i="20" s="1"/>
  <c r="P8" i="20"/>
  <c r="O8" i="20"/>
  <c r="N8" i="20"/>
  <c r="M8" i="20"/>
  <c r="F8" i="20"/>
  <c r="F59" i="20" s="1"/>
  <c r="E8" i="20"/>
  <c r="D8" i="20"/>
  <c r="C8" i="20"/>
  <c r="CT6" i="20"/>
  <c r="CU6" i="20"/>
  <c r="CV6" i="20"/>
  <c r="CW6" i="20" s="1"/>
  <c r="CX6" i="20" s="1"/>
  <c r="CY6" i="20" s="1"/>
  <c r="CZ6" i="20" s="1"/>
  <c r="DA6" i="20" s="1"/>
  <c r="DB6" i="20" s="1"/>
  <c r="DC6" i="20" s="1"/>
  <c r="DD6" i="20" s="1"/>
  <c r="DE6" i="20" s="1"/>
  <c r="DF6" i="20" s="1"/>
  <c r="DG6" i="20" s="1"/>
  <c r="DH6" i="20" s="1"/>
  <c r="DI6" i="20" s="1"/>
  <c r="DJ6" i="20" s="1"/>
  <c r="DK6" i="20" s="1"/>
  <c r="DL6" i="20" s="1"/>
  <c r="DM6" i="20" s="1"/>
  <c r="DN6" i="20" s="1"/>
  <c r="AN6" i="20"/>
  <c r="AX6" i="20"/>
  <c r="BH6" i="20" s="1"/>
  <c r="BR6" i="20" s="1"/>
  <c r="CB6" i="20" s="1"/>
  <c r="AM6" i="20"/>
  <c r="AW6" i="20" s="1"/>
  <c r="BG6" i="20" s="1"/>
  <c r="BQ6" i="20" s="1"/>
  <c r="CA6" i="20" s="1"/>
  <c r="AL6" i="20"/>
  <c r="AV6" i="20" s="1"/>
  <c r="BF6" i="20" s="1"/>
  <c r="BP6" i="20" s="1"/>
  <c r="BZ6" i="20" s="1"/>
  <c r="AJ6" i="20"/>
  <c r="AI6" i="20"/>
  <c r="AS6" i="20"/>
  <c r="BC6" i="20" s="1"/>
  <c r="BM6" i="20" s="1"/>
  <c r="BW6" i="20" s="1"/>
  <c r="CG6" i="20" s="1"/>
  <c r="AH6" i="20"/>
  <c r="AR6" i="20" s="1"/>
  <c r="BB6" i="20" s="1"/>
  <c r="BL6" i="20" s="1"/>
  <c r="BV6" i="20" s="1"/>
  <c r="CF6" i="20" s="1"/>
  <c r="AG6" i="20"/>
  <c r="AQ6" i="20"/>
  <c r="BA6" i="20" s="1"/>
  <c r="BK6" i="20" s="1"/>
  <c r="BU6" i="20" s="1"/>
  <c r="CE6" i="20" s="1"/>
  <c r="P6" i="20"/>
  <c r="K6" i="20"/>
  <c r="U6" i="20"/>
  <c r="AE6" i="20"/>
  <c r="J6" i="20"/>
  <c r="I6" i="20"/>
  <c r="H6" i="20"/>
  <c r="DD5" i="20"/>
  <c r="DD79" i="20" s="1"/>
  <c r="AV5" i="20"/>
  <c r="AQ5" i="20"/>
  <c r="AL5" i="20"/>
  <c r="AG5" i="20"/>
  <c r="AB5" i="20"/>
  <c r="W5" i="20"/>
  <c r="R5" i="20"/>
  <c r="H5" i="20"/>
  <c r="C5" i="20"/>
  <c r="P170" i="61"/>
  <c r="AB150" i="61"/>
  <c r="T125" i="61"/>
  <c r="P125" i="61"/>
  <c r="O125" i="61"/>
  <c r="N125" i="61"/>
  <c r="M125" i="61"/>
  <c r="L125" i="61"/>
  <c r="K125" i="61"/>
  <c r="J125" i="61"/>
  <c r="I125" i="61"/>
  <c r="H125" i="61"/>
  <c r="G125" i="61"/>
  <c r="F125" i="61"/>
  <c r="E125" i="61"/>
  <c r="D125" i="61"/>
  <c r="C125" i="61"/>
  <c r="T124" i="61"/>
  <c r="P124" i="61"/>
  <c r="O124" i="61"/>
  <c r="N124" i="61"/>
  <c r="L124" i="61"/>
  <c r="K124" i="61"/>
  <c r="J124" i="61"/>
  <c r="I124" i="61"/>
  <c r="H124" i="61"/>
  <c r="G124" i="61"/>
  <c r="F124" i="61"/>
  <c r="E124" i="61"/>
  <c r="D124" i="61"/>
  <c r="C124" i="61"/>
  <c r="M83" i="61"/>
  <c r="M124" i="61"/>
  <c r="C36" i="61"/>
  <c r="C75" i="61" s="1"/>
  <c r="H36" i="61"/>
  <c r="J24" i="61"/>
  <c r="J63" i="61"/>
  <c r="J104" i="61" s="1"/>
  <c r="H24" i="61"/>
  <c r="H145" i="61" s="1"/>
  <c r="E24" i="61"/>
  <c r="D24" i="61"/>
  <c r="D145" i="61" s="1"/>
  <c r="M3" i="61"/>
  <c r="M42" i="61"/>
  <c r="F32" i="23"/>
  <c r="V34" i="23"/>
  <c r="AH50" i="23"/>
  <c r="L45" i="23"/>
  <c r="L33" i="23"/>
  <c r="L57" i="23"/>
  <c r="N33" i="23"/>
  <c r="N57" i="23" s="1"/>
  <c r="R45" i="23"/>
  <c r="V45" i="23"/>
  <c r="V51" i="23" s="1"/>
  <c r="X45" i="23"/>
  <c r="X33" i="23"/>
  <c r="X57" i="23"/>
  <c r="Z45" i="23"/>
  <c r="Z51" i="23" s="1"/>
  <c r="Z33" i="23"/>
  <c r="AB45" i="23"/>
  <c r="AD45" i="23"/>
  <c r="AD51" i="23" s="1"/>
  <c r="AH33" i="23"/>
  <c r="AJ45" i="23"/>
  <c r="AJ33" i="23"/>
  <c r="AL45" i="23"/>
  <c r="AN45" i="23"/>
  <c r="AP45" i="23"/>
  <c r="AP57" i="23" s="1"/>
  <c r="AP33" i="23"/>
  <c r="D33" i="23"/>
  <c r="D57" i="23" s="1"/>
  <c r="F33" i="23"/>
  <c r="N51" i="23"/>
  <c r="AL51" i="23"/>
  <c r="F52" i="23"/>
  <c r="F34" i="23"/>
  <c r="F58" i="23"/>
  <c r="H34" i="23"/>
  <c r="J34" i="23"/>
  <c r="Z34" i="23"/>
  <c r="AH34" i="23"/>
  <c r="H46" i="23"/>
  <c r="H52" i="23" s="1"/>
  <c r="L46" i="23"/>
  <c r="P46" i="23"/>
  <c r="P52" i="23" s="1"/>
  <c r="T46" i="23"/>
  <c r="AF46" i="23"/>
  <c r="AF52" i="23" s="1"/>
  <c r="AJ46" i="23"/>
  <c r="AJ52" i="23" s="1"/>
  <c r="AN46" i="23"/>
  <c r="R35" i="23"/>
  <c r="AF58" i="23"/>
  <c r="AH35" i="23"/>
  <c r="X47" i="23"/>
  <c r="X53" i="23" s="1"/>
  <c r="AB47" i="23"/>
  <c r="AB53" i="23"/>
  <c r="AF47" i="23"/>
  <c r="AF53" i="23" s="1"/>
  <c r="AJ47" i="23"/>
  <c r="AN47" i="23"/>
  <c r="AN53" i="23"/>
  <c r="L51" i="23"/>
  <c r="X51" i="23"/>
  <c r="A40" i="11"/>
  <c r="A34" i="11"/>
  <c r="G18" i="11"/>
  <c r="AY19" i="11"/>
  <c r="BO19" i="11"/>
  <c r="AQ19" i="11"/>
  <c r="A30" i="11"/>
  <c r="B41" i="11"/>
  <c r="B29" i="11"/>
  <c r="B35" i="11"/>
  <c r="B23" i="11"/>
  <c r="B43" i="11"/>
  <c r="B31" i="11"/>
  <c r="B37" i="11"/>
  <c r="B25" i="11"/>
  <c r="R34" i="11"/>
  <c r="AU17" i="11"/>
  <c r="BC17" i="11"/>
  <c r="BJ35" i="11"/>
  <c r="BK35" i="11" s="1"/>
  <c r="BK17" i="11"/>
  <c r="BZ35" i="11"/>
  <c r="CA17" i="11"/>
  <c r="A22" i="11"/>
  <c r="B30" i="11"/>
  <c r="B42" i="11"/>
  <c r="B36" i="11"/>
  <c r="B18" i="11"/>
  <c r="B17" i="11"/>
  <c r="F34" i="11"/>
  <c r="O16" i="11"/>
  <c r="V34" i="11"/>
  <c r="W34" i="11" s="1"/>
  <c r="AY17" i="11"/>
  <c r="BF35" i="11"/>
  <c r="BO17" i="11"/>
  <c r="BV35" i="11"/>
  <c r="CE17" i="11"/>
  <c r="O28" i="11"/>
  <c r="B160" i="10"/>
  <c r="B90" i="10"/>
  <c r="B76" i="10"/>
  <c r="B34" i="10"/>
  <c r="B62" i="10"/>
  <c r="A152" i="10"/>
  <c r="A145" i="10"/>
  <c r="A159" i="10"/>
  <c r="A166" i="10"/>
  <c r="A131" i="10"/>
  <c r="A138" i="10"/>
  <c r="A124" i="10"/>
  <c r="A110" i="10"/>
  <c r="A103" i="10"/>
  <c r="A117" i="10"/>
  <c r="A96" i="10"/>
  <c r="A89" i="10"/>
  <c r="A82" i="10"/>
  <c r="A75" i="10"/>
  <c r="A40" i="10"/>
  <c r="A61" i="10"/>
  <c r="A33" i="10"/>
  <c r="A54" i="10"/>
  <c r="A26" i="10"/>
  <c r="A68" i="10"/>
  <c r="A47" i="10"/>
  <c r="A19" i="10"/>
  <c r="B154" i="10"/>
  <c r="B161" i="10"/>
  <c r="B168" i="10"/>
  <c r="B133" i="10"/>
  <c r="B126" i="10"/>
  <c r="B119" i="10"/>
  <c r="B147" i="10"/>
  <c r="B140" i="10"/>
  <c r="B91" i="10"/>
  <c r="B84" i="10"/>
  <c r="B105" i="10"/>
  <c r="B112" i="10"/>
  <c r="B98" i="10"/>
  <c r="B77" i="10"/>
  <c r="B70" i="10"/>
  <c r="B63" i="10"/>
  <c r="B56" i="10"/>
  <c r="B49" i="10"/>
  <c r="B42" i="10"/>
  <c r="B28" i="10"/>
  <c r="B35" i="10"/>
  <c r="J12" i="10"/>
  <c r="A160" i="10"/>
  <c r="A167" i="10"/>
  <c r="A153" i="10"/>
  <c r="A146" i="10"/>
  <c r="A139" i="10"/>
  <c r="A125" i="10"/>
  <c r="A118" i="10"/>
  <c r="A111" i="10"/>
  <c r="A132" i="10"/>
  <c r="A97" i="10"/>
  <c r="A90" i="10"/>
  <c r="A104" i="10"/>
  <c r="A62" i="10"/>
  <c r="A34" i="10"/>
  <c r="A55" i="10"/>
  <c r="A27" i="10"/>
  <c r="A83" i="10"/>
  <c r="A69" i="10"/>
  <c r="A48" i="10"/>
  <c r="A76" i="10"/>
  <c r="A41" i="10"/>
  <c r="B21" i="10"/>
  <c r="A112" i="10"/>
  <c r="B145" i="10"/>
  <c r="B47" i="10"/>
  <c r="T19" i="10"/>
  <c r="A165" i="10"/>
  <c r="A158" i="10"/>
  <c r="A130" i="10"/>
  <c r="A144" i="10"/>
  <c r="A137" i="10"/>
  <c r="A123" i="10"/>
  <c r="A109" i="10"/>
  <c r="A102" i="10"/>
  <c r="A116" i="10"/>
  <c r="A95" i="10"/>
  <c r="A88" i="10"/>
  <c r="A81" i="10"/>
  <c r="A74" i="10"/>
  <c r="A60" i="10"/>
  <c r="A53" i="10"/>
  <c r="A46" i="10"/>
  <c r="A39" i="10"/>
  <c r="B151" i="10"/>
  <c r="B144" i="10"/>
  <c r="B158" i="10"/>
  <c r="B165" i="10"/>
  <c r="B137" i="10"/>
  <c r="B123" i="10"/>
  <c r="B130" i="10"/>
  <c r="B109" i="10"/>
  <c r="B116" i="10"/>
  <c r="B95" i="10"/>
  <c r="B88" i="10"/>
  <c r="B74" i="10"/>
  <c r="B102" i="10"/>
  <c r="B81" i="10"/>
  <c r="B155" i="10"/>
  <c r="B148" i="10"/>
  <c r="B162" i="10"/>
  <c r="B169" i="10"/>
  <c r="B127" i="10"/>
  <c r="B120" i="10"/>
  <c r="B141" i="10"/>
  <c r="B85" i="10"/>
  <c r="B106" i="10"/>
  <c r="B113" i="10"/>
  <c r="B99" i="10"/>
  <c r="B92" i="10"/>
  <c r="N19" i="10"/>
  <c r="A25" i="10"/>
  <c r="L26" i="10"/>
  <c r="L33" i="10"/>
  <c r="N48" i="10"/>
  <c r="B46" i="10"/>
  <c r="N54" i="10"/>
  <c r="P55" i="10"/>
  <c r="B57" i="10"/>
  <c r="J55" i="10"/>
  <c r="AH55" i="10" s="1"/>
  <c r="T62" i="10"/>
  <c r="B67" i="10"/>
  <c r="N26" i="10"/>
  <c r="N33" i="10"/>
  <c r="P40" i="10"/>
  <c r="N55" i="10"/>
  <c r="J69" i="10"/>
  <c r="N75" i="10"/>
  <c r="P27" i="10"/>
  <c r="J26" i="10"/>
  <c r="N40" i="10"/>
  <c r="L42" i="10"/>
  <c r="T54" i="10"/>
  <c r="F57" i="10"/>
  <c r="N62" i="10"/>
  <c r="B60" i="10"/>
  <c r="B71" i="10"/>
  <c r="L67" i="10"/>
  <c r="J75" i="10"/>
  <c r="AH75" i="10" s="1"/>
  <c r="T76" i="10"/>
  <c r="P48" i="10"/>
  <c r="P54" i="10"/>
  <c r="P39" i="10"/>
  <c r="N46" i="10"/>
  <c r="N53" i="10"/>
  <c r="T53" i="10"/>
  <c r="N60" i="10"/>
  <c r="T74" i="10"/>
  <c r="N81" i="10"/>
  <c r="T81" i="10"/>
  <c r="N89" i="10"/>
  <c r="N95" i="10"/>
  <c r="P102" i="10"/>
  <c r="T117" i="10"/>
  <c r="P82" i="10"/>
  <c r="N102" i="10"/>
  <c r="J82" i="10"/>
  <c r="L102" i="10"/>
  <c r="L119" i="10"/>
  <c r="P89" i="10"/>
  <c r="T102" i="10"/>
  <c r="D106" i="10"/>
  <c r="J110" i="10"/>
  <c r="N98" i="10"/>
  <c r="T112" i="10"/>
  <c r="F113" i="10"/>
  <c r="P133" i="10"/>
  <c r="T131" i="10"/>
  <c r="P138" i="10"/>
  <c r="T140" i="10"/>
  <c r="L153" i="10"/>
  <c r="T123" i="10"/>
  <c r="J138" i="10"/>
  <c r="J151" i="10"/>
  <c r="P124" i="10"/>
  <c r="T124" i="10"/>
  <c r="T111" i="10"/>
  <c r="T118" i="10"/>
  <c r="P125" i="10"/>
  <c r="T138" i="10"/>
  <c r="N144" i="10"/>
  <c r="J144" i="10"/>
  <c r="T139" i="10"/>
  <c r="J153" i="10"/>
  <c r="N158" i="10"/>
  <c r="N159" i="10"/>
  <c r="P159" i="10"/>
  <c r="T159" i="10"/>
  <c r="N152" i="10"/>
  <c r="T152" i="10"/>
  <c r="X61" i="3"/>
  <c r="L59" i="3"/>
  <c r="P57" i="3"/>
  <c r="T59" i="3"/>
  <c r="L62" i="3"/>
  <c r="I39" i="2"/>
  <c r="BA46" i="2"/>
  <c r="BC46" i="2" s="1"/>
  <c r="BE46" i="2" s="1"/>
  <c r="BG46" i="2" s="1"/>
  <c r="BI46" i="2" s="1"/>
  <c r="AS110" i="2"/>
  <c r="AQ110" i="2"/>
  <c r="W110" i="2"/>
  <c r="AO110" i="2"/>
  <c r="T14" i="15"/>
  <c r="S16" i="15"/>
  <c r="M66" i="15"/>
  <c r="L66" i="15"/>
  <c r="M14" i="15"/>
  <c r="L16" i="15"/>
  <c r="AH82" i="10" s="1"/>
  <c r="V66" i="15"/>
  <c r="R14" i="15"/>
  <c r="U16" i="15"/>
  <c r="S14" i="15"/>
  <c r="P30" i="15"/>
  <c r="I16" i="5"/>
  <c r="F42" i="5"/>
  <c r="I42" i="5"/>
  <c r="J42" i="5"/>
  <c r="U102" i="2" s="1"/>
  <c r="N42" i="5"/>
  <c r="C42" i="5"/>
  <c r="K38" i="5"/>
  <c r="L42" i="5"/>
  <c r="H38" i="5"/>
  <c r="L38" i="5"/>
  <c r="L39" i="5"/>
  <c r="AR12" i="30"/>
  <c r="AG30" i="30"/>
  <c r="AH30" i="30" s="1"/>
  <c r="AL48" i="30"/>
  <c r="R53" i="30"/>
  <c r="AG54" i="30"/>
  <c r="AR54" i="30" s="1"/>
  <c r="AR9" i="30"/>
  <c r="AR23" i="30"/>
  <c r="L31" i="30"/>
  <c r="AG31" i="30"/>
  <c r="AR31" i="30" s="1"/>
  <c r="L52" i="30"/>
  <c r="F52" i="30"/>
  <c r="R30" i="30"/>
  <c r="AA30" i="30"/>
  <c r="F31" i="30"/>
  <c r="L30" i="30"/>
  <c r="R31" i="30"/>
  <c r="F66" i="30"/>
  <c r="L66" i="30"/>
  <c r="L95" i="30"/>
  <c r="AG102" i="30"/>
  <c r="AA73" i="30"/>
  <c r="AJ97" i="30"/>
  <c r="P12" i="5" s="1"/>
  <c r="R87" i="30"/>
  <c r="AL116" i="30"/>
  <c r="BB134" i="30"/>
  <c r="BB116" i="30"/>
  <c r="AJ120" i="30"/>
  <c r="S12" i="5" s="1"/>
  <c r="AL123" i="30"/>
  <c r="X141" i="30"/>
  <c r="AD134" i="30"/>
  <c r="AE134" i="30" s="1"/>
  <c r="AY149" i="9" s="1"/>
  <c r="W148" i="30"/>
  <c r="X148" i="30"/>
  <c r="A802" i="9"/>
  <c r="A608" i="9"/>
  <c r="A431" i="9"/>
  <c r="A254" i="9"/>
  <c r="A233" i="9"/>
  <c r="A119" i="9"/>
  <c r="B782" i="9"/>
  <c r="B817" i="9"/>
  <c r="B789" i="9"/>
  <c r="B616" i="9"/>
  <c r="B581" i="9"/>
  <c r="B567" i="9"/>
  <c r="B560" i="9"/>
  <c r="B574" i="9"/>
  <c r="B509" i="9"/>
  <c r="B523" i="9"/>
  <c r="B502" i="9"/>
  <c r="B495" i="9"/>
  <c r="B481" i="9"/>
  <c r="B453" i="9"/>
  <c r="B418" i="9"/>
  <c r="B439" i="9"/>
  <c r="B425" i="9"/>
  <c r="B397" i="9"/>
  <c r="B369" i="9"/>
  <c r="B311" i="9"/>
  <c r="B332" i="9"/>
  <c r="B297" i="9"/>
  <c r="B283" i="9"/>
  <c r="B269" i="9"/>
  <c r="B169" i="9"/>
  <c r="B134" i="9"/>
  <c r="B234" i="9"/>
  <c r="B220" i="9"/>
  <c r="B113" i="9"/>
  <c r="B96" i="30" s="1"/>
  <c r="B206" i="9"/>
  <c r="B192" i="9"/>
  <c r="B248" i="9"/>
  <c r="B106" i="9"/>
  <c r="B89" i="30" s="1"/>
  <c r="B92" i="9"/>
  <c r="B75" i="30" s="1"/>
  <c r="A49" i="9"/>
  <c r="A32" i="30" s="1"/>
  <c r="AN12" i="9"/>
  <c r="B808" i="9"/>
  <c r="B614" i="9"/>
  <c r="B628" i="9"/>
  <c r="B607" i="9"/>
  <c r="B486" i="9"/>
  <c r="B465" i="9"/>
  <c r="B416" i="9"/>
  <c r="B374" i="9"/>
  <c r="B316" i="9"/>
  <c r="B288" i="9"/>
  <c r="B274" i="9"/>
  <c r="B225" i="9"/>
  <c r="B190" i="9"/>
  <c r="B160" i="9"/>
  <c r="B64" i="9"/>
  <c r="B47" i="30" s="1"/>
  <c r="B85" i="9"/>
  <c r="B68" i="30" s="1"/>
  <c r="BE99" i="9"/>
  <c r="B99" i="9"/>
  <c r="B82" i="30" s="1"/>
  <c r="A780" i="9"/>
  <c r="A507" i="9"/>
  <c r="A309" i="9"/>
  <c r="A323" i="9"/>
  <c r="A211" i="9"/>
  <c r="B795" i="9"/>
  <c r="B594" i="9"/>
  <c r="B473" i="9"/>
  <c r="B487" i="9"/>
  <c r="B368" i="9"/>
  <c r="B338" i="9"/>
  <c r="B345" i="9"/>
  <c r="B289" i="9"/>
  <c r="B275" i="9"/>
  <c r="B105" i="9"/>
  <c r="B88" i="30" s="1"/>
  <c r="B133" i="9"/>
  <c r="B112" i="9"/>
  <c r="B95" i="30" s="1"/>
  <c r="B205" i="9"/>
  <c r="B71" i="9"/>
  <c r="B54" i="30" s="1"/>
  <c r="AN139" i="9"/>
  <c r="AG238" i="9"/>
  <c r="AP253" i="9"/>
  <c r="AP262" i="9"/>
  <c r="AG262" i="9"/>
  <c r="P191" i="9"/>
  <c r="AG239" i="9"/>
  <c r="AE245" i="9"/>
  <c r="AG260" i="9"/>
  <c r="AG266" i="9"/>
  <c r="AN145" i="9"/>
  <c r="AG241" i="9"/>
  <c r="AP246" i="9"/>
  <c r="AG259" i="9"/>
  <c r="AE190" i="9"/>
  <c r="AG191" i="9" s="1"/>
  <c r="AE247" i="9"/>
  <c r="AG261" i="9"/>
  <c r="AG268" i="9"/>
  <c r="AG269" i="9"/>
  <c r="AG274" i="9"/>
  <c r="AP282" i="9"/>
  <c r="AG282" i="9"/>
  <c r="AP297" i="9"/>
  <c r="AG267" i="9"/>
  <c r="AP288" i="9"/>
  <c r="AG289" i="9"/>
  <c r="AI289" i="9" s="1"/>
  <c r="R325" i="9"/>
  <c r="AG332" i="9"/>
  <c r="AI332" i="9" s="1"/>
  <c r="R316" i="9"/>
  <c r="AG311" i="9"/>
  <c r="Z309" i="9"/>
  <c r="R323" i="9"/>
  <c r="AG322" i="9"/>
  <c r="D312" i="9"/>
  <c r="AG310" i="9"/>
  <c r="R331" i="9"/>
  <c r="AG383" i="9"/>
  <c r="P397" i="9"/>
  <c r="K410" i="9"/>
  <c r="K411" i="9" s="1"/>
  <c r="K423" i="9"/>
  <c r="AG432" i="9"/>
  <c r="AG438" i="9"/>
  <c r="AG416" i="9"/>
  <c r="AP437" i="9"/>
  <c r="AP443" i="9"/>
  <c r="AP447" i="9" s="1"/>
  <c r="AG443" i="9"/>
  <c r="AE367" i="9"/>
  <c r="P380" i="9"/>
  <c r="AG410" i="9"/>
  <c r="AG417" i="9"/>
  <c r="AP436" i="9"/>
  <c r="AP440" i="9" s="1"/>
  <c r="AG431" i="9"/>
  <c r="AG458" i="9"/>
  <c r="AP460" i="9"/>
  <c r="AP466" i="9"/>
  <c r="AP473" i="9"/>
  <c r="AP480" i="9"/>
  <c r="AG480" i="9"/>
  <c r="AP478" i="9"/>
  <c r="AP482" i="9" s="1"/>
  <c r="AG488" i="9"/>
  <c r="AP488" i="9" s="1"/>
  <c r="AE513" i="9"/>
  <c r="AE514" i="9" s="1"/>
  <c r="AP444" i="9"/>
  <c r="AP451" i="9"/>
  <c r="AG451" i="9"/>
  <c r="AP452" i="9"/>
  <c r="AP465" i="9"/>
  <c r="AG465" i="9"/>
  <c r="AG466" i="9"/>
  <c r="AG472" i="9"/>
  <c r="AG473" i="9"/>
  <c r="AG478" i="9"/>
  <c r="R486" i="9"/>
  <c r="R502" i="9"/>
  <c r="AP453" i="9"/>
  <c r="AP459" i="9"/>
  <c r="AP481" i="9"/>
  <c r="AG492" i="9"/>
  <c r="AR492" i="9" s="1"/>
  <c r="AG493" i="9"/>
  <c r="AP571" i="9"/>
  <c r="AP575" i="9" s="1"/>
  <c r="AP579" i="9"/>
  <c r="AP565" i="9"/>
  <c r="AG565" i="9"/>
  <c r="AG566" i="9"/>
  <c r="AP567" i="9"/>
  <c r="AG574" i="9"/>
  <c r="AG578" i="9"/>
  <c r="AG585" i="9"/>
  <c r="AG592" i="9"/>
  <c r="AR592" i="9" s="1"/>
  <c r="AG600" i="9"/>
  <c r="AP600" i="9" s="1"/>
  <c r="D601" i="9"/>
  <c r="R607" i="9"/>
  <c r="AG587" i="9"/>
  <c r="AV599" i="9"/>
  <c r="D600" i="9"/>
  <c r="AG588" i="9"/>
  <c r="D606" i="9"/>
  <c r="AG608" i="9"/>
  <c r="AG613" i="9"/>
  <c r="AP613" i="9" s="1"/>
  <c r="D615" i="9"/>
  <c r="W617" i="9"/>
  <c r="I23" i="1"/>
  <c r="CN25" i="1"/>
  <c r="CF14" i="1"/>
  <c r="CF36" i="1"/>
  <c r="CF26" i="1"/>
  <c r="CF16" i="1"/>
  <c r="CJ16" i="1"/>
  <c r="I36" i="1"/>
  <c r="I26" i="1"/>
  <c r="I16" i="1"/>
  <c r="M16" i="1"/>
  <c r="AC26" i="1"/>
  <c r="AC16" i="1"/>
  <c r="CJ15" i="1"/>
  <c r="CJ35" i="1"/>
  <c r="BT25" i="1"/>
  <c r="BX15" i="1"/>
  <c r="CK15" i="1"/>
  <c r="CK16" i="1" s="1"/>
  <c r="BX14" i="1"/>
  <c r="CB16" i="1"/>
  <c r="AD23" i="1"/>
  <c r="N15" i="1"/>
  <c r="N16" i="1" s="1"/>
  <c r="AH15" i="1"/>
  <c r="AH16" i="1"/>
  <c r="AP15" i="1"/>
  <c r="AP16" i="1" s="1"/>
  <c r="AV16" i="1"/>
  <c r="BA15" i="1"/>
  <c r="BA16" i="1" s="1"/>
  <c r="BL16" i="1"/>
  <c r="BQ15" i="1"/>
  <c r="L51" i="1"/>
  <c r="T25" i="1"/>
  <c r="U25" i="1"/>
  <c r="Y21" i="1"/>
  <c r="CJ20" i="1"/>
  <c r="CE24" i="1"/>
  <c r="CO21" i="1"/>
  <c r="BP26" i="1"/>
  <c r="CN26" i="1"/>
  <c r="BD32" i="1"/>
  <c r="AY52" i="1"/>
  <c r="AY36" i="1"/>
  <c r="E33" i="1"/>
  <c r="J36" i="1"/>
  <c r="AL34" i="1"/>
  <c r="AZ35" i="1"/>
  <c r="BC34" i="1"/>
  <c r="N24" i="15"/>
  <c r="BC36" i="1"/>
  <c r="BT34" i="1"/>
  <c r="CO36" i="1"/>
  <c r="AZ41" i="1"/>
  <c r="BL40" i="1"/>
  <c r="BC45" i="1"/>
  <c r="BD45" i="1"/>
  <c r="D70" i="1"/>
  <c r="J50" i="1"/>
  <c r="I52" i="1"/>
  <c r="AC65" i="1"/>
  <c r="AZ66" i="1"/>
  <c r="BL65" i="1"/>
  <c r="CF66" i="1"/>
  <c r="CE73" i="1"/>
  <c r="CE93" i="1"/>
  <c r="CE103" i="1" s="1"/>
  <c r="AG26" i="1"/>
  <c r="AO26" i="1"/>
  <c r="AZ26" i="1"/>
  <c r="CI25" i="1"/>
  <c r="CJ25" i="1" s="1"/>
  <c r="CI26" i="1"/>
  <c r="CJ26" i="1"/>
  <c r="BC72" i="1"/>
  <c r="BC56" i="1"/>
  <c r="BD56" i="1"/>
  <c r="BD52" i="1"/>
  <c r="AO35" i="1"/>
  <c r="CJ34" i="1"/>
  <c r="BE41" i="1"/>
  <c r="D56" i="1"/>
  <c r="E56" i="1" s="1"/>
  <c r="Y16" i="1"/>
  <c r="BP16" i="1"/>
  <c r="P25" i="1"/>
  <c r="Q25" i="1" s="1"/>
  <c r="T26" i="1"/>
  <c r="E23" i="1"/>
  <c r="CF23" i="1"/>
  <c r="X25" i="1"/>
  <c r="BP25" i="1"/>
  <c r="CI24" i="1"/>
  <c r="V10" i="15"/>
  <c r="F155" i="10"/>
  <c r="L30" i="1"/>
  <c r="P31" i="1"/>
  <c r="AC34" i="1"/>
  <c r="AG35" i="1"/>
  <c r="AK35" i="1"/>
  <c r="BE35" i="1"/>
  <c r="BK36" i="1"/>
  <c r="BP36" i="1"/>
  <c r="CJ36" i="1"/>
  <c r="BD40" i="1"/>
  <c r="H70" i="1"/>
  <c r="H55" i="1"/>
  <c r="I55" i="1" s="1"/>
  <c r="AB92" i="1"/>
  <c r="AC72" i="1"/>
  <c r="AG51" i="1"/>
  <c r="D74" i="20" s="1"/>
  <c r="AF71" i="1"/>
  <c r="CN66" i="1"/>
  <c r="AG64" i="1"/>
  <c r="AO66" i="1"/>
  <c r="BD65" i="1"/>
  <c r="BP64" i="1"/>
  <c r="CJ65" i="1"/>
  <c r="BH26" i="1"/>
  <c r="Y36" i="1"/>
  <c r="AK34" i="1"/>
  <c r="AV36" i="1"/>
  <c r="BK42" i="1"/>
  <c r="BC43" i="1"/>
  <c r="I50" i="1"/>
  <c r="AC50" i="1"/>
  <c r="AB70" i="1"/>
  <c r="AH50" i="1"/>
  <c r="AB55" i="1"/>
  <c r="AB56" i="1"/>
  <c r="AC56" i="1" s="1"/>
  <c r="AJ72" i="1"/>
  <c r="AC53" i="1"/>
  <c r="AG50" i="1"/>
  <c r="C74" i="20" s="1"/>
  <c r="AK51" i="1"/>
  <c r="AR51" i="1"/>
  <c r="AZ51" i="1"/>
  <c r="BC55" i="1"/>
  <c r="BH53" i="1"/>
  <c r="BQ52" i="1"/>
  <c r="BU53" i="1"/>
  <c r="CB50" i="1"/>
  <c r="CG52" i="1"/>
  <c r="CJ52" i="1"/>
  <c r="BP65" i="1"/>
  <c r="AJ71" i="1"/>
  <c r="AN73" i="1"/>
  <c r="BC73" i="1"/>
  <c r="AF56" i="1"/>
  <c r="AW50" i="1"/>
  <c r="D65" i="1"/>
  <c r="E65" i="1" s="1"/>
  <c r="CE56" i="1"/>
  <c r="D63" i="1"/>
  <c r="AZ65" i="1"/>
  <c r="CF65" i="1"/>
  <c r="AF70" i="1"/>
  <c r="AY55" i="1"/>
  <c r="BE55" i="1"/>
  <c r="BH50" i="1"/>
  <c r="BO55" i="1"/>
  <c r="BT53" i="1"/>
  <c r="CF52" i="1"/>
  <c r="CE55" i="1"/>
  <c r="D66" i="1"/>
  <c r="E66" i="1"/>
  <c r="P64" i="1"/>
  <c r="BH65" i="1"/>
  <c r="BT64" i="1"/>
  <c r="CB66" i="1"/>
  <c r="D116" i="1"/>
  <c r="AJ241" i="1"/>
  <c r="AJ116" i="1"/>
  <c r="AJ115" i="1"/>
  <c r="T116" i="1"/>
  <c r="T115" i="1"/>
  <c r="AN241" i="1"/>
  <c r="AN115" i="1"/>
  <c r="AN124" i="1"/>
  <c r="K56" i="15" s="1"/>
  <c r="CV27" i="20" s="1"/>
  <c r="AU241" i="1"/>
  <c r="AU116" i="1"/>
  <c r="AY115" i="1"/>
  <c r="AU115" i="1"/>
  <c r="AF126" i="1"/>
  <c r="AY116" i="1"/>
  <c r="AB125" i="1"/>
  <c r="AU125" i="1"/>
  <c r="AY126" i="1"/>
  <c r="AU176" i="1"/>
  <c r="AU209" i="1" s="1"/>
  <c r="AY176" i="1"/>
  <c r="AY209" i="1" s="1"/>
  <c r="AU126" i="1"/>
  <c r="CM126" i="1"/>
  <c r="BX257" i="1"/>
  <c r="AF260" i="1"/>
  <c r="BW243" i="1"/>
  <c r="AB260" i="1"/>
  <c r="AU260" i="1"/>
  <c r="M67" i="20"/>
  <c r="AX67" i="20"/>
  <c r="J145" i="61"/>
  <c r="AB52" i="23"/>
  <c r="T52" i="23"/>
  <c r="L52" i="23"/>
  <c r="Z40" i="11"/>
  <c r="BJ41" i="11"/>
  <c r="R144" i="10"/>
  <c r="R55" i="10"/>
  <c r="Q30" i="15"/>
  <c r="R30" i="15" s="1"/>
  <c r="AR30" i="30"/>
  <c r="AL127" i="30"/>
  <c r="AP492" i="9"/>
  <c r="AG248" i="9"/>
  <c r="AI248" i="9" s="1"/>
  <c r="AP311" i="9"/>
  <c r="AR311" i="9"/>
  <c r="P410" i="9"/>
  <c r="AP332" i="9"/>
  <c r="AR239" i="9"/>
  <c r="AN93" i="1"/>
  <c r="AC55" i="1"/>
  <c r="H90" i="1"/>
  <c r="H100" i="1"/>
  <c r="I70" i="1"/>
  <c r="BD34" i="1"/>
  <c r="AD21" i="1"/>
  <c r="N51" i="1"/>
  <c r="CF56" i="1"/>
  <c r="AG56" i="1"/>
  <c r="BC93" i="1"/>
  <c r="BD73" i="1"/>
  <c r="BD83" i="1"/>
  <c r="AC80" i="1"/>
  <c r="AB90" i="1"/>
  <c r="AC70" i="1"/>
  <c r="BK46" i="1"/>
  <c r="AG71" i="1"/>
  <c r="Q31" i="1"/>
  <c r="BD55" i="1"/>
  <c r="CS26" i="20"/>
  <c r="CT21" i="20"/>
  <c r="CS21" i="20"/>
  <c r="CR18" i="20"/>
  <c r="CU13" i="20"/>
  <c r="CU10" i="20"/>
  <c r="DD18" i="20"/>
  <c r="J15" i="61"/>
  <c r="CZ21" i="20"/>
  <c r="F18" i="61"/>
  <c r="F98" i="61" s="1"/>
  <c r="J18" i="61"/>
  <c r="J57" i="61" s="1"/>
  <c r="CW10" i="20"/>
  <c r="C8" i="61"/>
  <c r="C88" i="61"/>
  <c r="H11" i="61"/>
  <c r="H91" i="61" s="1"/>
  <c r="DA18" i="20"/>
  <c r="G15" i="61"/>
  <c r="G136" i="61"/>
  <c r="DE21" i="20"/>
  <c r="K18" i="61"/>
  <c r="K139" i="61" s="1"/>
  <c r="DB18" i="20"/>
  <c r="F8" i="61"/>
  <c r="F129" i="61" s="1"/>
  <c r="CZ10" i="20"/>
  <c r="DG13" i="20"/>
  <c r="DC18" i="20"/>
  <c r="DG21" i="20"/>
  <c r="K98" i="61"/>
  <c r="AE152" i="9"/>
  <c r="AB151" i="10" s="1"/>
  <c r="AD151" i="10" s="1"/>
  <c r="AG329" i="9"/>
  <c r="BT16" i="1"/>
  <c r="BT26" i="1"/>
  <c r="BT66" i="1"/>
  <c r="CB35" i="1"/>
  <c r="CB15" i="1"/>
  <c r="CB25" i="1"/>
  <c r="R324" i="9"/>
  <c r="Z61" i="3"/>
  <c r="Z62" i="3" s="1"/>
  <c r="L19" i="10"/>
  <c r="P20" i="10"/>
  <c r="R69" i="10"/>
  <c r="CF55" i="1"/>
  <c r="L35" i="1"/>
  <c r="M35" i="1"/>
  <c r="M30" i="1"/>
  <c r="N30" i="1"/>
  <c r="F48" i="5"/>
  <c r="G48" i="5"/>
  <c r="T158" i="10"/>
  <c r="L22" i="15"/>
  <c r="L61" i="15"/>
  <c r="G132" i="9"/>
  <c r="DE41" i="20"/>
  <c r="DE39" i="20" s="1"/>
  <c r="T54" i="15"/>
  <c r="U62" i="1"/>
  <c r="T66" i="1"/>
  <c r="U66" i="1" s="1"/>
  <c r="N36" i="15"/>
  <c r="BD64" i="1"/>
  <c r="V36" i="15"/>
  <c r="CJ64" i="1"/>
  <c r="CU21" i="20"/>
  <c r="BD26" i="1"/>
  <c r="BD16" i="1"/>
  <c r="BH16" i="1"/>
  <c r="R103" i="30"/>
  <c r="L103" i="30"/>
  <c r="AG103" i="30"/>
  <c r="AV111" i="30" s="1"/>
  <c r="CE18" i="11"/>
  <c r="CD36" i="11"/>
  <c r="CH42" i="11"/>
  <c r="CI18" i="11"/>
  <c r="AU71" i="1"/>
  <c r="BA51" i="1"/>
  <c r="AU56" i="1"/>
  <c r="AV51" i="1"/>
  <c r="O41" i="20"/>
  <c r="AN243" i="1"/>
  <c r="O26" i="20"/>
  <c r="U26" i="20"/>
  <c r="AU258" i="1"/>
  <c r="AU244" i="1"/>
  <c r="AJ124" i="1"/>
  <c r="J56" i="15" s="1"/>
  <c r="CU27" i="20" s="1"/>
  <c r="AJ126" i="1"/>
  <c r="AJ125" i="1"/>
  <c r="AE17" i="11"/>
  <c r="AD35" i="11"/>
  <c r="AI17" i="11"/>
  <c r="BG73" i="20"/>
  <c r="BL73" i="20"/>
  <c r="E7" i="15"/>
  <c r="K67" i="2"/>
  <c r="K72" i="2" s="1"/>
  <c r="Q14" i="1"/>
  <c r="U23" i="1"/>
  <c r="Z23" i="1"/>
  <c r="T33" i="1"/>
  <c r="F42" i="10"/>
  <c r="AH93" i="20"/>
  <c r="AG614" i="9"/>
  <c r="AG615" i="9"/>
  <c r="AI615" i="9" s="1"/>
  <c r="P96" i="10"/>
  <c r="N96" i="10"/>
  <c r="N103" i="10"/>
  <c r="CA71" i="1"/>
  <c r="CG51" i="1"/>
  <c r="CC51" i="1"/>
  <c r="CB51" i="1"/>
  <c r="CA54" i="1"/>
  <c r="CZ18" i="20"/>
  <c r="F15" i="61"/>
  <c r="F136" i="61" s="1"/>
  <c r="BY51" i="1"/>
  <c r="W68" i="2"/>
  <c r="CV10" i="20"/>
  <c r="DG10" i="20"/>
  <c r="T61" i="10"/>
  <c r="N61" i="10"/>
  <c r="J62" i="10"/>
  <c r="AH62" i="10" s="1"/>
  <c r="N68" i="10"/>
  <c r="P33" i="23"/>
  <c r="P57" i="23"/>
  <c r="P45" i="23"/>
  <c r="P51" i="23" s="1"/>
  <c r="AJ92" i="1"/>
  <c r="AK82" i="1"/>
  <c r="DA14" i="20"/>
  <c r="M20" i="1"/>
  <c r="F25" i="10"/>
  <c r="L25" i="1"/>
  <c r="M25" i="1" s="1"/>
  <c r="L50" i="1"/>
  <c r="X26" i="1"/>
  <c r="Y26" i="1" s="1"/>
  <c r="F48" i="10"/>
  <c r="X52" i="1"/>
  <c r="X24" i="1"/>
  <c r="BO45" i="1"/>
  <c r="AO51" i="1"/>
  <c r="AN71" i="1"/>
  <c r="AN55" i="1"/>
  <c r="AN56" i="1"/>
  <c r="AY73" i="1"/>
  <c r="AZ53" i="1"/>
  <c r="BW73" i="1"/>
  <c r="BJ119" i="30"/>
  <c r="CE71" i="1"/>
  <c r="CF51" i="1"/>
  <c r="CK51" i="1"/>
  <c r="CN52" i="1"/>
  <c r="CM72" i="1"/>
  <c r="CN72" i="1"/>
  <c r="P92" i="20"/>
  <c r="BF92" i="20"/>
  <c r="AN148" i="9"/>
  <c r="D161" i="9"/>
  <c r="AN161" i="9"/>
  <c r="AE82" i="9"/>
  <c r="R92" i="20" s="1"/>
  <c r="AP259" i="9"/>
  <c r="AP263" i="9" s="1"/>
  <c r="P296" i="9"/>
  <c r="Z296" i="9" s="1"/>
  <c r="AA68" i="2"/>
  <c r="J19" i="10"/>
  <c r="R19" i="10" s="1"/>
  <c r="N18" i="10"/>
  <c r="T55" i="10"/>
  <c r="P81" i="10"/>
  <c r="N77" i="10"/>
  <c r="T77" i="10"/>
  <c r="L88" i="10"/>
  <c r="T125" i="10"/>
  <c r="BR34" i="11"/>
  <c r="BS16" i="11"/>
  <c r="AM28" i="11"/>
  <c r="AI28" i="11"/>
  <c r="H45" i="23"/>
  <c r="H51" i="23"/>
  <c r="F47" i="61"/>
  <c r="BL46" i="1"/>
  <c r="R31" i="1"/>
  <c r="V31" i="1"/>
  <c r="BX64" i="1"/>
  <c r="BU25" i="1"/>
  <c r="R506" i="9"/>
  <c r="AL141" i="30"/>
  <c r="N125" i="10"/>
  <c r="V40" i="11"/>
  <c r="AN58" i="23"/>
  <c r="AN52" i="23"/>
  <c r="H33" i="23"/>
  <c r="AJ57" i="23"/>
  <c r="BT65" i="1"/>
  <c r="BT15" i="1"/>
  <c r="BQ16" i="1"/>
  <c r="BP15" i="1"/>
  <c r="BP35" i="1"/>
  <c r="T52" i="1"/>
  <c r="F41" i="10"/>
  <c r="U22" i="1"/>
  <c r="Y22" i="1"/>
  <c r="N31" i="1"/>
  <c r="M31" i="1"/>
  <c r="E35" i="1"/>
  <c r="J35" i="1"/>
  <c r="AU70" i="1"/>
  <c r="AU54" i="1"/>
  <c r="AU55" i="1"/>
  <c r="AV50" i="1"/>
  <c r="BA50" i="1"/>
  <c r="BA53" i="1"/>
  <c r="BM53" i="1"/>
  <c r="BT50" i="1"/>
  <c r="BS70" i="1"/>
  <c r="BS55" i="1"/>
  <c r="CA70" i="1"/>
  <c r="CA56" i="1"/>
  <c r="CA55" i="1"/>
  <c r="CE72" i="1"/>
  <c r="CK52" i="1"/>
  <c r="AN242" i="1"/>
  <c r="N26" i="20"/>
  <c r="AN116" i="1"/>
  <c r="DA41" i="20"/>
  <c r="P54" i="15"/>
  <c r="F35" i="20"/>
  <c r="H32" i="20" s="1"/>
  <c r="F28" i="20"/>
  <c r="AB91" i="10"/>
  <c r="V97" i="10"/>
  <c r="AD93" i="20"/>
  <c r="P98" i="9"/>
  <c r="N51" i="5"/>
  <c r="AB83" i="30"/>
  <c r="BE113" i="9"/>
  <c r="AN154" i="9"/>
  <c r="AE198" i="9"/>
  <c r="AG198" i="9" s="1"/>
  <c r="AG197" i="9"/>
  <c r="AG234" i="9"/>
  <c r="D326" i="9"/>
  <c r="D333" i="9"/>
  <c r="AG369" i="9"/>
  <c r="AG368" i="9"/>
  <c r="AG445" i="9"/>
  <c r="AG452" i="9"/>
  <c r="AI452" i="9" s="1"/>
  <c r="AE98" i="9"/>
  <c r="AP98" i="9" s="1"/>
  <c r="AG453" i="9"/>
  <c r="AG73" i="30"/>
  <c r="AR73" i="30" s="1"/>
  <c r="L73" i="30"/>
  <c r="BJ108" i="30"/>
  <c r="AE22" i="9"/>
  <c r="AB21" i="10"/>
  <c r="AE71" i="9"/>
  <c r="J38" i="5"/>
  <c r="K42" i="5"/>
  <c r="AI69" i="2"/>
  <c r="AI76" i="2" s="1"/>
  <c r="Q68" i="2"/>
  <c r="AP42" i="3"/>
  <c r="AS60" i="2"/>
  <c r="J33" i="10"/>
  <c r="N32" i="10"/>
  <c r="P33" i="10"/>
  <c r="N39" i="10"/>
  <c r="P41" i="10"/>
  <c r="J95" i="10"/>
  <c r="R95" i="10" s="1"/>
  <c r="P95" i="10"/>
  <c r="J96" i="10"/>
  <c r="R96" i="10"/>
  <c r="T95" i="10"/>
  <c r="J133" i="10"/>
  <c r="T133" i="10"/>
  <c r="P137" i="10"/>
  <c r="AH144" i="10"/>
  <c r="AM16" i="11"/>
  <c r="AL34" i="11"/>
  <c r="AP40" i="11" s="1"/>
  <c r="AQ16" i="11"/>
  <c r="R46" i="23"/>
  <c r="R52" i="23"/>
  <c r="R34" i="23"/>
  <c r="R58" i="23" s="1"/>
  <c r="Z44" i="23"/>
  <c r="Z50" i="23"/>
  <c r="Z32" i="23"/>
  <c r="Z56" i="23" s="1"/>
  <c r="AF45" i="23"/>
  <c r="AF51" i="23"/>
  <c r="AF33" i="23"/>
  <c r="AF57" i="23" s="1"/>
  <c r="E36" i="15"/>
  <c r="Q64" i="1"/>
  <c r="CF83" i="1"/>
  <c r="L71" i="1"/>
  <c r="CB11" i="11"/>
  <c r="BP14" i="1"/>
  <c r="AK26" i="1"/>
  <c r="AK66" i="1"/>
  <c r="AK16" i="1"/>
  <c r="D24" i="1"/>
  <c r="F14" i="10"/>
  <c r="Q76" i="2"/>
  <c r="AP35" i="1"/>
  <c r="AL35" i="1"/>
  <c r="BS45" i="1"/>
  <c r="AJ56" i="1"/>
  <c r="AJ54" i="1"/>
  <c r="AK54" i="1"/>
  <c r="AJ55" i="1"/>
  <c r="AK50" i="1"/>
  <c r="AJ70" i="1"/>
  <c r="AP50" i="1"/>
  <c r="AV52" i="1"/>
  <c r="AU72" i="1"/>
  <c r="AW52" i="1"/>
  <c r="BJ96" i="30"/>
  <c r="BL53" i="1"/>
  <c r="BK73" i="1"/>
  <c r="BQ53" i="1"/>
  <c r="M60" i="1"/>
  <c r="L65" i="1"/>
  <c r="M65" i="1" s="1"/>
  <c r="L66" i="1"/>
  <c r="M66" i="1"/>
  <c r="D18" i="61"/>
  <c r="AF241" i="1"/>
  <c r="C41" i="20"/>
  <c r="AN244" i="1"/>
  <c r="P26" i="20"/>
  <c r="CW41" i="20"/>
  <c r="L54" i="15"/>
  <c r="V88" i="10"/>
  <c r="P90" i="9"/>
  <c r="AN133" i="9"/>
  <c r="Z241" i="9"/>
  <c r="AG280" i="9"/>
  <c r="AE153" i="9"/>
  <c r="AG330" i="9"/>
  <c r="AG331" i="9"/>
  <c r="AG404" i="9"/>
  <c r="AG446" i="9"/>
  <c r="AG464" i="9"/>
  <c r="AP464" i="9"/>
  <c r="AP468" i="9" s="1"/>
  <c r="R515" i="9"/>
  <c r="R593" i="9"/>
  <c r="R600" i="9"/>
  <c r="R40" i="30"/>
  <c r="AG40" i="30"/>
  <c r="X57" i="9"/>
  <c r="L40" i="30"/>
  <c r="E97" i="30"/>
  <c r="BB104" i="30"/>
  <c r="P137" i="30"/>
  <c r="BX72" i="20"/>
  <c r="AE85" i="9"/>
  <c r="M42" i="5"/>
  <c r="M38" i="5"/>
  <c r="N97" i="10"/>
  <c r="H23" i="11"/>
  <c r="H35" i="11"/>
  <c r="H17" i="11"/>
  <c r="AL36" i="11"/>
  <c r="AM18" i="11"/>
  <c r="AT36" i="11"/>
  <c r="AU18" i="11"/>
  <c r="J32" i="23"/>
  <c r="J44" i="23"/>
  <c r="J50" i="23" s="1"/>
  <c r="T50" i="23"/>
  <c r="T56" i="23"/>
  <c r="CX10" i="20"/>
  <c r="M51" i="1"/>
  <c r="AK72" i="1"/>
  <c r="L63" i="1"/>
  <c r="M63" i="1" s="1"/>
  <c r="BX53" i="1"/>
  <c r="BE53" i="1"/>
  <c r="BT40" i="1"/>
  <c r="AI592" i="9"/>
  <c r="B499" i="9"/>
  <c r="K39" i="5"/>
  <c r="E42" i="5"/>
  <c r="CA35" i="11"/>
  <c r="M59" i="20"/>
  <c r="C26" i="20"/>
  <c r="D7" i="15"/>
  <c r="I67" i="2"/>
  <c r="I73" i="2" s="1"/>
  <c r="AC24" i="1"/>
  <c r="D53" i="1"/>
  <c r="Q16" i="1"/>
  <c r="U36" i="1"/>
  <c r="AD35" i="1"/>
  <c r="AC35" i="1"/>
  <c r="AK36" i="1"/>
  <c r="AP36" i="1"/>
  <c r="CF34" i="1"/>
  <c r="U24" i="15"/>
  <c r="CK34" i="1"/>
  <c r="E51" i="1"/>
  <c r="J51" i="1"/>
  <c r="D71" i="1"/>
  <c r="D55" i="1"/>
  <c r="AL51" i="1"/>
  <c r="AP51" i="1"/>
  <c r="BP50" i="1"/>
  <c r="BO54" i="1"/>
  <c r="BO70" i="1"/>
  <c r="BJ100" i="30"/>
  <c r="BU50" i="1"/>
  <c r="BS72" i="1"/>
  <c r="BT52" i="1"/>
  <c r="BJ110" i="30"/>
  <c r="BY52" i="1"/>
  <c r="BU52" i="1"/>
  <c r="CI73" i="1"/>
  <c r="CJ53" i="1"/>
  <c r="AV64" i="1"/>
  <c r="L36" i="15"/>
  <c r="BD66" i="1"/>
  <c r="CB64" i="1"/>
  <c r="T36" i="15"/>
  <c r="AF242" i="1"/>
  <c r="D26" i="20"/>
  <c r="D41" i="20"/>
  <c r="AJ242" i="1"/>
  <c r="BD269" i="1"/>
  <c r="AG218" i="9"/>
  <c r="AG219" i="9"/>
  <c r="AI226" i="9" s="1"/>
  <c r="AP239" i="9"/>
  <c r="AG240" i="9"/>
  <c r="AR240" i="9" s="1"/>
  <c r="AG308" i="9"/>
  <c r="AE124" i="9"/>
  <c r="AP301" i="9"/>
  <c r="AP305" i="9" s="1"/>
  <c r="D319" i="9"/>
  <c r="AE69" i="9"/>
  <c r="AG606" i="9"/>
  <c r="AE145" i="9"/>
  <c r="BK92" i="20" s="1"/>
  <c r="AG616" i="9"/>
  <c r="P145" i="30"/>
  <c r="R622" i="9"/>
  <c r="AR18" i="30"/>
  <c r="AH18" i="30"/>
  <c r="AG52" i="30"/>
  <c r="R52" i="30"/>
  <c r="X69" i="9"/>
  <c r="AN69" i="9" s="1"/>
  <c r="AA59" i="30"/>
  <c r="AL100" i="30"/>
  <c r="BB93" i="30"/>
  <c r="AL93" i="30"/>
  <c r="T12" i="5"/>
  <c r="BB127" i="30"/>
  <c r="P141" i="30"/>
  <c r="R16" i="15"/>
  <c r="DC26" i="20"/>
  <c r="AG110" i="2"/>
  <c r="AL62" i="3"/>
  <c r="AL61" i="3"/>
  <c r="N25" i="10"/>
  <c r="J81" i="10"/>
  <c r="R81" i="10" s="1"/>
  <c r="P140" i="10"/>
  <c r="N140" i="10"/>
  <c r="J152" i="10"/>
  <c r="AH152" i="10" s="1"/>
  <c r="P152" i="10"/>
  <c r="P151" i="10"/>
  <c r="N151" i="10"/>
  <c r="S18" i="11"/>
  <c r="R36" i="11"/>
  <c r="W18" i="11"/>
  <c r="O29" i="11"/>
  <c r="S29" i="11"/>
  <c r="AM31" i="11"/>
  <c r="AQ31" i="11"/>
  <c r="D32" i="23"/>
  <c r="D44" i="23"/>
  <c r="D50" i="23"/>
  <c r="J45" i="23"/>
  <c r="J51" i="23" s="1"/>
  <c r="J33" i="23"/>
  <c r="AE14" i="20"/>
  <c r="AP322" i="9"/>
  <c r="CF13" i="11"/>
  <c r="BW50" i="1"/>
  <c r="BA10" i="20"/>
  <c r="F130" i="10"/>
  <c r="BW26" i="1"/>
  <c r="BX26" i="1" s="1"/>
  <c r="BW24" i="1"/>
  <c r="AD33" i="1"/>
  <c r="X53" i="1"/>
  <c r="X34" i="1"/>
  <c r="AP52" i="1"/>
  <c r="AL52" i="1"/>
  <c r="AK52" i="1"/>
  <c r="AG254" i="9"/>
  <c r="AG253" i="9"/>
  <c r="AI260" i="9" s="1"/>
  <c r="AE76" i="9"/>
  <c r="AG77" i="9" s="1"/>
  <c r="W140" i="9"/>
  <c r="AB87" i="30"/>
  <c r="R59" i="3"/>
  <c r="R57" i="3"/>
  <c r="P103" i="10"/>
  <c r="J104" i="10"/>
  <c r="R104" i="10" s="1"/>
  <c r="J103" i="10"/>
  <c r="R103" i="10" s="1"/>
  <c r="H15" i="61"/>
  <c r="H54" i="61" s="1"/>
  <c r="F139" i="61"/>
  <c r="F57" i="61"/>
  <c r="DB14" i="20"/>
  <c r="H58" i="23"/>
  <c r="AF115" i="1"/>
  <c r="AO73" i="1"/>
  <c r="AO83" i="1"/>
  <c r="BL42" i="1"/>
  <c r="AN14" i="20"/>
  <c r="BK43" i="1"/>
  <c r="Y33" i="1"/>
  <c r="BD82" i="1"/>
  <c r="BD72" i="1"/>
  <c r="BC92" i="1"/>
  <c r="U10" i="15"/>
  <c r="AI472" i="9"/>
  <c r="N132" i="10"/>
  <c r="P19" i="10"/>
  <c r="O59" i="20"/>
  <c r="AS73" i="20"/>
  <c r="P41" i="20"/>
  <c r="AH94" i="20"/>
  <c r="AF11" i="11"/>
  <c r="D67" i="20"/>
  <c r="BX16" i="1"/>
  <c r="BX66" i="1"/>
  <c r="CF15" i="1"/>
  <c r="CF25" i="1"/>
  <c r="I25" i="1"/>
  <c r="I15" i="1"/>
  <c r="M15" i="1"/>
  <c r="J15" i="1"/>
  <c r="J16" i="1" s="1"/>
  <c r="BX20" i="1"/>
  <c r="CS22" i="1"/>
  <c r="CO22" i="1"/>
  <c r="BP24" i="1"/>
  <c r="BK34" i="1"/>
  <c r="BK50" i="1"/>
  <c r="BK35" i="1"/>
  <c r="AC51" i="1"/>
  <c r="AB71" i="1"/>
  <c r="AH51" i="1"/>
  <c r="AK53" i="1"/>
  <c r="AJ73" i="1"/>
  <c r="AP53" i="1"/>
  <c r="AL53" i="1"/>
  <c r="AZ50" i="1"/>
  <c r="AY70" i="1"/>
  <c r="BE50" i="1"/>
  <c r="AY54" i="1"/>
  <c r="BG70" i="1"/>
  <c r="BO71" i="1"/>
  <c r="BP51" i="1"/>
  <c r="CN51" i="1"/>
  <c r="CM71" i="1"/>
  <c r="CM56" i="1"/>
  <c r="CN56" i="1" s="1"/>
  <c r="CM55" i="1"/>
  <c r="I15" i="61"/>
  <c r="E18" i="61"/>
  <c r="CY21" i="20"/>
  <c r="AN208" i="1"/>
  <c r="AZ269" i="1"/>
  <c r="A76" i="9"/>
  <c r="A59" i="30" s="1"/>
  <c r="A593" i="9"/>
  <c r="A416" i="9"/>
  <c r="A316" i="9"/>
  <c r="A246" i="9"/>
  <c r="A55" i="9"/>
  <c r="A38" i="30" s="1"/>
  <c r="A558" i="9"/>
  <c r="A544" i="9"/>
  <c r="A451" i="9"/>
  <c r="A90" i="9"/>
  <c r="A73" i="30" s="1"/>
  <c r="A20" i="9"/>
  <c r="A69" i="9"/>
  <c r="A52" i="30" s="1"/>
  <c r="A586" i="9"/>
  <c r="A239" i="9"/>
  <c r="A83" i="9"/>
  <c r="A66" i="30" s="1"/>
  <c r="A801" i="9"/>
  <c r="A572" i="9"/>
  <c r="A225" i="9"/>
  <c r="A628" i="9"/>
  <c r="A551" i="9"/>
  <c r="A437" i="9"/>
  <c r="A118" i="9"/>
  <c r="BD92" i="20"/>
  <c r="AE120" i="9"/>
  <c r="AE126" i="9"/>
  <c r="AP303" i="9"/>
  <c r="AN312" i="9"/>
  <c r="AP467" i="9"/>
  <c r="AG467" i="9"/>
  <c r="P488" i="9"/>
  <c r="Z488" i="9" s="1"/>
  <c r="R493" i="9"/>
  <c r="AE147" i="9"/>
  <c r="AG501" i="9"/>
  <c r="AG502" i="9"/>
  <c r="W147" i="9"/>
  <c r="D154" i="9" s="1"/>
  <c r="AL20" i="30"/>
  <c r="F80" i="30"/>
  <c r="AA80" i="30"/>
  <c r="X127" i="30"/>
  <c r="T11" i="5"/>
  <c r="X134" i="30"/>
  <c r="AO5" i="5"/>
  <c r="D5" i="5"/>
  <c r="J57" i="3"/>
  <c r="J59" i="3"/>
  <c r="B139" i="10"/>
  <c r="B83" i="10"/>
  <c r="B27" i="10"/>
  <c r="B125" i="10"/>
  <c r="B69" i="10"/>
  <c r="B167" i="10"/>
  <c r="B111" i="10"/>
  <c r="B55" i="10"/>
  <c r="B146" i="10"/>
  <c r="B97" i="10"/>
  <c r="B41" i="10"/>
  <c r="B132" i="10"/>
  <c r="B20" i="10"/>
  <c r="B118" i="10"/>
  <c r="B104" i="10"/>
  <c r="B153" i="10"/>
  <c r="B48" i="10"/>
  <c r="J76" i="10"/>
  <c r="R76" i="10" s="1"/>
  <c r="P76" i="10"/>
  <c r="N82" i="10"/>
  <c r="P75" i="10"/>
  <c r="L83" i="10"/>
  <c r="N104" i="10"/>
  <c r="N117" i="10"/>
  <c r="P117" i="10"/>
  <c r="J118" i="10"/>
  <c r="P118" i="10"/>
  <c r="J131" i="10"/>
  <c r="AH131" i="10" s="1"/>
  <c r="N130" i="10"/>
  <c r="N137" i="10"/>
  <c r="P131" i="10"/>
  <c r="BP23" i="11"/>
  <c r="Z35" i="11"/>
  <c r="AA17" i="11"/>
  <c r="AU34" i="11"/>
  <c r="AZ55" i="1"/>
  <c r="AB51" i="23"/>
  <c r="AB57" i="23"/>
  <c r="BV67" i="20"/>
  <c r="AR37" i="11"/>
  <c r="AH13" i="20"/>
  <c r="BI31" i="1"/>
  <c r="BH31" i="1"/>
  <c r="BG36" i="1"/>
  <c r="BG51" i="1"/>
  <c r="BG55" i="1" s="1"/>
  <c r="BG34" i="1"/>
  <c r="BG35" i="1"/>
  <c r="AC36" i="1"/>
  <c r="AD36" i="1"/>
  <c r="BU36" i="1"/>
  <c r="BT36" i="1"/>
  <c r="CG35" i="1"/>
  <c r="CF35" i="1"/>
  <c r="CK35" i="1"/>
  <c r="AD14" i="20"/>
  <c r="BC46" i="1"/>
  <c r="BS42" i="1"/>
  <c r="BS46" i="1" s="1"/>
  <c r="CC53" i="1"/>
  <c r="CM64" i="1"/>
  <c r="BX18" i="20"/>
  <c r="K42" i="15"/>
  <c r="CV21" i="20" s="1"/>
  <c r="AJ176" i="1"/>
  <c r="AJ208" i="1"/>
  <c r="AG12" i="9"/>
  <c r="AP273" i="9"/>
  <c r="AP277" i="9" s="1"/>
  <c r="AE96" i="9"/>
  <c r="AP96" i="9" s="1"/>
  <c r="AP100" i="9" s="1"/>
  <c r="AG323" i="9"/>
  <c r="AG324" i="9"/>
  <c r="AR488" i="9"/>
  <c r="D613" i="9"/>
  <c r="BB120" i="30"/>
  <c r="BH120" i="30"/>
  <c r="BA119" i="30"/>
  <c r="D99" i="10"/>
  <c r="L105" i="10"/>
  <c r="J116" i="10"/>
  <c r="AH116" i="10" s="1"/>
  <c r="N123" i="10"/>
  <c r="T153" i="10"/>
  <c r="AN36" i="11"/>
  <c r="AN24" i="11"/>
  <c r="AN30" i="11"/>
  <c r="K17" i="11"/>
  <c r="G17" i="11"/>
  <c r="F35" i="11"/>
  <c r="CA19" i="11"/>
  <c r="BZ37" i="11"/>
  <c r="CE19" i="11"/>
  <c r="J54" i="61"/>
  <c r="C47" i="61"/>
  <c r="C129" i="61"/>
  <c r="C131" i="61" s="1"/>
  <c r="BC44" i="1"/>
  <c r="BD44" i="1" s="1"/>
  <c r="AP310" i="9"/>
  <c r="BK79" i="20"/>
  <c r="AW51" i="1"/>
  <c r="AF91" i="1"/>
  <c r="AG81" i="1"/>
  <c r="BE42" i="1"/>
  <c r="AV139" i="9"/>
  <c r="L147" i="10"/>
  <c r="P77" i="10"/>
  <c r="P104" i="10"/>
  <c r="AH34" i="11"/>
  <c r="W93" i="20"/>
  <c r="BP18" i="11"/>
  <c r="BP30" i="11"/>
  <c r="BD35" i="11"/>
  <c r="BD17" i="11"/>
  <c r="BD29" i="11"/>
  <c r="CG21" i="1"/>
  <c r="BQ30" i="1"/>
  <c r="BL31" i="1"/>
  <c r="BK51" i="1"/>
  <c r="AM13" i="20"/>
  <c r="BQ31" i="1"/>
  <c r="BM31" i="1"/>
  <c r="I35" i="1"/>
  <c r="AS69" i="2"/>
  <c r="AS75" i="2" s="1"/>
  <c r="M11" i="61"/>
  <c r="M50" i="61" s="1"/>
  <c r="V25" i="15"/>
  <c r="AC82" i="1"/>
  <c r="BG72" i="1"/>
  <c r="BI72" i="1"/>
  <c r="BH52" i="1"/>
  <c r="BM52" i="1"/>
  <c r="BI52" i="1"/>
  <c r="BX52" i="1"/>
  <c r="BJ118" i="30"/>
  <c r="BW72" i="1"/>
  <c r="CC52" i="1"/>
  <c r="CG50" i="1"/>
  <c r="CO51" i="1"/>
  <c r="T64" i="1"/>
  <c r="AF125" i="1"/>
  <c r="D28" i="20"/>
  <c r="AF124" i="1"/>
  <c r="I56" i="15" s="1"/>
  <c r="CT27" i="20" s="1"/>
  <c r="AK269" i="1"/>
  <c r="AV269" i="1"/>
  <c r="AP15" i="9"/>
  <c r="AE19" i="9"/>
  <c r="AB76" i="10"/>
  <c r="AD76" i="10" s="1"/>
  <c r="AP77" i="9"/>
  <c r="W152" i="9"/>
  <c r="AP290" i="9"/>
  <c r="AP304" i="9"/>
  <c r="AE127" i="9"/>
  <c r="AY92" i="20" s="1"/>
  <c r="AG304" i="9"/>
  <c r="G305" i="9"/>
  <c r="G112" i="30" s="1"/>
  <c r="AG316" i="9"/>
  <c r="AR316" i="9" s="1"/>
  <c r="AG315" i="9"/>
  <c r="AG471" i="9"/>
  <c r="AP564" i="9"/>
  <c r="AP568" i="9" s="1"/>
  <c r="AG564" i="9"/>
  <c r="AG571" i="9"/>
  <c r="AG580" i="9"/>
  <c r="AG579" i="9"/>
  <c r="P116" i="30"/>
  <c r="R116" i="30" s="1"/>
  <c r="W131" i="9"/>
  <c r="AV592" i="9"/>
  <c r="D599" i="9"/>
  <c r="AP592" i="9"/>
  <c r="AG594" i="9"/>
  <c r="AI594" i="9" s="1"/>
  <c r="F73" i="30"/>
  <c r="AE57" i="9"/>
  <c r="I38" i="5"/>
  <c r="I39" i="5" s="1"/>
  <c r="H42" i="5"/>
  <c r="CV26" i="20"/>
  <c r="O88" i="2"/>
  <c r="AM110" i="2"/>
  <c r="AF61" i="3"/>
  <c r="AF62" i="3"/>
  <c r="F64" i="10"/>
  <c r="P112" i="10"/>
  <c r="J112" i="10"/>
  <c r="AH112" i="10" s="1"/>
  <c r="N124" i="10"/>
  <c r="J125" i="10"/>
  <c r="R125" i="10" s="1"/>
  <c r="N131" i="10"/>
  <c r="N146" i="10"/>
  <c r="P146" i="10"/>
  <c r="J147" i="10"/>
  <c r="T146" i="10"/>
  <c r="N153" i="10"/>
  <c r="BH19" i="11"/>
  <c r="BK19" i="11"/>
  <c r="BJ37" i="11"/>
  <c r="BN43" i="11" s="1"/>
  <c r="BW16" i="11"/>
  <c r="BV34" i="11"/>
  <c r="CA16" i="11"/>
  <c r="T35" i="23"/>
  <c r="T59" i="23"/>
  <c r="T47" i="23"/>
  <c r="T53" i="23" s="1"/>
  <c r="X46" i="23"/>
  <c r="X52" i="23"/>
  <c r="X34" i="23"/>
  <c r="X58" i="23" s="1"/>
  <c r="AH45" i="23"/>
  <c r="AH57" i="23"/>
  <c r="AL44" i="23"/>
  <c r="AL50" i="23" s="1"/>
  <c r="AL32" i="23"/>
  <c r="BU82" i="20"/>
  <c r="AN35" i="23"/>
  <c r="AN59" i="23" s="1"/>
  <c r="I80" i="1"/>
  <c r="H63" i="61"/>
  <c r="H104" i="61" s="1"/>
  <c r="L22" i="11"/>
  <c r="X34" i="11"/>
  <c r="X16" i="11"/>
  <c r="Y14" i="1"/>
  <c r="Y64" i="1"/>
  <c r="AO14" i="1"/>
  <c r="AO64" i="1"/>
  <c r="AO34" i="1"/>
  <c r="AO24" i="1"/>
  <c r="AO25" i="1"/>
  <c r="AO15" i="1"/>
  <c r="BH15" i="1"/>
  <c r="BH25" i="1"/>
  <c r="F26" i="10"/>
  <c r="M21" i="1"/>
  <c r="CC22" i="1"/>
  <c r="U35" i="1"/>
  <c r="BG42" i="1"/>
  <c r="BH40" i="1"/>
  <c r="CA42" i="1"/>
  <c r="CB40" i="1"/>
  <c r="AB54" i="1"/>
  <c r="AL50" i="1"/>
  <c r="CF50" i="1"/>
  <c r="CE70" i="1"/>
  <c r="CN50" i="1"/>
  <c r="CM70" i="1"/>
  <c r="H116" i="1"/>
  <c r="T28" i="20"/>
  <c r="AY257" i="1"/>
  <c r="AY243" i="1" s="1"/>
  <c r="AJ261" i="1"/>
  <c r="P37" i="20"/>
  <c r="P27" i="20"/>
  <c r="AE111" i="9"/>
  <c r="AB110" i="10" s="1"/>
  <c r="AD110" i="10" s="1"/>
  <c r="BL93" i="20"/>
  <c r="G312" i="9"/>
  <c r="G120" i="30" s="1"/>
  <c r="P395" i="9"/>
  <c r="R395" i="9" s="1"/>
  <c r="P394" i="9"/>
  <c r="AW492" i="9"/>
  <c r="W138" i="9"/>
  <c r="AG53" i="30"/>
  <c r="L53" i="30"/>
  <c r="AE90" i="30"/>
  <c r="R94" i="30"/>
  <c r="L24" i="15"/>
  <c r="U41" i="2"/>
  <c r="AR42" i="3"/>
  <c r="AN42" i="3"/>
  <c r="T18" i="10"/>
  <c r="N76" i="10"/>
  <c r="J77" i="10"/>
  <c r="R77" i="10" s="1"/>
  <c r="L75" i="10"/>
  <c r="L84" i="10"/>
  <c r="L89" i="10"/>
  <c r="J102" i="10"/>
  <c r="AH102" i="10" s="1"/>
  <c r="D113" i="10"/>
  <c r="L113" i="10" s="1"/>
  <c r="J124" i="10"/>
  <c r="R124" i="10" s="1"/>
  <c r="P147" i="10"/>
  <c r="N147" i="10"/>
  <c r="L146" i="10"/>
  <c r="A17" i="11"/>
  <c r="A9" i="23"/>
  <c r="A15" i="23" s="1"/>
  <c r="A21" i="23" s="1"/>
  <c r="A27" i="23" s="1"/>
  <c r="A33" i="23" s="1"/>
  <c r="A39" i="23" s="1"/>
  <c r="A45" i="23" s="1"/>
  <c r="A51" i="23" s="1"/>
  <c r="A57" i="23" s="1"/>
  <c r="A35" i="11"/>
  <c r="A29" i="11"/>
  <c r="BJ36" i="11"/>
  <c r="BK18" i="11"/>
  <c r="BV37" i="11"/>
  <c r="BW19" i="11"/>
  <c r="BZ36" i="11"/>
  <c r="BZ42" i="11"/>
  <c r="CA18" i="11"/>
  <c r="AP36" i="11"/>
  <c r="AQ18" i="11"/>
  <c r="O30" i="11"/>
  <c r="S30" i="11"/>
  <c r="R51" i="23"/>
  <c r="R33" i="23"/>
  <c r="R57" i="23"/>
  <c r="V32" i="23"/>
  <c r="V44" i="23"/>
  <c r="V50" i="23" s="1"/>
  <c r="AH46" i="23"/>
  <c r="AH58" i="23" s="1"/>
  <c r="AP32" i="23"/>
  <c r="AP56" i="23" s="1"/>
  <c r="AP44" i="23"/>
  <c r="AP50" i="23"/>
  <c r="J15" i="20"/>
  <c r="AV36" i="11"/>
  <c r="AV24" i="11"/>
  <c r="BD36" i="11"/>
  <c r="BD24" i="11"/>
  <c r="P24" i="11"/>
  <c r="P30" i="11"/>
  <c r="S67" i="2"/>
  <c r="S72" i="2" s="1"/>
  <c r="AG24" i="1"/>
  <c r="AG14" i="1"/>
  <c r="AZ14" i="1"/>
  <c r="M7" i="15"/>
  <c r="AZ24" i="1"/>
  <c r="AZ64" i="1"/>
  <c r="AG66" i="1"/>
  <c r="AG16" i="1"/>
  <c r="BL15" i="1"/>
  <c r="BL25" i="1"/>
  <c r="BM25" i="1" s="1"/>
  <c r="M23" i="1"/>
  <c r="L53" i="1"/>
  <c r="M53" i="1" s="1"/>
  <c r="F28" i="10"/>
  <c r="Q23" i="1"/>
  <c r="P33" i="1"/>
  <c r="F35" i="10"/>
  <c r="T34" i="10" s="1"/>
  <c r="AG34" i="1"/>
  <c r="AH34" i="1"/>
  <c r="S69" i="2"/>
  <c r="S75" i="2" s="1"/>
  <c r="BI50" i="1"/>
  <c r="BC54" i="1"/>
  <c r="BD50" i="1"/>
  <c r="BC70" i="1"/>
  <c r="BJ89" i="30"/>
  <c r="BG73" i="1"/>
  <c r="BJ102" i="30"/>
  <c r="BO72" i="1"/>
  <c r="BJ111" i="30"/>
  <c r="BY53" i="1"/>
  <c r="BS73" i="1"/>
  <c r="CB52" i="1"/>
  <c r="CA72" i="1"/>
  <c r="CJ51" i="1"/>
  <c r="CI71" i="1"/>
  <c r="CO52" i="1"/>
  <c r="P66" i="1"/>
  <c r="Q66" i="1"/>
  <c r="P115" i="1"/>
  <c r="P116" i="1"/>
  <c r="AF243" i="1"/>
  <c r="E41" i="20"/>
  <c r="AY255" i="1"/>
  <c r="W27" i="20"/>
  <c r="AY125" i="1"/>
  <c r="CU39" i="20"/>
  <c r="CU40" i="20" s="1"/>
  <c r="J57" i="15"/>
  <c r="CU28" i="20" s="1"/>
  <c r="S37" i="20"/>
  <c r="S39" i="20" s="1"/>
  <c r="S40" i="20" s="1"/>
  <c r="S27" i="20"/>
  <c r="B27" i="9"/>
  <c r="B10" i="30" s="1"/>
  <c r="B815" i="9"/>
  <c r="B586" i="9"/>
  <c r="B551" i="9"/>
  <c r="B451" i="9"/>
  <c r="B388" i="9"/>
  <c r="B337" i="9"/>
  <c r="B295" i="9"/>
  <c r="B167" i="9"/>
  <c r="B197" i="9"/>
  <c r="B97" i="9"/>
  <c r="B80" i="30" s="1"/>
  <c r="B90" i="9"/>
  <c r="B73" i="30" s="1"/>
  <c r="AG139" i="9"/>
  <c r="AP139" i="9" s="1"/>
  <c r="P212" i="9"/>
  <c r="R212" i="9" s="1"/>
  <c r="AG275" i="9"/>
  <c r="AE97" i="9"/>
  <c r="AC92" i="20" s="1"/>
  <c r="AP274" i="9"/>
  <c r="AW315" i="9"/>
  <c r="AG457" i="9"/>
  <c r="W132" i="9"/>
  <c r="AV132" i="9" s="1"/>
  <c r="AV593" i="9"/>
  <c r="P117" i="30"/>
  <c r="R117" i="30" s="1"/>
  <c r="AG595" i="9"/>
  <c r="P133" i="30"/>
  <c r="AH26" i="30"/>
  <c r="W152" i="30"/>
  <c r="CX68" i="20"/>
  <c r="D36" i="61"/>
  <c r="I7" i="15"/>
  <c r="T16" i="15"/>
  <c r="T66" i="15"/>
  <c r="O67" i="2"/>
  <c r="O73" i="2" s="1"/>
  <c r="R42" i="3"/>
  <c r="U60" i="2"/>
  <c r="A151" i="10"/>
  <c r="A67" i="10"/>
  <c r="P26" i="10"/>
  <c r="J27" i="10"/>
  <c r="L55" i="10"/>
  <c r="P62" i="10"/>
  <c r="N69" i="10"/>
  <c r="T69" i="10"/>
  <c r="L95" i="10"/>
  <c r="N118" i="10"/>
  <c r="J132" i="10"/>
  <c r="R132" i="10" s="1"/>
  <c r="J137" i="10"/>
  <c r="CF34" i="11"/>
  <c r="CF16" i="11"/>
  <c r="CF22" i="11" s="1"/>
  <c r="CF28" i="11" s="1"/>
  <c r="AF19" i="11"/>
  <c r="AF37" i="11"/>
  <c r="AF25" i="11"/>
  <c r="AA18" i="11"/>
  <c r="AE18" i="11"/>
  <c r="Z36" i="11"/>
  <c r="AD42" i="11" s="1"/>
  <c r="BF34" i="11"/>
  <c r="BG16" i="11"/>
  <c r="CI16" i="11"/>
  <c r="J46" i="23"/>
  <c r="J58" i="23" s="1"/>
  <c r="V35" i="23"/>
  <c r="AJ51" i="23"/>
  <c r="L44" i="23"/>
  <c r="L50" i="23" s="1"/>
  <c r="E145" i="61"/>
  <c r="E63" i="61"/>
  <c r="E104" i="61" s="1"/>
  <c r="AG14" i="20"/>
  <c r="AB17" i="11"/>
  <c r="AB35" i="11"/>
  <c r="BD19" i="11"/>
  <c r="BD25" i="11"/>
  <c r="AK24" i="1"/>
  <c r="AK15" i="1"/>
  <c r="AK65" i="1"/>
  <c r="AV15" i="1"/>
  <c r="BD35" i="1"/>
  <c r="BD15" i="1"/>
  <c r="BM15" i="1"/>
  <c r="BM16" i="1" s="1"/>
  <c r="CI50" i="1"/>
  <c r="BP10" i="20"/>
  <c r="BP12" i="20" s="1"/>
  <c r="BP16" i="20" s="1"/>
  <c r="F151" i="10"/>
  <c r="BD25" i="1"/>
  <c r="Z36" i="1"/>
  <c r="AH35" i="1"/>
  <c r="BE40" i="1"/>
  <c r="BY40" i="1"/>
  <c r="BW45" i="1"/>
  <c r="BW42" i="1"/>
  <c r="BG45" i="1"/>
  <c r="AH53" i="1"/>
  <c r="AB73" i="1"/>
  <c r="AO50" i="1"/>
  <c r="AN54" i="1"/>
  <c r="AN70" i="1"/>
  <c r="AV53" i="1"/>
  <c r="AU73" i="1"/>
  <c r="BL52" i="1"/>
  <c r="BK72" i="1"/>
  <c r="BM72" i="1" s="1"/>
  <c r="BP53" i="1"/>
  <c r="BO73" i="1"/>
  <c r="BX51" i="1"/>
  <c r="BW71" i="1"/>
  <c r="AO52" i="1"/>
  <c r="AN72" i="1"/>
  <c r="AC64" i="1"/>
  <c r="H36" i="15"/>
  <c r="CS18" i="20" s="1"/>
  <c r="AF244" i="1"/>
  <c r="F26" i="20"/>
  <c r="U54" i="15"/>
  <c r="X28" i="20"/>
  <c r="AY256" i="1"/>
  <c r="X27" i="20" s="1"/>
  <c r="AF131" i="1"/>
  <c r="CT32" i="20"/>
  <c r="AU124" i="1"/>
  <c r="L56" i="15" s="1"/>
  <c r="CW27" i="20" s="1"/>
  <c r="R28" i="20"/>
  <c r="AB261" i="1"/>
  <c r="AB259" i="1"/>
  <c r="H57" i="15"/>
  <c r="CS28" i="20" s="1"/>
  <c r="AN260" i="1"/>
  <c r="AN261" i="1"/>
  <c r="B84" i="9"/>
  <c r="B67" i="30" s="1"/>
  <c r="B809" i="9"/>
  <c r="B587" i="9"/>
  <c r="B580" i="9"/>
  <c r="B459" i="9"/>
  <c r="B403" i="9"/>
  <c r="B382" i="9"/>
  <c r="B268" i="9"/>
  <c r="B119" i="9"/>
  <c r="B161" i="9"/>
  <c r="B154" i="9"/>
  <c r="B91" i="9"/>
  <c r="B74" i="30" s="1"/>
  <c r="P147" i="9"/>
  <c r="Z147" i="9" s="1"/>
  <c r="K219" i="9"/>
  <c r="P220" i="9" s="1"/>
  <c r="AG231" i="9"/>
  <c r="AP261" i="9"/>
  <c r="AE84" i="9"/>
  <c r="AG85" i="9" s="1"/>
  <c r="AE104" i="9"/>
  <c r="AB103" i="10" s="1"/>
  <c r="AD103" i="10" s="1"/>
  <c r="AP281" i="9"/>
  <c r="AG459" i="9"/>
  <c r="AI459" i="9" s="1"/>
  <c r="AP458" i="9"/>
  <c r="AG479" i="9"/>
  <c r="P496" i="9"/>
  <c r="Z496" i="9" s="1"/>
  <c r="P118" i="30"/>
  <c r="R118" i="30" s="1"/>
  <c r="AV594" i="9"/>
  <c r="AH19" i="30"/>
  <c r="F46" i="30"/>
  <c r="Z55" i="30"/>
  <c r="F100" i="30"/>
  <c r="P123" i="30"/>
  <c r="V139" i="30"/>
  <c r="AV146" i="30" s="1"/>
  <c r="H48" i="5"/>
  <c r="U14" i="15"/>
  <c r="V14" i="15"/>
  <c r="U66" i="15"/>
  <c r="Z42" i="3"/>
  <c r="AC60" i="2"/>
  <c r="B134" i="10"/>
  <c r="B78" i="10"/>
  <c r="B50" i="10"/>
  <c r="N27" i="10"/>
  <c r="J40" i="10"/>
  <c r="J39" i="10"/>
  <c r="AH39" i="10"/>
  <c r="B43" i="10"/>
  <c r="J54" i="10"/>
  <c r="AH54" i="10" s="1"/>
  <c r="N90" i="10"/>
  <c r="N138" i="10"/>
  <c r="J139" i="10"/>
  <c r="R139" i="10" s="1"/>
  <c r="P144" i="10"/>
  <c r="J145" i="10"/>
  <c r="J159" i="10"/>
  <c r="R159" i="10" s="1"/>
  <c r="L160" i="10"/>
  <c r="X22" i="11"/>
  <c r="H21" i="10"/>
  <c r="P25" i="10" s="1"/>
  <c r="G13" i="11"/>
  <c r="K16" i="11"/>
  <c r="N34" i="11"/>
  <c r="S16" i="11"/>
  <c r="W17" i="11"/>
  <c r="AT40" i="11"/>
  <c r="BC16" i="11"/>
  <c r="BB34" i="11"/>
  <c r="BK16" i="11"/>
  <c r="CI17" i="11"/>
  <c r="CM17" i="11"/>
  <c r="AB23" i="11"/>
  <c r="AU29" i="11"/>
  <c r="AY29" i="11"/>
  <c r="AT35" i="11"/>
  <c r="D46" i="23"/>
  <c r="D58" i="23" s="1"/>
  <c r="D34" i="23"/>
  <c r="T45" i="23"/>
  <c r="T57" i="23" s="1"/>
  <c r="T33" i="23"/>
  <c r="X50" i="23"/>
  <c r="X44" i="23"/>
  <c r="Z35" i="23"/>
  <c r="Z47" i="23"/>
  <c r="Z53" i="23" s="1"/>
  <c r="AD34" i="23"/>
  <c r="AD46" i="23"/>
  <c r="AD52" i="23"/>
  <c r="AJ34" i="23"/>
  <c r="AJ58" i="23" s="1"/>
  <c r="AN33" i="23"/>
  <c r="AN57" i="23"/>
  <c r="AN51" i="23"/>
  <c r="N73" i="20"/>
  <c r="BT17" i="11"/>
  <c r="BH34" i="11"/>
  <c r="BH22" i="11"/>
  <c r="BD24" i="1"/>
  <c r="BD14" i="1"/>
  <c r="CF64" i="1"/>
  <c r="D148" i="10"/>
  <c r="BL26" i="1"/>
  <c r="T24" i="1"/>
  <c r="U20" i="1"/>
  <c r="T50" i="1"/>
  <c r="CC20" i="1"/>
  <c r="CK21" i="1"/>
  <c r="AF55" i="1"/>
  <c r="BC71" i="1"/>
  <c r="BD51" i="1"/>
  <c r="CA73" i="1"/>
  <c r="CB53" i="1"/>
  <c r="I54" i="15"/>
  <c r="S88" i="2" s="1"/>
  <c r="CT41" i="20"/>
  <c r="CT39" i="20" s="1"/>
  <c r="CT40" i="20" s="1"/>
  <c r="O54" i="15"/>
  <c r="BE79" i="9"/>
  <c r="BE93" i="9"/>
  <c r="AG283" i="9"/>
  <c r="P310" i="9"/>
  <c r="P510" i="9"/>
  <c r="BJ95" i="30"/>
  <c r="BH126" i="30"/>
  <c r="I24" i="15"/>
  <c r="I26" i="15" s="1"/>
  <c r="Q55" i="15"/>
  <c r="X62" i="3"/>
  <c r="AK60" i="2"/>
  <c r="AH42" i="3"/>
  <c r="T61" i="3"/>
  <c r="T62" i="3"/>
  <c r="A18" i="10"/>
  <c r="J41" i="10"/>
  <c r="AH41" i="10" s="1"/>
  <c r="N47" i="10"/>
  <c r="L39" i="10"/>
  <c r="L62" i="10"/>
  <c r="J111" i="10"/>
  <c r="R111" i="10" s="1"/>
  <c r="A28" i="11"/>
  <c r="A16" i="11"/>
  <c r="A8" i="23"/>
  <c r="A14" i="23"/>
  <c r="A20" i="23" s="1"/>
  <c r="A26" i="23" s="1"/>
  <c r="A32" i="23" s="1"/>
  <c r="A38" i="23" s="1"/>
  <c r="A44" i="23" s="1"/>
  <c r="A50" i="23" s="1"/>
  <c r="A56" i="23" s="1"/>
  <c r="A11" i="23"/>
  <c r="A17" i="23" s="1"/>
  <c r="A23" i="23" s="1"/>
  <c r="A29" i="23" s="1"/>
  <c r="A35" i="23" s="1"/>
  <c r="A41" i="23" s="1"/>
  <c r="A47" i="23" s="1"/>
  <c r="A53" i="23" s="1"/>
  <c r="A59" i="23" s="1"/>
  <c r="A37" i="11"/>
  <c r="A31" i="11"/>
  <c r="AJ25" i="11"/>
  <c r="AJ31" i="11"/>
  <c r="J41" i="11"/>
  <c r="O17" i="11"/>
  <c r="N35" i="11"/>
  <c r="S35" i="11"/>
  <c r="AD34" i="11"/>
  <c r="AI16" i="11"/>
  <c r="BB35" i="11"/>
  <c r="BG17" i="11"/>
  <c r="BS18" i="11"/>
  <c r="BO18" i="11"/>
  <c r="BN36" i="11"/>
  <c r="BR42" i="11"/>
  <c r="AB59" i="23"/>
  <c r="H44" i="23"/>
  <c r="H50" i="23"/>
  <c r="H32" i="23"/>
  <c r="N46" i="23"/>
  <c r="N52" i="23" s="1"/>
  <c r="N34" i="23"/>
  <c r="T34" i="23"/>
  <c r="T58" i="23" s="1"/>
  <c r="AB32" i="23"/>
  <c r="AB44" i="23"/>
  <c r="AB50" i="23"/>
  <c r="AJ35" i="23"/>
  <c r="AJ59" i="23"/>
  <c r="AJ53" i="23"/>
  <c r="AL46" i="23"/>
  <c r="AL52" i="23" s="1"/>
  <c r="AL34" i="23"/>
  <c r="D14" i="1"/>
  <c r="E67" i="2" s="1"/>
  <c r="E72" i="2" s="1"/>
  <c r="BY30" i="1"/>
  <c r="AG474" i="9"/>
  <c r="AI474" i="9" s="1"/>
  <c r="AB14" i="10"/>
  <c r="AD14" i="10" s="1"/>
  <c r="B39" i="10"/>
  <c r="B53" i="10"/>
  <c r="CI197" i="1"/>
  <c r="D112" i="30"/>
  <c r="AJ148" i="30"/>
  <c r="AL148" i="30" s="1"/>
  <c r="R7" i="15"/>
  <c r="U67" i="2"/>
  <c r="U73" i="2" s="1"/>
  <c r="B18" i="10"/>
  <c r="T88" i="10"/>
  <c r="AN32" i="23"/>
  <c r="AN56" i="23"/>
  <c r="H24" i="15"/>
  <c r="B32" i="10"/>
  <c r="D127" i="10"/>
  <c r="BE72" i="9"/>
  <c r="AH151" i="10"/>
  <c r="R151" i="10"/>
  <c r="AW599" i="9"/>
  <c r="AP323" i="9"/>
  <c r="AI323" i="9"/>
  <c r="E11" i="61"/>
  <c r="T40" i="10"/>
  <c r="BR40" i="11"/>
  <c r="T47" i="10"/>
  <c r="N35" i="1"/>
  <c r="B13" i="5"/>
  <c r="B7" i="5" s="1"/>
  <c r="C63" i="5" s="1"/>
  <c r="N41" i="11"/>
  <c r="R41" i="11"/>
  <c r="O35" i="11"/>
  <c r="AT41" i="11"/>
  <c r="AY35" i="11"/>
  <c r="AU35" i="11"/>
  <c r="AW54" i="1"/>
  <c r="AO54" i="1"/>
  <c r="S76" i="2"/>
  <c r="L73" i="1"/>
  <c r="M73" i="1"/>
  <c r="AA67" i="2"/>
  <c r="M15" i="15"/>
  <c r="M59" i="15"/>
  <c r="M8" i="15"/>
  <c r="M67" i="15" s="1"/>
  <c r="M11" i="15"/>
  <c r="M13" i="15"/>
  <c r="CX8" i="20"/>
  <c r="M37" i="15"/>
  <c r="D6" i="61"/>
  <c r="M28" i="15"/>
  <c r="M31" i="15"/>
  <c r="M20" i="15"/>
  <c r="CF70" i="1"/>
  <c r="AF101" i="1"/>
  <c r="CN81" i="1"/>
  <c r="CM91" i="1"/>
  <c r="CN71" i="1"/>
  <c r="H136" i="61"/>
  <c r="H95" i="61"/>
  <c r="AB144" i="10"/>
  <c r="AD144" i="10" s="1"/>
  <c r="AQ69" i="2"/>
  <c r="AQ76" i="2" s="1"/>
  <c r="DF13" i="20"/>
  <c r="L11" i="61"/>
  <c r="U92" i="20"/>
  <c r="AP85" i="9"/>
  <c r="AJ90" i="1"/>
  <c r="AK80" i="1"/>
  <c r="AK70" i="1"/>
  <c r="BT45" i="1"/>
  <c r="AJ102" i="1"/>
  <c r="F54" i="61"/>
  <c r="AD41" i="11"/>
  <c r="AI35" i="11"/>
  <c r="AE35" i="11"/>
  <c r="AH41" i="11"/>
  <c r="BE54" i="1"/>
  <c r="AZ54" i="1"/>
  <c r="BC102" i="1"/>
  <c r="AP616" i="9"/>
  <c r="AT42" i="11"/>
  <c r="AU36" i="11"/>
  <c r="CB83" i="1"/>
  <c r="CA93" i="1"/>
  <c r="CG73" i="1"/>
  <c r="CB73" i="1"/>
  <c r="BB40" i="11"/>
  <c r="N40" i="11"/>
  <c r="O34" i="11"/>
  <c r="BU73" i="1"/>
  <c r="BO93" i="1"/>
  <c r="BP73" i="1"/>
  <c r="BP83" i="1"/>
  <c r="CO50" i="1"/>
  <c r="CI91" i="1"/>
  <c r="CJ81" i="1"/>
  <c r="CO71" i="1"/>
  <c r="CJ71" i="1"/>
  <c r="BH42" i="1"/>
  <c r="AI14" i="20"/>
  <c r="BM42" i="1"/>
  <c r="AH51" i="23"/>
  <c r="BW34" i="11"/>
  <c r="BV40" i="11"/>
  <c r="CA34" i="11"/>
  <c r="AR315" i="9"/>
  <c r="BZ43" i="11"/>
  <c r="CA37" i="11"/>
  <c r="E57" i="61"/>
  <c r="AB91" i="1"/>
  <c r="AB76" i="1"/>
  <c r="AC76" i="1" s="1"/>
  <c r="AC71" i="1"/>
  <c r="AB75" i="1"/>
  <c r="AH71" i="1"/>
  <c r="AB74" i="1"/>
  <c r="AC81" i="1"/>
  <c r="O69" i="2"/>
  <c r="G24" i="15"/>
  <c r="CR13" i="20" s="1"/>
  <c r="Y34" i="1"/>
  <c r="BJ116" i="30"/>
  <c r="CC50" i="1"/>
  <c r="BW55" i="1"/>
  <c r="BW56" i="1"/>
  <c r="BW70" i="1"/>
  <c r="BY50" i="1"/>
  <c r="BX50" i="1"/>
  <c r="BW54" i="1"/>
  <c r="D56" i="23"/>
  <c r="AR52" i="30"/>
  <c r="AI613" i="9"/>
  <c r="C15" i="61"/>
  <c r="C95" i="61" s="1"/>
  <c r="CW18" i="20"/>
  <c r="L37" i="15"/>
  <c r="L64" i="1"/>
  <c r="AP331" i="9"/>
  <c r="BQ73" i="1"/>
  <c r="BL83" i="1"/>
  <c r="BL73" i="1"/>
  <c r="BK93" i="1"/>
  <c r="BK103" i="1"/>
  <c r="P55" i="15"/>
  <c r="G24" i="61"/>
  <c r="DA26" i="20"/>
  <c r="CK72" i="1"/>
  <c r="AP614" i="9"/>
  <c r="AV56" i="1"/>
  <c r="CS13" i="20"/>
  <c r="H56" i="23"/>
  <c r="BF41" i="11"/>
  <c r="BC35" i="11"/>
  <c r="BB41" i="11"/>
  <c r="BG35" i="11"/>
  <c r="F24" i="61"/>
  <c r="F145" i="61" s="1"/>
  <c r="O55" i="15"/>
  <c r="CZ26" i="20"/>
  <c r="AD58" i="23"/>
  <c r="AC73" i="1"/>
  <c r="AB93" i="1"/>
  <c r="AB103" i="1"/>
  <c r="AC83" i="1"/>
  <c r="BF40" i="11"/>
  <c r="BG34" i="11"/>
  <c r="R137" i="10"/>
  <c r="BG93" i="1"/>
  <c r="BH83" i="1"/>
  <c r="BM73" i="1"/>
  <c r="BH73" i="1"/>
  <c r="BI73" i="1"/>
  <c r="BK36" i="11"/>
  <c r="BJ42" i="11"/>
  <c r="AN138" i="9"/>
  <c r="AV138" i="9"/>
  <c r="D138" i="9"/>
  <c r="I138" i="9" s="1"/>
  <c r="D145" i="9"/>
  <c r="AH147" i="10"/>
  <c r="R147" i="10"/>
  <c r="BK71" i="1"/>
  <c r="Z41" i="11"/>
  <c r="AA35" i="11"/>
  <c r="AP502" i="9"/>
  <c r="I95" i="61"/>
  <c r="I54" i="61"/>
  <c r="I136" i="61"/>
  <c r="BE70" i="1"/>
  <c r="AG617" i="9"/>
  <c r="N92" i="20"/>
  <c r="X73" i="1"/>
  <c r="Y83" i="1"/>
  <c r="BT82" i="1"/>
  <c r="BY72" i="1"/>
  <c r="BS92" i="1"/>
  <c r="BT72" i="1"/>
  <c r="J55" i="1"/>
  <c r="E55" i="1"/>
  <c r="R152" i="10"/>
  <c r="J56" i="23"/>
  <c r="AP330" i="9"/>
  <c r="AI330" i="9"/>
  <c r="AL40" i="11"/>
  <c r="AQ34" i="11"/>
  <c r="AM34" i="11"/>
  <c r="AH96" i="10"/>
  <c r="CB55" i="1"/>
  <c r="CG55" i="1"/>
  <c r="BK34" i="11"/>
  <c r="BX72" i="1"/>
  <c r="BW92" i="1"/>
  <c r="BW102" i="1"/>
  <c r="BX82" i="1"/>
  <c r="AO14" i="20"/>
  <c r="BL43" i="1"/>
  <c r="CB54" i="1"/>
  <c r="T41" i="10"/>
  <c r="CY18" i="20"/>
  <c r="E15" i="61"/>
  <c r="BD81" i="1"/>
  <c r="M17" i="15"/>
  <c r="F36" i="15"/>
  <c r="U64" i="1"/>
  <c r="BH35" i="1"/>
  <c r="BI35" i="1"/>
  <c r="S36" i="11"/>
  <c r="V42" i="11"/>
  <c r="R42" i="11"/>
  <c r="AB152" i="10"/>
  <c r="AD152" i="10" s="1"/>
  <c r="BQ92" i="20"/>
  <c r="AZ83" i="1"/>
  <c r="AY93" i="1"/>
  <c r="BE73" i="1"/>
  <c r="AZ73" i="1"/>
  <c r="T21" i="10"/>
  <c r="CB71" i="1"/>
  <c r="AV71" i="1"/>
  <c r="AU91" i="1"/>
  <c r="AU101" i="1" s="1"/>
  <c r="AV81" i="1"/>
  <c r="AG333" i="9"/>
  <c r="AP329" i="9"/>
  <c r="AI329" i="9"/>
  <c r="W12" i="5"/>
  <c r="W56" i="5" s="1"/>
  <c r="Z59" i="23"/>
  <c r="N21" i="10"/>
  <c r="BH45" i="1"/>
  <c r="BI45" i="1"/>
  <c r="BM45" i="1"/>
  <c r="J52" i="23"/>
  <c r="AA36" i="11"/>
  <c r="Z42" i="11"/>
  <c r="AE36" i="11"/>
  <c r="AH138" i="10"/>
  <c r="AH139" i="10"/>
  <c r="AH137" i="10"/>
  <c r="BD80" i="1"/>
  <c r="BD70" i="1"/>
  <c r="BI70" i="1"/>
  <c r="BC90" i="1"/>
  <c r="Q33" i="1"/>
  <c r="R33" i="1"/>
  <c r="S73" i="2"/>
  <c r="V56" i="23"/>
  <c r="BJ43" i="11"/>
  <c r="BO37" i="11"/>
  <c r="BK37" i="11"/>
  <c r="D152" i="9"/>
  <c r="AN152" i="9"/>
  <c r="M91" i="61"/>
  <c r="M117" i="61" s="1"/>
  <c r="AB92" i="20"/>
  <c r="BH34" i="1"/>
  <c r="BI34" i="1"/>
  <c r="O24" i="15"/>
  <c r="AB146" i="10"/>
  <c r="AD146" i="10" s="1"/>
  <c r="BM92" i="20"/>
  <c r="BK70" i="1"/>
  <c r="BM70" i="1" s="1"/>
  <c r="BJ93" i="30"/>
  <c r="BK54" i="1"/>
  <c r="BQ54" i="1"/>
  <c r="BQ50" i="1"/>
  <c r="BK55" i="1"/>
  <c r="BQ55" i="1"/>
  <c r="BK56" i="1"/>
  <c r="BL50" i="1"/>
  <c r="BM50" i="1"/>
  <c r="BY20" i="1"/>
  <c r="AN140" i="9"/>
  <c r="D140" i="9"/>
  <c r="Z33" i="1"/>
  <c r="R17" i="15"/>
  <c r="AH124" i="10"/>
  <c r="AH125" i="10"/>
  <c r="E71" i="1"/>
  <c r="D91" i="1"/>
  <c r="D101" i="1"/>
  <c r="E81" i="1"/>
  <c r="K61" i="15"/>
  <c r="K22" i="15"/>
  <c r="AH118" i="10"/>
  <c r="AR40" i="30"/>
  <c r="L55" i="15"/>
  <c r="AK56" i="1"/>
  <c r="AR56" i="1" s="1"/>
  <c r="AP56" i="1"/>
  <c r="AL56" i="1"/>
  <c r="AI75" i="2"/>
  <c r="CB80" i="1"/>
  <c r="CA90" i="1"/>
  <c r="CG70" i="1"/>
  <c r="CB70" i="1"/>
  <c r="CA75" i="1"/>
  <c r="AV55" i="1"/>
  <c r="BA55" i="1"/>
  <c r="AO56" i="1"/>
  <c r="AW56" i="1"/>
  <c r="AI478" i="9"/>
  <c r="J21" i="10"/>
  <c r="R21" i="10" s="1"/>
  <c r="T27" i="10"/>
  <c r="DC8" i="20"/>
  <c r="I6" i="61"/>
  <c r="R28" i="15"/>
  <c r="CT13" i="20"/>
  <c r="CG72" i="1"/>
  <c r="AP42" i="11"/>
  <c r="AQ36" i="11"/>
  <c r="AC54" i="1"/>
  <c r="D147" i="9"/>
  <c r="AN147" i="9"/>
  <c r="R37" i="15"/>
  <c r="BO91" i="1"/>
  <c r="AF35" i="11"/>
  <c r="AF23" i="11"/>
  <c r="AF29" i="11"/>
  <c r="AF17" i="11"/>
  <c r="CF19" i="11"/>
  <c r="CF25" i="11" s="1"/>
  <c r="CF31" i="11" s="1"/>
  <c r="CF37" i="11"/>
  <c r="D98" i="61"/>
  <c r="D139" i="61"/>
  <c r="D57" i="61"/>
  <c r="AP54" i="1"/>
  <c r="M71" i="1"/>
  <c r="AG199" i="9"/>
  <c r="CG56" i="1"/>
  <c r="CB56" i="1"/>
  <c r="AD40" i="11"/>
  <c r="AE34" i="11"/>
  <c r="BE24" i="1"/>
  <c r="AO72" i="1"/>
  <c r="AO82" i="1"/>
  <c r="AN92" i="1"/>
  <c r="AW72" i="1"/>
  <c r="AV83" i="1"/>
  <c r="AV73" i="1"/>
  <c r="AU93" i="1"/>
  <c r="BX42" i="1"/>
  <c r="S122" i="2"/>
  <c r="S116" i="2"/>
  <c r="I28" i="15"/>
  <c r="I13" i="15"/>
  <c r="J8" i="15"/>
  <c r="J67" i="15" s="1"/>
  <c r="I17" i="15"/>
  <c r="CT8" i="20"/>
  <c r="BT83" i="1"/>
  <c r="BS93" i="1"/>
  <c r="BT73" i="1"/>
  <c r="P53" i="1"/>
  <c r="R53" i="1" s="1"/>
  <c r="P398" i="9"/>
  <c r="CA43" i="1"/>
  <c r="CA46" i="1"/>
  <c r="CB42" i="1"/>
  <c r="T25" i="10"/>
  <c r="AL56" i="23"/>
  <c r="BG92" i="1"/>
  <c r="BH92" i="1"/>
  <c r="BH72" i="1"/>
  <c r="BH82" i="1"/>
  <c r="L106" i="10"/>
  <c r="BJ87" i="30"/>
  <c r="BI51" i="1"/>
  <c r="BH51" i="1"/>
  <c r="BG71" i="1"/>
  <c r="BM51" i="1"/>
  <c r="BG56" i="1"/>
  <c r="BG90" i="1"/>
  <c r="BH70" i="1"/>
  <c r="BG75" i="1"/>
  <c r="BH80" i="1"/>
  <c r="P24" i="15"/>
  <c r="BL34" i="1"/>
  <c r="BQ34" i="1"/>
  <c r="BM34" i="1"/>
  <c r="J148" i="10"/>
  <c r="DF10" i="20"/>
  <c r="S10" i="15"/>
  <c r="F134" i="10"/>
  <c r="J57" i="23"/>
  <c r="J25" i="10"/>
  <c r="R25" i="10" s="1"/>
  <c r="AS18" i="30"/>
  <c r="AX18" i="30" s="1"/>
  <c r="CJ73" i="1"/>
  <c r="CJ83" i="1"/>
  <c r="CK73" i="1"/>
  <c r="CI93" i="1"/>
  <c r="CI103" i="1"/>
  <c r="CJ103" i="1"/>
  <c r="BU70" i="1"/>
  <c r="BP70" i="1"/>
  <c r="BP80" i="1"/>
  <c r="BO90" i="1"/>
  <c r="I72" i="2"/>
  <c r="BX24" i="1"/>
  <c r="AV82" i="1"/>
  <c r="AV72" i="1"/>
  <c r="AU92" i="1"/>
  <c r="S34" i="11"/>
  <c r="J39" i="5"/>
  <c r="BA54" i="1"/>
  <c r="AV54" i="1"/>
  <c r="AD22" i="1"/>
  <c r="Z22" i="1"/>
  <c r="BZ40" i="11"/>
  <c r="O68" i="2"/>
  <c r="Y24" i="1"/>
  <c r="G10" i="15"/>
  <c r="DG18" i="20"/>
  <c r="M15" i="61"/>
  <c r="M54" i="61" s="1"/>
  <c r="AB56" i="23"/>
  <c r="BN42" i="11"/>
  <c r="BS36" i="11"/>
  <c r="BO36" i="11"/>
  <c r="W36" i="11"/>
  <c r="CT26" i="20"/>
  <c r="R54" i="10"/>
  <c r="BX45" i="1"/>
  <c r="BY45" i="1"/>
  <c r="BJ83" i="30"/>
  <c r="BD54" i="1"/>
  <c r="CA36" i="11"/>
  <c r="CN80" i="1"/>
  <c r="AH40" i="11"/>
  <c r="AI34" i="11"/>
  <c r="F41" i="11"/>
  <c r="G35" i="11"/>
  <c r="K35" i="11"/>
  <c r="BB119" i="30"/>
  <c r="BH119" i="30"/>
  <c r="AP324" i="9"/>
  <c r="BT42" i="1"/>
  <c r="BS43" i="1"/>
  <c r="BS44" i="1" s="1"/>
  <c r="BH36" i="1"/>
  <c r="E5" i="5"/>
  <c r="AP5" i="5"/>
  <c r="AB493" i="9"/>
  <c r="CN55" i="1"/>
  <c r="BG54" i="1"/>
  <c r="BI54" i="1"/>
  <c r="AK83" i="1"/>
  <c r="BK44" i="1"/>
  <c r="DE18" i="20"/>
  <c r="K15" i="61"/>
  <c r="BJ104" i="30"/>
  <c r="BP54" i="1"/>
  <c r="D73" i="1"/>
  <c r="D31" i="15"/>
  <c r="CO8" i="20"/>
  <c r="D13" i="15"/>
  <c r="M39" i="5"/>
  <c r="M22" i="15" s="1"/>
  <c r="N39" i="5"/>
  <c r="E68" i="2"/>
  <c r="E75" i="2"/>
  <c r="B10" i="15"/>
  <c r="F15" i="10"/>
  <c r="CB35" i="11"/>
  <c r="CB17" i="11"/>
  <c r="CB23" i="11" s="1"/>
  <c r="CB29" i="11" s="1"/>
  <c r="R40" i="11"/>
  <c r="AH103" i="10"/>
  <c r="AP71" i="9"/>
  <c r="K92" i="20"/>
  <c r="AB70" i="10"/>
  <c r="BT80" i="1"/>
  <c r="BT70" i="1"/>
  <c r="BS90" i="1"/>
  <c r="AV80" i="1"/>
  <c r="AV70" i="1"/>
  <c r="AU76" i="1"/>
  <c r="AV86" i="1"/>
  <c r="AU90" i="1"/>
  <c r="AU96" i="1"/>
  <c r="AU75" i="1"/>
  <c r="AV85" i="1"/>
  <c r="H57" i="23"/>
  <c r="AN91" i="1"/>
  <c r="AV91" i="1" s="1"/>
  <c r="X72" i="1"/>
  <c r="Y52" i="1"/>
  <c r="AD52" i="1"/>
  <c r="AP72" i="1"/>
  <c r="E13" i="15"/>
  <c r="CP8" i="20"/>
  <c r="E8" i="15"/>
  <c r="E28" i="15"/>
  <c r="AX42" i="11"/>
  <c r="AY36" i="11"/>
  <c r="BC36" i="11"/>
  <c r="CD42" i="11"/>
  <c r="T55" i="15"/>
  <c r="K24" i="61"/>
  <c r="K145" i="61" s="1"/>
  <c r="DE26" i="20"/>
  <c r="CB43" i="1"/>
  <c r="AQ5" i="5"/>
  <c r="F5" i="5"/>
  <c r="AV76" i="1"/>
  <c r="M95" i="61"/>
  <c r="M136" i="61"/>
  <c r="BJ120" i="30"/>
  <c r="BX54" i="1"/>
  <c r="CC54" i="1"/>
  <c r="AC86" i="1"/>
  <c r="CI101" i="1"/>
  <c r="CR10" i="20"/>
  <c r="G11" i="15"/>
  <c r="BL56" i="1"/>
  <c r="BK91" i="1"/>
  <c r="BK101" i="1"/>
  <c r="AG91" i="1"/>
  <c r="AB101" i="1"/>
  <c r="AB96" i="1"/>
  <c r="M61" i="15"/>
  <c r="K136" i="61"/>
  <c r="J61" i="15"/>
  <c r="J22" i="15"/>
  <c r="CZ13" i="20"/>
  <c r="O25" i="15"/>
  <c r="G26" i="15"/>
  <c r="CA103" i="1"/>
  <c r="CF103" i="1"/>
  <c r="CF93" i="1"/>
  <c r="BG102" i="1"/>
  <c r="BH102" i="1"/>
  <c r="CA100" i="1"/>
  <c r="BL80" i="1"/>
  <c r="BK90" i="1"/>
  <c r="BL70" i="1"/>
  <c r="BQ70" i="1"/>
  <c r="BK75" i="1"/>
  <c r="BL85" i="1" s="1"/>
  <c r="AM68" i="2"/>
  <c r="DD10" i="20"/>
  <c r="J8" i="61"/>
  <c r="BH56" i="1"/>
  <c r="BI56" i="1"/>
  <c r="P73" i="1"/>
  <c r="Q53" i="1"/>
  <c r="CM101" i="1"/>
  <c r="BS100" i="1"/>
  <c r="BG100" i="1"/>
  <c r="BH71" i="1"/>
  <c r="CB46" i="1"/>
  <c r="BL54" i="1"/>
  <c r="BJ97" i="30"/>
  <c r="BP93" i="1"/>
  <c r="AV75" i="1"/>
  <c r="BJ90" i="30"/>
  <c r="BH54" i="1"/>
  <c r="AY103" i="1"/>
  <c r="CQ18" i="20"/>
  <c r="AC75" i="1"/>
  <c r="AC85" i="1"/>
  <c r="CP67" i="20"/>
  <c r="BH75" i="1"/>
  <c r="BL55" i="1"/>
  <c r="BH90" i="1"/>
  <c r="N22" i="15"/>
  <c r="N61" i="15"/>
  <c r="P25" i="15"/>
  <c r="G11" i="61"/>
  <c r="DA13" i="20"/>
  <c r="CA44" i="1"/>
  <c r="BS103" i="1"/>
  <c r="E95" i="61"/>
  <c r="E54" i="61"/>
  <c r="E136" i="61"/>
  <c r="BX92" i="1"/>
  <c r="BS102" i="1"/>
  <c r="BG103" i="1"/>
  <c r="BX55" i="1"/>
  <c r="CC55" i="1"/>
  <c r="AJ100" i="1"/>
  <c r="AG101" i="1"/>
  <c r="D75" i="20"/>
  <c r="BL75" i="1"/>
  <c r="AR5" i="5"/>
  <c r="G5" i="5"/>
  <c r="AS5" i="5" s="1"/>
  <c r="BP91" i="1"/>
  <c r="P93" i="1"/>
  <c r="Q73" i="1"/>
  <c r="Q83" i="1"/>
  <c r="J47" i="61"/>
  <c r="J129" i="61"/>
  <c r="J88" i="61"/>
  <c r="P103" i="1"/>
  <c r="P627" i="9"/>
  <c r="Z627" i="9" s="1"/>
  <c r="P623" i="9"/>
  <c r="Z623" i="9" s="1"/>
  <c r="P339" i="9"/>
  <c r="Z339" i="9" s="1"/>
  <c r="K162" i="9"/>
  <c r="BX93" i="20" s="1"/>
  <c r="P343" i="9"/>
  <c r="Z343" i="9" s="1"/>
  <c r="P516" i="9"/>
  <c r="Z516" i="9" s="1"/>
  <c r="N160" i="10"/>
  <c r="J160" i="10"/>
  <c r="P160" i="10"/>
  <c r="R160" i="10"/>
  <c r="BS28" i="20"/>
  <c r="D32" i="20"/>
  <c r="AS94" i="20"/>
  <c r="K94" i="20"/>
  <c r="AM94" i="20"/>
  <c r="J94" i="20"/>
  <c r="AL94" i="20"/>
  <c r="AN94" i="20"/>
  <c r="D94" i="20"/>
  <c r="AT94" i="20"/>
  <c r="F94" i="20"/>
  <c r="W94" i="20"/>
  <c r="AQ94" i="20"/>
  <c r="C94" i="20"/>
  <c r="E94" i="20"/>
  <c r="H94" i="20"/>
  <c r="AM32" i="20"/>
  <c r="R94" i="20"/>
  <c r="AG94" i="20"/>
  <c r="S94" i="20"/>
  <c r="M94" i="20"/>
  <c r="T94" i="20"/>
  <c r="X94" i="20"/>
  <c r="P94" i="20"/>
  <c r="U94" i="20"/>
  <c r="Z94" i="20"/>
  <c r="N94" i="20"/>
  <c r="AJ32" i="20"/>
  <c r="O32" i="20"/>
  <c r="DH35" i="20"/>
  <c r="W624" i="9"/>
  <c r="P148" i="30" s="1"/>
  <c r="W10" i="5" s="1"/>
  <c r="N36" i="20"/>
  <c r="BB32" i="20"/>
  <c r="W340" i="9"/>
  <c r="CN13" i="1"/>
  <c r="CJ13" i="11"/>
  <c r="CJ37" i="11" s="1"/>
  <c r="CM14" i="1"/>
  <c r="BX13" i="20"/>
  <c r="CN63" i="1"/>
  <c r="D161" i="10"/>
  <c r="L161" i="10" s="1"/>
  <c r="BX8" i="20"/>
  <c r="P520" i="9"/>
  <c r="Z520" i="9" s="1"/>
  <c r="W517" i="9"/>
  <c r="W162" i="9"/>
  <c r="F162" i="9"/>
  <c r="BX10" i="20"/>
  <c r="F161" i="10"/>
  <c r="T160" i="10" s="1"/>
  <c r="CM24" i="1"/>
  <c r="W10" i="15" s="1"/>
  <c r="N8" i="61" s="1"/>
  <c r="CM53" i="1"/>
  <c r="CM73" i="1" s="1"/>
  <c r="CO53" i="1"/>
  <c r="CM34" i="1"/>
  <c r="W24" i="15" s="1"/>
  <c r="AU69" i="2" s="1"/>
  <c r="AU75" i="2" s="1"/>
  <c r="CN14" i="1"/>
  <c r="CI267" i="1"/>
  <c r="CN267" i="1" s="1"/>
  <c r="BC267" i="1"/>
  <c r="BC270" i="1"/>
  <c r="DH37" i="20"/>
  <c r="BX27" i="20"/>
  <c r="BX37" i="20"/>
  <c r="Y32" i="20"/>
  <c r="BI32" i="20"/>
  <c r="BX35" i="20"/>
  <c r="BX36" i="20" s="1"/>
  <c r="CN258" i="1"/>
  <c r="BX41" i="20"/>
  <c r="BX26" i="20"/>
  <c r="AH81" i="10"/>
  <c r="AH76" i="10"/>
  <c r="R41" i="10"/>
  <c r="BM93" i="20"/>
  <c r="BK93" i="20"/>
  <c r="P522" i="9"/>
  <c r="T35" i="10"/>
  <c r="P35" i="10"/>
  <c r="J35" i="10"/>
  <c r="R35" i="10" s="1"/>
  <c r="S13" i="11"/>
  <c r="F37" i="11"/>
  <c r="O25" i="11"/>
  <c r="N133" i="10"/>
  <c r="T126" i="10"/>
  <c r="J130" i="10"/>
  <c r="P126" i="10"/>
  <c r="P130" i="10"/>
  <c r="R39" i="10"/>
  <c r="AA19" i="11"/>
  <c r="AL37" i="11"/>
  <c r="J70" i="10"/>
  <c r="AH70" i="10" s="1"/>
  <c r="AD37" i="11"/>
  <c r="N91" i="10"/>
  <c r="O31" i="11"/>
  <c r="N84" i="10"/>
  <c r="G19" i="11"/>
  <c r="J109" i="10"/>
  <c r="J113" i="10" s="1"/>
  <c r="AW104" i="2"/>
  <c r="AW110" i="2"/>
  <c r="CO34" i="1"/>
  <c r="CN53" i="1"/>
  <c r="CM54" i="1"/>
  <c r="CN54" i="1" s="1"/>
  <c r="CN24" i="1"/>
  <c r="AO55" i="1"/>
  <c r="AW55" i="1"/>
  <c r="AB16" i="11"/>
  <c r="AB28" i="11"/>
  <c r="AB22" i="11"/>
  <c r="AU103" i="1"/>
  <c r="AZ103" i="1" s="1"/>
  <c r="AZ93" i="1"/>
  <c r="BE36" i="1"/>
  <c r="BD36" i="1"/>
  <c r="X115" i="1"/>
  <c r="X116" i="1"/>
  <c r="CN34" i="1"/>
  <c r="D162" i="10"/>
  <c r="CB85" i="1"/>
  <c r="CB75" i="1"/>
  <c r="AP55" i="1"/>
  <c r="AK55" i="1"/>
  <c r="Q30" i="1"/>
  <c r="P50" i="1"/>
  <c r="P35" i="1"/>
  <c r="V30" i="1"/>
  <c r="R30" i="1"/>
  <c r="B24" i="15"/>
  <c r="E69" i="2"/>
  <c r="E76" i="2" s="1"/>
  <c r="E34" i="1"/>
  <c r="CB34" i="1"/>
  <c r="T24" i="15"/>
  <c r="CG34" i="1"/>
  <c r="BU40" i="1"/>
  <c r="BP40" i="1"/>
  <c r="BQ40" i="1"/>
  <c r="AQ14" i="20"/>
  <c r="BO42" i="1"/>
  <c r="BO43" i="1" s="1"/>
  <c r="F71" i="10"/>
  <c r="BW93" i="1"/>
  <c r="CC73" i="1"/>
  <c r="BX83" i="1"/>
  <c r="BX73" i="1"/>
  <c r="BY73" i="1"/>
  <c r="CG25" i="1"/>
  <c r="BL90" i="1"/>
  <c r="BK95" i="1"/>
  <c r="BK100" i="1"/>
  <c r="BP90" i="1"/>
  <c r="J33" i="1"/>
  <c r="H34" i="1"/>
  <c r="I33" i="1"/>
  <c r="N33" i="1"/>
  <c r="BI36" i="1"/>
  <c r="AQ75" i="2"/>
  <c r="AL55" i="1"/>
  <c r="AG55" i="1"/>
  <c r="AH55" i="1"/>
  <c r="BU45" i="1"/>
  <c r="BP45" i="1"/>
  <c r="BQ45" i="1"/>
  <c r="AB34" i="11"/>
  <c r="F34" i="10"/>
  <c r="Q22" i="1"/>
  <c r="P26" i="1"/>
  <c r="Q26" i="1" s="1"/>
  <c r="P32" i="1"/>
  <c r="P52" i="1" s="1"/>
  <c r="P34" i="1"/>
  <c r="P24" i="1"/>
  <c r="AL36" i="1"/>
  <c r="AH36" i="1"/>
  <c r="AG36" i="1"/>
  <c r="M50" i="1"/>
  <c r="L70" i="1"/>
  <c r="N50" i="1"/>
  <c r="L55" i="1"/>
  <c r="AU100" i="1"/>
  <c r="AU95" i="1"/>
  <c r="AU94" i="1"/>
  <c r="CC71" i="1"/>
  <c r="BW91" i="1"/>
  <c r="BX81" i="1"/>
  <c r="BX71" i="1"/>
  <c r="AN75" i="1"/>
  <c r="AO70" i="1"/>
  <c r="AN76" i="1"/>
  <c r="AP70" i="1"/>
  <c r="AW70" i="1"/>
  <c r="AN90" i="1"/>
  <c r="BD46" i="1"/>
  <c r="U52" i="1"/>
  <c r="Z52" i="1"/>
  <c r="T72" i="1"/>
  <c r="AO71" i="1"/>
  <c r="AO81" i="1"/>
  <c r="AP71" i="1"/>
  <c r="AW71" i="1"/>
  <c r="AN103" i="1"/>
  <c r="AV93" i="1"/>
  <c r="CF81" i="1"/>
  <c r="CE91" i="1"/>
  <c r="CK71" i="1"/>
  <c r="CF71" i="1"/>
  <c r="AV92" i="1"/>
  <c r="AU102" i="1"/>
  <c r="F63" i="61"/>
  <c r="F104" i="61" s="1"/>
  <c r="BM54" i="1"/>
  <c r="BL93" i="1"/>
  <c r="BH93" i="1"/>
  <c r="D86" i="61"/>
  <c r="E115" i="61" s="1"/>
  <c r="D127" i="61"/>
  <c r="D45" i="61"/>
  <c r="T70" i="1"/>
  <c r="U50" i="1"/>
  <c r="DF26" i="20"/>
  <c r="U55" i="15"/>
  <c r="L24" i="61"/>
  <c r="Y69" i="2"/>
  <c r="Y75" i="2" s="1"/>
  <c r="L26" i="15"/>
  <c r="C11" i="61"/>
  <c r="CW13" i="20"/>
  <c r="L33" i="15"/>
  <c r="AC74" i="1"/>
  <c r="AC84" i="1"/>
  <c r="M83" i="1"/>
  <c r="L93" i="1"/>
  <c r="X92" i="1"/>
  <c r="Y82" i="1"/>
  <c r="AD72" i="1"/>
  <c r="Y72" i="1"/>
  <c r="BT43" i="1"/>
  <c r="BK92" i="1"/>
  <c r="BL82" i="1"/>
  <c r="BL72" i="1"/>
  <c r="BQ72" i="1"/>
  <c r="CB44" i="1"/>
  <c r="BL44" i="1"/>
  <c r="M64" i="1"/>
  <c r="D36" i="15"/>
  <c r="CF80" i="1"/>
  <c r="CE75" i="1"/>
  <c r="CE90" i="1"/>
  <c r="CE100" i="1"/>
  <c r="CE74" i="1"/>
  <c r="CE76" i="1"/>
  <c r="Q25" i="15"/>
  <c r="AG69" i="2"/>
  <c r="AG76" i="2" s="1"/>
  <c r="BL81" i="1"/>
  <c r="BL71" i="1"/>
  <c r="BK74" i="1"/>
  <c r="BQ71" i="1"/>
  <c r="BK76" i="1"/>
  <c r="BM71" i="1"/>
  <c r="R59" i="15"/>
  <c r="R13" i="15"/>
  <c r="AK67" i="2"/>
  <c r="BQ35" i="1"/>
  <c r="BM35" i="1"/>
  <c r="BL35" i="1"/>
  <c r="AD34" i="1"/>
  <c r="BO101" i="1"/>
  <c r="BO95" i="1"/>
  <c r="BM56" i="1"/>
  <c r="G145" i="61"/>
  <c r="G63" i="61"/>
  <c r="G104" i="61" s="1"/>
  <c r="BP72" i="1"/>
  <c r="BO74" i="1"/>
  <c r="BP82" i="1"/>
  <c r="BU72" i="1"/>
  <c r="BM75" i="1"/>
  <c r="BH85" i="1"/>
  <c r="AE69" i="2"/>
  <c r="BC100" i="1"/>
  <c r="Y73" i="1"/>
  <c r="X93" i="1"/>
  <c r="AD73" i="1"/>
  <c r="C136" i="61"/>
  <c r="C54" i="61"/>
  <c r="BX80" i="1"/>
  <c r="CC70" i="1"/>
  <c r="BW76" i="1"/>
  <c r="CN91" i="1"/>
  <c r="AW73" i="1"/>
  <c r="AU74" i="1"/>
  <c r="BA73" i="1"/>
  <c r="BW43" i="1"/>
  <c r="BY42" i="1"/>
  <c r="BW46" i="1"/>
  <c r="CC42" i="1"/>
  <c r="AQ68" i="2"/>
  <c r="L8" i="61"/>
  <c r="CG71" i="1"/>
  <c r="CA91" i="1"/>
  <c r="CB81" i="1"/>
  <c r="CA76" i="1"/>
  <c r="CB86" i="1"/>
  <c r="BA36" i="1"/>
  <c r="AZ36" i="1"/>
  <c r="F11" i="61"/>
  <c r="CJ93" i="1"/>
  <c r="G15" i="15"/>
  <c r="G33" i="15"/>
  <c r="G20" i="15"/>
  <c r="I86" i="61"/>
  <c r="I127" i="61"/>
  <c r="I45" i="61"/>
  <c r="BX56" i="1"/>
  <c r="CC56" i="1"/>
  <c r="BT93" i="1"/>
  <c r="BO103" i="1"/>
  <c r="BO92" i="1"/>
  <c r="BG43" i="1"/>
  <c r="BG46" i="1"/>
  <c r="BI42" i="1"/>
  <c r="BL51" i="1"/>
  <c r="BJ94" i="30"/>
  <c r="BQ51" i="1"/>
  <c r="BL36" i="1"/>
  <c r="BQ36" i="1"/>
  <c r="BM36" i="1"/>
  <c r="BH67" i="20"/>
  <c r="BC67" i="20"/>
  <c r="U25" i="15"/>
  <c r="AJ91" i="1"/>
  <c r="AL71" i="1"/>
  <c r="AK81" i="1"/>
  <c r="B72" i="9"/>
  <c r="B55" i="30" s="1"/>
  <c r="B426" i="9"/>
  <c r="B121" i="9"/>
  <c r="B496" i="9"/>
  <c r="B163" i="9"/>
  <c r="B790" i="9"/>
  <c r="B468" i="9"/>
  <c r="B193" i="9"/>
  <c r="B811" i="9"/>
  <c r="B384" i="9"/>
  <c r="B256" i="9"/>
  <c r="B419" i="9"/>
  <c r="B377" i="9"/>
  <c r="B561" i="9"/>
  <c r="B58" i="9"/>
  <c r="B41" i="30" s="1"/>
  <c r="B412" i="9"/>
  <c r="B156" i="9"/>
  <c r="B596" i="9"/>
  <c r="B79" i="9"/>
  <c r="B62" i="30" s="1"/>
  <c r="X29" i="11"/>
  <c r="X23" i="11"/>
  <c r="X17" i="11"/>
  <c r="AV17" i="11"/>
  <c r="AV29" i="11"/>
  <c r="AV23" i="11"/>
  <c r="AV35" i="11"/>
  <c r="AZ24" i="11"/>
  <c r="AZ30" i="11"/>
  <c r="BD31" i="11"/>
  <c r="BD37" i="11"/>
  <c r="G28" i="15"/>
  <c r="CR8" i="20"/>
  <c r="G37" i="15"/>
  <c r="G13" i="15"/>
  <c r="L28" i="15"/>
  <c r="L11" i="15"/>
  <c r="L17" i="15"/>
  <c r="C6" i="61"/>
  <c r="D35" i="61" s="1"/>
  <c r="L59" i="15"/>
  <c r="Y67" i="2"/>
  <c r="Y72" i="2" s="1"/>
  <c r="U15" i="1"/>
  <c r="R15" i="1"/>
  <c r="R16" i="1" s="1"/>
  <c r="Q15" i="1"/>
  <c r="CF24" i="1"/>
  <c r="F148" i="10"/>
  <c r="CJ34" i="11"/>
  <c r="CJ16" i="11"/>
  <c r="CJ22" i="11" s="1"/>
  <c r="CJ28" i="11" s="1"/>
  <c r="AC68" i="2"/>
  <c r="CY10" i="20"/>
  <c r="E8" i="61"/>
  <c r="AJ75" i="1"/>
  <c r="AL70" i="1"/>
  <c r="CK20" i="1"/>
  <c r="CO20" i="1"/>
  <c r="AJ36" i="11"/>
  <c r="AJ18" i="11"/>
  <c r="AJ30" i="11"/>
  <c r="G95" i="61"/>
  <c r="G54" i="61"/>
  <c r="BA52" i="1"/>
  <c r="AZ52" i="1"/>
  <c r="AY72" i="1"/>
  <c r="AZ82" i="1"/>
  <c r="BE52" i="1"/>
  <c r="AY56" i="1"/>
  <c r="AZ56" i="1" s="1"/>
  <c r="AN67" i="20"/>
  <c r="F78" i="10"/>
  <c r="T75" i="10"/>
  <c r="T103" i="10"/>
  <c r="F106" i="10"/>
  <c r="L109" i="10"/>
  <c r="L116" i="10"/>
  <c r="B8" i="23"/>
  <c r="B14" i="23"/>
  <c r="B20" i="23" s="1"/>
  <c r="B26" i="23" s="1"/>
  <c r="B32" i="23" s="1"/>
  <c r="B38" i="23" s="1"/>
  <c r="B44" i="23" s="1"/>
  <c r="B50" i="23" s="1"/>
  <c r="B56" i="23" s="1"/>
  <c r="B28" i="11"/>
  <c r="B22" i="11"/>
  <c r="B34" i="11"/>
  <c r="B16" i="11"/>
  <c r="B40" i="11"/>
  <c r="AB100" i="1"/>
  <c r="AB105" i="1"/>
  <c r="D64" i="1"/>
  <c r="E63" i="1"/>
  <c r="AB102" i="1"/>
  <c r="I59" i="20"/>
  <c r="L63" i="10"/>
  <c r="L70" i="10"/>
  <c r="D64" i="10"/>
  <c r="L81" i="10"/>
  <c r="L74" i="10"/>
  <c r="J95" i="61"/>
  <c r="J136" i="61"/>
  <c r="CG23" i="1"/>
  <c r="CK23" i="1"/>
  <c r="P7" i="15"/>
  <c r="P15" i="15" s="1"/>
  <c r="BL64" i="1"/>
  <c r="BL14" i="1"/>
  <c r="BL24" i="1"/>
  <c r="BE114" i="9"/>
  <c r="BG121" i="9" s="1"/>
  <c r="U26" i="1"/>
  <c r="U16" i="1"/>
  <c r="AH69" i="10"/>
  <c r="T68" i="10"/>
  <c r="P51" i="1"/>
  <c r="BD18" i="11"/>
  <c r="BD30" i="11"/>
  <c r="Y65" i="1"/>
  <c r="AC15" i="1"/>
  <c r="Y15" i="1"/>
  <c r="Y25" i="1"/>
  <c r="Z15" i="1"/>
  <c r="Z16" i="1" s="1"/>
  <c r="Y35" i="1"/>
  <c r="L32" i="1"/>
  <c r="F27" i="10"/>
  <c r="T26" i="10" s="1"/>
  <c r="L26" i="1"/>
  <c r="M26" i="1" s="1"/>
  <c r="L24" i="1"/>
  <c r="L116" i="1"/>
  <c r="U28" i="20"/>
  <c r="U35" i="20"/>
  <c r="L56" i="10"/>
  <c r="L49" i="10"/>
  <c r="AE73" i="20"/>
  <c r="C40" i="20"/>
  <c r="AV24" i="1"/>
  <c r="AV14" i="1"/>
  <c r="AV34" i="1"/>
  <c r="BM30" i="1"/>
  <c r="AL13" i="20"/>
  <c r="BL30" i="1"/>
  <c r="BM40" i="1"/>
  <c r="BI40" i="1"/>
  <c r="CC40" i="1"/>
  <c r="CA45" i="1"/>
  <c r="BO56" i="1"/>
  <c r="BP52" i="1"/>
  <c r="T41" i="20"/>
  <c r="AU243" i="1"/>
  <c r="T26" i="20"/>
  <c r="T89" i="10"/>
  <c r="AH90" i="10"/>
  <c r="R90" i="10"/>
  <c r="T137" i="10"/>
  <c r="R138" i="10"/>
  <c r="A41" i="11"/>
  <c r="A23" i="11"/>
  <c r="D21" i="10"/>
  <c r="L28" i="10" s="1"/>
  <c r="H14" i="1"/>
  <c r="M13" i="1"/>
  <c r="L13" i="11"/>
  <c r="X22" i="9"/>
  <c r="H53" i="1"/>
  <c r="I13" i="1"/>
  <c r="H13" i="11"/>
  <c r="A21" i="9"/>
  <c r="A35" i="9"/>
  <c r="A18" i="30" s="1"/>
  <c r="A56" i="9"/>
  <c r="A39" i="30" s="1"/>
  <c r="A42" i="9"/>
  <c r="A25" i="30" s="1"/>
  <c r="A615" i="9"/>
  <c r="A587" i="9"/>
  <c r="A494" i="9"/>
  <c r="A417" i="9"/>
  <c r="A338" i="9"/>
  <c r="A289" i="9"/>
  <c r="A198" i="9"/>
  <c r="A247" i="9"/>
  <c r="A795" i="9"/>
  <c r="A594" i="9"/>
  <c r="A522" i="9"/>
  <c r="A466" i="9"/>
  <c r="A389" i="9"/>
  <c r="A382" i="9"/>
  <c r="A268" i="9"/>
  <c r="A168" i="9"/>
  <c r="A622" i="9"/>
  <c r="A580" i="9"/>
  <c r="A573" i="9"/>
  <c r="A445" i="9"/>
  <c r="A368" i="9"/>
  <c r="A396" i="9"/>
  <c r="A282" i="9"/>
  <c r="A191" i="9"/>
  <c r="A205" i="9"/>
  <c r="A788" i="9"/>
  <c r="A545" i="9"/>
  <c r="A508" i="9"/>
  <c r="A452" i="9"/>
  <c r="A375" i="9"/>
  <c r="A317" i="9"/>
  <c r="A296" i="9"/>
  <c r="A126" i="9"/>
  <c r="A816" i="9"/>
  <c r="A566" i="9"/>
  <c r="A459" i="9"/>
  <c r="A324" i="9"/>
  <c r="A154" i="9"/>
  <c r="A70" i="9"/>
  <c r="A53" i="30" s="1"/>
  <c r="A809" i="9"/>
  <c r="A601" i="9"/>
  <c r="A473" i="9"/>
  <c r="A310" i="9"/>
  <c r="A112" i="9"/>
  <c r="A95" i="30" s="1"/>
  <c r="A261" i="9"/>
  <c r="A91" i="9"/>
  <c r="A74" i="30" s="1"/>
  <c r="A781" i="9"/>
  <c r="A552" i="9"/>
  <c r="A438" i="9"/>
  <c r="A331" i="9"/>
  <c r="A240" i="9"/>
  <c r="A559" i="9"/>
  <c r="A403" i="9"/>
  <c r="A275" i="9"/>
  <c r="A212" i="9"/>
  <c r="A147" i="9"/>
  <c r="A28" i="9"/>
  <c r="A11" i="30" s="1"/>
  <c r="A98" i="9"/>
  <c r="A81" i="30" s="1"/>
  <c r="A77" i="9"/>
  <c r="A60" i="30" s="1"/>
  <c r="Z12" i="9"/>
  <c r="D19" i="9"/>
  <c r="I19" i="9" s="1"/>
  <c r="T19" i="11"/>
  <c r="T31" i="11"/>
  <c r="T37" i="11"/>
  <c r="T25" i="11"/>
  <c r="BE86" i="9"/>
  <c r="CJ24" i="1"/>
  <c r="CO24" i="1" s="1"/>
  <c r="CB36" i="11"/>
  <c r="CB18" i="11"/>
  <c r="CB24" i="11" s="1"/>
  <c r="CB30" i="11" s="1"/>
  <c r="AL23" i="1"/>
  <c r="D14" i="10"/>
  <c r="D15" i="10"/>
  <c r="X15" i="9"/>
  <c r="AN15" i="9" s="1"/>
  <c r="AH22" i="1"/>
  <c r="BX40" i="1"/>
  <c r="AF54" i="1"/>
  <c r="AG54" i="1" s="1"/>
  <c r="AF72" i="1"/>
  <c r="AG52" i="1"/>
  <c r="E74" i="20" s="1"/>
  <c r="AH52" i="1"/>
  <c r="AF10" i="11"/>
  <c r="AF34" i="11" s="1"/>
  <c r="C67" i="20"/>
  <c r="CO15" i="1"/>
  <c r="CN65" i="1"/>
  <c r="CN15" i="1"/>
  <c r="BY25" i="1"/>
  <c r="B42" i="15"/>
  <c r="E84" i="1"/>
  <c r="L115" i="1"/>
  <c r="D27" i="20"/>
  <c r="AF261" i="1"/>
  <c r="D37" i="20"/>
  <c r="AJ19" i="11"/>
  <c r="AJ37" i="11"/>
  <c r="CJ18" i="11"/>
  <c r="CJ24" i="11" s="1"/>
  <c r="CJ30" i="11" s="1"/>
  <c r="CJ36" i="11"/>
  <c r="F32" i="10"/>
  <c r="F36" i="10" s="1"/>
  <c r="Q20" i="1"/>
  <c r="AP21" i="1"/>
  <c r="BI21" i="1"/>
  <c r="BY21" i="1"/>
  <c r="BW36" i="1"/>
  <c r="BW35" i="1"/>
  <c r="BY35" i="1"/>
  <c r="BX30" i="1"/>
  <c r="AO32" i="20"/>
  <c r="CN16" i="1"/>
  <c r="M73" i="2"/>
  <c r="J112" i="30"/>
  <c r="L112" i="30"/>
  <c r="BE128" i="9"/>
  <c r="BA129" i="9" s="1"/>
  <c r="P112" i="30"/>
  <c r="R10" i="5" s="1"/>
  <c r="BT24" i="1"/>
  <c r="BU24" i="1"/>
  <c r="D141" i="10"/>
  <c r="L141" i="10" s="1"/>
  <c r="CB24" i="1"/>
  <c r="CC24" i="1"/>
  <c r="F40" i="10"/>
  <c r="AH40" i="10" s="1"/>
  <c r="T51" i="1"/>
  <c r="X51" i="1"/>
  <c r="AW34" i="1"/>
  <c r="AP34" i="1"/>
  <c r="K24" i="15"/>
  <c r="K25" i="15" s="1"/>
  <c r="AV66" i="1"/>
  <c r="CJ269" i="1"/>
  <c r="J17" i="15"/>
  <c r="J20" i="15"/>
  <c r="BY23" i="1"/>
  <c r="CC23" i="1"/>
  <c r="BH269" i="1"/>
  <c r="BX16" i="11"/>
  <c r="BX22" i="11" s="1"/>
  <c r="BX28" i="11" s="1"/>
  <c r="F7" i="15"/>
  <c r="F17" i="15" s="1"/>
  <c r="U14" i="1"/>
  <c r="AZ25" i="1"/>
  <c r="U21" i="1"/>
  <c r="Z21" i="1" s="1"/>
  <c r="BA21" i="1"/>
  <c r="BQ21" i="1"/>
  <c r="BT269" i="1"/>
  <c r="F141" i="10"/>
  <c r="T10" i="15"/>
  <c r="J26" i="15"/>
  <c r="AY71" i="1"/>
  <c r="AZ71" i="1"/>
  <c r="AG65" i="1"/>
  <c r="AB124" i="1"/>
  <c r="H56" i="15" s="1"/>
  <c r="CS27" i="20" s="1"/>
  <c r="BE107" i="9"/>
  <c r="BG114" i="9" s="1"/>
  <c r="T90" i="10"/>
  <c r="D120" i="10"/>
  <c r="L120" i="10" s="1"/>
  <c r="BY22" i="1"/>
  <c r="CK36" i="1"/>
  <c r="CG36" i="1"/>
  <c r="J52" i="1"/>
  <c r="H56" i="1"/>
  <c r="J56" i="1"/>
  <c r="J36" i="15"/>
  <c r="CU18" i="20" s="1"/>
  <c r="AK64" i="1"/>
  <c r="BX65" i="1"/>
  <c r="AB45" i="30"/>
  <c r="L41" i="10"/>
  <c r="L77" i="10"/>
  <c r="L133" i="10"/>
  <c r="BH14" i="1"/>
  <c r="AY44" i="1"/>
  <c r="AZ44" i="1" s="1"/>
  <c r="AC52" i="1"/>
  <c r="AF259" i="1"/>
  <c r="CT37" i="20"/>
  <c r="L54" i="10"/>
  <c r="D50" i="10"/>
  <c r="L47" i="10"/>
  <c r="L158" i="10"/>
  <c r="I60" i="1"/>
  <c r="B29" i="9"/>
  <c r="B12" i="30" s="1"/>
  <c r="J54" i="15"/>
  <c r="B36" i="9"/>
  <c r="B19" i="30" s="1"/>
  <c r="B29" i="10"/>
  <c r="L32" i="10"/>
  <c r="A18" i="11"/>
  <c r="BX28" i="20"/>
  <c r="D116" i="61"/>
  <c r="D169" i="61"/>
  <c r="D75" i="61"/>
  <c r="DI84" i="20"/>
  <c r="AB56" i="10"/>
  <c r="AP57" i="9"/>
  <c r="AE61" i="9"/>
  <c r="AB84" i="10"/>
  <c r="AD84" i="10" s="1"/>
  <c r="AB63" i="10"/>
  <c r="AB98" i="10"/>
  <c r="AD98" i="10" s="1"/>
  <c r="AE92" i="20"/>
  <c r="P162" i="9"/>
  <c r="I501" i="9"/>
  <c r="AS217" i="30"/>
  <c r="AQ9" i="5"/>
  <c r="CM92" i="1"/>
  <c r="CM76" i="1"/>
  <c r="CN76" i="1" s="1"/>
  <c r="CO72" i="1"/>
  <c r="CN82" i="1"/>
  <c r="W36" i="15"/>
  <c r="N15" i="61" s="1"/>
  <c r="CN64" i="1"/>
  <c r="J134" i="10"/>
  <c r="R134" i="10" s="1"/>
  <c r="BK80" i="20" s="1"/>
  <c r="AH130" i="10"/>
  <c r="R130" i="10"/>
  <c r="AM37" i="11"/>
  <c r="CQ8" i="20"/>
  <c r="CQ59" i="20" s="1"/>
  <c r="CC36" i="1"/>
  <c r="BX36" i="1"/>
  <c r="BY36" i="1"/>
  <c r="T71" i="1"/>
  <c r="U51" i="1"/>
  <c r="BE56" i="1"/>
  <c r="BP74" i="1"/>
  <c r="BP84" i="1"/>
  <c r="AG75" i="2"/>
  <c r="R27" i="10"/>
  <c r="BQ24" i="1"/>
  <c r="CB76" i="1"/>
  <c r="CG76" i="1"/>
  <c r="L71" i="10"/>
  <c r="CF90" i="1"/>
  <c r="CE95" i="1"/>
  <c r="M55" i="1"/>
  <c r="N55" i="1"/>
  <c r="E10" i="15"/>
  <c r="Q24" i="1"/>
  <c r="K68" i="2"/>
  <c r="L34" i="1"/>
  <c r="M32" i="1"/>
  <c r="N32" i="1"/>
  <c r="L36" i="1"/>
  <c r="L52" i="1"/>
  <c r="AY92" i="1"/>
  <c r="BD92" i="1" s="1"/>
  <c r="AZ72" i="1"/>
  <c r="BA72" i="1"/>
  <c r="BL74" i="1"/>
  <c r="BQ74" i="1"/>
  <c r="BL84" i="1"/>
  <c r="CF85" i="1"/>
  <c r="CF75" i="1"/>
  <c r="L65" i="5"/>
  <c r="L39" i="15"/>
  <c r="L34" i="15"/>
  <c r="AN96" i="1"/>
  <c r="AV96" i="1"/>
  <c r="AN100" i="1"/>
  <c r="AN94" i="1"/>
  <c r="AV90" i="1"/>
  <c r="AN95" i="1"/>
  <c r="AO90" i="1"/>
  <c r="CB91" i="1"/>
  <c r="BW101" i="1"/>
  <c r="Q32" i="1"/>
  <c r="R32" i="1"/>
  <c r="V32" i="1"/>
  <c r="AV84" i="1"/>
  <c r="AV74" i="1"/>
  <c r="AU104" i="1"/>
  <c r="I34" i="1"/>
  <c r="C24" i="15"/>
  <c r="G69" i="2"/>
  <c r="G76" i="2" s="1"/>
  <c r="E64" i="1"/>
  <c r="B36" i="15"/>
  <c r="BL86" i="1"/>
  <c r="BL76" i="1"/>
  <c r="L63" i="61"/>
  <c r="L146" i="61"/>
  <c r="L147" i="61"/>
  <c r="L145" i="61" s="1"/>
  <c r="F43" i="10"/>
  <c r="AZ81" i="1"/>
  <c r="AY74" i="1"/>
  <c r="AY76" i="1"/>
  <c r="BA71" i="1"/>
  <c r="AQ52" i="1"/>
  <c r="F37" i="61"/>
  <c r="F50" i="61"/>
  <c r="G37" i="61"/>
  <c r="F132" i="61"/>
  <c r="F91" i="61"/>
  <c r="AE76" i="2"/>
  <c r="AE75" i="2"/>
  <c r="AO69" i="2"/>
  <c r="AO76" i="2" s="1"/>
  <c r="DE13" i="20"/>
  <c r="DF73" i="20" s="1"/>
  <c r="K11" i="61"/>
  <c r="W69" i="2"/>
  <c r="W75" i="2" s="1"/>
  <c r="CV13" i="20"/>
  <c r="CW73" i="20" s="1"/>
  <c r="AG82" i="1"/>
  <c r="AG72" i="1"/>
  <c r="AF92" i="1"/>
  <c r="AL72" i="1"/>
  <c r="AH72" i="1"/>
  <c r="AF76" i="1"/>
  <c r="D22" i="10"/>
  <c r="L22" i="10" s="1"/>
  <c r="L21" i="10"/>
  <c r="BP56" i="1"/>
  <c r="P59" i="15"/>
  <c r="P20" i="15"/>
  <c r="P11" i="15"/>
  <c r="P28" i="15"/>
  <c r="P37" i="15"/>
  <c r="P33" i="15"/>
  <c r="P34" i="15" s="1"/>
  <c r="P13" i="15"/>
  <c r="E129" i="61"/>
  <c r="E47" i="61"/>
  <c r="E88" i="61"/>
  <c r="BH46" i="1"/>
  <c r="BI46" i="1"/>
  <c r="BM46" i="1"/>
  <c r="BQ56" i="1"/>
  <c r="BY24" i="1"/>
  <c r="X102" i="1"/>
  <c r="AC102" i="1" s="1"/>
  <c r="AC92" i="1"/>
  <c r="L103" i="1"/>
  <c r="Q103" i="1" s="1"/>
  <c r="Q93" i="1"/>
  <c r="C91" i="61"/>
  <c r="C50" i="61"/>
  <c r="C132" i="61"/>
  <c r="BP95" i="1"/>
  <c r="CB93" i="1"/>
  <c r="BX93" i="1"/>
  <c r="BW103" i="1"/>
  <c r="CB103" i="1" s="1"/>
  <c r="BP42" i="1"/>
  <c r="BQ42" i="1"/>
  <c r="BU42" i="1"/>
  <c r="AS14" i="20"/>
  <c r="L169" i="10"/>
  <c r="AD51" i="1"/>
  <c r="Y51" i="1"/>
  <c r="I53" i="1"/>
  <c r="H54" i="1"/>
  <c r="J53" i="1"/>
  <c r="D10" i="15"/>
  <c r="I68" i="2"/>
  <c r="M24" i="1"/>
  <c r="BH100" i="1"/>
  <c r="AK73" i="2"/>
  <c r="AK72" i="2"/>
  <c r="CF84" i="1"/>
  <c r="CF74" i="1"/>
  <c r="J34" i="1"/>
  <c r="P70" i="1"/>
  <c r="Q50" i="1"/>
  <c r="V50" i="1"/>
  <c r="P55" i="1"/>
  <c r="R55" i="1"/>
  <c r="T147" i="10"/>
  <c r="R148" i="10"/>
  <c r="BU80" i="20" s="1"/>
  <c r="AH148" i="10"/>
  <c r="BE44" i="1"/>
  <c r="BX46" i="1"/>
  <c r="CC46" i="1"/>
  <c r="J37" i="15"/>
  <c r="AF16" i="11"/>
  <c r="AF28" i="11"/>
  <c r="AH54" i="1"/>
  <c r="CB45" i="1"/>
  <c r="R51" i="1"/>
  <c r="Q51" i="1"/>
  <c r="V51" i="1"/>
  <c r="P71" i="1"/>
  <c r="C45" i="61"/>
  <c r="C127" i="61"/>
  <c r="D168" i="61" s="1"/>
  <c r="C10" i="61"/>
  <c r="C86" i="61"/>
  <c r="BM43" i="1"/>
  <c r="AJ14" i="20"/>
  <c r="BI43" i="1"/>
  <c r="BH43" i="1"/>
  <c r="BG44" i="1"/>
  <c r="BI44" i="1" s="1"/>
  <c r="G39" i="15"/>
  <c r="G43" i="15" s="1"/>
  <c r="G34" i="15"/>
  <c r="L88" i="61"/>
  <c r="L47" i="61"/>
  <c r="BY43" i="1"/>
  <c r="CC43" i="1"/>
  <c r="BX43" i="1"/>
  <c r="BW44" i="1"/>
  <c r="BX44" i="1" s="1"/>
  <c r="CC76" i="1"/>
  <c r="BX76" i="1"/>
  <c r="BX86" i="1"/>
  <c r="L25" i="15"/>
  <c r="T90" i="1"/>
  <c r="T75" i="1"/>
  <c r="T76" i="1"/>
  <c r="U80" i="1"/>
  <c r="U70" i="1"/>
  <c r="AO76" i="1"/>
  <c r="AO86" i="1"/>
  <c r="AW76" i="1"/>
  <c r="R50" i="1"/>
  <c r="T33" i="10"/>
  <c r="AJ101" i="1"/>
  <c r="AK91" i="1"/>
  <c r="AJ95" i="1"/>
  <c r="AO91" i="1"/>
  <c r="AJ96" i="1"/>
  <c r="BT103" i="1"/>
  <c r="BP103" i="1"/>
  <c r="D37" i="15"/>
  <c r="CO18" i="20"/>
  <c r="AO75" i="1"/>
  <c r="AW75" i="1"/>
  <c r="AO85" i="1"/>
  <c r="T56" i="1"/>
  <c r="AN22" i="9"/>
  <c r="L148" i="10"/>
  <c r="G67" i="2"/>
  <c r="G72" i="2" s="1"/>
  <c r="C7" i="15"/>
  <c r="M14" i="1"/>
  <c r="I14" i="1"/>
  <c r="CA101" i="1"/>
  <c r="CF91" i="1"/>
  <c r="CA95" i="1"/>
  <c r="AC93" i="1"/>
  <c r="X103" i="1"/>
  <c r="AC103" i="1"/>
  <c r="T55" i="1"/>
  <c r="BL100" i="1"/>
  <c r="I56" i="1"/>
  <c r="BX35" i="1"/>
  <c r="CC35" i="1"/>
  <c r="AP75" i="1"/>
  <c r="AK75" i="1"/>
  <c r="AK85" i="1"/>
  <c r="BO102" i="1"/>
  <c r="BT102" i="1"/>
  <c r="BT92" i="1"/>
  <c r="BO94" i="1"/>
  <c r="BO96" i="1"/>
  <c r="CF86" i="1"/>
  <c r="CF76" i="1"/>
  <c r="BL92" i="1"/>
  <c r="BK102" i="1"/>
  <c r="BP92" i="1"/>
  <c r="CJ91" i="1"/>
  <c r="CE101" i="1"/>
  <c r="CJ101" i="1"/>
  <c r="T92" i="1"/>
  <c r="Y92" i="1" s="1"/>
  <c r="U82" i="1"/>
  <c r="Z72" i="1"/>
  <c r="U72" i="1"/>
  <c r="M80" i="1"/>
  <c r="R70" i="1"/>
  <c r="N70" i="1"/>
  <c r="M70" i="1"/>
  <c r="L75" i="1"/>
  <c r="L90" i="1"/>
  <c r="L100" i="1"/>
  <c r="R35" i="1"/>
  <c r="Q35" i="1"/>
  <c r="V35" i="1"/>
  <c r="CG75" i="1"/>
  <c r="AE62" i="9"/>
  <c r="DJ84" i="20"/>
  <c r="P344" i="9"/>
  <c r="Z344" i="9" s="1"/>
  <c r="CN86" i="1"/>
  <c r="DH18" i="20"/>
  <c r="CM102" i="1"/>
  <c r="CM84" i="1"/>
  <c r="BX21" i="20"/>
  <c r="I69" i="2"/>
  <c r="I75" i="2" s="1"/>
  <c r="M34" i="1"/>
  <c r="T100" i="1"/>
  <c r="AO75" i="2"/>
  <c r="G40" i="15"/>
  <c r="G45" i="15"/>
  <c r="M90" i="1"/>
  <c r="CC44" i="1"/>
  <c r="Q55" i="1"/>
  <c r="V55" i="1"/>
  <c r="N36" i="1"/>
  <c r="M36" i="1"/>
  <c r="CB101" i="1"/>
  <c r="AG86" i="1"/>
  <c r="AH76" i="1"/>
  <c r="AG76" i="1"/>
  <c r="M75" i="1"/>
  <c r="M85" i="1"/>
  <c r="BX103" i="1"/>
  <c r="P39" i="15"/>
  <c r="P65" i="5"/>
  <c r="AZ84" i="1"/>
  <c r="N34" i="1"/>
  <c r="AY102" i="1"/>
  <c r="BD102" i="1" s="1"/>
  <c r="AZ92" i="1"/>
  <c r="U56" i="1"/>
  <c r="P90" i="1"/>
  <c r="P95" i="1" s="1"/>
  <c r="U95" i="1" s="1"/>
  <c r="Q80" i="1"/>
  <c r="P75" i="1"/>
  <c r="R75" i="1" s="1"/>
  <c r="V70" i="1"/>
  <c r="Q70" i="1"/>
  <c r="C29" i="61"/>
  <c r="C13" i="61"/>
  <c r="L45" i="15"/>
  <c r="L40" i="15"/>
  <c r="L43" i="15"/>
  <c r="L30" i="15" s="1"/>
  <c r="BO104" i="1"/>
  <c r="CA105" i="1"/>
  <c r="CF101" i="1"/>
  <c r="AO96" i="1"/>
  <c r="BH44" i="1"/>
  <c r="BM44" i="1"/>
  <c r="P91" i="1"/>
  <c r="U91" i="1" s="1"/>
  <c r="R71" i="1"/>
  <c r="Q81" i="1"/>
  <c r="V71" i="1"/>
  <c r="Q71" i="1"/>
  <c r="BM80" i="20"/>
  <c r="C110" i="61"/>
  <c r="AF102" i="1"/>
  <c r="AK92" i="1"/>
  <c r="AG92" i="1"/>
  <c r="G75" i="2"/>
  <c r="T10" i="3"/>
  <c r="D74" i="61"/>
  <c r="G73" i="2"/>
  <c r="K132" i="61"/>
  <c r="L37" i="61"/>
  <c r="K91" i="61"/>
  <c r="K50" i="61"/>
  <c r="AK101" i="1"/>
  <c r="AJ106" i="1"/>
  <c r="AJ105" i="1"/>
  <c r="BA76" i="1"/>
  <c r="AZ76" i="1"/>
  <c r="AZ86" i="1"/>
  <c r="N52" i="1"/>
  <c r="M52" i="1"/>
  <c r="L72" i="1"/>
  <c r="L56" i="1"/>
  <c r="L54" i="1"/>
  <c r="BP102" i="1"/>
  <c r="BL102" i="1"/>
  <c r="U55" i="1"/>
  <c r="C13" i="15"/>
  <c r="C31" i="15"/>
  <c r="D8" i="15"/>
  <c r="U86" i="1"/>
  <c r="U76" i="1"/>
  <c r="CO10" i="20"/>
  <c r="D15" i="15"/>
  <c r="D20" i="15"/>
  <c r="D11" i="15"/>
  <c r="C26" i="15"/>
  <c r="AO100" i="1"/>
  <c r="AV100" i="1"/>
  <c r="T91" i="1"/>
  <c r="T101" i="1"/>
  <c r="U71" i="1"/>
  <c r="U81" i="1"/>
  <c r="DI85" i="20"/>
  <c r="R344" i="9"/>
  <c r="W42" i="15"/>
  <c r="G48" i="15"/>
  <c r="G46" i="15"/>
  <c r="AZ102" i="1"/>
  <c r="M56" i="1"/>
  <c r="N56" i="1"/>
  <c r="Q85" i="1"/>
  <c r="T16" i="3"/>
  <c r="T33" i="3" s="1"/>
  <c r="T45" i="3" s="1"/>
  <c r="M72" i="1"/>
  <c r="C16" i="61"/>
  <c r="C31" i="61"/>
  <c r="L46" i="15"/>
  <c r="DH41" i="20"/>
  <c r="CM245" i="1"/>
  <c r="W54" i="15"/>
  <c r="DH26" i="20" s="1"/>
  <c r="H161" i="10"/>
  <c r="P161" i="10" s="1"/>
  <c r="CA81" i="20"/>
  <c r="W66" i="15"/>
  <c r="AH159" i="10"/>
  <c r="W14" i="15"/>
  <c r="J151" i="30"/>
  <c r="BZ68" i="20"/>
  <c r="CR10" i="1"/>
  <c r="CR60" i="1"/>
  <c r="D165" i="10"/>
  <c r="L165" i="10" s="1"/>
  <c r="F165" i="10"/>
  <c r="BB112" i="30"/>
  <c r="W102" i="2"/>
  <c r="Y102" i="2" s="1"/>
  <c r="AA102" i="2" s="1"/>
  <c r="AC102" i="2" s="1"/>
  <c r="R11" i="5"/>
  <c r="X120" i="30"/>
  <c r="AL120" i="30"/>
  <c r="AL112" i="30"/>
  <c r="AS211" i="30"/>
  <c r="AS209" i="30"/>
  <c r="AS236" i="30"/>
  <c r="AS229" i="30"/>
  <c r="D26" i="9"/>
  <c r="R109" i="30"/>
  <c r="K123" i="30"/>
  <c r="D43" i="9"/>
  <c r="AW68" i="20"/>
  <c r="R9" i="5"/>
  <c r="R8" i="5"/>
  <c r="L123" i="30"/>
  <c r="E145" i="30"/>
  <c r="K132" i="30"/>
  <c r="DI10" i="1"/>
  <c r="E137" i="30"/>
  <c r="BK68" i="20"/>
  <c r="AS227" i="30"/>
  <c r="AN432" i="9"/>
  <c r="DG13" i="1"/>
  <c r="I147" i="9"/>
  <c r="AN50" i="9"/>
  <c r="BF68" i="20"/>
  <c r="DF10" i="1"/>
  <c r="BA68" i="20"/>
  <c r="BC68" i="20"/>
  <c r="I324" i="9"/>
  <c r="T324" i="9" s="1"/>
  <c r="BD68" i="20"/>
  <c r="DF13" i="1"/>
  <c r="G127" i="9"/>
  <c r="I502" i="9"/>
  <c r="T502" i="9" s="1"/>
  <c r="DL84" i="20"/>
  <c r="DK84" i="20"/>
  <c r="DH82" i="20"/>
  <c r="X27" i="5"/>
  <c r="DI81" i="20" s="1"/>
  <c r="DH81" i="20"/>
  <c r="R317" i="9"/>
  <c r="Z310" i="9"/>
  <c r="AG401" i="9"/>
  <c r="AE402" i="9"/>
  <c r="AG402" i="9" s="1"/>
  <c r="AN565" i="9"/>
  <c r="AR565" i="9" s="1"/>
  <c r="P119" i="30"/>
  <c r="W134" i="9"/>
  <c r="AV595" i="9"/>
  <c r="AV596" i="9" s="1"/>
  <c r="W596" i="9"/>
  <c r="P120" i="30" s="1"/>
  <c r="Q120" i="30" s="1"/>
  <c r="AG301" i="9"/>
  <c r="AG294" i="9"/>
  <c r="AP294" i="9"/>
  <c r="AP298" i="9" s="1"/>
  <c r="AE117" i="9"/>
  <c r="R329" i="9"/>
  <c r="P326" i="9"/>
  <c r="AR594" i="9"/>
  <c r="AP594" i="9"/>
  <c r="AI571" i="9"/>
  <c r="AP501" i="9"/>
  <c r="AP76" i="9"/>
  <c r="AB75" i="10"/>
  <c r="AD75" i="10" s="1"/>
  <c r="AF82" i="10" s="1"/>
  <c r="V137" i="10"/>
  <c r="X137" i="10" s="1"/>
  <c r="BF93" i="20"/>
  <c r="P139" i="9"/>
  <c r="Z139" i="9" s="1"/>
  <c r="AI587" i="9"/>
  <c r="AB83" i="10"/>
  <c r="AD83" i="10" s="1"/>
  <c r="T92" i="20"/>
  <c r="AB105" i="10"/>
  <c r="AP287" i="9"/>
  <c r="AP291" i="9" s="1"/>
  <c r="AE110" i="9"/>
  <c r="AE118" i="9"/>
  <c r="AP295" i="9"/>
  <c r="AG295" i="9"/>
  <c r="W146" i="9"/>
  <c r="P131" i="30"/>
  <c r="W610" i="9"/>
  <c r="D617" i="9" s="1"/>
  <c r="D607" i="9"/>
  <c r="I607" i="9" s="1"/>
  <c r="D614" i="9"/>
  <c r="B61" i="9"/>
  <c r="B44" i="30" s="1"/>
  <c r="B478" i="9"/>
  <c r="B103" i="9"/>
  <c r="B86" i="30" s="1"/>
  <c r="B315" i="9"/>
  <c r="B429" i="9"/>
  <c r="B287" i="9"/>
  <c r="B506" i="9"/>
  <c r="B203" i="9"/>
  <c r="B329" i="9"/>
  <c r="B189" i="9"/>
  <c r="B152" i="9"/>
  <c r="B585" i="9"/>
  <c r="B366" i="9"/>
  <c r="B210" i="9"/>
  <c r="B166" i="9"/>
  <c r="B25" i="9"/>
  <c r="B202" i="9" s="1"/>
  <c r="B379" i="9" s="1"/>
  <c r="AG288" i="9"/>
  <c r="AE119" i="9"/>
  <c r="AB118" i="10" s="1"/>
  <c r="AD118" i="10" s="1"/>
  <c r="AP296" i="9"/>
  <c r="AG296" i="9"/>
  <c r="AG297" i="9"/>
  <c r="D516" i="9"/>
  <c r="I516" i="9" s="1"/>
  <c r="W155" i="9"/>
  <c r="W510" i="9"/>
  <c r="D509" i="9"/>
  <c r="I506" i="9"/>
  <c r="T506" i="9" s="1"/>
  <c r="AG601" i="9"/>
  <c r="AG602" i="9"/>
  <c r="AP308" i="9"/>
  <c r="P628" i="9"/>
  <c r="AI331" i="9"/>
  <c r="AI585" i="9"/>
  <c r="AI578" i="9"/>
  <c r="AG276" i="9"/>
  <c r="AI283" i="9" s="1"/>
  <c r="AP276" i="9"/>
  <c r="AP280" i="9"/>
  <c r="AP284" i="9" s="1"/>
  <c r="AG281" i="9"/>
  <c r="AE103" i="9"/>
  <c r="AG103" i="9" s="1"/>
  <c r="AP302" i="9"/>
  <c r="AE125" i="9"/>
  <c r="AP125" i="9" s="1"/>
  <c r="AG303" i="9"/>
  <c r="AG302" i="9"/>
  <c r="AR302" i="9" s="1"/>
  <c r="Z418" i="9"/>
  <c r="AP423" i="9"/>
  <c r="AE424" i="9"/>
  <c r="AP424" i="9" s="1"/>
  <c r="AG423" i="9"/>
  <c r="AR423" i="9" s="1"/>
  <c r="AB119" i="10"/>
  <c r="AD119" i="10" s="1"/>
  <c r="AP120" i="9"/>
  <c r="AT92" i="20"/>
  <c r="Q41" i="5"/>
  <c r="DB86" i="20" s="1"/>
  <c r="AP493" i="9"/>
  <c r="AR493" i="9"/>
  <c r="AP316" i="9"/>
  <c r="AP606" i="9"/>
  <c r="R41" i="5"/>
  <c r="AB126" i="10"/>
  <c r="AD126" i="10" s="1"/>
  <c r="AP127" i="9"/>
  <c r="D609" i="9"/>
  <c r="W141" i="9"/>
  <c r="W603" i="9"/>
  <c r="AN603" i="9" s="1"/>
  <c r="D602" i="9"/>
  <c r="I602" i="9" s="1"/>
  <c r="P126" i="30"/>
  <c r="P9" i="5"/>
  <c r="V161" i="10"/>
  <c r="X161" i="10" s="1"/>
  <c r="AP418" i="9"/>
  <c r="AE419" i="9"/>
  <c r="AP419" i="9" s="1"/>
  <c r="AP425" i="9"/>
  <c r="AE426" i="9"/>
  <c r="AG486" i="9"/>
  <c r="AR486" i="9" s="1"/>
  <c r="AE132" i="9"/>
  <c r="AB131" i="10" s="1"/>
  <c r="AD131" i="10" s="1"/>
  <c r="P503" i="9"/>
  <c r="R508" i="9"/>
  <c r="R501" i="9"/>
  <c r="T501" i="9"/>
  <c r="D627" i="9"/>
  <c r="P144" i="30"/>
  <c r="V144" i="30" s="1"/>
  <c r="D620" i="9"/>
  <c r="W159" i="9"/>
  <c r="AI479" i="9"/>
  <c r="AP315" i="9"/>
  <c r="AI322" i="9"/>
  <c r="AG382" i="9"/>
  <c r="AG381" i="9"/>
  <c r="D496" i="9"/>
  <c r="D503" i="9"/>
  <c r="D621" i="9"/>
  <c r="W160" i="9"/>
  <c r="K424" i="9"/>
  <c r="P424" i="9"/>
  <c r="P423" i="9"/>
  <c r="R423" i="9" s="1"/>
  <c r="A750" i="9"/>
  <c r="A757" i="9"/>
  <c r="A764" i="9"/>
  <c r="A736" i="9"/>
  <c r="A722" i="9"/>
  <c r="A743" i="9"/>
  <c r="A771" i="9"/>
  <c r="A729" i="9"/>
  <c r="A715" i="9"/>
  <c r="A600" i="9"/>
  <c r="A465" i="9"/>
  <c r="A41" i="9"/>
  <c r="A24" i="30" s="1"/>
  <c r="A607" i="9"/>
  <c r="A579" i="9"/>
  <c r="A374" i="9"/>
  <c r="A302" i="9"/>
  <c r="A204" i="9"/>
  <c r="A815" i="9"/>
  <c r="A388" i="9"/>
  <c r="A274" i="9"/>
  <c r="A139" i="9"/>
  <c r="A48" i="9"/>
  <c r="A31" i="30" s="1"/>
  <c r="A621" i="9"/>
  <c r="A402" i="9"/>
  <c r="A190" i="9"/>
  <c r="A104" i="9"/>
  <c r="A87" i="30" s="1"/>
  <c r="A521" i="9"/>
  <c r="A430" i="9"/>
  <c r="A146" i="9"/>
  <c r="A565" i="9"/>
  <c r="A337" i="9"/>
  <c r="A232" i="9"/>
  <c r="A97" i="9"/>
  <c r="A80" i="30" s="1"/>
  <c r="A479" i="9"/>
  <c r="A160" i="9"/>
  <c r="A381" i="9"/>
  <c r="A458" i="9"/>
  <c r="A486" i="9"/>
  <c r="A514" i="9"/>
  <c r="A132" i="9"/>
  <c r="A27" i="9"/>
  <c r="A10" i="30" s="1"/>
  <c r="A808" i="9"/>
  <c r="A153" i="9"/>
  <c r="A423" i="9"/>
  <c r="A472" i="9"/>
  <c r="A395" i="9"/>
  <c r="A330" i="9"/>
  <c r="A500" i="9"/>
  <c r="A111" i="9"/>
  <c r="A94" i="30" s="1"/>
  <c r="A794" i="9"/>
  <c r="A167" i="9"/>
  <c r="A288" i="9"/>
  <c r="A409" i="9"/>
  <c r="A367" i="9"/>
  <c r="A260" i="9"/>
  <c r="A493" i="9"/>
  <c r="A614" i="9"/>
  <c r="A34" i="9"/>
  <c r="A17" i="30" s="1"/>
  <c r="A218" i="9"/>
  <c r="A281" i="9"/>
  <c r="A295" i="9"/>
  <c r="A125" i="9"/>
  <c r="A344" i="9"/>
  <c r="A444" i="9"/>
  <c r="A787" i="9"/>
  <c r="A62" i="9"/>
  <c r="A45" i="30" s="1"/>
  <c r="A197" i="9"/>
  <c r="A253" i="9"/>
  <c r="D465" i="9"/>
  <c r="I465" i="9" s="1"/>
  <c r="R140" i="30"/>
  <c r="AR310" i="9"/>
  <c r="BE127" i="9"/>
  <c r="BC127" i="9"/>
  <c r="D153" i="9"/>
  <c r="I153" i="9" s="1"/>
  <c r="AN153" i="9"/>
  <c r="AE317" i="9"/>
  <c r="AE133" i="9"/>
  <c r="AG508" i="9"/>
  <c r="AG507" i="9"/>
  <c r="AE112" i="9"/>
  <c r="AG112" i="9" s="1"/>
  <c r="AG573" i="9"/>
  <c r="AI573" i="9" s="1"/>
  <c r="AP573" i="9"/>
  <c r="P415" i="9"/>
  <c r="P419" i="9" s="1"/>
  <c r="P411" i="9"/>
  <c r="R418" i="9" s="1"/>
  <c r="BC92" i="9"/>
  <c r="AE89" i="9"/>
  <c r="W92" i="20" s="1"/>
  <c r="AG444" i="9"/>
  <c r="AG450" i="9"/>
  <c r="AI457" i="9" s="1"/>
  <c r="AG509" i="9"/>
  <c r="AP509" i="9" s="1"/>
  <c r="AT509" i="9" s="1"/>
  <c r="AE155" i="9"/>
  <c r="P132" i="30"/>
  <c r="AG132" i="30" s="1"/>
  <c r="D608" i="9"/>
  <c r="I608" i="9" s="1"/>
  <c r="AP608" i="9"/>
  <c r="P389" i="9"/>
  <c r="P390" i="9"/>
  <c r="AP439" i="9"/>
  <c r="AG439" i="9"/>
  <c r="AI439" i="9" s="1"/>
  <c r="AE146" i="9"/>
  <c r="AG500" i="9"/>
  <c r="AP422" i="9"/>
  <c r="AP426" i="9" s="1"/>
  <c r="AG422" i="9"/>
  <c r="AG460" i="9"/>
  <c r="AI460" i="9" s="1"/>
  <c r="AE105" i="9"/>
  <c r="AP581" i="9"/>
  <c r="AG581" i="9"/>
  <c r="B70" i="9"/>
  <c r="B53" i="30" s="1"/>
  <c r="B219" i="9"/>
  <c r="B261" i="9"/>
  <c r="B317" i="9"/>
  <c r="B417" i="9"/>
  <c r="B494" i="9"/>
  <c r="B515" i="9"/>
  <c r="B132" i="9"/>
  <c r="B43" i="9"/>
  <c r="B26" i="30" s="1"/>
  <c r="B213" i="9"/>
  <c r="B290" i="9"/>
  <c r="B346" i="9"/>
  <c r="B516" i="9"/>
  <c r="V159" i="10"/>
  <c r="X159" i="10" s="1"/>
  <c r="BV93" i="20"/>
  <c r="I308" i="9"/>
  <c r="AE154" i="9"/>
  <c r="AG154" i="9" s="1"/>
  <c r="AG485" i="9"/>
  <c r="AP485" i="9" s="1"/>
  <c r="B764" i="9"/>
  <c r="B750" i="9"/>
  <c r="B722" i="9"/>
  <c r="B736" i="9"/>
  <c r="B743" i="9"/>
  <c r="B757" i="9"/>
  <c r="B771" i="9"/>
  <c r="B729" i="9"/>
  <c r="B715" i="9"/>
  <c r="B565" i="9"/>
  <c r="B395" i="9"/>
  <c r="B253" i="9"/>
  <c r="B20" i="9"/>
  <c r="B558" i="9"/>
  <c r="B430" i="9"/>
  <c r="B204" i="9"/>
  <c r="B55" i="9"/>
  <c r="B38" i="30" s="1"/>
  <c r="B76" i="9"/>
  <c r="B59" i="30" s="1"/>
  <c r="B514" i="9"/>
  <c r="B402" i="9"/>
  <c r="B239" i="9"/>
  <c r="B780" i="9"/>
  <c r="B479" i="9"/>
  <c r="B323" i="9"/>
  <c r="B153" i="9"/>
  <c r="B69" i="9"/>
  <c r="B52" i="30" s="1"/>
  <c r="AB93" i="20"/>
  <c r="V95" i="10"/>
  <c r="X95" i="10" s="1"/>
  <c r="BC134" i="9"/>
  <c r="AB138" i="10"/>
  <c r="AD138" i="10" s="1"/>
  <c r="BG92" i="20"/>
  <c r="P147" i="30"/>
  <c r="Q147" i="30" s="1"/>
  <c r="D623" i="9"/>
  <c r="I623" i="9" s="1"/>
  <c r="D622" i="9"/>
  <c r="I622" i="9" s="1"/>
  <c r="T622" i="9" s="1"/>
  <c r="B723" i="9"/>
  <c r="B758" i="9"/>
  <c r="B772" i="9"/>
  <c r="B716" i="9"/>
  <c r="B751" i="9"/>
  <c r="B744" i="9"/>
  <c r="B730" i="9"/>
  <c r="B737" i="9"/>
  <c r="B765" i="9"/>
  <c r="B35" i="9"/>
  <c r="B18" i="30" s="1"/>
  <c r="B608" i="9"/>
  <c r="AG411" i="9"/>
  <c r="AI411" i="9" s="1"/>
  <c r="AN439" i="9"/>
  <c r="AR439" i="9" s="1"/>
  <c r="AG487" i="9"/>
  <c r="AE494" i="9"/>
  <c r="AG494" i="9" s="1"/>
  <c r="AP494" i="9" s="1"/>
  <c r="AE148" i="9"/>
  <c r="B766" i="9"/>
  <c r="B717" i="9"/>
  <c r="B752" i="9"/>
  <c r="B724" i="9"/>
  <c r="B745" i="9"/>
  <c r="B759" i="9"/>
  <c r="B773" i="9"/>
  <c r="B738" i="9"/>
  <c r="B731" i="9"/>
  <c r="B630" i="9"/>
  <c r="B588" i="9"/>
  <c r="B460" i="9"/>
  <c r="B432" i="9"/>
  <c r="B383" i="9"/>
  <c r="B325" i="9"/>
  <c r="B241" i="9"/>
  <c r="B162" i="9"/>
  <c r="B155" i="9"/>
  <c r="B78" i="9"/>
  <c r="B61" i="30" s="1"/>
  <c r="B623" i="9"/>
  <c r="B546" i="9"/>
  <c r="B474" i="9"/>
  <c r="B411" i="9"/>
  <c r="B339" i="9"/>
  <c r="B318" i="9"/>
  <c r="B227" i="9"/>
  <c r="B148" i="9"/>
  <c r="B262" i="9"/>
  <c r="B22" i="9"/>
  <c r="B57" i="9"/>
  <c r="B40" i="30" s="1"/>
  <c r="B810" i="9"/>
  <c r="B602" i="9"/>
  <c r="B595" i="9"/>
  <c r="B467" i="9"/>
  <c r="B446" i="9"/>
  <c r="B404" i="9"/>
  <c r="B304" i="9"/>
  <c r="B199" i="9"/>
  <c r="B127" i="9"/>
  <c r="B255" i="9"/>
  <c r="B50" i="9"/>
  <c r="B33" i="30" s="1"/>
  <c r="B803" i="9"/>
  <c r="B609" i="9"/>
  <c r="B553" i="9"/>
  <c r="B488" i="9"/>
  <c r="B376" i="9"/>
  <c r="B390" i="9"/>
  <c r="B276" i="9"/>
  <c r="B141" i="9"/>
  <c r="B120" i="9"/>
  <c r="AG227" i="9"/>
  <c r="AP255" i="9"/>
  <c r="AG255" i="9"/>
  <c r="AV312" i="9"/>
  <c r="Z416" i="9"/>
  <c r="R608" i="9"/>
  <c r="R615" i="9"/>
  <c r="F167" i="9"/>
  <c r="A763" i="9"/>
  <c r="A721" i="9"/>
  <c r="A770" i="9"/>
  <c r="AV600" i="9"/>
  <c r="AW600" i="9" s="1"/>
  <c r="A744" i="9"/>
  <c r="A758" i="9"/>
  <c r="A772" i="9"/>
  <c r="A730" i="9"/>
  <c r="A765" i="9"/>
  <c r="A716" i="9"/>
  <c r="A723" i="9"/>
  <c r="A751" i="9"/>
  <c r="A737" i="9"/>
  <c r="B725" i="9"/>
  <c r="B760" i="9"/>
  <c r="B746" i="9"/>
  <c r="B732" i="9"/>
  <c r="B718" i="9"/>
  <c r="B739" i="9"/>
  <c r="B753" i="9"/>
  <c r="B767" i="9"/>
  <c r="P153" i="9"/>
  <c r="Z153" i="9" s="1"/>
  <c r="P154" i="9"/>
  <c r="Z154" i="9" s="1"/>
  <c r="A766" i="9"/>
  <c r="A759" i="9"/>
  <c r="A731" i="9"/>
  <c r="K140" i="30"/>
  <c r="K133" i="30"/>
  <c r="E130" i="30"/>
  <c r="V130" i="30"/>
  <c r="AV137" i="30" s="1"/>
  <c r="K130" i="30"/>
  <c r="K137" i="30"/>
  <c r="K90" i="30"/>
  <c r="O9" i="5"/>
  <c r="AG123" i="30"/>
  <c r="E144" i="30"/>
  <c r="R123" i="30"/>
  <c r="S8" i="5"/>
  <c r="Q124" i="30"/>
  <c r="AG138" i="30"/>
  <c r="F138" i="30" s="1"/>
  <c r="BB93" i="20"/>
  <c r="P126" i="9"/>
  <c r="V152" i="10"/>
  <c r="X152" i="10" s="1"/>
  <c r="BP93" i="20"/>
  <c r="P161" i="9"/>
  <c r="V151" i="10"/>
  <c r="X151" i="10" s="1"/>
  <c r="V160" i="10"/>
  <c r="X160" i="10" s="1"/>
  <c r="R154" i="9"/>
  <c r="V145" i="10"/>
  <c r="X145" i="10" s="1"/>
  <c r="V153" i="10"/>
  <c r="X153" i="10" s="1"/>
  <c r="BR93" i="20"/>
  <c r="AN443" i="9"/>
  <c r="X89" i="9"/>
  <c r="D443" i="9"/>
  <c r="I443" i="9" s="1"/>
  <c r="A627" i="9"/>
  <c r="A366" i="9"/>
  <c r="A26" i="9"/>
  <c r="A9" i="30" s="1"/>
  <c r="A492" i="9"/>
  <c r="A117" i="9"/>
  <c r="A800" i="9"/>
  <c r="A401" i="9"/>
  <c r="A520" i="9"/>
  <c r="A252" i="9"/>
  <c r="A513" i="9"/>
  <c r="A373" i="9"/>
  <c r="A224" i="9"/>
  <c r="A343" i="9"/>
  <c r="A33" i="9"/>
  <c r="A16" i="30" s="1"/>
  <c r="A506" i="9"/>
  <c r="A422" i="9"/>
  <c r="A210" i="9"/>
  <c r="A196" i="9"/>
  <c r="A415" i="9"/>
  <c r="A471" i="9"/>
  <c r="A408" i="9"/>
  <c r="A203" i="9"/>
  <c r="A75" i="9"/>
  <c r="A58" i="30" s="1"/>
  <c r="A96" i="9"/>
  <c r="A79" i="30" s="1"/>
  <c r="A301" i="9"/>
  <c r="A814" i="9"/>
  <c r="A592" i="9"/>
  <c r="A443" i="9"/>
  <c r="A322" i="9"/>
  <c r="A189" i="9"/>
  <c r="A550" i="9"/>
  <c r="A294" i="9"/>
  <c r="A47" i="9"/>
  <c r="A30" i="30" s="1"/>
  <c r="A599" i="9"/>
  <c r="A287" i="9"/>
  <c r="A578" i="9"/>
  <c r="A280" i="9"/>
  <c r="A61" i="9"/>
  <c r="A44" i="30" s="1"/>
  <c r="A786" i="9"/>
  <c r="A457" i="9"/>
  <c r="A131" i="9"/>
  <c r="A543" i="9"/>
  <c r="A450" i="9"/>
  <c r="A429" i="9"/>
  <c r="A613" i="9"/>
  <c r="A394" i="9"/>
  <c r="A478" i="9"/>
  <c r="A166" i="9"/>
  <c r="A245" i="9"/>
  <c r="A807" i="9"/>
  <c r="A779" i="9"/>
  <c r="A231" i="9"/>
  <c r="A82" i="9"/>
  <c r="A65" i="30" s="1"/>
  <c r="A259" i="9"/>
  <c r="A159" i="9"/>
  <c r="E124" i="30"/>
  <c r="E131" i="30"/>
  <c r="AG137" i="30"/>
  <c r="AY137" i="30" s="1"/>
  <c r="Q137" i="30"/>
  <c r="V137" i="30"/>
  <c r="AV144" i="30" s="1"/>
  <c r="BG93" i="9"/>
  <c r="AN273" i="9"/>
  <c r="AN282" i="9"/>
  <c r="AR282" i="9" s="1"/>
  <c r="AN573" i="9"/>
  <c r="AR573" i="9" s="1"/>
  <c r="AN13" i="9"/>
  <c r="Z13" i="9"/>
  <c r="D20" i="9"/>
  <c r="AB47" i="30"/>
  <c r="CY68" i="20"/>
  <c r="E36" i="61"/>
  <c r="AN27" i="9"/>
  <c r="AP29" i="9"/>
  <c r="AE33" i="9"/>
  <c r="AB32" i="10" s="1"/>
  <c r="AD32" i="10" s="1"/>
  <c r="A501" i="9"/>
  <c r="A219" i="9"/>
  <c r="A63" i="9"/>
  <c r="A46" i="30" s="1"/>
  <c r="A424" i="9"/>
  <c r="A161" i="9"/>
  <c r="A629" i="9"/>
  <c r="A345" i="9"/>
  <c r="A140" i="9"/>
  <c r="A410" i="9"/>
  <c r="A105" i="9"/>
  <c r="A88" i="30" s="1"/>
  <c r="A515" i="9"/>
  <c r="A487" i="9"/>
  <c r="A226" i="9"/>
  <c r="A84" i="9"/>
  <c r="A67" i="30" s="1"/>
  <c r="A480" i="9"/>
  <c r="A133" i="9"/>
  <c r="A303" i="9"/>
  <c r="D592" i="9"/>
  <c r="I592" i="9" s="1"/>
  <c r="AK592" i="9" s="1"/>
  <c r="AN585" i="9"/>
  <c r="AR585" i="9" s="1"/>
  <c r="B267" i="9"/>
  <c r="B437" i="9"/>
  <c r="B621" i="9"/>
  <c r="B336" i="9"/>
  <c r="B807" i="9"/>
  <c r="B301" i="9"/>
  <c r="B599" i="9"/>
  <c r="B196" i="9"/>
  <c r="B578" i="9"/>
  <c r="B224" i="9"/>
  <c r="AN14" i="9"/>
  <c r="D472" i="9"/>
  <c r="I472" i="9" s="1"/>
  <c r="B34" i="9"/>
  <c r="B17" i="30" s="1"/>
  <c r="B48" i="9"/>
  <c r="B31" i="30" s="1"/>
  <c r="B794" i="9"/>
  <c r="B600" i="9"/>
  <c r="B572" i="9"/>
  <c r="B500" i="9"/>
  <c r="B381" i="9"/>
  <c r="B330" i="9"/>
  <c r="B232" i="9"/>
  <c r="B260" i="9"/>
  <c r="B146" i="9"/>
  <c r="B801" i="9"/>
  <c r="B593" i="9"/>
  <c r="B521" i="9"/>
  <c r="B458" i="9"/>
  <c r="B367" i="9"/>
  <c r="B309" i="9"/>
  <c r="B218" i="9"/>
  <c r="B118" i="9"/>
  <c r="B125" i="9"/>
  <c r="B62" i="9"/>
  <c r="B45" i="30" s="1"/>
  <c r="B544" i="9"/>
  <c r="B507" i="9"/>
  <c r="B444" i="9"/>
  <c r="B409" i="9"/>
  <c r="B281" i="9"/>
  <c r="B211" i="9"/>
  <c r="B104" i="9"/>
  <c r="B87" i="30" s="1"/>
  <c r="B111" i="9"/>
  <c r="B94" i="30" s="1"/>
  <c r="B41" i="9"/>
  <c r="B24" i="30" s="1"/>
  <c r="B787" i="9"/>
  <c r="B579" i="9"/>
  <c r="B493" i="9"/>
  <c r="B423" i="9"/>
  <c r="B344" i="9"/>
  <c r="B302" i="9"/>
  <c r="B246" i="9"/>
  <c r="B139" i="9"/>
  <c r="B83" i="9"/>
  <c r="B66" i="30" s="1"/>
  <c r="B781" i="9"/>
  <c r="B522" i="9"/>
  <c r="B98" i="9"/>
  <c r="B81" i="30" s="1"/>
  <c r="B622" i="9"/>
  <c r="B601" i="9"/>
  <c r="B63" i="9"/>
  <c r="B46" i="30" s="1"/>
  <c r="B77" i="9"/>
  <c r="B60" i="30" s="1"/>
  <c r="B615" i="9"/>
  <c r="B545" i="9"/>
  <c r="AG139" i="30"/>
  <c r="AG141" i="30" s="1"/>
  <c r="BA93" i="20"/>
  <c r="P132" i="9"/>
  <c r="R139" i="9" s="1"/>
  <c r="V130" i="10"/>
  <c r="X130" i="10" s="1"/>
  <c r="Z130" i="10" s="1"/>
  <c r="V139" i="10"/>
  <c r="X139" i="10" s="1"/>
  <c r="P140" i="9"/>
  <c r="R147" i="9" s="1"/>
  <c r="T147" i="9" s="1"/>
  <c r="BH93" i="20"/>
  <c r="BG93" i="20"/>
  <c r="K167" i="9"/>
  <c r="V166" i="10" s="1"/>
  <c r="X166" i="10" s="1"/>
  <c r="Z166" i="10" s="1"/>
  <c r="P166" i="9"/>
  <c r="Z166" i="9" s="1"/>
  <c r="P345" i="9"/>
  <c r="V158" i="10"/>
  <c r="X158" i="10" s="1"/>
  <c r="Z158" i="10" s="1"/>
  <c r="P160" i="9"/>
  <c r="P151" i="30"/>
  <c r="D151" i="30"/>
  <c r="W166" i="9"/>
  <c r="D166" i="9" s="1"/>
  <c r="CR255" i="1"/>
  <c r="CS30" i="1"/>
  <c r="DE30" i="1"/>
  <c r="CQ50" i="1"/>
  <c r="AG144" i="30"/>
  <c r="DK85" i="20"/>
  <c r="DL85" i="20"/>
  <c r="BB92" i="20"/>
  <c r="AI492" i="9"/>
  <c r="AP103" i="9"/>
  <c r="AP107" i="9" s="1"/>
  <c r="BR92" i="20"/>
  <c r="AB153" i="10"/>
  <c r="AD153" i="10" s="1"/>
  <c r="AF153" i="10" s="1"/>
  <c r="AG147" i="9"/>
  <c r="AP147" i="9" s="1"/>
  <c r="BL92" i="20"/>
  <c r="AN159" i="9"/>
  <c r="AP486" i="9"/>
  <c r="AT493" i="9" s="1"/>
  <c r="AI486" i="9"/>
  <c r="R126" i="30"/>
  <c r="AN92" i="20"/>
  <c r="AI588" i="9"/>
  <c r="AI296" i="9"/>
  <c r="AN134" i="9"/>
  <c r="AP507" i="9"/>
  <c r="AI507" i="9"/>
  <c r="AE140" i="9"/>
  <c r="BH92" i="20" s="1"/>
  <c r="AG317" i="9"/>
  <c r="AI317" i="9" s="1"/>
  <c r="AK317" i="9" s="1"/>
  <c r="AG318" i="9"/>
  <c r="AI318" i="9" s="1"/>
  <c r="AK318" i="9" s="1"/>
  <c r="D160" i="9"/>
  <c r="I160" i="9" s="1"/>
  <c r="AN160" i="9"/>
  <c r="P127" i="30"/>
  <c r="AI423" i="9"/>
  <c r="AP602" i="9"/>
  <c r="AI602" i="9"/>
  <c r="J141" i="30"/>
  <c r="V9" i="5" s="1"/>
  <c r="D510" i="9"/>
  <c r="D517" i="9"/>
  <c r="AB117" i="10"/>
  <c r="AD117" i="10" s="1"/>
  <c r="AR92" i="20"/>
  <c r="AP118" i="9"/>
  <c r="AI580" i="9"/>
  <c r="R119" i="30"/>
  <c r="V126" i="30"/>
  <c r="AV133" i="30" s="1"/>
  <c r="AG148" i="9"/>
  <c r="AG152" i="9"/>
  <c r="AG155" i="9"/>
  <c r="Z415" i="9"/>
  <c r="Z419" i="9" s="1"/>
  <c r="D141" i="9"/>
  <c r="I141" i="9" s="1"/>
  <c r="D148" i="9"/>
  <c r="AG424" i="9"/>
  <c r="AP601" i="9"/>
  <c r="AI601" i="9"/>
  <c r="AG603" i="9"/>
  <c r="AI608" i="9"/>
  <c r="AN155" i="9"/>
  <c r="AR155" i="9" s="1"/>
  <c r="D155" i="9"/>
  <c r="W156" i="9"/>
  <c r="AN156" i="9" s="1"/>
  <c r="P134" i="30"/>
  <c r="D610" i="9"/>
  <c r="R161" i="9"/>
  <c r="R396" i="9"/>
  <c r="Q131" i="30"/>
  <c r="Q138" i="30"/>
  <c r="AI500" i="9"/>
  <c r="AP500" i="9"/>
  <c r="AT500" i="9" s="1"/>
  <c r="AI446" i="9"/>
  <c r="AG133" i="9"/>
  <c r="Z161" i="9"/>
  <c r="AI493" i="9"/>
  <c r="B32" i="9"/>
  <c r="AN146" i="9"/>
  <c r="D146" i="9"/>
  <c r="I146" i="9" s="1"/>
  <c r="W149" i="9"/>
  <c r="AN149" i="9" s="1"/>
  <c r="AR487" i="9"/>
  <c r="AP487" i="9"/>
  <c r="R503" i="9"/>
  <c r="R510" i="9"/>
  <c r="CR120" i="1"/>
  <c r="CQ70" i="1"/>
  <c r="AP318" i="9"/>
  <c r="AT318" i="9" s="1"/>
  <c r="AR154" i="9"/>
  <c r="AG140" i="9"/>
  <c r="AP140" i="9" s="1"/>
  <c r="F166" i="9"/>
  <c r="CM269" i="1"/>
  <c r="CN269" i="1" s="1"/>
  <c r="AU24" i="2"/>
  <c r="AU23" i="2" s="1"/>
  <c r="DH15" i="20"/>
  <c r="N12" i="61" s="1"/>
  <c r="N92" i="61" s="1"/>
  <c r="J165" i="10"/>
  <c r="N165" i="10"/>
  <c r="X165" i="10"/>
  <c r="P165" i="10"/>
  <c r="CM10" i="11"/>
  <c r="CL34" i="11"/>
  <c r="CQ34" i="11"/>
  <c r="H31" i="11"/>
  <c r="L19" i="11"/>
  <c r="CG24" i="1"/>
  <c r="AV103" i="1"/>
  <c r="BO46" i="1"/>
  <c r="BM55" i="1"/>
  <c r="CN101" i="1"/>
  <c r="BL103" i="1"/>
  <c r="I59" i="15"/>
  <c r="BV73" i="20"/>
  <c r="AC14" i="1"/>
  <c r="AP23" i="1"/>
  <c r="AW21" i="1"/>
  <c r="BA23" i="1"/>
  <c r="BE23" i="1"/>
  <c r="BI23" i="1"/>
  <c r="BQ23" i="1"/>
  <c r="BU23" i="1"/>
  <c r="CG20" i="1"/>
  <c r="BU34" i="1"/>
  <c r="BL45" i="1"/>
  <c r="BL66" i="1"/>
  <c r="BG118" i="9"/>
  <c r="D29" i="10"/>
  <c r="L34" i="10"/>
  <c r="L48" i="10"/>
  <c r="D57" i="10"/>
  <c r="L57" i="10" s="1"/>
  <c r="L96" i="10"/>
  <c r="L110" i="10"/>
  <c r="L111" i="10"/>
  <c r="L130" i="10"/>
  <c r="L137" i="10"/>
  <c r="L140" i="10"/>
  <c r="L154" i="10"/>
  <c r="AM12" i="20"/>
  <c r="AI59" i="20"/>
  <c r="F67" i="20"/>
  <c r="Q67" i="2"/>
  <c r="Q72" i="2" s="1"/>
  <c r="BP34" i="1"/>
  <c r="BT14" i="1"/>
  <c r="AZ16" i="1"/>
  <c r="AH23" i="1"/>
  <c r="AL22" i="1"/>
  <c r="AW20" i="1"/>
  <c r="AW22" i="1"/>
  <c r="BE20" i="1"/>
  <c r="BM22" i="1"/>
  <c r="BU20" i="1"/>
  <c r="CC21" i="1"/>
  <c r="CK22" i="1"/>
  <c r="H24" i="1"/>
  <c r="C10" i="15"/>
  <c r="C15" i="15" s="1"/>
  <c r="I10" i="15"/>
  <c r="BA35" i="1"/>
  <c r="R24" i="15"/>
  <c r="BG124" i="9"/>
  <c r="BG126" i="9"/>
  <c r="L91" i="10"/>
  <c r="L104" i="10"/>
  <c r="CN10" i="11"/>
  <c r="E7" i="77" s="1"/>
  <c r="E8" i="77" s="1"/>
  <c r="M54" i="1"/>
  <c r="D65" i="5"/>
  <c r="L92" i="1"/>
  <c r="M82" i="1"/>
  <c r="L76" i="1"/>
  <c r="M86" i="1"/>
  <c r="U90" i="1"/>
  <c r="Q90" i="1"/>
  <c r="P43" i="15"/>
  <c r="U75" i="1"/>
  <c r="AZ74" i="1"/>
  <c r="BA74" i="1"/>
  <c r="L74" i="1"/>
  <c r="Q75" i="1"/>
  <c r="AK102" i="1"/>
  <c r="AG102" i="1"/>
  <c r="E75" i="20"/>
  <c r="L48" i="15"/>
  <c r="Y70" i="2"/>
  <c r="V10" i="3" s="1"/>
  <c r="V16" i="3" s="1"/>
  <c r="V33" i="3" s="1"/>
  <c r="V45" i="3" s="1"/>
  <c r="T102" i="1"/>
  <c r="U85" i="1"/>
  <c r="I54" i="1"/>
  <c r="C65" i="5"/>
  <c r="N54" i="1"/>
  <c r="AV95" i="1"/>
  <c r="AO95" i="1"/>
  <c r="AN104" i="1"/>
  <c r="AV104" i="1" s="1"/>
  <c r="AV94" i="1"/>
  <c r="CF95" i="1"/>
  <c r="T95" i="1"/>
  <c r="T96" i="1"/>
  <c r="D24" i="15"/>
  <c r="R34" i="1"/>
  <c r="L127" i="10"/>
  <c r="BK94" i="1"/>
  <c r="BP94" i="1"/>
  <c r="BK96" i="1"/>
  <c r="CK24" i="1"/>
  <c r="CC45" i="1"/>
  <c r="AL54" i="1"/>
  <c r="AF22" i="11"/>
  <c r="N53" i="1"/>
  <c r="X71" i="1"/>
  <c r="C30" i="61"/>
  <c r="P26" i="15"/>
  <c r="DA8" i="20"/>
  <c r="P31" i="15"/>
  <c r="G6" i="61"/>
  <c r="G127" i="61" s="1"/>
  <c r="P17" i="15"/>
  <c r="AG67" i="2"/>
  <c r="AG72" i="2" s="1"/>
  <c r="AR52" i="1"/>
  <c r="BE71" i="1"/>
  <c r="AY75" i="1"/>
  <c r="AY91" i="1"/>
  <c r="T39" i="10"/>
  <c r="BE72" i="1"/>
  <c r="AB106" i="1"/>
  <c r="F29" i="10"/>
  <c r="BA56" i="1"/>
  <c r="F8" i="15"/>
  <c r="F37" i="15"/>
  <c r="F13" i="15"/>
  <c r="P36" i="1"/>
  <c r="BX102" i="1"/>
  <c r="BG76" i="1"/>
  <c r="BG74" i="1"/>
  <c r="E24" i="1"/>
  <c r="H132" i="61"/>
  <c r="F88" i="61"/>
  <c r="H18" i="11"/>
  <c r="H30" i="11"/>
  <c r="H36" i="11"/>
  <c r="X30" i="11"/>
  <c r="X24" i="11"/>
  <c r="AB31" i="11"/>
  <c r="AB37" i="11"/>
  <c r="AN25" i="11"/>
  <c r="AN31" i="11"/>
  <c r="CB34" i="11"/>
  <c r="CB16" i="11"/>
  <c r="CB22" i="11"/>
  <c r="CB28" i="11" s="1"/>
  <c r="AB30" i="11"/>
  <c r="AB24" i="11"/>
  <c r="AB18" i="11"/>
  <c r="AB36" i="11"/>
  <c r="AV30" i="11"/>
  <c r="AV18" i="11"/>
  <c r="AZ37" i="11"/>
  <c r="AZ31" i="11"/>
  <c r="AZ25" i="11"/>
  <c r="BL24" i="11"/>
  <c r="BL18" i="11"/>
  <c r="P18" i="11"/>
  <c r="P36" i="11"/>
  <c r="J13" i="15"/>
  <c r="J33" i="15"/>
  <c r="J28" i="15"/>
  <c r="J59" i="15"/>
  <c r="J11" i="15"/>
  <c r="J15" i="15"/>
  <c r="H7" i="15"/>
  <c r="H15" i="15" s="1"/>
  <c r="O7" i="15"/>
  <c r="O37" i="15"/>
  <c r="CJ14" i="1"/>
  <c r="D155" i="10"/>
  <c r="AG15" i="1"/>
  <c r="AG25" i="1"/>
  <c r="AL15" i="1"/>
  <c r="AL16" i="1" s="1"/>
  <c r="AK25" i="1"/>
  <c r="CN36" i="1"/>
  <c r="CB65" i="1"/>
  <c r="V15" i="1"/>
  <c r="V16" i="1" s="1"/>
  <c r="AO36" i="1"/>
  <c r="AO16" i="1"/>
  <c r="AV25" i="1"/>
  <c r="AW15" i="1"/>
  <c r="AW16" i="1" s="1"/>
  <c r="AV65" i="1"/>
  <c r="AC66" i="1"/>
  <c r="AP22" i="1"/>
  <c r="AW23" i="1"/>
  <c r="BA22" i="1"/>
  <c r="BI20" i="1"/>
  <c r="BM23" i="1"/>
  <c r="BQ22" i="1"/>
  <c r="E26" i="1"/>
  <c r="H71" i="1"/>
  <c r="A22" i="9"/>
  <c r="BG97" i="9"/>
  <c r="R10" i="15"/>
  <c r="U68" i="2"/>
  <c r="B22" i="10"/>
  <c r="B36" i="10"/>
  <c r="CS20" i="1"/>
  <c r="L60" i="10"/>
  <c r="CO23" i="1"/>
  <c r="L69" i="10"/>
  <c r="L103" i="10"/>
  <c r="L123" i="10"/>
  <c r="L124" i="10"/>
  <c r="B24" i="11"/>
  <c r="B19" i="11"/>
  <c r="G68" i="2"/>
  <c r="I24" i="1"/>
  <c r="I11" i="61"/>
  <c r="DC13" i="20"/>
  <c r="R26" i="15"/>
  <c r="CT10" i="20"/>
  <c r="CT12" i="20" s="1"/>
  <c r="I20" i="15"/>
  <c r="I11" i="15"/>
  <c r="I33" i="15"/>
  <c r="I15" i="15"/>
  <c r="L29" i="10"/>
  <c r="H28" i="15"/>
  <c r="H26" i="15"/>
  <c r="H11" i="15"/>
  <c r="H37" i="15"/>
  <c r="BM74" i="1"/>
  <c r="V36" i="1"/>
  <c r="AZ91" i="1"/>
  <c r="AY101" i="1"/>
  <c r="AG73" i="2"/>
  <c r="G86" i="61"/>
  <c r="G110" i="61" s="1"/>
  <c r="AD71" i="1"/>
  <c r="Y71" i="1"/>
  <c r="Y81" i="1"/>
  <c r="BP96" i="1"/>
  <c r="Y102" i="1"/>
  <c r="I71" i="1"/>
  <c r="I81" i="1"/>
  <c r="N71" i="1"/>
  <c r="O11" i="15"/>
  <c r="O31" i="15"/>
  <c r="BH76" i="1"/>
  <c r="BM76" i="1"/>
  <c r="BH86" i="1"/>
  <c r="AZ85" i="1"/>
  <c r="AU38" i="2"/>
  <c r="AU41" i="2"/>
  <c r="AU94" i="2"/>
  <c r="BK104" i="1"/>
  <c r="BP104" i="1" s="1"/>
  <c r="M84" i="1"/>
  <c r="M74" i="1"/>
  <c r="M76" i="1"/>
  <c r="CN16" i="11"/>
  <c r="CN22" i="11" s="1"/>
  <c r="CN28" i="11" s="1"/>
  <c r="I34" i="15"/>
  <c r="I65" i="5"/>
  <c r="C11" i="15"/>
  <c r="AR29" i="3"/>
  <c r="AR31" i="3" s="1"/>
  <c r="AY104" i="2"/>
  <c r="AY110" i="2" s="1"/>
  <c r="AV13" i="3"/>
  <c r="AU96" i="2"/>
  <c r="AU50" i="2"/>
  <c r="AU52" i="2" s="1"/>
  <c r="AA100" i="30"/>
  <c r="AL87" i="30"/>
  <c r="AR46" i="30"/>
  <c r="L54" i="30"/>
  <c r="L79" i="30"/>
  <c r="L44" i="30"/>
  <c r="R66" i="30"/>
  <c r="S56" i="5"/>
  <c r="H92" i="61"/>
  <c r="DK11" i="1"/>
  <c r="CA68" i="20"/>
  <c r="CR11" i="1"/>
  <c r="CR61" i="1"/>
  <c r="F166" i="10"/>
  <c r="T165" i="10" s="1"/>
  <c r="D166" i="10"/>
  <c r="L166" i="10" s="1"/>
  <c r="CQ15" i="1"/>
  <c r="CQ35" i="1"/>
  <c r="BH266" i="1"/>
  <c r="BG267" i="1"/>
  <c r="BG268" i="1" s="1"/>
  <c r="AJ15" i="20" s="1"/>
  <c r="P629" i="9"/>
  <c r="R521" i="9"/>
  <c r="K168" i="9"/>
  <c r="P167" i="9"/>
  <c r="R167" i="9" s="1"/>
  <c r="P152" i="30"/>
  <c r="Q152" i="30" s="1"/>
  <c r="J152" i="30"/>
  <c r="F174" i="9"/>
  <c r="W167" i="9"/>
  <c r="Z167" i="9" s="1"/>
  <c r="D152" i="30"/>
  <c r="E152" i="30" s="1"/>
  <c r="BG270" i="1"/>
  <c r="N57" i="15"/>
  <c r="CY28" i="20" s="1"/>
  <c r="CA245" i="1"/>
  <c r="AH15" i="20"/>
  <c r="AH55" i="20" s="1"/>
  <c r="AH64" i="20" s="1"/>
  <c r="CY37" i="20"/>
  <c r="BU43" i="20"/>
  <c r="BU33" i="20" s="1"/>
  <c r="W37" i="20"/>
  <c r="W39" i="20" s="1"/>
  <c r="W40" i="20" s="1"/>
  <c r="CQ261" i="1"/>
  <c r="AN270" i="1"/>
  <c r="AV266" i="1"/>
  <c r="N15" i="20"/>
  <c r="CQ260" i="1"/>
  <c r="CA267" i="1"/>
  <c r="CA271" i="1"/>
  <c r="CI271" i="1"/>
  <c r="CN271" i="1"/>
  <c r="AU270" i="1"/>
  <c r="AU267" i="1"/>
  <c r="AU268" i="1"/>
  <c r="S15" i="20"/>
  <c r="X37" i="20"/>
  <c r="N45" i="20"/>
  <c r="N43" i="20" s="1"/>
  <c r="N33" i="20" s="1"/>
  <c r="BS209" i="1"/>
  <c r="CA177" i="1"/>
  <c r="CA210" i="1" s="1"/>
  <c r="CA209" i="1"/>
  <c r="CR256" i="1"/>
  <c r="CQ115" i="1"/>
  <c r="CQ25" i="1"/>
  <c r="CR25" i="1" s="1"/>
  <c r="CS25" i="1" s="1"/>
  <c r="CR35" i="1"/>
  <c r="CS31" i="1"/>
  <c r="DE31" i="1" s="1"/>
  <c r="CQ51" i="1"/>
  <c r="CS15" i="1"/>
  <c r="CM11" i="11"/>
  <c r="CL35" i="11"/>
  <c r="T15" i="20"/>
  <c r="CR122" i="1"/>
  <c r="CQ116" i="1"/>
  <c r="CQ85" i="1"/>
  <c r="I344" i="9"/>
  <c r="T344" i="9" s="1"/>
  <c r="I521" i="9"/>
  <c r="F13" i="5"/>
  <c r="AS9" i="5"/>
  <c r="AS8" i="5"/>
  <c r="G13" i="5"/>
  <c r="V57" i="15"/>
  <c r="DG28" i="20" s="1"/>
  <c r="U27" i="20"/>
  <c r="AY258" i="1"/>
  <c r="AY244" i="1" s="1"/>
  <c r="U37" i="20"/>
  <c r="CA270" i="1"/>
  <c r="BG15" i="20"/>
  <c r="AO266" i="1"/>
  <c r="AB32" i="20"/>
  <c r="R36" i="20"/>
  <c r="AG32" i="20"/>
  <c r="CN123" i="1"/>
  <c r="BQ36" i="20"/>
  <c r="BS35" i="20"/>
  <c r="CQ125" i="1"/>
  <c r="BW36" i="20"/>
  <c r="BM32" i="20"/>
  <c r="CI124" i="1"/>
  <c r="V56" i="15" s="1"/>
  <c r="AR32" i="20"/>
  <c r="BW32" i="20"/>
  <c r="DG35" i="20"/>
  <c r="BR32" i="20"/>
  <c r="L104" i="61"/>
  <c r="L148" i="61" s="1"/>
  <c r="Z27" i="20"/>
  <c r="CQ71" i="1"/>
  <c r="CS71" i="1" s="1"/>
  <c r="CR51" i="1"/>
  <c r="P166" i="10"/>
  <c r="N166" i="10"/>
  <c r="J166" i="10"/>
  <c r="AB49" i="10"/>
  <c r="AD49" i="10" s="1"/>
  <c r="AE54" i="9"/>
  <c r="AP50" i="9"/>
  <c r="H116" i="61"/>
  <c r="H75" i="61"/>
  <c r="H169" i="61"/>
  <c r="E116" i="61"/>
  <c r="AG61" i="9"/>
  <c r="AP22" i="9"/>
  <c r="AE26" i="9"/>
  <c r="AG19" i="9"/>
  <c r="AR19" i="9" s="1"/>
  <c r="AP19" i="9"/>
  <c r="AP23" i="9" s="1"/>
  <c r="AG513" i="9"/>
  <c r="AP513" i="9" s="1"/>
  <c r="C169" i="61"/>
  <c r="C116" i="61"/>
  <c r="I13" i="5"/>
  <c r="D13" i="5"/>
  <c r="AU8" i="5"/>
  <c r="E13" i="5"/>
  <c r="AU9" i="5"/>
  <c r="T56" i="5"/>
  <c r="U56" i="5"/>
  <c r="AG126" i="30"/>
  <c r="F517" i="9"/>
  <c r="I517" i="9" s="1"/>
  <c r="I514" i="9"/>
  <c r="D573" i="9"/>
  <c r="I573" i="9" s="1"/>
  <c r="AK573" i="9" s="1"/>
  <c r="I620" i="9"/>
  <c r="F624" i="9"/>
  <c r="AN566" i="9"/>
  <c r="AN260" i="9"/>
  <c r="AR260" i="9" s="1"/>
  <c r="X97" i="9"/>
  <c r="AN274" i="9"/>
  <c r="AR274" i="9" s="1"/>
  <c r="AN283" i="9"/>
  <c r="AR283" i="9" s="1"/>
  <c r="I316" i="9"/>
  <c r="Z295" i="9"/>
  <c r="AN295" i="9"/>
  <c r="D302" i="9"/>
  <c r="I302" i="9" s="1"/>
  <c r="D295" i="9"/>
  <c r="I295" i="9" s="1"/>
  <c r="Q132" i="30"/>
  <c r="Q139" i="30"/>
  <c r="D262" i="9"/>
  <c r="I262" i="9" s="1"/>
  <c r="DI11" i="1"/>
  <c r="DG11" i="1"/>
  <c r="BL68" i="20"/>
  <c r="CG15" i="1"/>
  <c r="CG16" i="1" s="1"/>
  <c r="F123" i="30"/>
  <c r="AY123" i="30"/>
  <c r="AR123" i="30"/>
  <c r="E126" i="30"/>
  <c r="Q116" i="30"/>
  <c r="AG145" i="30"/>
  <c r="AN287" i="9"/>
  <c r="D294" i="9"/>
  <c r="I294" i="9" s="1"/>
  <c r="D287" i="9"/>
  <c r="I287" i="9" s="1"/>
  <c r="D572" i="9"/>
  <c r="I572" i="9" s="1"/>
  <c r="AN586" i="9"/>
  <c r="K131" i="30"/>
  <c r="V138" i="30"/>
  <c r="Q140" i="30"/>
  <c r="BB68" i="20"/>
  <c r="G125" i="9"/>
  <c r="DF11" i="1"/>
  <c r="AN422" i="9"/>
  <c r="AR422" i="9" s="1"/>
  <c r="D429" i="9"/>
  <c r="I429" i="9" s="1"/>
  <c r="AN436" i="9"/>
  <c r="AN465" i="9"/>
  <c r="AR465" i="9" s="1"/>
  <c r="D485" i="9"/>
  <c r="I485" i="9" s="1"/>
  <c r="D446" i="9"/>
  <c r="I446" i="9" s="1"/>
  <c r="D460" i="9"/>
  <c r="I460" i="9" s="1"/>
  <c r="D34" i="9"/>
  <c r="I34" i="9" s="1"/>
  <c r="V132" i="30"/>
  <c r="AV139" i="30" s="1"/>
  <c r="E139" i="30"/>
  <c r="AN34" i="9"/>
  <c r="BY15" i="1"/>
  <c r="BY16" i="1" s="1"/>
  <c r="AN281" i="9"/>
  <c r="D281" i="9"/>
  <c r="I281" i="9" s="1"/>
  <c r="AN564" i="9"/>
  <c r="AR564" i="9" s="1"/>
  <c r="F617" i="9"/>
  <c r="I617" i="9" s="1"/>
  <c r="I613" i="9"/>
  <c r="AK613" i="9" s="1"/>
  <c r="E140" i="30"/>
  <c r="V133" i="30"/>
  <c r="AV140" i="30" s="1"/>
  <c r="AU140" i="30" s="1"/>
  <c r="E133" i="30"/>
  <c r="K144" i="30"/>
  <c r="K151" i="30"/>
  <c r="R144" i="30"/>
  <c r="I606" i="9"/>
  <c r="X606" i="9" s="1"/>
  <c r="F610" i="9"/>
  <c r="P110" i="30"/>
  <c r="R110" i="30" s="1"/>
  <c r="D736" i="9"/>
  <c r="G736" i="9" s="1"/>
  <c r="F326" i="9"/>
  <c r="H134" i="30" s="1"/>
  <c r="DF69" i="20" s="1"/>
  <c r="Q151" i="30"/>
  <c r="R112" i="30"/>
  <c r="DG10" i="1"/>
  <c r="X760" i="9"/>
  <c r="F503" i="9"/>
  <c r="N134" i="30" s="1"/>
  <c r="DF70" i="20" s="1"/>
  <c r="Q145" i="30"/>
  <c r="D737" i="9"/>
  <c r="G737" i="9" s="1"/>
  <c r="D49" i="9"/>
  <c r="I49" i="9" s="1"/>
  <c r="E147" i="30"/>
  <c r="F137" i="30"/>
  <c r="L137" i="30"/>
  <c r="AR137" i="30"/>
  <c r="AN33" i="9"/>
  <c r="AN424" i="9"/>
  <c r="AR424" i="9" s="1"/>
  <c r="D424" i="9"/>
  <c r="I424" i="9" s="1"/>
  <c r="L118" i="30"/>
  <c r="K125" i="30"/>
  <c r="AG118" i="30"/>
  <c r="AY118" i="30" s="1"/>
  <c r="T607" i="9"/>
  <c r="X607" i="9"/>
  <c r="E151" i="30"/>
  <c r="V10" i="5"/>
  <c r="Q148" i="30"/>
  <c r="AV68" i="20"/>
  <c r="D254" i="9"/>
  <c r="I254" i="9" s="1"/>
  <c r="AN247" i="9"/>
  <c r="D247" i="9"/>
  <c r="I247" i="9" s="1"/>
  <c r="AR144" i="30"/>
  <c r="AK144" i="30" s="1"/>
  <c r="F144" i="30"/>
  <c r="V124" i="30"/>
  <c r="AG124" i="30"/>
  <c r="AY124" i="30" s="1"/>
  <c r="I493" i="9"/>
  <c r="T493" i="9" s="1"/>
  <c r="E109" i="30"/>
  <c r="D110" i="30"/>
  <c r="E117" i="30"/>
  <c r="K124" i="30"/>
  <c r="AG131" i="30"/>
  <c r="E138" i="30"/>
  <c r="V131" i="30"/>
  <c r="AV138" i="30" s="1"/>
  <c r="F340" i="9"/>
  <c r="I336" i="9"/>
  <c r="X117" i="9"/>
  <c r="AN117" i="9" s="1"/>
  <c r="AN471" i="9"/>
  <c r="AR471" i="9" s="1"/>
  <c r="D280" i="9"/>
  <c r="I280" i="9" s="1"/>
  <c r="X103" i="9"/>
  <c r="DF14" i="1"/>
  <c r="T51" i="5"/>
  <c r="DG12" i="1"/>
  <c r="DF12" i="1"/>
  <c r="AN261" i="9"/>
  <c r="AR261" i="9" s="1"/>
  <c r="D261" i="9"/>
  <c r="I261" i="9" s="1"/>
  <c r="X263" i="9"/>
  <c r="G263" i="9" s="1"/>
  <c r="G69" i="30" s="1"/>
  <c r="AN275" i="9"/>
  <c r="AR275" i="9" s="1"/>
  <c r="D275" i="9"/>
  <c r="I275" i="9" s="1"/>
  <c r="I331" i="9"/>
  <c r="T331" i="9" s="1"/>
  <c r="F333" i="9"/>
  <c r="H141" i="30" s="1"/>
  <c r="DG69" i="20" s="1"/>
  <c r="AN450" i="9"/>
  <c r="AR450" i="9" s="1"/>
  <c r="X454" i="9"/>
  <c r="D457" i="9"/>
  <c r="I457" i="9" s="1"/>
  <c r="AK457" i="9" s="1"/>
  <c r="I508" i="9"/>
  <c r="F510" i="9"/>
  <c r="I510" i="9" s="1"/>
  <c r="T510" i="9" s="1"/>
  <c r="F168" i="9"/>
  <c r="E146" i="30"/>
  <c r="F132" i="30"/>
  <c r="D290" i="9"/>
  <c r="I290" i="9" s="1"/>
  <c r="AN290" i="9"/>
  <c r="AN444" i="9"/>
  <c r="AR444" i="9" s="1"/>
  <c r="AN457" i="9"/>
  <c r="AR457" i="9" s="1"/>
  <c r="D581" i="9"/>
  <c r="I581" i="9" s="1"/>
  <c r="E116" i="30"/>
  <c r="AG116" i="30"/>
  <c r="AH123" i="30" s="1"/>
  <c r="E123" i="30"/>
  <c r="D738" i="9"/>
  <c r="G738" i="9" s="1"/>
  <c r="D735" i="9"/>
  <c r="G735" i="9" s="1"/>
  <c r="X739" i="9"/>
  <c r="X740" i="9" s="1"/>
  <c r="AG133" i="30"/>
  <c r="AY133" i="30" s="1"/>
  <c r="X732" i="9"/>
  <c r="X124" i="9"/>
  <c r="AN26" i="9"/>
  <c r="AR26" i="9" s="1"/>
  <c r="D267" i="9"/>
  <c r="I267" i="9" s="1"/>
  <c r="AN267" i="9"/>
  <c r="AR267" i="9" s="1"/>
  <c r="D274" i="9"/>
  <c r="I274" i="9" s="1"/>
  <c r="D724" i="9"/>
  <c r="AN42" i="9"/>
  <c r="AN48" i="9"/>
  <c r="X256" i="9"/>
  <c r="D259" i="9"/>
  <c r="I259" i="9" s="1"/>
  <c r="AN425" i="9"/>
  <c r="D425" i="9"/>
  <c r="I425" i="9" s="1"/>
  <c r="AN451" i="9"/>
  <c r="D458" i="9"/>
  <c r="I458" i="9" s="1"/>
  <c r="D451" i="9"/>
  <c r="I451" i="9" s="1"/>
  <c r="V125" i="30"/>
  <c r="AV132" i="30" s="1"/>
  <c r="E132" i="30"/>
  <c r="E125" i="30"/>
  <c r="AG125" i="30"/>
  <c r="F125" i="30" s="1"/>
  <c r="D721" i="9"/>
  <c r="D260" i="9"/>
  <c r="I260" i="9" s="1"/>
  <c r="AN253" i="9"/>
  <c r="AR253" i="9" s="1"/>
  <c r="E120" i="30"/>
  <c r="X426" i="9"/>
  <c r="D426" i="9" s="1"/>
  <c r="I426" i="9" s="1"/>
  <c r="K126" i="30"/>
  <c r="BG68" i="20"/>
  <c r="CC15" i="1"/>
  <c r="CC16" i="1" s="1"/>
  <c r="AN255" i="9"/>
  <c r="AN445" i="9"/>
  <c r="AR445" i="9" s="1"/>
  <c r="D486" i="9"/>
  <c r="I486" i="9" s="1"/>
  <c r="AK486" i="9" s="1"/>
  <c r="Z579" i="9"/>
  <c r="D579" i="9"/>
  <c r="I579" i="9" s="1"/>
  <c r="K138" i="30"/>
  <c r="AX68" i="20"/>
  <c r="G126" i="9"/>
  <c r="D28" i="9"/>
  <c r="AN28" i="9"/>
  <c r="AN47" i="9"/>
  <c r="K116" i="30"/>
  <c r="L116" i="30"/>
  <c r="X753" i="9"/>
  <c r="G753" i="9" s="1"/>
  <c r="AG54" i="9"/>
  <c r="AP26" i="9"/>
  <c r="AP30" i="9" s="1"/>
  <c r="AG26" i="9"/>
  <c r="AB25" i="10"/>
  <c r="AD25" i="10" s="1"/>
  <c r="AE27" i="9"/>
  <c r="AG27" i="9" s="1"/>
  <c r="E38" i="5"/>
  <c r="E39" i="5" s="1"/>
  <c r="E63" i="5" s="1"/>
  <c r="E14" i="5"/>
  <c r="Q110" i="30"/>
  <c r="AV145" i="30"/>
  <c r="T316" i="9"/>
  <c r="BS123" i="30"/>
  <c r="BQ123" i="30"/>
  <c r="BI315" i="9"/>
  <c r="BH315" i="9" s="1"/>
  <c r="AK123" i="30"/>
  <c r="AH139" i="30"/>
  <c r="N148" i="30"/>
  <c r="DH70" i="20" s="1"/>
  <c r="I326" i="9"/>
  <c r="H148" i="30"/>
  <c r="DH69" i="20" s="1"/>
  <c r="AV131" i="30"/>
  <c r="J110" i="30"/>
  <c r="K118" i="30" s="1"/>
  <c r="I333" i="9"/>
  <c r="AR118" i="30"/>
  <c r="BQ118" i="30" s="1"/>
  <c r="T508" i="9"/>
  <c r="T54" i="5"/>
  <c r="L59" i="30"/>
  <c r="AA66" i="30"/>
  <c r="F59" i="30"/>
  <c r="X76" i="9"/>
  <c r="D83" i="9" s="1"/>
  <c r="AG59" i="30"/>
  <c r="R59" i="30"/>
  <c r="R102" i="30"/>
  <c r="F102" i="30"/>
  <c r="AA102" i="30"/>
  <c r="AN276" i="9"/>
  <c r="AR276" i="9" s="1"/>
  <c r="D276" i="9"/>
  <c r="I276" i="9" s="1"/>
  <c r="K8" i="5"/>
  <c r="K7" i="5" s="1"/>
  <c r="E69" i="30"/>
  <c r="E62" i="30"/>
  <c r="X92" i="9"/>
  <c r="AN92" i="9" s="1"/>
  <c r="AN269" i="9"/>
  <c r="D297" i="9"/>
  <c r="I297" i="9" s="1"/>
  <c r="X120" i="9"/>
  <c r="AN120" i="9" s="1"/>
  <c r="D452" i="9"/>
  <c r="I452" i="9" s="1"/>
  <c r="AE76" i="30"/>
  <c r="AE83" i="30"/>
  <c r="D248" i="9"/>
  <c r="I248" i="9" s="1"/>
  <c r="AN248" i="9"/>
  <c r="AR248" i="9" s="1"/>
  <c r="D255" i="9"/>
  <c r="I255" i="9" s="1"/>
  <c r="R37" i="30"/>
  <c r="F37" i="30"/>
  <c r="X54" i="9"/>
  <c r="D54" i="9" s="1"/>
  <c r="L37" i="30"/>
  <c r="AG37" i="30"/>
  <c r="AG45" i="30"/>
  <c r="AR45" i="30" s="1"/>
  <c r="AS52" i="30" s="1"/>
  <c r="R45" i="30"/>
  <c r="AA52" i="30"/>
  <c r="L45" i="30"/>
  <c r="X62" i="9"/>
  <c r="AN62" i="9" s="1"/>
  <c r="F45" i="30"/>
  <c r="AG96" i="30"/>
  <c r="Z97" i="30"/>
  <c r="L97" i="30" s="1"/>
  <c r="AA96" i="30"/>
  <c r="F96" i="30"/>
  <c r="AA37" i="30"/>
  <c r="AA45" i="30"/>
  <c r="X55" i="9"/>
  <c r="AN55" i="9" s="1"/>
  <c r="F38" i="30"/>
  <c r="AA103" i="30"/>
  <c r="X91" i="9"/>
  <c r="AN466" i="9"/>
  <c r="X468" i="9"/>
  <c r="AN578" i="9"/>
  <c r="AR578" i="9" s="1"/>
  <c r="D578" i="9"/>
  <c r="I578" i="9" s="1"/>
  <c r="AK578" i="9" s="1"/>
  <c r="R68" i="30"/>
  <c r="AG68" i="30"/>
  <c r="AA87" i="30"/>
  <c r="AG87" i="30"/>
  <c r="AR87" i="30" s="1"/>
  <c r="AS87" i="30" s="1"/>
  <c r="L87" i="30"/>
  <c r="D445" i="9"/>
  <c r="I445" i="9" s="1"/>
  <c r="X112" i="9"/>
  <c r="AN437" i="9"/>
  <c r="X440" i="9"/>
  <c r="D453" i="9"/>
  <c r="I453" i="9" s="1"/>
  <c r="AN446" i="9"/>
  <c r="AR446" i="9" s="1"/>
  <c r="AN460" i="9"/>
  <c r="AR460" i="9" s="1"/>
  <c r="D467" i="9"/>
  <c r="I467" i="9" s="1"/>
  <c r="D586" i="9"/>
  <c r="I586" i="9" s="1"/>
  <c r="T586" i="9" s="1"/>
  <c r="AN579" i="9"/>
  <c r="AR579" i="9" s="1"/>
  <c r="L80" i="30"/>
  <c r="R80" i="30"/>
  <c r="AG80" i="30"/>
  <c r="AR80" i="30" s="1"/>
  <c r="AG101" i="30"/>
  <c r="F101" i="30"/>
  <c r="AH73" i="30"/>
  <c r="AY102" i="30"/>
  <c r="F68" i="30"/>
  <c r="AN467" i="9"/>
  <c r="AR467" i="9" s="1"/>
  <c r="X118" i="9"/>
  <c r="AN118" i="9" s="1"/>
  <c r="Z48" i="30"/>
  <c r="L48" i="30" s="1"/>
  <c r="R44" i="30"/>
  <c r="AA44" i="30"/>
  <c r="AL76" i="30"/>
  <c r="M12" i="5"/>
  <c r="D432" i="9"/>
  <c r="I432" i="9" s="1"/>
  <c r="AL55" i="30"/>
  <c r="N9" i="5"/>
  <c r="N7" i="5" s="1"/>
  <c r="AN266" i="9"/>
  <c r="X63" i="9"/>
  <c r="D70" i="9" s="1"/>
  <c r="I70" i="9" s="1"/>
  <c r="M8" i="5"/>
  <c r="AA53" i="30"/>
  <c r="AN581" i="9"/>
  <c r="AR581" i="9" s="1"/>
  <c r="BH96" i="30"/>
  <c r="X96" i="9"/>
  <c r="X84" i="9"/>
  <c r="D289" i="9"/>
  <c r="I289" i="9" s="1"/>
  <c r="R46" i="30"/>
  <c r="AL62" i="30"/>
  <c r="F88" i="30"/>
  <c r="AG82" i="30"/>
  <c r="AR82" i="30" s="1"/>
  <c r="L46" i="30"/>
  <c r="AG79" i="30"/>
  <c r="AV86" i="30" s="1"/>
  <c r="L89" i="30"/>
  <c r="AH52" i="30"/>
  <c r="AE48" i="30"/>
  <c r="X277" i="9"/>
  <c r="AA89" i="30"/>
  <c r="AA46" i="30"/>
  <c r="L7" i="5"/>
  <c r="F74" i="30"/>
  <c r="R74" i="30"/>
  <c r="AE104" i="30"/>
  <c r="D580" i="9"/>
  <c r="I580" i="9" s="1"/>
  <c r="AK580" i="9" s="1"/>
  <c r="L74" i="30"/>
  <c r="AY103" i="30"/>
  <c r="X718" i="9"/>
  <c r="D722" i="9"/>
  <c r="AN431" i="9"/>
  <c r="AR431" i="9" s="1"/>
  <c r="D438" i="9"/>
  <c r="I438" i="9" s="1"/>
  <c r="X433" i="9"/>
  <c r="D431" i="9"/>
  <c r="I431" i="9" s="1"/>
  <c r="X85" i="9"/>
  <c r="AN262" i="9"/>
  <c r="AR262" i="9" s="1"/>
  <c r="D269" i="9"/>
  <c r="I269" i="9" s="1"/>
  <c r="X110" i="9"/>
  <c r="AN464" i="9"/>
  <c r="D471" i="9"/>
  <c r="I471" i="9" s="1"/>
  <c r="D464" i="9"/>
  <c r="I464" i="9" s="1"/>
  <c r="AN474" i="9"/>
  <c r="AR474" i="9" s="1"/>
  <c r="D474" i="9"/>
  <c r="I474" i="9" s="1"/>
  <c r="AK474" i="9" s="1"/>
  <c r="X475" i="9"/>
  <c r="X104" i="9"/>
  <c r="D104" i="9" s="1"/>
  <c r="I104" i="9" s="1"/>
  <c r="F67" i="30"/>
  <c r="AA67" i="30"/>
  <c r="AA74" i="30"/>
  <c r="AG67" i="30"/>
  <c r="AH74" i="30" s="1"/>
  <c r="R67" i="30"/>
  <c r="AR74" i="30"/>
  <c r="D303" i="9"/>
  <c r="I303" i="9" s="1"/>
  <c r="D296" i="9"/>
  <c r="I296" i="9" s="1"/>
  <c r="AK296" i="9" s="1"/>
  <c r="AN296" i="9"/>
  <c r="AR296" i="9" s="1"/>
  <c r="X298" i="9"/>
  <c r="D104" i="30" s="1"/>
  <c r="Q8" i="5" s="1"/>
  <c r="X119" i="9"/>
  <c r="X461" i="9"/>
  <c r="AN459" i="9"/>
  <c r="X105" i="9"/>
  <c r="AN105" i="9" s="1"/>
  <c r="D459" i="9"/>
  <c r="I459" i="9" s="1"/>
  <c r="D466" i="9"/>
  <c r="I466" i="9" s="1"/>
  <c r="L67" i="30"/>
  <c r="AE55" i="30"/>
  <c r="AE62" i="30"/>
  <c r="F60" i="30"/>
  <c r="X77" i="9"/>
  <c r="AN77" i="9" s="1"/>
  <c r="AR77" i="9" s="1"/>
  <c r="AG60" i="30"/>
  <c r="AA60" i="30"/>
  <c r="R60" i="30"/>
  <c r="L60" i="30"/>
  <c r="Z62" i="30"/>
  <c r="L62" i="30" s="1"/>
  <c r="Z69" i="30"/>
  <c r="AG65" i="30"/>
  <c r="L65" i="30"/>
  <c r="X82" i="9"/>
  <c r="AN82" i="9" s="1"/>
  <c r="AA65" i="30"/>
  <c r="F65" i="30"/>
  <c r="R65" i="30"/>
  <c r="AR68" i="30"/>
  <c r="N12" i="5"/>
  <c r="N56" i="5" s="1"/>
  <c r="AL83" i="30"/>
  <c r="BB83" i="30"/>
  <c r="Z90" i="30"/>
  <c r="R86" i="30"/>
  <c r="L86" i="30"/>
  <c r="AG86" i="30"/>
  <c r="AH86" i="30" s="1"/>
  <c r="F86" i="30"/>
  <c r="AA86" i="30"/>
  <c r="AA93" i="30"/>
  <c r="D266" i="9"/>
  <c r="I266" i="9" s="1"/>
  <c r="AN259" i="9"/>
  <c r="AA81" i="30"/>
  <c r="Z83" i="30"/>
  <c r="F83" i="30" s="1"/>
  <c r="AA88" i="30"/>
  <c r="AG81" i="30"/>
  <c r="R81" i="30"/>
  <c r="F81" i="30"/>
  <c r="AY101" i="30"/>
  <c r="AR101" i="30"/>
  <c r="X98" i="9"/>
  <c r="AN452" i="9"/>
  <c r="AR452" i="9" s="1"/>
  <c r="L72" i="30"/>
  <c r="AG72" i="30"/>
  <c r="R72" i="30"/>
  <c r="AA79" i="30"/>
  <c r="F72" i="30"/>
  <c r="Z76" i="30"/>
  <c r="AA72" i="30"/>
  <c r="R55" i="30"/>
  <c r="F55" i="30"/>
  <c r="AN83" i="9"/>
  <c r="AG39" i="30"/>
  <c r="X56" i="9"/>
  <c r="AN56" i="9" s="1"/>
  <c r="L39" i="30"/>
  <c r="F39" i="30"/>
  <c r="R39" i="30"/>
  <c r="E48" i="30"/>
  <c r="E55" i="30"/>
  <c r="AA61" i="30"/>
  <c r="AA68" i="30"/>
  <c r="L61" i="30"/>
  <c r="F61" i="30"/>
  <c r="R61" i="30"/>
  <c r="AG61" i="30"/>
  <c r="AH68" i="30" s="1"/>
  <c r="X78" i="9"/>
  <c r="AN78" i="9" s="1"/>
  <c r="D437" i="9"/>
  <c r="I437" i="9" s="1"/>
  <c r="D430" i="9"/>
  <c r="I430" i="9" s="1"/>
  <c r="AN430" i="9"/>
  <c r="K48" i="30"/>
  <c r="D723" i="9"/>
  <c r="X725" i="9"/>
  <c r="D730" i="9"/>
  <c r="G730" i="9" s="1"/>
  <c r="AL104" i="30"/>
  <c r="BB97" i="30"/>
  <c r="D253" i="9"/>
  <c r="I253" i="9" s="1"/>
  <c r="K55" i="30"/>
  <c r="J9" i="5"/>
  <c r="L55" i="30"/>
  <c r="AA58" i="30"/>
  <c r="L58" i="30"/>
  <c r="F58" i="30"/>
  <c r="X75" i="9"/>
  <c r="AG58" i="30"/>
  <c r="R58" i="30"/>
  <c r="R101" i="30"/>
  <c r="L101" i="30"/>
  <c r="AA101" i="30"/>
  <c r="Z104" i="30"/>
  <c r="AA104" i="30" s="1"/>
  <c r="BH103" i="30"/>
  <c r="AR53" i="30"/>
  <c r="AS53" i="30" s="1"/>
  <c r="AH53" i="30"/>
  <c r="AY96" i="30"/>
  <c r="AR96" i="30"/>
  <c r="D245" i="9"/>
  <c r="I245" i="9" s="1"/>
  <c r="X249" i="9"/>
  <c r="AN245" i="9"/>
  <c r="D288" i="9"/>
  <c r="I288" i="9" s="1"/>
  <c r="X111" i="9"/>
  <c r="AN111" i="9" s="1"/>
  <c r="X291" i="9"/>
  <c r="AN297" i="9"/>
  <c r="AR297" i="9" s="1"/>
  <c r="D304" i="9"/>
  <c r="I304" i="9" s="1"/>
  <c r="AG75" i="30"/>
  <c r="L75" i="30"/>
  <c r="AA82" i="30"/>
  <c r="R75" i="30"/>
  <c r="F75" i="30"/>
  <c r="AA75" i="30"/>
  <c r="AG100" i="30"/>
  <c r="R100" i="30"/>
  <c r="X113" i="9"/>
  <c r="AN113" i="9" s="1"/>
  <c r="X575" i="9"/>
  <c r="D574" i="9"/>
  <c r="I574" i="9" s="1"/>
  <c r="AN574" i="9"/>
  <c r="AR574" i="9" s="1"/>
  <c r="L47" i="30"/>
  <c r="F47" i="30"/>
  <c r="AG47" i="30"/>
  <c r="AA47" i="30"/>
  <c r="X64" i="9"/>
  <c r="D64" i="9" s="1"/>
  <c r="AA54" i="30"/>
  <c r="R51" i="30"/>
  <c r="AA51" i="30"/>
  <c r="F51" i="30"/>
  <c r="X68" i="9"/>
  <c r="AN68" i="9" s="1"/>
  <c r="AG51" i="30"/>
  <c r="K69" i="30"/>
  <c r="K62" i="30"/>
  <c r="E90" i="30"/>
  <c r="O8" i="5"/>
  <c r="O7" i="5" s="1"/>
  <c r="AH59" i="30"/>
  <c r="AR59" i="30"/>
  <c r="AS59" i="30" s="1"/>
  <c r="AN268" i="9"/>
  <c r="AR268" i="9" s="1"/>
  <c r="D268" i="9"/>
  <c r="I268" i="9" s="1"/>
  <c r="X284" i="9"/>
  <c r="D284" i="9" s="1"/>
  <c r="I284" i="9" s="1"/>
  <c r="D283" i="9"/>
  <c r="I283" i="9" s="1"/>
  <c r="AK283" i="9" s="1"/>
  <c r="X106" i="9"/>
  <c r="D473" i="9"/>
  <c r="I473" i="9" s="1"/>
  <c r="D571" i="9"/>
  <c r="I571" i="9" s="1"/>
  <c r="AK571" i="9" s="1"/>
  <c r="X568" i="9"/>
  <c r="BH86" i="30"/>
  <c r="BB86" i="30"/>
  <c r="AL94" i="30"/>
  <c r="AJ90" i="30"/>
  <c r="AL97" i="30" s="1"/>
  <c r="L93" i="30"/>
  <c r="F93" i="30"/>
  <c r="AR102" i="30"/>
  <c r="D423" i="9"/>
  <c r="I423" i="9" s="1"/>
  <c r="AN453" i="9"/>
  <c r="AR453" i="9" s="1"/>
  <c r="X99" i="9"/>
  <c r="AN99" i="9" s="1"/>
  <c r="X582" i="9"/>
  <c r="P104" i="30" s="1"/>
  <c r="AR66" i="30"/>
  <c r="AS66" i="30" s="1"/>
  <c r="AH66" i="30"/>
  <c r="R82" i="30"/>
  <c r="L82" i="30"/>
  <c r="AG94" i="30"/>
  <c r="AR94" i="30" s="1"/>
  <c r="AA94" i="30"/>
  <c r="L94" i="30"/>
  <c r="F94" i="30"/>
  <c r="R56" i="5"/>
  <c r="L38" i="30"/>
  <c r="R38" i="30"/>
  <c r="Z41" i="30"/>
  <c r="F41" i="30" s="1"/>
  <c r="AG38" i="30"/>
  <c r="AA38" i="30"/>
  <c r="K12" i="5"/>
  <c r="AL69" i="30"/>
  <c r="M9" i="5"/>
  <c r="M7" i="5" s="1"/>
  <c r="L76" i="30"/>
  <c r="F95" i="30"/>
  <c r="AG95" i="30"/>
  <c r="R95" i="30"/>
  <c r="AA95" i="30"/>
  <c r="X61" i="9"/>
  <c r="F44" i="30"/>
  <c r="AG44" i="30"/>
  <c r="L68" i="30"/>
  <c r="AJ270" i="1"/>
  <c r="AO270" i="1" s="1"/>
  <c r="DC37" i="20"/>
  <c r="DC39" i="20" s="1"/>
  <c r="DC40" i="20" s="1"/>
  <c r="AB270" i="1"/>
  <c r="CR257" i="1"/>
  <c r="BQ15" i="20"/>
  <c r="BH267" i="1"/>
  <c r="BS245" i="1"/>
  <c r="AY242" i="1"/>
  <c r="DF37" i="20"/>
  <c r="DF39" i="20" s="1"/>
  <c r="DF40" i="20" s="1"/>
  <c r="Z37" i="20"/>
  <c r="Z39" i="20" s="1"/>
  <c r="Z40" i="20" s="1"/>
  <c r="CJ266" i="1"/>
  <c r="AI15" i="20"/>
  <c r="BL266" i="1"/>
  <c r="BS270" i="1"/>
  <c r="AM15" i="20"/>
  <c r="BG245" i="1"/>
  <c r="BD266" i="1"/>
  <c r="AY267" i="1"/>
  <c r="X15" i="20"/>
  <c r="AC15" i="20"/>
  <c r="BO270" i="1"/>
  <c r="BT270" i="1" s="1"/>
  <c r="BC268" i="1"/>
  <c r="BH268" i="1" s="1"/>
  <c r="BC271" i="1"/>
  <c r="AY270" i="1"/>
  <c r="BD270" i="1" s="1"/>
  <c r="CE270" i="1"/>
  <c r="CJ270" i="1"/>
  <c r="CF266" i="1"/>
  <c r="CE267" i="1"/>
  <c r="CJ267" i="1" s="1"/>
  <c r="CZ37" i="20"/>
  <c r="CZ39" i="20" s="1"/>
  <c r="U57" i="15"/>
  <c r="DF28" i="20" s="1"/>
  <c r="BO245" i="1"/>
  <c r="Q57" i="15"/>
  <c r="DB28" i="20" s="1"/>
  <c r="AZ266" i="1"/>
  <c r="BP266" i="1"/>
  <c r="T57" i="15"/>
  <c r="DE28" i="20" s="1"/>
  <c r="AF245" i="1"/>
  <c r="BS267" i="1"/>
  <c r="BK270" i="1"/>
  <c r="BR15" i="20"/>
  <c r="BZ27" i="20" a="1"/>
  <c r="AY166" i="1"/>
  <c r="Y45" i="20" s="1"/>
  <c r="Y43" i="20" s="1"/>
  <c r="Y33" i="20" s="1"/>
  <c r="Y34" i="20" s="1"/>
  <c r="BK177" i="1"/>
  <c r="BK210" i="1" s="1"/>
  <c r="BD32" i="20"/>
  <c r="BD36" i="20"/>
  <c r="AY261" i="1"/>
  <c r="AC32" i="20"/>
  <c r="AB36" i="20"/>
  <c r="BA36" i="20"/>
  <c r="BF32" i="20"/>
  <c r="AV32" i="20"/>
  <c r="AV36" i="20"/>
  <c r="BF36" i="20"/>
  <c r="BM36" i="20"/>
  <c r="BN32" i="20"/>
  <c r="CQ126" i="1"/>
  <c r="AO36" i="20"/>
  <c r="BI36" i="20"/>
  <c r="BZ36" i="20"/>
  <c r="BL32" i="20"/>
  <c r="BZ32" i="20"/>
  <c r="BG32" i="20"/>
  <c r="AA97" i="30"/>
  <c r="AR37" i="30"/>
  <c r="AR79" i="30"/>
  <c r="BI273" i="9" s="1"/>
  <c r="AG41" i="30"/>
  <c r="F97" i="30"/>
  <c r="AH103" i="30"/>
  <c r="R48" i="30"/>
  <c r="AN63" i="9"/>
  <c r="AH80" i="30"/>
  <c r="AA55" i="30"/>
  <c r="R97" i="30"/>
  <c r="F48" i="30"/>
  <c r="G433" i="9"/>
  <c r="AH81" i="30"/>
  <c r="AR81" i="30"/>
  <c r="AG69" i="30"/>
  <c r="AH65" i="30"/>
  <c r="AR65" i="30"/>
  <c r="F76" i="30"/>
  <c r="AA76" i="30"/>
  <c r="R76" i="30"/>
  <c r="F69" i="30"/>
  <c r="AA69" i="30"/>
  <c r="L69" i="30"/>
  <c r="R69" i="30"/>
  <c r="BI295" i="9"/>
  <c r="AR38" i="30"/>
  <c r="AH45" i="30"/>
  <c r="J7" i="5"/>
  <c r="AG55" i="30"/>
  <c r="AH51" i="30"/>
  <c r="AR51" i="30"/>
  <c r="AR55" i="30" s="1"/>
  <c r="AH54" i="30"/>
  <c r="AH47" i="30"/>
  <c r="AR47" i="30"/>
  <c r="AS54" i="30" s="1"/>
  <c r="AR39" i="30"/>
  <c r="BI274" i="9"/>
  <c r="AH60" i="30"/>
  <c r="AR60" i="30"/>
  <c r="BI296" i="9"/>
  <c r="AR75" i="30"/>
  <c r="AS75" i="30" s="1"/>
  <c r="AH75" i="30"/>
  <c r="R83" i="30"/>
  <c r="AA62" i="30"/>
  <c r="F62" i="30"/>
  <c r="R62" i="30"/>
  <c r="AV102" i="30"/>
  <c r="AR100" i="30"/>
  <c r="AG104" i="30"/>
  <c r="AY104" i="30" s="1"/>
  <c r="AH108" i="30"/>
  <c r="AY100" i="30"/>
  <c r="AG62" i="30"/>
  <c r="AH58" i="30"/>
  <c r="AR58" i="30"/>
  <c r="AR61" i="30"/>
  <c r="AS61" i="30" s="1"/>
  <c r="AH61" i="30"/>
  <c r="AH101" i="30"/>
  <c r="AR259" i="9"/>
  <c r="AH44" i="30"/>
  <c r="AR44" i="30"/>
  <c r="AS44" i="30" s="1"/>
  <c r="AG48" i="30"/>
  <c r="AH48" i="30" s="1"/>
  <c r="AL90" i="30"/>
  <c r="BB90" i="30"/>
  <c r="O12" i="5"/>
  <c r="O56" i="5" s="1"/>
  <c r="AY86" i="30"/>
  <c r="AH67" i="30"/>
  <c r="AR67" i="30"/>
  <c r="AR69" i="30" s="1"/>
  <c r="BI290" i="9"/>
  <c r="AH46" i="30"/>
  <c r="AH79" i="30"/>
  <c r="AG76" i="30"/>
  <c r="AH72" i="30"/>
  <c r="AR72" i="30"/>
  <c r="AS72" i="30" s="1"/>
  <c r="L90" i="30"/>
  <c r="R90" i="30"/>
  <c r="F90" i="30"/>
  <c r="CF267" i="1"/>
  <c r="BM15" i="20"/>
  <c r="AZ267" i="1"/>
  <c r="BD267" i="1"/>
  <c r="Y15" i="20"/>
  <c r="AD15" i="20"/>
  <c r="BS271" i="1"/>
  <c r="AX15" i="20"/>
  <c r="BS268" i="1"/>
  <c r="AY15" i="20" s="1"/>
  <c r="AY271" i="1"/>
  <c r="BD271" i="1" s="1"/>
  <c r="AZ270" i="1"/>
  <c r="AY268" i="1"/>
  <c r="Z15" i="20" s="1"/>
  <c r="AS47" i="30"/>
  <c r="BI294" i="9"/>
  <c r="BI275" i="9"/>
  <c r="AS81" i="30"/>
  <c r="AS46" i="30"/>
  <c r="AS68" i="30"/>
  <c r="AS51" i="30"/>
  <c r="AS79" i="30"/>
  <c r="AJ155" i="30"/>
  <c r="X12" i="5" s="1"/>
  <c r="X56" i="5" s="1"/>
  <c r="E153" i="30"/>
  <c r="DK12" i="1"/>
  <c r="CB68" i="20"/>
  <c r="CQ16" i="1"/>
  <c r="CQ26" i="1"/>
  <c r="CR26" i="1"/>
  <c r="D167" i="10"/>
  <c r="L167" i="10" s="1"/>
  <c r="CR62" i="1"/>
  <c r="CR12" i="1"/>
  <c r="CN12" i="11"/>
  <c r="CN18" i="11" s="1"/>
  <c r="CN24" i="11" s="1"/>
  <c r="CN30" i="11" s="1"/>
  <c r="CQ36" i="1"/>
  <c r="CS36" i="1" s="1"/>
  <c r="F167" i="10"/>
  <c r="CR16" i="1"/>
  <c r="CR66" i="1"/>
  <c r="CS32" i="1"/>
  <c r="DE32" i="1" s="1"/>
  <c r="CQ56" i="1"/>
  <c r="CS56" i="1" s="1"/>
  <c r="CR56" i="1"/>
  <c r="CQ72" i="1"/>
  <c r="CS72" i="1" s="1"/>
  <c r="CS52" i="1"/>
  <c r="CR52" i="1"/>
  <c r="C52" i="15"/>
  <c r="D52" i="15"/>
  <c r="AT56" i="23"/>
  <c r="CH40" i="11"/>
  <c r="CM35" i="11"/>
  <c r="CI35" i="11"/>
  <c r="CD43" i="11"/>
  <c r="CE36" i="11"/>
  <c r="BZ41" i="11"/>
  <c r="CM34" i="11"/>
  <c r="CH41" i="11"/>
  <c r="CL41" i="11"/>
  <c r="CI36" i="11"/>
  <c r="D654" i="9"/>
  <c r="I654" i="9" s="1"/>
  <c r="V167" i="10"/>
  <c r="X167" i="10" s="1"/>
  <c r="Z167" i="10" s="1"/>
  <c r="P168" i="9"/>
  <c r="R168" i="9" s="1"/>
  <c r="J153" i="30"/>
  <c r="P153" i="30"/>
  <c r="W168" i="9"/>
  <c r="AN168" i="9" s="1"/>
  <c r="BL270" i="1"/>
  <c r="Y27" i="20"/>
  <c r="Y37" i="20"/>
  <c r="Y39" i="20" s="1"/>
  <c r="DA37" i="20"/>
  <c r="DA39" i="20" s="1"/>
  <c r="DA40" i="20" s="1"/>
  <c r="BT266" i="1"/>
  <c r="CI268" i="1"/>
  <c r="CJ268" i="1" s="1"/>
  <c r="AY241" i="1"/>
  <c r="CB266" i="1"/>
  <c r="AG266" i="1"/>
  <c r="BH270" i="1"/>
  <c r="AY259" i="1"/>
  <c r="M57" i="15"/>
  <c r="CX28" i="20"/>
  <c r="AK266" i="1"/>
  <c r="AR15" i="20"/>
  <c r="BW267" i="1"/>
  <c r="BW271" i="1" s="1"/>
  <c r="BX271" i="1" s="1"/>
  <c r="BW270" i="1"/>
  <c r="BX270" i="1" s="1"/>
  <c r="AV270" i="1"/>
  <c r="I57" i="15"/>
  <c r="CT28" i="20" s="1"/>
  <c r="AF267" i="1"/>
  <c r="AF268" i="1" s="1"/>
  <c r="BK245" i="1"/>
  <c r="BX266" i="1"/>
  <c r="AY260" i="1"/>
  <c r="CN266" i="1"/>
  <c r="BG271" i="1"/>
  <c r="BH271" i="1" s="1"/>
  <c r="BW198" i="1"/>
  <c r="AJ209" i="1"/>
  <c r="AJ177" i="1"/>
  <c r="AJ178" i="1" s="1"/>
  <c r="AJ211" i="1" s="1"/>
  <c r="AU177" i="1"/>
  <c r="AU210" i="1"/>
  <c r="DI18" i="20"/>
  <c r="T166" i="10"/>
  <c r="D168" i="9"/>
  <c r="BC15" i="20"/>
  <c r="BX267" i="1"/>
  <c r="CB267" i="1"/>
  <c r="CB270" i="1"/>
  <c r="BS15" i="20"/>
  <c r="CQ86" i="1"/>
  <c r="CL36" i="11"/>
  <c r="CM36" i="11" s="1"/>
  <c r="I345" i="9"/>
  <c r="P167" i="10"/>
  <c r="N167" i="10"/>
  <c r="J167" i="10"/>
  <c r="R167" i="10" s="1"/>
  <c r="K782" i="9"/>
  <c r="P786" i="9" s="1"/>
  <c r="AR8" i="5"/>
  <c r="D63" i="5"/>
  <c r="P731" i="9"/>
  <c r="DD84" i="20"/>
  <c r="L47" i="5"/>
  <c r="G14" i="5"/>
  <c r="G38" i="5"/>
  <c r="F38" i="5"/>
  <c r="G39" i="5" s="1"/>
  <c r="G63" i="5" s="1"/>
  <c r="F39" i="5"/>
  <c r="F63" i="5" s="1"/>
  <c r="F14" i="5"/>
  <c r="AT8" i="5"/>
  <c r="H13" i="5"/>
  <c r="I14" i="5" s="1"/>
  <c r="AT9" i="5"/>
  <c r="I63" i="5"/>
  <c r="H39" i="5"/>
  <c r="H63" i="5" s="1"/>
  <c r="F41" i="23"/>
  <c r="F47" i="23" s="1"/>
  <c r="CI233" i="1"/>
  <c r="CI146" i="1"/>
  <c r="CM186" i="1" s="1"/>
  <c r="S32" i="20"/>
  <c r="X32" i="20"/>
  <c r="AR36" i="20"/>
  <c r="BX32" i="20"/>
  <c r="AL155" i="30"/>
  <c r="P49" i="10"/>
  <c r="T49" i="10"/>
  <c r="J53" i="10"/>
  <c r="R53" i="10" s="1"/>
  <c r="J49" i="10"/>
  <c r="R49" i="10" s="1"/>
  <c r="P53" i="10"/>
  <c r="J13" i="10"/>
  <c r="CP40" i="11"/>
  <c r="R75" i="10"/>
  <c r="J14" i="10"/>
  <c r="J83" i="10"/>
  <c r="AH83" i="10" s="1"/>
  <c r="D42" i="3"/>
  <c r="F15" i="20"/>
  <c r="W31" i="11"/>
  <c r="BE60" i="2"/>
  <c r="R165" i="10"/>
  <c r="G31" i="11"/>
  <c r="BA26" i="2"/>
  <c r="BC26" i="2" s="1"/>
  <c r="BE26" i="2" s="1"/>
  <c r="BG26" i="2" s="1"/>
  <c r="BI26" i="2" s="1"/>
  <c r="G25" i="11"/>
  <c r="AE31" i="11"/>
  <c r="J161" i="10"/>
  <c r="AT37" i="11"/>
  <c r="AY37" i="11" s="1"/>
  <c r="AH132" i="10"/>
  <c r="X34" i="10"/>
  <c r="P47" i="10"/>
  <c r="T151" i="10"/>
  <c r="J47" i="10"/>
  <c r="L97" i="10"/>
  <c r="L138" i="10"/>
  <c r="A172" i="10"/>
  <c r="A174" i="10"/>
  <c r="B176" i="10"/>
  <c r="AH111" i="10"/>
  <c r="X11" i="10"/>
  <c r="T67" i="10"/>
  <c r="B172" i="10"/>
  <c r="L25" i="10"/>
  <c r="X32" i="10"/>
  <c r="T132" i="10"/>
  <c r="Q54" i="5"/>
  <c r="AH160" i="10"/>
  <c r="G50" i="61"/>
  <c r="G132" i="61"/>
  <c r="AJ210" i="1"/>
  <c r="CB43" i="20"/>
  <c r="CB44" i="20" s="1"/>
  <c r="CE177" i="1"/>
  <c r="BK166" i="1"/>
  <c r="AN45" i="20" s="1"/>
  <c r="BK198" i="1"/>
  <c r="BZ28" i="20" a="1"/>
  <c r="CB28" i="20" s="1"/>
  <c r="BU32" i="20"/>
  <c r="H14" i="5"/>
  <c r="AN76" i="9"/>
  <c r="BI310" i="9"/>
  <c r="I503" i="9"/>
  <c r="T503" i="9" s="1"/>
  <c r="AR12" i="9"/>
  <c r="B627" i="9"/>
  <c r="A29" i="9"/>
  <c r="A12" i="30" s="1"/>
  <c r="A148" i="9"/>
  <c r="A425" i="9"/>
  <c r="A803" i="9"/>
  <c r="A634" i="9"/>
  <c r="A636" i="9"/>
  <c r="B638" i="9"/>
  <c r="L138" i="30"/>
  <c r="K145" i="30"/>
  <c r="B634" i="9"/>
  <c r="B636" i="9"/>
  <c r="B221" i="9"/>
  <c r="A269" i="9"/>
  <c r="A502" i="9"/>
  <c r="A635" i="9"/>
  <c r="A637" i="9"/>
  <c r="V147" i="30"/>
  <c r="AR138" i="30"/>
  <c r="B485" i="9"/>
  <c r="A318" i="9"/>
  <c r="A574" i="9"/>
  <c r="B635" i="9"/>
  <c r="B637" i="9"/>
  <c r="BG117" i="9"/>
  <c r="D436" i="9"/>
  <c r="I436" i="9" s="1"/>
  <c r="A528" i="9"/>
  <c r="AR139" i="30"/>
  <c r="Q130" i="30"/>
  <c r="V123" i="30"/>
  <c r="AV130" i="30" s="1"/>
  <c r="A255" i="9"/>
  <c r="A283" i="9"/>
  <c r="A397" i="9"/>
  <c r="A581" i="9"/>
  <c r="A653" i="9"/>
  <c r="A789" i="9"/>
  <c r="A616" i="9"/>
  <c r="A595" i="9"/>
  <c r="A523" i="9"/>
  <c r="A553" i="9"/>
  <c r="A495" i="9"/>
  <c r="A453" i="9"/>
  <c r="A446" i="9"/>
  <c r="A376" i="9"/>
  <c r="A418" i="9"/>
  <c r="A390" i="9"/>
  <c r="A332" i="9"/>
  <c r="A276" i="9"/>
  <c r="A213" i="9"/>
  <c r="A248" i="9"/>
  <c r="A120" i="9"/>
  <c r="A241" i="9"/>
  <c r="A134" i="9"/>
  <c r="A113" i="9"/>
  <c r="A96" i="30" s="1"/>
  <c r="A92" i="9"/>
  <c r="A75" i="30" s="1"/>
  <c r="A530" i="9"/>
  <c r="A810" i="9"/>
  <c r="A609" i="9"/>
  <c r="A630" i="9"/>
  <c r="A560" i="9"/>
  <c r="A567" i="9"/>
  <c r="A467" i="9"/>
  <c r="A509" i="9"/>
  <c r="A411" i="9"/>
  <c r="A432" i="9"/>
  <c r="A383" i="9"/>
  <c r="A339" i="9"/>
  <c r="A311" i="9"/>
  <c r="A304" i="9"/>
  <c r="A206" i="9"/>
  <c r="A220" i="9"/>
  <c r="A106" i="9"/>
  <c r="A89" i="30" s="1"/>
  <c r="A227" i="9"/>
  <c r="A192" i="9"/>
  <c r="A99" i="9"/>
  <c r="A82" i="30" s="1"/>
  <c r="A50" i="9"/>
  <c r="A33" i="30" s="1"/>
  <c r="A43" i="9"/>
  <c r="A26" i="30" s="1"/>
  <c r="A71" i="9"/>
  <c r="A54" i="30" s="1"/>
  <c r="A796" i="9"/>
  <c r="A782" i="9"/>
  <c r="A623" i="9"/>
  <c r="A588" i="9"/>
  <c r="A516" i="9"/>
  <c r="A546" i="9"/>
  <c r="A488" i="9"/>
  <c r="A474" i="9"/>
  <c r="A404" i="9"/>
  <c r="A439" i="9"/>
  <c r="A369" i="9"/>
  <c r="A325" i="9"/>
  <c r="A297" i="9"/>
  <c r="A290" i="9"/>
  <c r="A234" i="9"/>
  <c r="A199" i="9"/>
  <c r="A262" i="9"/>
  <c r="A169" i="9"/>
  <c r="A155" i="9"/>
  <c r="A85" i="9"/>
  <c r="A68" i="30" s="1"/>
  <c r="B650" i="9"/>
  <c r="B82" i="9"/>
  <c r="B65" i="30" s="1"/>
  <c r="B543" i="9"/>
  <c r="B606" i="9"/>
  <c r="B443" i="9"/>
  <c r="B513" i="9"/>
  <c r="B756" i="9"/>
  <c r="B742" i="9"/>
  <c r="B735" i="9"/>
  <c r="B457" i="9"/>
  <c r="B592" i="9"/>
  <c r="B464" i="9"/>
  <c r="B800" i="9"/>
  <c r="B779" i="9"/>
  <c r="B770" i="9"/>
  <c r="B749" i="9"/>
  <c r="B238" i="9"/>
  <c r="B33" i="9"/>
  <c r="B16" i="30" s="1"/>
  <c r="B280" i="9"/>
  <c r="B620" i="9"/>
  <c r="B728" i="9"/>
  <c r="B763" i="9"/>
  <c r="B138" i="9"/>
  <c r="B564" i="9"/>
  <c r="B654" i="9"/>
  <c r="B804" i="9"/>
  <c r="B461" i="9"/>
  <c r="B114" i="9"/>
  <c r="B97" i="30" s="1"/>
  <c r="B37" i="9"/>
  <c r="B20" i="30" s="1"/>
  <c r="B93" i="9"/>
  <c r="B76" i="30" s="1"/>
  <c r="B575" i="9"/>
  <c r="B312" i="9"/>
  <c r="B44" i="9"/>
  <c r="B27" i="30" s="1"/>
  <c r="B475" i="9"/>
  <c r="B207" i="9"/>
  <c r="B624" i="9"/>
  <c r="B398" i="9"/>
  <c r="B170" i="9"/>
  <c r="B610" i="9"/>
  <c r="B370" i="9"/>
  <c r="B135" i="9"/>
  <c r="B284" i="9"/>
  <c r="B270" i="9"/>
  <c r="B440" i="9"/>
  <c r="B86" i="9"/>
  <c r="B69" i="30" s="1"/>
  <c r="B128" i="9"/>
  <c r="B617" i="9"/>
  <c r="B326" i="9"/>
  <c r="B797" i="9"/>
  <c r="B447" i="9"/>
  <c r="B547" i="9"/>
  <c r="B200" i="9"/>
  <c r="B818" i="9"/>
  <c r="B433" i="9"/>
  <c r="B107" i="9"/>
  <c r="B90" i="30" s="1"/>
  <c r="B524" i="9"/>
  <c r="B298" i="9"/>
  <c r="B51" i="9"/>
  <c r="B34" i="30" s="1"/>
  <c r="B517" i="9"/>
  <c r="B291" i="9"/>
  <c r="B783" i="9"/>
  <c r="B249" i="9"/>
  <c r="B242" i="9"/>
  <c r="B263" i="9"/>
  <c r="B631" i="9"/>
  <c r="B30" i="9"/>
  <c r="B13" i="30" s="1"/>
  <c r="B391" i="9"/>
  <c r="B582" i="9"/>
  <c r="B603" i="9"/>
  <c r="B319" i="9"/>
  <c r="B23" i="9"/>
  <c r="B454" i="9"/>
  <c r="B214" i="9"/>
  <c r="B554" i="9"/>
  <c r="B305" i="9"/>
  <c r="B100" i="9"/>
  <c r="B83" i="30" s="1"/>
  <c r="B482" i="9"/>
  <c r="B235" i="9"/>
  <c r="B774" i="9"/>
  <c r="B503" i="9"/>
  <c r="B149" i="9"/>
  <c r="B568" i="9"/>
  <c r="B589" i="9"/>
  <c r="B65" i="9"/>
  <c r="B48" i="30" s="1"/>
  <c r="B228" i="9"/>
  <c r="B489" i="9"/>
  <c r="B405" i="9"/>
  <c r="B142" i="9"/>
  <c r="B277" i="9"/>
  <c r="AP43" i="9"/>
  <c r="AE47" i="9"/>
  <c r="AP47" i="9" s="1"/>
  <c r="AP51" i="9" s="1"/>
  <c r="D301" i="9"/>
  <c r="I301" i="9" s="1"/>
  <c r="AN294" i="9"/>
  <c r="AR294" i="9" s="1"/>
  <c r="V140" i="30"/>
  <c r="K147" i="30"/>
  <c r="AY116" i="30"/>
  <c r="A78" i="9"/>
  <c r="A61" i="30" s="1"/>
  <c r="A64" i="9"/>
  <c r="A47" i="30" s="1"/>
  <c r="A127" i="9"/>
  <c r="A162" i="9"/>
  <c r="A346" i="9"/>
  <c r="A460" i="9"/>
  <c r="A602" i="9"/>
  <c r="B531" i="9"/>
  <c r="I513" i="9"/>
  <c r="B528" i="9"/>
  <c r="A529" i="9"/>
  <c r="B529" i="9"/>
  <c r="X23" i="9"/>
  <c r="A527" i="9"/>
  <c r="B530" i="9"/>
  <c r="AG212" i="9"/>
  <c r="AG213" i="9"/>
  <c r="BA92" i="20"/>
  <c r="R587" i="9"/>
  <c r="Z580" i="9"/>
  <c r="AG225" i="9"/>
  <c r="AG409" i="9"/>
  <c r="AI416" i="9" s="1"/>
  <c r="Z452" i="9"/>
  <c r="R499" i="9"/>
  <c r="AG567" i="9"/>
  <c r="AG568" i="9" s="1"/>
  <c r="R743" i="9"/>
  <c r="I743" i="9" s="1"/>
  <c r="D743" i="9" s="1"/>
  <c r="R211" i="9"/>
  <c r="AG233" i="9"/>
  <c r="Z275" i="9"/>
  <c r="AG290" i="9"/>
  <c r="AG309" i="9"/>
  <c r="AW316" i="9"/>
  <c r="AG481" i="9"/>
  <c r="AG482" i="9" s="1"/>
  <c r="R513" i="9"/>
  <c r="R514" i="9"/>
  <c r="AG609" i="9"/>
  <c r="AP603" i="9"/>
  <c r="BG90" i="9"/>
  <c r="R337" i="9"/>
  <c r="AG130" i="30"/>
  <c r="AH130" i="30" s="1"/>
  <c r="I343" i="9"/>
  <c r="D444" i="9"/>
  <c r="I444" i="9" s="1"/>
  <c r="X90" i="9"/>
  <c r="AV88" i="30"/>
  <c r="AV101" i="30"/>
  <c r="D156" i="9"/>
  <c r="AG190" i="9"/>
  <c r="AI197" i="9" s="1"/>
  <c r="P203" i="9"/>
  <c r="R203" i="9" s="1"/>
  <c r="AI268" i="9"/>
  <c r="AI238" i="9"/>
  <c r="AN96" i="9"/>
  <c r="AR269" i="9"/>
  <c r="AB111" i="10"/>
  <c r="AD111" i="10" s="1"/>
  <c r="V125" i="10"/>
  <c r="X125" i="10" s="1"/>
  <c r="P125" i="9"/>
  <c r="AB97" i="10"/>
  <c r="AD97" i="10" s="1"/>
  <c r="AG111" i="9"/>
  <c r="AP106" i="9"/>
  <c r="AP111" i="9"/>
  <c r="AP245" i="9"/>
  <c r="AP249" i="9" s="1"/>
  <c r="AP112" i="9"/>
  <c r="AV93" i="20"/>
  <c r="AG99" i="9"/>
  <c r="O41" i="5"/>
  <c r="O38" i="5" s="1"/>
  <c r="AM92" i="20"/>
  <c r="AG246" i="9"/>
  <c r="AE68" i="9"/>
  <c r="P206" i="9"/>
  <c r="AW93" i="20"/>
  <c r="AR147" i="9"/>
  <c r="BC106" i="9"/>
  <c r="AR148" i="9"/>
  <c r="AR139" i="9"/>
  <c r="P35" i="9"/>
  <c r="BG98" i="9"/>
  <c r="BG104" i="9"/>
  <c r="BG105" i="9"/>
  <c r="BG119" i="9"/>
  <c r="BG131" i="9"/>
  <c r="AE55" i="9"/>
  <c r="AG55" i="9" s="1"/>
  <c r="AP54" i="9"/>
  <c r="AP58" i="9" s="1"/>
  <c r="AG62" i="9"/>
  <c r="D92" i="20"/>
  <c r="AE63" i="9"/>
  <c r="AP63" i="9" s="1"/>
  <c r="BE92" i="9"/>
  <c r="BG99" i="9" s="1"/>
  <c r="BC99" i="9"/>
  <c r="BE120" i="9"/>
  <c r="BG120" i="9" s="1"/>
  <c r="BC120" i="9"/>
  <c r="AB61" i="10"/>
  <c r="AD61" i="10" s="1"/>
  <c r="AR152" i="9"/>
  <c r="B8" i="30"/>
  <c r="AE34" i="9"/>
  <c r="BG128" i="9"/>
  <c r="BG79" i="9"/>
  <c r="BG112" i="9"/>
  <c r="AB53" i="10"/>
  <c r="AD53" i="10" s="1"/>
  <c r="AP62" i="9"/>
  <c r="AP152" i="9"/>
  <c r="AB60" i="10"/>
  <c r="AD60" i="10" s="1"/>
  <c r="C92" i="20"/>
  <c r="AP61" i="9"/>
  <c r="AP65" i="9" s="1"/>
  <c r="AR140" i="9"/>
  <c r="BG86" i="9"/>
  <c r="B352" i="9"/>
  <c r="A353" i="9"/>
  <c r="A350" i="9"/>
  <c r="B353" i="9"/>
  <c r="B350" i="9"/>
  <c r="A351" i="9"/>
  <c r="B351" i="9"/>
  <c r="A352" i="9"/>
  <c r="I492" i="9"/>
  <c r="AK492" i="9" s="1"/>
  <c r="AG366" i="9"/>
  <c r="AI373" i="9" s="1"/>
  <c r="AG415" i="9"/>
  <c r="AG232" i="9"/>
  <c r="P91" i="9"/>
  <c r="AG217" i="9"/>
  <c r="AI240" i="9"/>
  <c r="X270" i="9"/>
  <c r="D270" i="9" s="1"/>
  <c r="I270" i="9" s="1"/>
  <c r="AG326" i="9"/>
  <c r="AI333" i="9" s="1"/>
  <c r="AK333" i="9" s="1"/>
  <c r="AI325" i="9"/>
  <c r="AP325" i="9"/>
  <c r="AP326" i="9" s="1"/>
  <c r="AE375" i="9"/>
  <c r="AE376" i="9" s="1"/>
  <c r="AG380" i="9" s="1"/>
  <c r="AG374" i="9"/>
  <c r="L120" i="30"/>
  <c r="S9" i="5"/>
  <c r="K120" i="30"/>
  <c r="AG495" i="9"/>
  <c r="AI495" i="9" s="1"/>
  <c r="R744" i="9"/>
  <c r="I744" i="9" s="1"/>
  <c r="D744" i="9" s="1"/>
  <c r="R737" i="9"/>
  <c r="X131" i="10"/>
  <c r="AI147" i="9"/>
  <c r="AK147" i="9" s="1"/>
  <c r="P34" i="9"/>
  <c r="V90" i="10"/>
  <c r="X90" i="10" s="1"/>
  <c r="BC113" i="9"/>
  <c r="I338" i="9"/>
  <c r="D478" i="9"/>
  <c r="I478" i="9" s="1"/>
  <c r="AW493" i="9"/>
  <c r="R500" i="9"/>
  <c r="AG586" i="9"/>
  <c r="AI586" i="9" s="1"/>
  <c r="D628" i="9"/>
  <c r="I628" i="9" s="1"/>
  <c r="AI269" i="9"/>
  <c r="P192" i="9"/>
  <c r="AG192" i="9"/>
  <c r="AG196" i="9"/>
  <c r="AI196" i="9" s="1"/>
  <c r="D731" i="9"/>
  <c r="G731" i="9" s="1"/>
  <c r="P97" i="9"/>
  <c r="R97" i="9" s="1"/>
  <c r="AB316" i="9"/>
  <c r="R507" i="9"/>
  <c r="AG593" i="9"/>
  <c r="AI600" i="9" s="1"/>
  <c r="AB600" i="9"/>
  <c r="AG607" i="9"/>
  <c r="AI607" i="9" s="1"/>
  <c r="AK607" i="9" s="1"/>
  <c r="AI465" i="9"/>
  <c r="P146" i="9"/>
  <c r="D252" i="9"/>
  <c r="I252" i="9" s="1"/>
  <c r="R338" i="9"/>
  <c r="AG418" i="9"/>
  <c r="AR418" i="9" s="1"/>
  <c r="I494" i="9"/>
  <c r="T515" i="9"/>
  <c r="D616" i="9"/>
  <c r="I616" i="9" s="1"/>
  <c r="Z422" i="9"/>
  <c r="AB422" i="9" s="1"/>
  <c r="DC86" i="20"/>
  <c r="AE70" i="9"/>
  <c r="AP70" i="9" s="1"/>
  <c r="AG403" i="9"/>
  <c r="AI410" i="9" s="1"/>
  <c r="AI485" i="9"/>
  <c r="AI467" i="9"/>
  <c r="AK467" i="9" s="1"/>
  <c r="AI480" i="9"/>
  <c r="AG447" i="9"/>
  <c r="AI445" i="9"/>
  <c r="R397" i="9"/>
  <c r="AN104" i="9"/>
  <c r="AG425" i="9"/>
  <c r="AR485" i="9"/>
  <c r="AI471" i="9"/>
  <c r="AR459" i="9"/>
  <c r="AN110" i="9"/>
  <c r="AR110" i="9" s="1"/>
  <c r="Z423" i="9"/>
  <c r="AB423" i="9" s="1"/>
  <c r="AN97" i="9"/>
  <c r="AI424" i="9"/>
  <c r="AI450" i="9"/>
  <c r="AB88" i="10"/>
  <c r="AD88" i="10" s="1"/>
  <c r="AR443" i="9"/>
  <c r="AP97" i="9"/>
  <c r="AP84" i="9"/>
  <c r="P367" i="9"/>
  <c r="R374" i="9" s="1"/>
  <c r="AB96" i="10"/>
  <c r="AD96" i="10" s="1"/>
  <c r="AR417" i="9"/>
  <c r="AG461" i="9"/>
  <c r="AG98" i="9"/>
  <c r="AG97" i="9"/>
  <c r="AG84" i="9"/>
  <c r="AI464" i="9"/>
  <c r="V103" i="10"/>
  <c r="X103" i="10" s="1"/>
  <c r="Z103" i="10" s="1"/>
  <c r="K404" i="9"/>
  <c r="P404" i="9" s="1"/>
  <c r="AG408" i="9"/>
  <c r="R479" i="9"/>
  <c r="D117" i="9"/>
  <c r="I117" i="9" s="1"/>
  <c r="AI487" i="9"/>
  <c r="K368" i="9"/>
  <c r="R459" i="9"/>
  <c r="D27" i="9"/>
  <c r="I27" i="9" s="1"/>
  <c r="A174" i="9"/>
  <c r="B174" i="9"/>
  <c r="A175" i="9"/>
  <c r="A176" i="9"/>
  <c r="B173" i="9"/>
  <c r="B175" i="9"/>
  <c r="B176" i="9"/>
  <c r="B177" i="9"/>
  <c r="R416" i="9"/>
  <c r="P402" i="9"/>
  <c r="R409" i="9" s="1"/>
  <c r="P401" i="9"/>
  <c r="R401" i="9" s="1"/>
  <c r="AI453" i="9"/>
  <c r="AG367" i="9"/>
  <c r="AP83" i="9"/>
  <c r="AI438" i="9"/>
  <c r="I499" i="9"/>
  <c r="X499" i="9" s="1"/>
  <c r="X506" i="9" s="1"/>
  <c r="P267" i="9"/>
  <c r="K225" i="9"/>
  <c r="V120" i="30"/>
  <c r="AV127" i="30" s="1"/>
  <c r="R120" i="30"/>
  <c r="AI501" i="9"/>
  <c r="AK501" i="9" s="1"/>
  <c r="AI494" i="9"/>
  <c r="AI509" i="9"/>
  <c r="AI276" i="9"/>
  <c r="P381" i="9"/>
  <c r="R381" i="9" s="1"/>
  <c r="K382" i="9"/>
  <c r="AE388" i="9"/>
  <c r="AG387" i="9"/>
  <c r="AI599" i="9"/>
  <c r="AR599" i="9"/>
  <c r="AI606" i="9"/>
  <c r="AK606" i="9" s="1"/>
  <c r="Z165" i="10"/>
  <c r="AE204" i="9"/>
  <c r="AE205" i="9" s="1"/>
  <c r="AG203" i="9"/>
  <c r="I166" i="9"/>
  <c r="R403" i="9"/>
  <c r="R410" i="9"/>
  <c r="R594" i="9"/>
  <c r="Z594" i="9"/>
  <c r="BG106" i="9"/>
  <c r="K14" i="9"/>
  <c r="P14" i="9" s="1"/>
  <c r="Z14" i="9" s="1"/>
  <c r="I140" i="9"/>
  <c r="I145" i="9"/>
  <c r="I154" i="9"/>
  <c r="T154" i="9" s="1"/>
  <c r="I329" i="9"/>
  <c r="AG373" i="9"/>
  <c r="AE395" i="9"/>
  <c r="AE396" i="9" s="1"/>
  <c r="D439" i="9"/>
  <c r="I439" i="9" s="1"/>
  <c r="Z451" i="9"/>
  <c r="AR458" i="9"/>
  <c r="AG499" i="9"/>
  <c r="AP566" i="9"/>
  <c r="I614" i="9"/>
  <c r="P146" i="30"/>
  <c r="AG146" i="30" s="1"/>
  <c r="D729" i="9"/>
  <c r="G729" i="9" s="1"/>
  <c r="G176" i="9" s="1"/>
  <c r="V12" i="10"/>
  <c r="X12" i="10" s="1"/>
  <c r="R218" i="9"/>
  <c r="AP266" i="9"/>
  <c r="AP270" i="9" s="1"/>
  <c r="I330" i="9"/>
  <c r="AK330" i="9" s="1"/>
  <c r="I599" i="9"/>
  <c r="I615" i="9"/>
  <c r="AK615" i="9" s="1"/>
  <c r="I627" i="9"/>
  <c r="BG113" i="9"/>
  <c r="I152" i="9"/>
  <c r="AR238" i="9"/>
  <c r="AR288" i="9"/>
  <c r="Z424" i="9"/>
  <c r="AB424" i="9" s="1"/>
  <c r="AR473" i="9"/>
  <c r="AR478" i="9"/>
  <c r="AG572" i="9"/>
  <c r="AR572" i="9" s="1"/>
  <c r="I148" i="9"/>
  <c r="I332" i="9"/>
  <c r="AK332" i="9" s="1"/>
  <c r="I507" i="9"/>
  <c r="I601" i="9"/>
  <c r="I629" i="9"/>
  <c r="K76" i="30"/>
  <c r="K97" i="30"/>
  <c r="K83" i="30"/>
  <c r="T317" i="9"/>
  <c r="X317" i="9" s="1"/>
  <c r="X324" i="9" s="1"/>
  <c r="Z152" i="10"/>
  <c r="X322" i="9"/>
  <c r="AK322" i="9"/>
  <c r="AN90" i="9"/>
  <c r="X447" i="9"/>
  <c r="X746" i="9"/>
  <c r="X767" i="9"/>
  <c r="AI261" i="9"/>
  <c r="AK261" i="9" s="1"/>
  <c r="AB68" i="10"/>
  <c r="AD68" i="10" s="1"/>
  <c r="AP69" i="9"/>
  <c r="I92" i="20"/>
  <c r="AI219" i="9"/>
  <c r="P217" i="9"/>
  <c r="R282" i="9"/>
  <c r="T282" i="9" s="1"/>
  <c r="Z282" i="9"/>
  <c r="AR301" i="9"/>
  <c r="AN305" i="9"/>
  <c r="R38" i="5"/>
  <c r="AG298" i="9"/>
  <c r="AI301" i="9"/>
  <c r="P219" i="9"/>
  <c r="AI282" i="9"/>
  <c r="AK282" i="9" s="1"/>
  <c r="AI275" i="9"/>
  <c r="AI266" i="9"/>
  <c r="AG263" i="9"/>
  <c r="AI233" i="9"/>
  <c r="AI288" i="9"/>
  <c r="AP119" i="9"/>
  <c r="AG119" i="9"/>
  <c r="AG120" i="9"/>
  <c r="AS92" i="20"/>
  <c r="AG110" i="9"/>
  <c r="AB109" i="10"/>
  <c r="AD109" i="10" s="1"/>
  <c r="AL92" i="20"/>
  <c r="AP110" i="9"/>
  <c r="AP114" i="9" s="1"/>
  <c r="AH92" i="20"/>
  <c r="AP104" i="9"/>
  <c r="AG104" i="9"/>
  <c r="AG105" i="9"/>
  <c r="AX92" i="20"/>
  <c r="AI308" i="9"/>
  <c r="AK308" i="9" s="1"/>
  <c r="AR308" i="9"/>
  <c r="AI315" i="9"/>
  <c r="AG220" i="9"/>
  <c r="AG224" i="9"/>
  <c r="AI231" i="9" s="1"/>
  <c r="R302" i="9"/>
  <c r="R309" i="9"/>
  <c r="Z302" i="9"/>
  <c r="AB302" i="9" s="1"/>
  <c r="AB124" i="10"/>
  <c r="AD124" i="10" s="1"/>
  <c r="AF131" i="10" s="1"/>
  <c r="AG125" i="9"/>
  <c r="AW92" i="20"/>
  <c r="AI311" i="9"/>
  <c r="AR304" i="9"/>
  <c r="AT304" i="9" s="1"/>
  <c r="AI304" i="9"/>
  <c r="AI241" i="9"/>
  <c r="AB112" i="10"/>
  <c r="AD112" i="10" s="1"/>
  <c r="P41" i="5"/>
  <c r="Q38" i="5" s="1"/>
  <c r="AO92" i="20"/>
  <c r="AG113" i="9"/>
  <c r="R206" i="9"/>
  <c r="Z246" i="9"/>
  <c r="AB246" i="9" s="1"/>
  <c r="R246" i="9"/>
  <c r="L298" i="9"/>
  <c r="P197" i="9"/>
  <c r="AR254" i="9"/>
  <c r="BL315" i="9"/>
  <c r="BV315" i="9" s="1"/>
  <c r="BJ315" i="9"/>
  <c r="BT315" i="9" s="1"/>
  <c r="F173" i="9"/>
  <c r="D273" i="9"/>
  <c r="I273" i="9" s="1"/>
  <c r="D450" i="9"/>
  <c r="I450" i="9" s="1"/>
  <c r="CJ35" i="11"/>
  <c r="CJ17" i="11"/>
  <c r="CJ23" i="11" s="1"/>
  <c r="CJ29" i="11" s="1"/>
  <c r="BG100" i="9"/>
  <c r="BG107" i="9"/>
  <c r="BP28" i="11"/>
  <c r="BP16" i="11"/>
  <c r="BP34" i="11"/>
  <c r="BP22" i="11"/>
  <c r="CB19" i="11"/>
  <c r="CB25" i="11"/>
  <c r="CB31" i="11" s="1"/>
  <c r="CB37" i="11"/>
  <c r="I37" i="15"/>
  <c r="CT18" i="20"/>
  <c r="I39" i="15"/>
  <c r="P34" i="11"/>
  <c r="P28" i="11"/>
  <c r="P22" i="11"/>
  <c r="P16" i="11"/>
  <c r="M100" i="1"/>
  <c r="L134" i="10"/>
  <c r="M88" i="2"/>
  <c r="CQ26" i="20"/>
  <c r="N59" i="20"/>
  <c r="CG22" i="1"/>
  <c r="CB36" i="1"/>
  <c r="F46" i="10"/>
  <c r="Z35" i="1"/>
  <c r="AN74" i="1"/>
  <c r="N7" i="15"/>
  <c r="O8" i="15" s="1"/>
  <c r="O67" i="15" s="1"/>
  <c r="CS51" i="1"/>
  <c r="AV26" i="1"/>
  <c r="BW34" i="1"/>
  <c r="AF73" i="1"/>
  <c r="T65" i="1"/>
  <c r="U65" i="1"/>
  <c r="AB116" i="1"/>
  <c r="B796" i="9"/>
  <c r="CQ92" i="1"/>
  <c r="AF271" i="1"/>
  <c r="CR72" i="1"/>
  <c r="CR36" i="1"/>
  <c r="CS16" i="1"/>
  <c r="CE271" i="1"/>
  <c r="CE268" i="1"/>
  <c r="BP270" i="1"/>
  <c r="BH15" i="20"/>
  <c r="CR15" i="1"/>
  <c r="CR65" i="1"/>
  <c r="CN11" i="11"/>
  <c r="CN17" i="11" s="1"/>
  <c r="CN23" i="11" s="1"/>
  <c r="CN29" i="11" s="1"/>
  <c r="BA75" i="1"/>
  <c r="AZ75" i="1"/>
  <c r="CQ55" i="1"/>
  <c r="CR81" i="1"/>
  <c r="CQ91" i="1"/>
  <c r="DC10" i="20"/>
  <c r="DC12" i="20" s="1"/>
  <c r="DC16" i="20" s="1"/>
  <c r="R20" i="15"/>
  <c r="R11" i="15"/>
  <c r="O33" i="15"/>
  <c r="O28" i="15"/>
  <c r="P8" i="15"/>
  <c r="P67" i="15" s="1"/>
  <c r="AN16" i="9"/>
  <c r="T105" i="1"/>
  <c r="L31" i="11"/>
  <c r="L37" i="11"/>
  <c r="L25" i="11"/>
  <c r="CQ76" i="1"/>
  <c r="CA268" i="1"/>
  <c r="BI15" i="20" s="1"/>
  <c r="O26" i="15"/>
  <c r="Z71" i="1"/>
  <c r="X91" i="1"/>
  <c r="N88" i="61"/>
  <c r="N47" i="61"/>
  <c r="L102" i="1"/>
  <c r="C20" i="15"/>
  <c r="C33" i="15"/>
  <c r="CQ75" i="1"/>
  <c r="CR82" i="1"/>
  <c r="CS35" i="1"/>
  <c r="L155" i="10"/>
  <c r="L162" i="10"/>
  <c r="J65" i="5"/>
  <c r="J34" i="15"/>
  <c r="L64" i="10"/>
  <c r="T106" i="1"/>
  <c r="E24" i="15"/>
  <c r="K69" i="2"/>
  <c r="K75" i="2" s="1"/>
  <c r="Q34" i="1"/>
  <c r="BP101" i="1"/>
  <c r="BK105" i="1"/>
  <c r="BK106" i="1"/>
  <c r="Z51" i="1"/>
  <c r="K54" i="61"/>
  <c r="K95" i="61"/>
  <c r="L50" i="61"/>
  <c r="L91" i="61"/>
  <c r="E37" i="15"/>
  <c r="CP18" i="20"/>
  <c r="U33" i="1"/>
  <c r="T53" i="1"/>
  <c r="T34" i="1"/>
  <c r="V33" i="1"/>
  <c r="K73" i="2"/>
  <c r="E73" i="1"/>
  <c r="D93" i="1"/>
  <c r="E83" i="1"/>
  <c r="BW90" i="1"/>
  <c r="BY70" i="1"/>
  <c r="BX70" i="1"/>
  <c r="BW75" i="1"/>
  <c r="U24" i="1"/>
  <c r="M68" i="2"/>
  <c r="F10" i="15"/>
  <c r="E98" i="61"/>
  <c r="E139" i="61"/>
  <c r="BO76" i="1"/>
  <c r="BP81" i="1"/>
  <c r="BP71" i="1"/>
  <c r="BO75" i="1"/>
  <c r="AZ80" i="1"/>
  <c r="BA70" i="1"/>
  <c r="AY90" i="1"/>
  <c r="AZ70" i="1"/>
  <c r="AL73" i="1"/>
  <c r="AK73" i="1"/>
  <c r="AJ93" i="1"/>
  <c r="AP73" i="1"/>
  <c r="M81" i="1"/>
  <c r="L91" i="1"/>
  <c r="BX39" i="20"/>
  <c r="G91" i="61"/>
  <c r="BW74" i="1"/>
  <c r="CU73" i="20"/>
  <c r="CT73" i="20"/>
  <c r="E50" i="61"/>
  <c r="E132" i="61"/>
  <c r="E91" i="61"/>
  <c r="F117" i="61" s="1"/>
  <c r="CM90" i="1"/>
  <c r="CN70" i="1"/>
  <c r="CM75" i="1"/>
  <c r="Y53" i="1"/>
  <c r="AD53" i="1"/>
  <c r="M55" i="15"/>
  <c r="CW26" i="20"/>
  <c r="C24" i="61"/>
  <c r="C145" i="61" s="1"/>
  <c r="BP55" i="1"/>
  <c r="BU55" i="1"/>
  <c r="AG80" i="1"/>
  <c r="AG70" i="1"/>
  <c r="AH70" i="1"/>
  <c r="AF90" i="1"/>
  <c r="AF75" i="1"/>
  <c r="AK71" i="1"/>
  <c r="AJ76" i="1"/>
  <c r="AJ74" i="1"/>
  <c r="BD43" i="1"/>
  <c r="BE43" i="1"/>
  <c r="CO25" i="1"/>
  <c r="CK25" i="1"/>
  <c r="E80" i="1"/>
  <c r="E70" i="1"/>
  <c r="D90" i="1"/>
  <c r="J70" i="1"/>
  <c r="CY13" i="20"/>
  <c r="AC69" i="2"/>
  <c r="AC76" i="2" s="1"/>
  <c r="BG208" i="1"/>
  <c r="BG176" i="1"/>
  <c r="BG177" i="1"/>
  <c r="BG178" i="1" s="1"/>
  <c r="BG211" i="1" s="1"/>
  <c r="K57" i="15"/>
  <c r="CV28" i="20" s="1"/>
  <c r="AN245" i="1"/>
  <c r="CV37" i="20"/>
  <c r="L57" i="15"/>
  <c r="CW28" i="20" s="1"/>
  <c r="CW37" i="20"/>
  <c r="CW39" i="20" s="1"/>
  <c r="CW40" i="20" s="1"/>
  <c r="AU245" i="1"/>
  <c r="A650" i="9"/>
  <c r="A380" i="9"/>
  <c r="AB51" i="30"/>
  <c r="P54" i="5"/>
  <c r="DA68" i="20"/>
  <c r="G36" i="61"/>
  <c r="G169" i="61" s="1"/>
  <c r="I24" i="61"/>
  <c r="S55" i="15"/>
  <c r="R55" i="15"/>
  <c r="A21" i="10"/>
  <c r="A154" i="10"/>
  <c r="A126" i="10"/>
  <c r="A98" i="10"/>
  <c r="A70" i="10"/>
  <c r="A49" i="10"/>
  <c r="A133" i="10"/>
  <c r="A119" i="10"/>
  <c r="A91" i="10"/>
  <c r="A35" i="10"/>
  <c r="A42" i="10"/>
  <c r="A168" i="10"/>
  <c r="A147" i="10"/>
  <c r="A105" i="10"/>
  <c r="A77" i="10"/>
  <c r="A28" i="10"/>
  <c r="A161" i="10"/>
  <c r="A56" i="10"/>
  <c r="A140" i="10"/>
  <c r="A63" i="10"/>
  <c r="A84" i="10"/>
  <c r="B19" i="10"/>
  <c r="B166" i="10"/>
  <c r="B131" i="10"/>
  <c r="B103" i="10"/>
  <c r="B61" i="10"/>
  <c r="B75" i="10"/>
  <c r="B152" i="10"/>
  <c r="B124" i="10"/>
  <c r="B96" i="10"/>
  <c r="B33" i="10"/>
  <c r="B68" i="10"/>
  <c r="B159" i="10"/>
  <c r="B138" i="10"/>
  <c r="B110" i="10"/>
  <c r="B82" i="10"/>
  <c r="B54" i="10"/>
  <c r="B40" i="10"/>
  <c r="B89" i="10"/>
  <c r="B26" i="10"/>
  <c r="B117" i="10"/>
  <c r="T60" i="10"/>
  <c r="L78" i="10"/>
  <c r="L90" i="10"/>
  <c r="D85" i="10"/>
  <c r="R83" i="10"/>
  <c r="F85" i="10"/>
  <c r="T82" i="10"/>
  <c r="D92" i="10"/>
  <c r="L99" i="10"/>
  <c r="L98" i="10"/>
  <c r="F92" i="10"/>
  <c r="T96" i="10"/>
  <c r="AH104" i="10"/>
  <c r="L125" i="10"/>
  <c r="L118" i="10"/>
  <c r="F120" i="10"/>
  <c r="R118" i="10"/>
  <c r="T130" i="10"/>
  <c r="R131" i="10"/>
  <c r="L152" i="10"/>
  <c r="L145" i="10"/>
  <c r="T144" i="10"/>
  <c r="AH145" i="10"/>
  <c r="R145" i="10"/>
  <c r="BO100" i="1"/>
  <c r="BT90" i="1"/>
  <c r="BI71" i="1"/>
  <c r="BH81" i="1"/>
  <c r="BG91" i="1"/>
  <c r="AN102" i="1"/>
  <c r="AO92" i="1"/>
  <c r="BD71" i="1"/>
  <c r="BC76" i="1"/>
  <c r="BC75" i="1"/>
  <c r="BC74" i="1"/>
  <c r="BC91" i="1"/>
  <c r="CI54" i="1"/>
  <c r="CK50" i="1"/>
  <c r="CJ50" i="1"/>
  <c r="CI70" i="1"/>
  <c r="CI55" i="1"/>
  <c r="CI56" i="1"/>
  <c r="CC72" i="1"/>
  <c r="CB72" i="1"/>
  <c r="CA74" i="1"/>
  <c r="CB82" i="1"/>
  <c r="CA92" i="1"/>
  <c r="E53" i="1"/>
  <c r="D54" i="1"/>
  <c r="CE92" i="1"/>
  <c r="CF72" i="1"/>
  <c r="CF82" i="1"/>
  <c r="BY55" i="1"/>
  <c r="BT55" i="1"/>
  <c r="AB95" i="1"/>
  <c r="AB94" i="1"/>
  <c r="BC103" i="1"/>
  <c r="BD93" i="1"/>
  <c r="R73" i="1"/>
  <c r="D75" i="1"/>
  <c r="E75" i="1" s="1"/>
  <c r="E12" i="20"/>
  <c r="Y12" i="20"/>
  <c r="AI67" i="20"/>
  <c r="AR67" i="20"/>
  <c r="AW67" i="20"/>
  <c r="AW59" i="20"/>
  <c r="BB67" i="20"/>
  <c r="BB59" i="20"/>
  <c r="BL88" i="20" s="1"/>
  <c r="BG12" i="20"/>
  <c r="BG16" i="20" s="1"/>
  <c r="BL67" i="20"/>
  <c r="BL59" i="20"/>
  <c r="AX73" i="20"/>
  <c r="BH59" i="20"/>
  <c r="BT28" i="11"/>
  <c r="BT34" i="11"/>
  <c r="BT22" i="11"/>
  <c r="P31" i="11"/>
  <c r="P19" i="11"/>
  <c r="P25" i="11"/>
  <c r="CF53" i="1"/>
  <c r="CK53" i="1"/>
  <c r="CG53" i="1"/>
  <c r="CE54" i="1"/>
  <c r="AV35" i="1"/>
  <c r="AW35" i="1"/>
  <c r="BU35" i="1"/>
  <c r="BT35" i="1"/>
  <c r="CO35" i="1"/>
  <c r="CN35" i="1"/>
  <c r="AZ40" i="1"/>
  <c r="AY45" i="1"/>
  <c r="AY46" i="1"/>
  <c r="E52" i="1"/>
  <c r="D72" i="1"/>
  <c r="D74" i="1"/>
  <c r="BJ101" i="30"/>
  <c r="BU51" i="1"/>
  <c r="BJ109" i="30"/>
  <c r="BS71" i="1"/>
  <c r="BU71" i="1" s="1"/>
  <c r="BS56" i="1"/>
  <c r="BT51" i="1"/>
  <c r="BS54" i="1"/>
  <c r="H63" i="1"/>
  <c r="H64" i="1" s="1"/>
  <c r="I63" i="1"/>
  <c r="H72" i="1"/>
  <c r="I62" i="1"/>
  <c r="H66" i="1"/>
  <c r="I66" i="1"/>
  <c r="DB21" i="20"/>
  <c r="H18" i="61"/>
  <c r="CF73" i="1"/>
  <c r="AS68" i="2"/>
  <c r="M8" i="61"/>
  <c r="BP36" i="11"/>
  <c r="AG39" i="20"/>
  <c r="AG40" i="20" s="1"/>
  <c r="AL39" i="20"/>
  <c r="AL40" i="20" s="1"/>
  <c r="AQ39" i="20"/>
  <c r="AQ40" i="20" s="1"/>
  <c r="AV39" i="20"/>
  <c r="AV40" i="20" s="1"/>
  <c r="BA39" i="20"/>
  <c r="BA40" i="20" s="1"/>
  <c r="N39" i="20"/>
  <c r="N40" i="20" s="1"/>
  <c r="X50" i="1"/>
  <c r="AH21" i="1"/>
  <c r="AL21" i="1"/>
  <c r="P65" i="1"/>
  <c r="Q65" i="1"/>
  <c r="AY124" i="1"/>
  <c r="M56" i="15"/>
  <c r="CX27" i="20" s="1"/>
  <c r="BG91" i="9"/>
  <c r="DG31" i="1"/>
  <c r="AJ243" i="1"/>
  <c r="AN126" i="1"/>
  <c r="AU261" i="1"/>
  <c r="BG103" i="9"/>
  <c r="BG132" i="9"/>
  <c r="CB14" i="1"/>
  <c r="AL20" i="1"/>
  <c r="AP20" i="1"/>
  <c r="BM21" i="1"/>
  <c r="H115" i="1"/>
  <c r="AF116" i="1"/>
  <c r="CR85" i="1"/>
  <c r="CQ90" i="1"/>
  <c r="CR80" i="1"/>
  <c r="CS70" i="1"/>
  <c r="CR50" i="1"/>
  <c r="CS50" i="1"/>
  <c r="AU68" i="2"/>
  <c r="DH10" i="20"/>
  <c r="E73" i="2"/>
  <c r="CS75" i="1"/>
  <c r="O15" i="15"/>
  <c r="O20" i="15"/>
  <c r="O13" i="15"/>
  <c r="AE67" i="2"/>
  <c r="AE73" i="2" s="1"/>
  <c r="O17" i="15"/>
  <c r="F6" i="61"/>
  <c r="F127" i="61" s="1"/>
  <c r="CZ8" i="20"/>
  <c r="O59" i="15"/>
  <c r="BH84" i="1"/>
  <c r="BH74" i="1"/>
  <c r="Q36" i="1"/>
  <c r="R36" i="1"/>
  <c r="CR70" i="1"/>
  <c r="W25" i="15"/>
  <c r="N11" i="61"/>
  <c r="DH13" i="20"/>
  <c r="BH55" i="1"/>
  <c r="BI55" i="1"/>
  <c r="J71" i="1"/>
  <c r="H91" i="1"/>
  <c r="H75" i="1"/>
  <c r="R25" i="15"/>
  <c r="AK69" i="2"/>
  <c r="AK76" i="2"/>
  <c r="R33" i="15"/>
  <c r="H25" i="11"/>
  <c r="H37" i="11"/>
  <c r="H19" i="11"/>
  <c r="CF100" i="1"/>
  <c r="CE105" i="1"/>
  <c r="BP17" i="11"/>
  <c r="BP29" i="11"/>
  <c r="BP35" i="11"/>
  <c r="AJ29" i="11"/>
  <c r="AJ17" i="11"/>
  <c r="AJ35" i="11"/>
  <c r="AJ23" i="11"/>
  <c r="AN29" i="11"/>
  <c r="AN35" i="11"/>
  <c r="AN23" i="11"/>
  <c r="AN17" i="11"/>
  <c r="AR29" i="11"/>
  <c r="AR17" i="11"/>
  <c r="AR23" i="11"/>
  <c r="AR35" i="11"/>
  <c r="AZ17" i="11"/>
  <c r="AZ29" i="11"/>
  <c r="AZ35" i="11"/>
  <c r="AZ23" i="11"/>
  <c r="AH47" i="10"/>
  <c r="R47" i="10"/>
  <c r="T46" i="10"/>
  <c r="J39" i="15"/>
  <c r="R7" i="5"/>
  <c r="BQ25" i="1"/>
  <c r="BP25" i="11"/>
  <c r="BP31" i="11"/>
  <c r="BP37" i="11"/>
  <c r="T18" i="11"/>
  <c r="T36" i="11"/>
  <c r="T24" i="11"/>
  <c r="T30" i="11"/>
  <c r="X18" i="11"/>
  <c r="X36" i="11"/>
  <c r="AZ18" i="11"/>
  <c r="AZ36" i="11"/>
  <c r="BH36" i="11"/>
  <c r="BH30" i="11"/>
  <c r="BH18" i="11"/>
  <c r="BH24" i="11"/>
  <c r="T32" i="10"/>
  <c r="R33" i="10"/>
  <c r="L30" i="11"/>
  <c r="L36" i="11"/>
  <c r="L24" i="11"/>
  <c r="L18" i="11"/>
  <c r="AB19" i="11"/>
  <c r="AB25" i="11"/>
  <c r="BL25" i="11"/>
  <c r="BL31" i="11"/>
  <c r="BL37" i="11"/>
  <c r="BL19" i="11"/>
  <c r="BT37" i="11"/>
  <c r="BT25" i="11"/>
  <c r="BT19" i="11"/>
  <c r="BT31" i="11"/>
  <c r="BX36" i="11"/>
  <c r="BX18" i="11"/>
  <c r="BX24" i="11" s="1"/>
  <c r="BX30" i="11" s="1"/>
  <c r="AN16" i="11"/>
  <c r="AN28" i="11"/>
  <c r="AN34" i="11"/>
  <c r="AN22" i="11"/>
  <c r="AR22" i="11"/>
  <c r="AR28" i="11"/>
  <c r="AR16" i="11"/>
  <c r="AR34" i="11"/>
  <c r="AV34" i="11"/>
  <c r="AV28" i="11"/>
  <c r="AV16" i="11"/>
  <c r="AV22" i="11"/>
  <c r="BD28" i="11"/>
  <c r="BD34" i="11"/>
  <c r="BD22" i="11"/>
  <c r="BD16" i="11"/>
  <c r="BH16" i="11"/>
  <c r="BH28" i="11"/>
  <c r="BL34" i="11"/>
  <c r="BL28" i="11"/>
  <c r="BL22" i="11"/>
  <c r="BL16" i="11"/>
  <c r="CW8" i="20"/>
  <c r="L15" i="15"/>
  <c r="L20" i="15"/>
  <c r="L13" i="15"/>
  <c r="M33" i="1"/>
  <c r="X12" i="20"/>
  <c r="X58" i="20" s="1"/>
  <c r="BH24" i="1"/>
  <c r="Q7" i="15"/>
  <c r="BE16" i="1"/>
  <c r="AD15" i="1"/>
  <c r="AD16" i="1" s="1"/>
  <c r="BE22" i="1"/>
  <c r="CO16" i="1"/>
  <c r="BM20" i="1"/>
  <c r="L112" i="10"/>
  <c r="L126" i="10"/>
  <c r="AY34" i="1"/>
  <c r="F99" i="10"/>
  <c r="L117" i="10"/>
  <c r="L151" i="10"/>
  <c r="L53" i="10"/>
  <c r="CF269" i="1"/>
  <c r="A267" i="9"/>
  <c r="L76" i="10"/>
  <c r="L40" i="10"/>
  <c r="L82" i="10"/>
  <c r="CS73" i="20"/>
  <c r="AH12" i="20"/>
  <c r="AH58" i="20" s="1"/>
  <c r="L20" i="10"/>
  <c r="AR12" i="20"/>
  <c r="AW12" i="20"/>
  <c r="N12" i="20"/>
  <c r="CA32" i="20"/>
  <c r="B652" i="9"/>
  <c r="L139" i="10"/>
  <c r="L159" i="10"/>
  <c r="L68" i="10"/>
  <c r="BP67" i="20"/>
  <c r="S36" i="20"/>
  <c r="Y67" i="20"/>
  <c r="AT67" i="20"/>
  <c r="AO269" i="1"/>
  <c r="BG89" i="9"/>
  <c r="CN35" i="11"/>
  <c r="AU76" i="2"/>
  <c r="N24" i="61"/>
  <c r="N63" i="61" s="1"/>
  <c r="N104" i="61" s="1"/>
  <c r="N148" i="61" s="1"/>
  <c r="CM268" i="1"/>
  <c r="BX15" i="20" s="1"/>
  <c r="BO44" i="1"/>
  <c r="BQ43" i="1"/>
  <c r="BU43" i="1"/>
  <c r="AT14" i="20"/>
  <c r="BP43" i="1"/>
  <c r="R40" i="10"/>
  <c r="AL59" i="20"/>
  <c r="G8" i="15"/>
  <c r="F28" i="15"/>
  <c r="V112" i="30"/>
  <c r="AV119" i="30" s="1"/>
  <c r="K57" i="61"/>
  <c r="D63" i="61"/>
  <c r="D104" i="61" s="1"/>
  <c r="BF12" i="20"/>
  <c r="CC36" i="20"/>
  <c r="AS76" i="2"/>
  <c r="N32" i="20"/>
  <c r="BB12" i="20"/>
  <c r="BB58" i="20" s="1"/>
  <c r="B651" i="9"/>
  <c r="BX68" i="20"/>
  <c r="CN36" i="11"/>
  <c r="AH49" i="10"/>
  <c r="AX43" i="11"/>
  <c r="AH161" i="10"/>
  <c r="R161" i="10"/>
  <c r="N33" i="15"/>
  <c r="N39" i="15" s="1"/>
  <c r="G173" i="61"/>
  <c r="G76" i="61"/>
  <c r="CR123" i="1"/>
  <c r="CU255" i="1"/>
  <c r="CR258" i="1"/>
  <c r="CU125" i="1"/>
  <c r="CU33" i="20"/>
  <c r="CE210" i="1"/>
  <c r="CE178" i="1"/>
  <c r="CE211" i="1" s="1"/>
  <c r="CI211" i="1" s="1"/>
  <c r="AV154" i="30"/>
  <c r="L141" i="30"/>
  <c r="V7" i="5"/>
  <c r="V13" i="5" s="1"/>
  <c r="AK138" i="30"/>
  <c r="AB46" i="10"/>
  <c r="AD46" i="10" s="1"/>
  <c r="AK139" i="30"/>
  <c r="BI331" i="9"/>
  <c r="BS139" i="30"/>
  <c r="L130" i="30"/>
  <c r="AP609" i="9"/>
  <c r="AT609" i="9" s="1"/>
  <c r="AI616" i="9"/>
  <c r="AI609" i="9"/>
  <c r="AG68" i="9"/>
  <c r="D277" i="9"/>
  <c r="I277" i="9" s="1"/>
  <c r="AI239" i="9"/>
  <c r="AI422" i="9"/>
  <c r="R146" i="9"/>
  <c r="Z146" i="9"/>
  <c r="R153" i="9"/>
  <c r="T153" i="9" s="1"/>
  <c r="Z34" i="9"/>
  <c r="AP593" i="9"/>
  <c r="AT600" i="9" s="1"/>
  <c r="AG596" i="9"/>
  <c r="AI603" i="9" s="1"/>
  <c r="AR593" i="9"/>
  <c r="AG375" i="9"/>
  <c r="AI382" i="9" s="1"/>
  <c r="DC92" i="20"/>
  <c r="R402" i="9"/>
  <c r="K369" i="9"/>
  <c r="P369" i="9" s="1"/>
  <c r="R376" i="9" s="1"/>
  <c r="P368" i="9"/>
  <c r="P408" i="9"/>
  <c r="T499" i="9"/>
  <c r="Z267" i="9"/>
  <c r="AI579" i="9"/>
  <c r="AP499" i="9"/>
  <c r="AP503" i="9" s="1"/>
  <c r="AI499" i="9"/>
  <c r="AG503" i="9"/>
  <c r="AK507" i="9"/>
  <c r="T507" i="9"/>
  <c r="AG204" i="9"/>
  <c r="AI204" i="9" s="1"/>
  <c r="AG388" i="9"/>
  <c r="AG389" i="9"/>
  <c r="AI389" i="9" s="1"/>
  <c r="Q153" i="30"/>
  <c r="D447" i="9"/>
  <c r="I447" i="9" s="1"/>
  <c r="G746" i="9"/>
  <c r="D753" i="9"/>
  <c r="I753" i="9" s="1"/>
  <c r="AV322" i="9"/>
  <c r="AW322" i="9" s="1"/>
  <c r="G767" i="9"/>
  <c r="AB309" i="9"/>
  <c r="BY34" i="1"/>
  <c r="S24" i="15"/>
  <c r="CC34" i="1"/>
  <c r="BX34" i="1"/>
  <c r="N17" i="15"/>
  <c r="E6" i="61"/>
  <c r="N28" i="15"/>
  <c r="N59" i="15"/>
  <c r="CY8" i="20"/>
  <c r="N20" i="15"/>
  <c r="N31" i="15"/>
  <c r="AC67" i="2"/>
  <c r="N26" i="15"/>
  <c r="N8" i="15"/>
  <c r="N67" i="15" s="1"/>
  <c r="N37" i="15"/>
  <c r="N15" i="15"/>
  <c r="N11" i="15"/>
  <c r="N13" i="15"/>
  <c r="F50" i="10"/>
  <c r="AG83" i="1"/>
  <c r="AH73" i="1"/>
  <c r="AF74" i="1"/>
  <c r="AF93" i="1"/>
  <c r="AG73" i="1"/>
  <c r="AO74" i="1"/>
  <c r="AO84" i="1"/>
  <c r="AW74" i="1"/>
  <c r="I45" i="15"/>
  <c r="I48" i="15" s="1"/>
  <c r="I40" i="15"/>
  <c r="I43" i="15"/>
  <c r="I30" i="15" s="1"/>
  <c r="I31" i="15" s="1"/>
  <c r="I82" i="1"/>
  <c r="H92" i="1"/>
  <c r="I72" i="1"/>
  <c r="N72" i="1"/>
  <c r="E74" i="1"/>
  <c r="CM100" i="1"/>
  <c r="CM95" i="1"/>
  <c r="CM96" i="1"/>
  <c r="AY100" i="1"/>
  <c r="AZ90" i="1"/>
  <c r="BD90" i="1"/>
  <c r="AY94" i="1"/>
  <c r="AY95" i="1"/>
  <c r="AY96" i="1"/>
  <c r="H76" i="1"/>
  <c r="N76" i="1"/>
  <c r="H57" i="61"/>
  <c r="AZ46" i="1"/>
  <c r="BE46" i="1"/>
  <c r="CE102" i="1"/>
  <c r="CE94" i="1"/>
  <c r="CE96" i="1"/>
  <c r="J54" i="1"/>
  <c r="B65" i="5"/>
  <c r="E54" i="1"/>
  <c r="CK55" i="1"/>
  <c r="CJ55" i="1"/>
  <c r="CO55" i="1"/>
  <c r="CJ54" i="1"/>
  <c r="CO54" i="1"/>
  <c r="BD76" i="1"/>
  <c r="BD86" i="1"/>
  <c r="BE76" i="1"/>
  <c r="BI76" i="1"/>
  <c r="L92" i="10"/>
  <c r="L85" i="10"/>
  <c r="CZ73" i="20"/>
  <c r="BP85" i="1"/>
  <c r="BP75" i="1"/>
  <c r="BQ75" i="1"/>
  <c r="F24" i="15"/>
  <c r="U34" i="1"/>
  <c r="M69" i="2"/>
  <c r="M75" i="2" s="1"/>
  <c r="Z34" i="1"/>
  <c r="V34" i="1"/>
  <c r="CR76" i="1"/>
  <c r="CS76" i="1"/>
  <c r="CJ271" i="1"/>
  <c r="BT56" i="1"/>
  <c r="BY56" i="1"/>
  <c r="BU56" i="1"/>
  <c r="AZ45" i="1"/>
  <c r="BE45" i="1"/>
  <c r="CA96" i="1"/>
  <c r="CF96" i="1" s="1"/>
  <c r="CA102" i="1"/>
  <c r="CB92" i="1"/>
  <c r="CF92" i="1"/>
  <c r="CA94" i="1"/>
  <c r="BC96" i="1"/>
  <c r="BC101" i="1"/>
  <c r="BH91" i="1"/>
  <c r="BC94" i="1"/>
  <c r="BC95" i="1"/>
  <c r="BD91" i="1"/>
  <c r="AG85" i="1"/>
  <c r="AG75" i="1"/>
  <c r="AL75" i="1"/>
  <c r="BX84" i="1"/>
  <c r="CC74" i="1"/>
  <c r="BX74" i="1"/>
  <c r="BX90" i="1"/>
  <c r="BW94" i="1"/>
  <c r="CB90" i="1"/>
  <c r="BW95" i="1"/>
  <c r="CB95" i="1"/>
  <c r="BW100" i="1"/>
  <c r="BW96" i="1"/>
  <c r="CB96" i="1" s="1"/>
  <c r="Z53" i="1"/>
  <c r="V53" i="1"/>
  <c r="T54" i="1"/>
  <c r="U53" i="1"/>
  <c r="T73" i="1"/>
  <c r="K76" i="2"/>
  <c r="C34" i="15"/>
  <c r="Y50" i="1"/>
  <c r="X70" i="1"/>
  <c r="AD50" i="1"/>
  <c r="X56" i="1"/>
  <c r="Z50" i="1"/>
  <c r="X55" i="1"/>
  <c r="X54" i="1"/>
  <c r="BS74" i="1"/>
  <c r="BS91" i="1"/>
  <c r="BT71" i="1"/>
  <c r="BS75" i="1"/>
  <c r="BU75" i="1"/>
  <c r="BT81" i="1"/>
  <c r="BS76" i="1"/>
  <c r="BU76" i="1" s="1"/>
  <c r="BY71" i="1"/>
  <c r="D92" i="1"/>
  <c r="D76" i="1"/>
  <c r="E76" i="1" s="1"/>
  <c r="E82" i="1"/>
  <c r="J72" i="1"/>
  <c r="E72" i="1"/>
  <c r="CG54" i="1"/>
  <c r="CF54" i="1"/>
  <c r="CK54" i="1"/>
  <c r="BG58" i="20"/>
  <c r="BL87" i="20" s="1"/>
  <c r="AH75" i="1"/>
  <c r="Q70" i="2"/>
  <c r="N10" i="3"/>
  <c r="N16" i="3"/>
  <c r="AB104" i="1"/>
  <c r="BD74" i="1"/>
  <c r="BD84" i="1"/>
  <c r="BI74" i="1"/>
  <c r="BE74" i="1"/>
  <c r="BL91" i="1"/>
  <c r="BG96" i="1"/>
  <c r="BL96" i="1"/>
  <c r="BG101" i="1"/>
  <c r="BG95" i="1"/>
  <c r="BL95" i="1" s="1"/>
  <c r="BG94" i="1"/>
  <c r="BO105" i="1"/>
  <c r="BP105" i="1" s="1"/>
  <c r="BT100" i="1"/>
  <c r="BP100" i="1"/>
  <c r="BO106" i="1"/>
  <c r="I63" i="61"/>
  <c r="I104" i="61" s="1"/>
  <c r="I145" i="61"/>
  <c r="AC75" i="2"/>
  <c r="AK74" i="1"/>
  <c r="AP74" i="1"/>
  <c r="AK84" i="1"/>
  <c r="AL74" i="1"/>
  <c r="AF100" i="1"/>
  <c r="AG90" i="1"/>
  <c r="AF96" i="1"/>
  <c r="AK90" i="1"/>
  <c r="AF94" i="1"/>
  <c r="AF95" i="1"/>
  <c r="AK95" i="1" s="1"/>
  <c r="C63" i="61"/>
  <c r="C104" i="61" s="1"/>
  <c r="G117" i="61"/>
  <c r="L101" i="1"/>
  <c r="L95" i="1"/>
  <c r="Q95" i="1" s="1"/>
  <c r="Q91" i="1"/>
  <c r="L94" i="1"/>
  <c r="L96" i="1"/>
  <c r="BX85" i="1"/>
  <c r="CC75" i="1"/>
  <c r="BX75" i="1"/>
  <c r="H73" i="1"/>
  <c r="X101" i="1"/>
  <c r="AC91" i="1"/>
  <c r="Y91" i="1"/>
  <c r="O34" i="15"/>
  <c r="O39" i="15"/>
  <c r="O65" i="5"/>
  <c r="CR91" i="1"/>
  <c r="CQ101" i="1"/>
  <c r="CR92" i="1"/>
  <c r="CQ102" i="1"/>
  <c r="BD103" i="1"/>
  <c r="BH103" i="1"/>
  <c r="CK70" i="1"/>
  <c r="CI90" i="1"/>
  <c r="CJ70" i="1"/>
  <c r="CJ80" i="1"/>
  <c r="CI74" i="1"/>
  <c r="CI75" i="1"/>
  <c r="CI76" i="1"/>
  <c r="CO70" i="1"/>
  <c r="AO102" i="1"/>
  <c r="AV102" i="1"/>
  <c r="AJ103" i="1"/>
  <c r="AO93" i="1"/>
  <c r="AJ94" i="1"/>
  <c r="AK93" i="1"/>
  <c r="CS55" i="1"/>
  <c r="CR55" i="1"/>
  <c r="M88" i="61"/>
  <c r="M47" i="61"/>
  <c r="BT54" i="1"/>
  <c r="BY54" i="1"/>
  <c r="BU54" i="1"/>
  <c r="BJ112" i="30"/>
  <c r="AG95" i="1"/>
  <c r="CB84" i="1"/>
  <c r="CB74" i="1"/>
  <c r="CG74" i="1"/>
  <c r="CJ56" i="1"/>
  <c r="CK56" i="1"/>
  <c r="CO56" i="1"/>
  <c r="BI75" i="1"/>
  <c r="BD75" i="1"/>
  <c r="BD85" i="1"/>
  <c r="BE75" i="1"/>
  <c r="N34" i="15"/>
  <c r="N65" i="5"/>
  <c r="D100" i="1"/>
  <c r="D95" i="1"/>
  <c r="I90" i="1"/>
  <c r="D94" i="1"/>
  <c r="D96" i="1"/>
  <c r="AK86" i="1"/>
  <c r="AK76" i="1"/>
  <c r="AP76" i="1"/>
  <c r="AL76" i="1"/>
  <c r="CN75" i="1"/>
  <c r="CN85" i="1"/>
  <c r="F173" i="61"/>
  <c r="BP86" i="1"/>
  <c r="BQ76" i="1"/>
  <c r="BP76" i="1"/>
  <c r="CQ10" i="20"/>
  <c r="F11" i="15"/>
  <c r="F20" i="15"/>
  <c r="F15" i="15"/>
  <c r="D103" i="1"/>
  <c r="E26" i="15"/>
  <c r="CP13" i="20"/>
  <c r="CR75" i="1"/>
  <c r="CR86" i="1"/>
  <c r="BN15" i="20"/>
  <c r="AZ34" i="1"/>
  <c r="BE34" i="1"/>
  <c r="M24" i="15"/>
  <c r="BA34" i="1"/>
  <c r="J40" i="15"/>
  <c r="J43" i="15"/>
  <c r="J30" i="15" s="1"/>
  <c r="J31" i="15" s="1"/>
  <c r="J45" i="15"/>
  <c r="R65" i="5"/>
  <c r="R39" i="15"/>
  <c r="R34" i="15"/>
  <c r="I75" i="1"/>
  <c r="I85" i="1"/>
  <c r="N75" i="1"/>
  <c r="J75" i="1"/>
  <c r="DH73" i="20"/>
  <c r="AE72" i="2"/>
  <c r="H6" i="61"/>
  <c r="H127" i="61" s="1"/>
  <c r="Q26" i="15"/>
  <c r="Q8" i="15"/>
  <c r="Q67" i="15" s="1"/>
  <c r="H95" i="1"/>
  <c r="M91" i="1"/>
  <c r="H101" i="1"/>
  <c r="I91" i="1"/>
  <c r="N91" i="61"/>
  <c r="N117" i="61" s="1"/>
  <c r="N50" i="61"/>
  <c r="DA67" i="20"/>
  <c r="BM24" i="1"/>
  <c r="BI24" i="1"/>
  <c r="CW59" i="20"/>
  <c r="CF105" i="1"/>
  <c r="AK75" i="2"/>
  <c r="I86" i="1"/>
  <c r="CR90" i="1"/>
  <c r="CQ100" i="1"/>
  <c r="CQ95" i="1"/>
  <c r="CQ96" i="1"/>
  <c r="AW58" i="20"/>
  <c r="AW16" i="20"/>
  <c r="BB16" i="20"/>
  <c r="N147" i="61"/>
  <c r="N145" i="61" s="1"/>
  <c r="BQ44" i="1"/>
  <c r="BP44" i="1"/>
  <c r="CV120" i="1"/>
  <c r="AG376" i="9"/>
  <c r="AI376" i="9" s="1"/>
  <c r="AB499" i="9"/>
  <c r="AR322" i="9"/>
  <c r="AT322" i="9" s="1"/>
  <c r="AR329" i="9"/>
  <c r="AT329" i="9" s="1"/>
  <c r="BH96" i="1"/>
  <c r="AF103" i="1"/>
  <c r="AG103" i="1" s="1"/>
  <c r="F75" i="20" s="1"/>
  <c r="AG93" i="1"/>
  <c r="E45" i="61"/>
  <c r="E74" i="61" s="1"/>
  <c r="E10" i="61"/>
  <c r="E13" i="61" s="1"/>
  <c r="E30" i="61"/>
  <c r="E35" i="61"/>
  <c r="E86" i="61"/>
  <c r="E127" i="61"/>
  <c r="E157" i="61" s="1"/>
  <c r="S25" i="15"/>
  <c r="I46" i="15"/>
  <c r="AG74" i="1"/>
  <c r="AG84" i="1"/>
  <c r="AH74" i="1"/>
  <c r="AC72" i="2"/>
  <c r="AC73" i="2"/>
  <c r="CR96" i="1"/>
  <c r="I76" i="1"/>
  <c r="CK76" i="1"/>
  <c r="CJ86" i="1"/>
  <c r="CJ76" i="1"/>
  <c r="CO76" i="1"/>
  <c r="AC101" i="1"/>
  <c r="Y101" i="1"/>
  <c r="F10" i="3"/>
  <c r="F16" i="3"/>
  <c r="I70" i="2"/>
  <c r="L104" i="1"/>
  <c r="BP106" i="1"/>
  <c r="BG104" i="1"/>
  <c r="BL104" i="1" s="1"/>
  <c r="BL94" i="1"/>
  <c r="BT86" i="1"/>
  <c r="BT76" i="1"/>
  <c r="BY76" i="1"/>
  <c r="BS96" i="1"/>
  <c r="BS101" i="1"/>
  <c r="BS95" i="1"/>
  <c r="BS94" i="1"/>
  <c r="BX91" i="1"/>
  <c r="BT91" i="1"/>
  <c r="U54" i="1"/>
  <c r="F65" i="5"/>
  <c r="F66" i="5" s="1"/>
  <c r="Z54" i="1"/>
  <c r="BX100" i="1"/>
  <c r="BW106" i="1"/>
  <c r="BW105" i="1"/>
  <c r="CB105" i="1"/>
  <c r="CB100" i="1"/>
  <c r="CE104" i="1"/>
  <c r="CR95" i="1"/>
  <c r="I100" i="1"/>
  <c r="D105" i="1"/>
  <c r="AK103" i="1"/>
  <c r="AO103" i="1"/>
  <c r="CO75" i="1"/>
  <c r="CJ75" i="1"/>
  <c r="CJ85" i="1"/>
  <c r="CK75" i="1"/>
  <c r="CI95" i="1"/>
  <c r="CN90" i="1"/>
  <c r="CJ90" i="1"/>
  <c r="CI100" i="1"/>
  <c r="CR101" i="1"/>
  <c r="S70" i="2"/>
  <c r="P10" i="3"/>
  <c r="P16" i="3" s="1"/>
  <c r="P33" i="3" s="1"/>
  <c r="P45" i="3" s="1"/>
  <c r="AF104" i="1"/>
  <c r="AG104" i="1" s="1"/>
  <c r="AK94" i="1"/>
  <c r="AK100" i="1"/>
  <c r="AG100" i="1"/>
  <c r="C75" i="20" s="1"/>
  <c r="AF106" i="1"/>
  <c r="AF105" i="1"/>
  <c r="BT84" i="1"/>
  <c r="BU74" i="1"/>
  <c r="BT74" i="1"/>
  <c r="BY74" i="1"/>
  <c r="AD56" i="1"/>
  <c r="Z56" i="1"/>
  <c r="Y56" i="1"/>
  <c r="BH101" i="1"/>
  <c r="BC105" i="1"/>
  <c r="BC106" i="1"/>
  <c r="BD101" i="1"/>
  <c r="CQ13" i="20"/>
  <c r="F26" i="15"/>
  <c r="F33" i="15"/>
  <c r="AZ96" i="1"/>
  <c r="BD96" i="1"/>
  <c r="H102" i="1"/>
  <c r="M102" i="1"/>
  <c r="M92" i="1"/>
  <c r="E70" i="2"/>
  <c r="D104" i="1"/>
  <c r="N43" i="15"/>
  <c r="CJ74" i="1"/>
  <c r="CJ84" i="1"/>
  <c r="CK74" i="1"/>
  <c r="CR102" i="1"/>
  <c r="O40" i="15"/>
  <c r="O45" i="15"/>
  <c r="O46" i="15" s="1"/>
  <c r="O43" i="15"/>
  <c r="H93" i="1"/>
  <c r="N73" i="1"/>
  <c r="I73" i="1"/>
  <c r="J73" i="1"/>
  <c r="I83" i="1"/>
  <c r="BL101" i="1"/>
  <c r="BG105" i="1"/>
  <c r="BL105" i="1"/>
  <c r="BG106" i="1"/>
  <c r="BL106" i="1"/>
  <c r="AG94" i="1"/>
  <c r="D102" i="1"/>
  <c r="I92" i="1"/>
  <c r="BT75" i="1"/>
  <c r="BT85" i="1"/>
  <c r="BY75" i="1"/>
  <c r="Y54" i="1"/>
  <c r="G65" i="5"/>
  <c r="G66" i="5" s="1"/>
  <c r="AD54" i="1"/>
  <c r="U83" i="1"/>
  <c r="V73" i="1"/>
  <c r="T74" i="1"/>
  <c r="U73" i="1"/>
  <c r="Z73" i="1"/>
  <c r="T93" i="1"/>
  <c r="BH95" i="1"/>
  <c r="CB102" i="1"/>
  <c r="CA106" i="1"/>
  <c r="CF102" i="1"/>
  <c r="CE106" i="1"/>
  <c r="AZ95" i="1"/>
  <c r="BD95" i="1"/>
  <c r="AZ100" i="1"/>
  <c r="BD100" i="1"/>
  <c r="AY105" i="1"/>
  <c r="AY106" i="1"/>
  <c r="CM105" i="1"/>
  <c r="CM106" i="1"/>
  <c r="J76" i="1"/>
  <c r="H96" i="1"/>
  <c r="I96" i="1" s="1"/>
  <c r="U70" i="2"/>
  <c r="R10" i="3"/>
  <c r="U48" i="2" s="1"/>
  <c r="AJ104" i="1"/>
  <c r="AO104" i="1" s="1"/>
  <c r="AO94" i="1"/>
  <c r="L105" i="1"/>
  <c r="L106" i="1"/>
  <c r="AK96" i="1"/>
  <c r="AG96" i="1"/>
  <c r="Y55" i="1"/>
  <c r="Z55" i="1"/>
  <c r="AD55" i="1"/>
  <c r="AD70" i="1"/>
  <c r="X90" i="1"/>
  <c r="Y70" i="1"/>
  <c r="Y80" i="1"/>
  <c r="Z70" i="1"/>
  <c r="X75" i="1"/>
  <c r="X76" i="1"/>
  <c r="X74" i="1"/>
  <c r="BW104" i="1"/>
  <c r="CB94" i="1"/>
  <c r="BC104" i="1"/>
  <c r="BH104" i="1"/>
  <c r="BH94" i="1"/>
  <c r="CF94" i="1"/>
  <c r="CA104" i="1"/>
  <c r="CF104" i="1"/>
  <c r="M76" i="2"/>
  <c r="AZ94" i="1"/>
  <c r="BD94" i="1"/>
  <c r="AY104" i="1"/>
  <c r="H74" i="1"/>
  <c r="M96" i="1"/>
  <c r="CR100" i="1"/>
  <c r="CQ105" i="1"/>
  <c r="CQ106" i="1"/>
  <c r="M95" i="1"/>
  <c r="I95" i="1"/>
  <c r="J46" i="15"/>
  <c r="J48" i="15"/>
  <c r="M33" i="15"/>
  <c r="M39" i="15" s="1"/>
  <c r="D11" i="61"/>
  <c r="E37" i="61" s="1"/>
  <c r="M25" i="15"/>
  <c r="AA69" i="2"/>
  <c r="AA76" i="2" s="1"/>
  <c r="CX13" i="20"/>
  <c r="CY73" i="20" s="1"/>
  <c r="N25" i="15"/>
  <c r="M26" i="15"/>
  <c r="H105" i="1"/>
  <c r="I101" i="1"/>
  <c r="H106" i="1"/>
  <c r="M101" i="1"/>
  <c r="R40" i="15"/>
  <c r="R43" i="15"/>
  <c r="DC94" i="20" s="1"/>
  <c r="R45" i="15"/>
  <c r="N146" i="61"/>
  <c r="CV121" i="1"/>
  <c r="CU115" i="1"/>
  <c r="AB506" i="9"/>
  <c r="E29" i="61"/>
  <c r="CB104" i="1"/>
  <c r="E49" i="61"/>
  <c r="E68" i="61" s="1"/>
  <c r="E177" i="61"/>
  <c r="E178" i="61" s="1"/>
  <c r="CR106" i="1"/>
  <c r="Y74" i="1"/>
  <c r="AD74" i="1"/>
  <c r="Y84" i="1"/>
  <c r="Z74" i="1"/>
  <c r="U74" i="1"/>
  <c r="U84" i="1"/>
  <c r="O51" i="15"/>
  <c r="O48" i="15"/>
  <c r="AE70" i="2"/>
  <c r="AB10" i="3" s="1"/>
  <c r="AB16" i="3" s="1"/>
  <c r="AB33" i="3" s="1"/>
  <c r="AB45" i="3" s="1"/>
  <c r="BH105" i="1"/>
  <c r="AK106" i="1"/>
  <c r="AG106" i="1"/>
  <c r="AK104" i="1"/>
  <c r="CJ100" i="1"/>
  <c r="CI105" i="1"/>
  <c r="CN100" i="1"/>
  <c r="BT101" i="1"/>
  <c r="BS105" i="1"/>
  <c r="BX101" i="1"/>
  <c r="BS106" i="1"/>
  <c r="CR105" i="1"/>
  <c r="N74" i="1"/>
  <c r="I84" i="1"/>
  <c r="I74" i="1"/>
  <c r="J74" i="1"/>
  <c r="Y76" i="1"/>
  <c r="Y86" i="1"/>
  <c r="Z76" i="1"/>
  <c r="AD76" i="1"/>
  <c r="U93" i="1"/>
  <c r="T94" i="1"/>
  <c r="T103" i="1"/>
  <c r="Y93" i="1"/>
  <c r="D106" i="1"/>
  <c r="I106" i="1" s="1"/>
  <c r="I102" i="1"/>
  <c r="U83" i="20"/>
  <c r="CN95" i="1"/>
  <c r="CJ95" i="1"/>
  <c r="CB106" i="1"/>
  <c r="BX96" i="1"/>
  <c r="BT96" i="1"/>
  <c r="AZ104" i="1"/>
  <c r="BD104" i="1"/>
  <c r="AD75" i="1"/>
  <c r="Y75" i="1"/>
  <c r="Y85" i="1"/>
  <c r="Z75" i="1"/>
  <c r="AC90" i="1"/>
  <c r="X100" i="1"/>
  <c r="Y90" i="1"/>
  <c r="X96" i="1"/>
  <c r="X95" i="1"/>
  <c r="X94" i="1"/>
  <c r="BD106" i="1"/>
  <c r="CF106" i="1"/>
  <c r="M93" i="1"/>
  <c r="H103" i="1"/>
  <c r="H94" i="1"/>
  <c r="I93" i="1"/>
  <c r="BS104" i="1"/>
  <c r="BT94" i="1"/>
  <c r="BX94" i="1"/>
  <c r="BD105" i="1"/>
  <c r="BH106" i="1"/>
  <c r="AK105" i="1"/>
  <c r="AG105" i="1"/>
  <c r="BT95" i="1"/>
  <c r="BX95" i="1"/>
  <c r="D91" i="61"/>
  <c r="D117" i="61" s="1"/>
  <c r="D30" i="61"/>
  <c r="D132" i="61"/>
  <c r="D157" i="61" s="1"/>
  <c r="D50" i="61"/>
  <c r="D69" i="61" s="1"/>
  <c r="D37" i="61"/>
  <c r="R48" i="15"/>
  <c r="R46" i="15"/>
  <c r="AK70" i="2"/>
  <c r="AH10" i="3" s="1"/>
  <c r="M106" i="1"/>
  <c r="CX59" i="20"/>
  <c r="M65" i="5"/>
  <c r="M34" i="15"/>
  <c r="J49" i="15"/>
  <c r="I105" i="1"/>
  <c r="M105" i="1"/>
  <c r="BX104" i="1"/>
  <c r="BT104" i="1"/>
  <c r="M94" i="1"/>
  <c r="G70" i="2"/>
  <c r="H104" i="1"/>
  <c r="D10" i="3"/>
  <c r="D16" i="3" s="1"/>
  <c r="I94" i="1"/>
  <c r="BX105" i="1"/>
  <c r="BT105" i="1"/>
  <c r="O70" i="2"/>
  <c r="L10" i="3"/>
  <c r="L16" i="3" s="1"/>
  <c r="X104" i="1"/>
  <c r="AC104" i="1" s="1"/>
  <c r="AC94" i="1"/>
  <c r="AC100" i="1"/>
  <c r="Y100" i="1"/>
  <c r="X105" i="1"/>
  <c r="X106" i="1"/>
  <c r="Y103" i="1"/>
  <c r="U103" i="1"/>
  <c r="CN105" i="1"/>
  <c r="CJ105" i="1"/>
  <c r="I103" i="1"/>
  <c r="M103" i="1"/>
  <c r="AC96" i="1"/>
  <c r="Y96" i="1"/>
  <c r="J10" i="3"/>
  <c r="J16" i="3" s="1"/>
  <c r="J33" i="3" s="1"/>
  <c r="Y94" i="1"/>
  <c r="M70" i="2"/>
  <c r="T104" i="1"/>
  <c r="AC95" i="1"/>
  <c r="Y95" i="1"/>
  <c r="BX106" i="1"/>
  <c r="BT106" i="1"/>
  <c r="M43" i="15"/>
  <c r="Y104" i="1"/>
  <c r="AC105" i="1"/>
  <c r="Y105" i="1"/>
  <c r="I104" i="1"/>
  <c r="M104" i="1"/>
  <c r="Y106" i="1"/>
  <c r="AC106" i="1"/>
  <c r="CW22" i="1"/>
  <c r="CW21" i="1"/>
  <c r="CW20" i="1"/>
  <c r="CF270" i="1"/>
  <c r="AU271" i="1"/>
  <c r="AZ271" i="1" s="1"/>
  <c r="CG36" i="20"/>
  <c r="CE40" i="20"/>
  <c r="CG40" i="20"/>
  <c r="CX73" i="20"/>
  <c r="AC12" i="20"/>
  <c r="AC58" i="20" s="1"/>
  <c r="BG59" i="20"/>
  <c r="BQ88" i="20" s="1"/>
  <c r="AG73" i="20"/>
  <c r="AG36" i="20"/>
  <c r="BG74" i="20"/>
  <c r="BG55" i="20"/>
  <c r="BG64" i="20" s="1"/>
  <c r="CP59" i="20"/>
  <c r="AH67" i="20"/>
  <c r="BQ67" i="20"/>
  <c r="AH73" i="20"/>
  <c r="BF73" i="20"/>
  <c r="BP73" i="20"/>
  <c r="BR73" i="20"/>
  <c r="AW94" i="20"/>
  <c r="CR73" i="20"/>
  <c r="BB19" i="20"/>
  <c r="BB60" i="20"/>
  <c r="BZ27" i="20"/>
  <c r="AL73" i="20"/>
  <c r="T39" i="20"/>
  <c r="D36" i="20"/>
  <c r="CT59" i="20"/>
  <c r="AH59" i="20"/>
  <c r="BI67" i="20"/>
  <c r="H67" i="20"/>
  <c r="O12" i="20"/>
  <c r="O58" i="20" s="1"/>
  <c r="T67" i="20"/>
  <c r="AS59" i="20"/>
  <c r="H73" i="20"/>
  <c r="W73" i="20"/>
  <c r="AN73" i="20"/>
  <c r="BB73" i="20"/>
  <c r="BQ73" i="20"/>
  <c r="BS59" i="20"/>
  <c r="CO12" i="20"/>
  <c r="BK12" i="20"/>
  <c r="BQ59" i="20"/>
  <c r="K92" i="61"/>
  <c r="R67" i="20"/>
  <c r="O39" i="20"/>
  <c r="BU67" i="20"/>
  <c r="Z67" i="20"/>
  <c r="BG67" i="20"/>
  <c r="AB94" i="20"/>
  <c r="P39" i="20"/>
  <c r="P40" i="20" s="1"/>
  <c r="AD94" i="20"/>
  <c r="X16" i="20"/>
  <c r="AM58" i="20"/>
  <c r="AC67" i="20"/>
  <c r="AM67" i="20"/>
  <c r="AD67" i="20"/>
  <c r="C59" i="20"/>
  <c r="H59" i="20"/>
  <c r="R73" i="20"/>
  <c r="AB73" i="20"/>
  <c r="AD73" i="20"/>
  <c r="BQ39" i="20"/>
  <c r="BQ40" i="20" s="1"/>
  <c r="F39" i="20"/>
  <c r="F40" i="20" s="1"/>
  <c r="AC94" i="20"/>
  <c r="AH16" i="20"/>
  <c r="BC12" i="20"/>
  <c r="F12" i="20"/>
  <c r="F58" i="20" s="1"/>
  <c r="I12" i="20"/>
  <c r="U12" i="20"/>
  <c r="U58" i="20" s="1"/>
  <c r="AY12" i="20"/>
  <c r="AY58" i="20" s="1"/>
  <c r="BR39" i="20"/>
  <c r="AS67" i="20"/>
  <c r="C12" i="20"/>
  <c r="C16" i="20" s="1"/>
  <c r="C19" i="20" s="1"/>
  <c r="M12" i="20"/>
  <c r="R12" i="20"/>
  <c r="R16" i="20" s="1"/>
  <c r="BL12" i="20"/>
  <c r="BL16" i="20" s="1"/>
  <c r="BR12" i="20"/>
  <c r="CA43" i="20"/>
  <c r="DA73" i="20"/>
  <c r="N67" i="20"/>
  <c r="X73" i="20"/>
  <c r="BC59" i="20"/>
  <c r="BM88" i="20" s="1"/>
  <c r="BF59" i="20"/>
  <c r="BK59" i="20"/>
  <c r="BP59" i="20"/>
  <c r="BU59" i="20"/>
  <c r="AX39" i="20"/>
  <c r="DC58" i="20"/>
  <c r="CA72" i="20"/>
  <c r="CR59" i="20"/>
  <c r="C58" i="20"/>
  <c r="CV73" i="20"/>
  <c r="AQ73" i="20"/>
  <c r="BM12" i="20"/>
  <c r="BM58" i="20" s="1"/>
  <c r="BM67" i="20"/>
  <c r="AN59" i="20"/>
  <c r="AJ94" i="20"/>
  <c r="AI94" i="20"/>
  <c r="BK67" i="20"/>
  <c r="BU73" i="20"/>
  <c r="K15" i="20"/>
  <c r="I15" i="20"/>
  <c r="M39" i="20"/>
  <c r="M40" i="20" s="1"/>
  <c r="BC39" i="20"/>
  <c r="BC40" i="20" s="1"/>
  <c r="S67" i="20"/>
  <c r="BH12" i="20"/>
  <c r="BH16" i="20" s="1"/>
  <c r="U73" i="20"/>
  <c r="Z73" i="20"/>
  <c r="BA73" i="20"/>
  <c r="BK73" i="20"/>
  <c r="AD39" i="20"/>
  <c r="H12" i="20"/>
  <c r="H58" i="20" s="1"/>
  <c r="AI39" i="20"/>
  <c r="AI40" i="20" s="1"/>
  <c r="AN39" i="20"/>
  <c r="AN40" i="20" s="1"/>
  <c r="BH39" i="20"/>
  <c r="BH40" i="20" s="1"/>
  <c r="G51" i="61"/>
  <c r="G133" i="61"/>
  <c r="G92" i="61"/>
  <c r="CO58" i="20"/>
  <c r="X55" i="20"/>
  <c r="X64" i="20" s="1"/>
  <c r="X19" i="20"/>
  <c r="X62" i="20" s="1"/>
  <c r="X60" i="20"/>
  <c r="AH19" i="20"/>
  <c r="AH60" i="20"/>
  <c r="AY16" i="20"/>
  <c r="F16" i="20"/>
  <c r="F55" i="20" s="1"/>
  <c r="F64" i="20" s="1"/>
  <c r="BC16" i="20"/>
  <c r="BC60" i="20" s="1"/>
  <c r="BC58" i="20"/>
  <c r="BR16" i="20"/>
  <c r="BR55" i="20" s="1"/>
  <c r="BR58" i="20"/>
  <c r="BM16" i="20"/>
  <c r="H16" i="20"/>
  <c r="BL55" i="20"/>
  <c r="BL64" i="20" s="1"/>
  <c r="BM55" i="20"/>
  <c r="BR61" i="20"/>
  <c r="AG514" i="9"/>
  <c r="AI514" i="9" s="1"/>
  <c r="AE515" i="9"/>
  <c r="AG515" i="9" s="1"/>
  <c r="Z60" i="5"/>
  <c r="AA60" i="5"/>
  <c r="AB60" i="5"/>
  <c r="AC60" i="5" s="1"/>
  <c r="C133" i="61"/>
  <c r="C92" i="61"/>
  <c r="C51" i="61"/>
  <c r="E51" i="61"/>
  <c r="E133" i="61"/>
  <c r="E92" i="61"/>
  <c r="F51" i="61"/>
  <c r="F33" i="3"/>
  <c r="N33" i="3"/>
  <c r="L33" i="3"/>
  <c r="BL38" i="3"/>
  <c r="BA47" i="2"/>
  <c r="BC47" i="2" s="1"/>
  <c r="BE47" i="2" s="1"/>
  <c r="BG47" i="2" s="1"/>
  <c r="BI47" i="2" s="1"/>
  <c r="AL43" i="11"/>
  <c r="Q73" i="2"/>
  <c r="AD21" i="10"/>
  <c r="S31" i="11"/>
  <c r="AD105" i="10"/>
  <c r="Y76" i="2"/>
  <c r="AH109" i="10"/>
  <c r="P109" i="10"/>
  <c r="J105" i="10"/>
  <c r="R105" i="10" s="1"/>
  <c r="H56" i="10"/>
  <c r="AM13" i="11"/>
  <c r="P21" i="10"/>
  <c r="R116" i="10"/>
  <c r="T105" i="10"/>
  <c r="V37" i="11"/>
  <c r="Z43" i="11" s="1"/>
  <c r="K31" i="11"/>
  <c r="AE37" i="11"/>
  <c r="O76" i="2"/>
  <c r="O75" i="2"/>
  <c r="AA72" i="2"/>
  <c r="AA73" i="2"/>
  <c r="K78" i="2"/>
  <c r="AD70" i="10"/>
  <c r="T70" i="10"/>
  <c r="P74" i="10"/>
  <c r="P88" i="10"/>
  <c r="T84" i="10"/>
  <c r="J84" i="10"/>
  <c r="J158" i="10"/>
  <c r="P158" i="10"/>
  <c r="P154" i="10"/>
  <c r="T154" i="10"/>
  <c r="R37" i="11"/>
  <c r="H42" i="10"/>
  <c r="W13" i="11"/>
  <c r="AP37" i="11"/>
  <c r="AQ13" i="11"/>
  <c r="AA75" i="2"/>
  <c r="R16" i="3"/>
  <c r="R33" i="3" s="1"/>
  <c r="R45" i="3" s="1"/>
  <c r="AH53" i="10"/>
  <c r="J88" i="10"/>
  <c r="AE13" i="11"/>
  <c r="N161" i="10"/>
  <c r="AT42" i="3"/>
  <c r="I76" i="2"/>
  <c r="AH134" i="10"/>
  <c r="R70" i="10"/>
  <c r="R109" i="10"/>
  <c r="P56" i="10"/>
  <c r="T119" i="10"/>
  <c r="N112" i="10"/>
  <c r="P123" i="10"/>
  <c r="AA13" i="11"/>
  <c r="J37" i="11"/>
  <c r="AH43" i="11"/>
  <c r="AU13" i="11"/>
  <c r="J74" i="10"/>
  <c r="R74" i="10" s="1"/>
  <c r="R112" i="10"/>
  <c r="N126" i="10"/>
  <c r="W96" i="2"/>
  <c r="W103" i="2" s="1"/>
  <c r="J154" i="10"/>
  <c r="P105" i="10"/>
  <c r="AM96" i="2"/>
  <c r="U96" i="2"/>
  <c r="U24" i="2"/>
  <c r="L41" i="23"/>
  <c r="L47" i="23" s="1"/>
  <c r="P41" i="23"/>
  <c r="P47" i="23" s="1"/>
  <c r="Q105" i="2"/>
  <c r="S109" i="2"/>
  <c r="U110" i="2"/>
  <c r="Y110" i="2"/>
  <c r="AA110" i="2"/>
  <c r="AI110" i="2"/>
  <c r="AK110" i="2"/>
  <c r="O19" i="11"/>
  <c r="S19" i="11"/>
  <c r="AI19" i="11"/>
  <c r="AE19" i="11"/>
  <c r="M52" i="2"/>
  <c r="M78" i="2" s="1"/>
  <c r="Q78" i="2"/>
  <c r="S95" i="2"/>
  <c r="AE110" i="2"/>
  <c r="F42" i="3"/>
  <c r="J42" i="3"/>
  <c r="K19" i="11"/>
  <c r="BC39" i="2"/>
  <c r="BE39" i="2" s="1"/>
  <c r="BG39" i="2" s="1"/>
  <c r="BI39" i="2" s="1"/>
  <c r="S25" i="11"/>
  <c r="W25" i="11"/>
  <c r="W48" i="2"/>
  <c r="U50" i="2"/>
  <c r="W83" i="20" s="1"/>
  <c r="BA49" i="2"/>
  <c r="AV39" i="3"/>
  <c r="AV42" i="3" s="1"/>
  <c r="W76" i="2"/>
  <c r="Y73" i="2"/>
  <c r="K37" i="11"/>
  <c r="AI37" i="11"/>
  <c r="AD43" i="11"/>
  <c r="J60" i="10"/>
  <c r="P60" i="10"/>
  <c r="R8" i="3"/>
  <c r="W6" i="2"/>
  <c r="S87" i="2"/>
  <c r="AI96" i="2"/>
  <c r="AI103" i="2" s="1"/>
  <c r="S78" i="2"/>
  <c r="G41" i="2"/>
  <c r="G52" i="2"/>
  <c r="G78" i="2"/>
  <c r="E41" i="2"/>
  <c r="E52" i="2" s="1"/>
  <c r="E78" i="2" s="1"/>
  <c r="BN38" i="3"/>
  <c r="H42" i="3"/>
  <c r="L42" i="3"/>
  <c r="L45" i="3" s="1"/>
  <c r="AA25" i="11"/>
  <c r="U103" i="2"/>
  <c r="U115" i="2" s="1"/>
  <c r="T65" i="3"/>
  <c r="T49" i="3"/>
  <c r="U76" i="2"/>
  <c r="U75" i="2"/>
  <c r="T91" i="10"/>
  <c r="AD91" i="10"/>
  <c r="T98" i="10"/>
  <c r="J98" i="10"/>
  <c r="P98" i="10"/>
  <c r="J119" i="10"/>
  <c r="J123" i="10"/>
  <c r="H63" i="10"/>
  <c r="AI13" i="11"/>
  <c r="AA31" i="11"/>
  <c r="U72" i="2"/>
  <c r="AH77" i="10"/>
  <c r="O72" i="2"/>
  <c r="H28" i="10"/>
  <c r="K13" i="11"/>
  <c r="Z29" i="5"/>
  <c r="K630" i="9"/>
  <c r="P634" i="9" s="1"/>
  <c r="DI83" i="20"/>
  <c r="AK102" i="2"/>
  <c r="C14" i="5"/>
  <c r="C66" i="5"/>
  <c r="D14" i="5"/>
  <c r="C26" i="61"/>
  <c r="U16" i="20"/>
  <c r="U19" i="20" s="1"/>
  <c r="AJ73" i="20"/>
  <c r="AO73" i="20"/>
  <c r="AO39" i="20"/>
  <c r="AO40" i="20" s="1"/>
  <c r="AL32" i="20"/>
  <c r="T56" i="10"/>
  <c r="N56" i="10"/>
  <c r="AD56" i="10"/>
  <c r="J56" i="10"/>
  <c r="AH105" i="10"/>
  <c r="V43" i="11"/>
  <c r="W37" i="11"/>
  <c r="R158" i="10"/>
  <c r="AH158" i="10"/>
  <c r="J162" i="10"/>
  <c r="S108" i="2"/>
  <c r="S105" i="2"/>
  <c r="S114" i="2"/>
  <c r="J155" i="10"/>
  <c r="AH154" i="10"/>
  <c r="R154" i="10"/>
  <c r="J43" i="11"/>
  <c r="AH88" i="10"/>
  <c r="R88" i="10"/>
  <c r="AP43" i="11"/>
  <c r="AU37" i="11"/>
  <c r="AQ37" i="11"/>
  <c r="AT43" i="11"/>
  <c r="P46" i="10"/>
  <c r="J42" i="10"/>
  <c r="P42" i="10"/>
  <c r="N49" i="10"/>
  <c r="AD42" i="10"/>
  <c r="J46" i="10"/>
  <c r="N42" i="10"/>
  <c r="T42" i="10"/>
  <c r="AH84" i="10"/>
  <c r="R84" i="10"/>
  <c r="U109" i="2"/>
  <c r="AH60" i="10"/>
  <c r="R60" i="10"/>
  <c r="Y6" i="2"/>
  <c r="T8" i="3"/>
  <c r="AX39" i="3"/>
  <c r="AX42" i="3" s="1"/>
  <c r="BC49" i="2"/>
  <c r="BE49" i="2" s="1"/>
  <c r="BG49" i="2" s="1"/>
  <c r="W50" i="2"/>
  <c r="W52" i="2" s="1"/>
  <c r="P32" i="10"/>
  <c r="P28" i="10"/>
  <c r="T28" i="10"/>
  <c r="J28" i="10"/>
  <c r="N35" i="10"/>
  <c r="J32" i="10"/>
  <c r="N28" i="10"/>
  <c r="J67" i="10"/>
  <c r="N70" i="10"/>
  <c r="T63" i="10"/>
  <c r="N63" i="10"/>
  <c r="J63" i="10"/>
  <c r="P63" i="10"/>
  <c r="P67" i="10"/>
  <c r="AH119" i="10"/>
  <c r="R119" i="10"/>
  <c r="J120" i="10"/>
  <c r="R120" i="10" s="1"/>
  <c r="BH80" i="20" s="1"/>
  <c r="R98" i="10"/>
  <c r="AH98" i="10"/>
  <c r="AD63" i="10"/>
  <c r="AF63" i="10" s="1"/>
  <c r="R123" i="10"/>
  <c r="AH123" i="10"/>
  <c r="AM102" i="2"/>
  <c r="AM103" i="2" s="1"/>
  <c r="P636" i="9"/>
  <c r="P630" i="9"/>
  <c r="Z630" i="9" s="1"/>
  <c r="R56" i="10"/>
  <c r="AH56" i="10"/>
  <c r="J57" i="10"/>
  <c r="AH46" i="10"/>
  <c r="R46" i="10"/>
  <c r="AH42" i="10"/>
  <c r="J43" i="10"/>
  <c r="R42" i="10"/>
  <c r="R155" i="10"/>
  <c r="AH155" i="10"/>
  <c r="S106" i="2"/>
  <c r="S118" i="2" s="1"/>
  <c r="S117" i="2"/>
  <c r="S111" i="2"/>
  <c r="AA6" i="2"/>
  <c r="X8" i="3" s="1"/>
  <c r="V8" i="3"/>
  <c r="R63" i="10"/>
  <c r="AH63" i="10"/>
  <c r="R67" i="10"/>
  <c r="AH67" i="10"/>
  <c r="R32" i="10"/>
  <c r="R28" i="10"/>
  <c r="AH120" i="10"/>
  <c r="AO102" i="2"/>
  <c r="AO103" i="2" s="1"/>
  <c r="AO109" i="2" s="1"/>
  <c r="R57" i="10"/>
  <c r="AH57" i="10"/>
  <c r="BN80" i="20"/>
  <c r="BZ80" i="20"/>
  <c r="AH43" i="10"/>
  <c r="R43" i="10"/>
  <c r="H53" i="23"/>
  <c r="H59" i="23"/>
  <c r="AQ52" i="2"/>
  <c r="D53" i="23"/>
  <c r="J53" i="23"/>
  <c r="J59" i="23"/>
  <c r="N53" i="23"/>
  <c r="Y96" i="2"/>
  <c r="AC96" i="2"/>
  <c r="BS36" i="20"/>
  <c r="AT6" i="20"/>
  <c r="BD6" i="20"/>
  <c r="BN6" i="20" s="1"/>
  <c r="BX6" i="20" s="1"/>
  <c r="CH6" i="20" s="1"/>
  <c r="AO6" i="20"/>
  <c r="AY6" i="20" s="1"/>
  <c r="BI6" i="20" s="1"/>
  <c r="BS6" i="20" s="1"/>
  <c r="CC6" i="20" s="1"/>
  <c r="E80" i="61"/>
  <c r="E81" i="61" s="1"/>
  <c r="E121" i="61"/>
  <c r="E122" i="61" s="1"/>
  <c r="H30" i="61"/>
  <c r="H117" i="61"/>
  <c r="E52" i="61"/>
  <c r="E70" i="61"/>
  <c r="DG27" i="20"/>
  <c r="CX37" i="20"/>
  <c r="CX39" i="20" s="1"/>
  <c r="CX40" i="20" s="1"/>
  <c r="AY245" i="1"/>
  <c r="K133" i="61"/>
  <c r="K175" i="9"/>
  <c r="V174" i="10" s="1"/>
  <c r="P528" i="9"/>
  <c r="W347" i="9"/>
  <c r="D154" i="30"/>
  <c r="E154" i="30" s="1"/>
  <c r="P529" i="9"/>
  <c r="K425" i="9"/>
  <c r="K429" i="9" s="1"/>
  <c r="AE429" i="9" s="1"/>
  <c r="K560" i="9"/>
  <c r="K564" i="9" s="1"/>
  <c r="P564" i="9" s="1"/>
  <c r="Z564" i="9" s="1"/>
  <c r="O29" i="5"/>
  <c r="W631" i="9"/>
  <c r="F631" i="9" s="1"/>
  <c r="T155" i="30" s="1"/>
  <c r="DI71" i="20" s="1"/>
  <c r="P154" i="30"/>
  <c r="K27" i="5"/>
  <c r="K255" i="9" s="1"/>
  <c r="K259" i="9" s="1"/>
  <c r="K248" i="9"/>
  <c r="K252" i="9" s="1"/>
  <c r="K796" i="9"/>
  <c r="P796" i="9" s="1"/>
  <c r="U31" i="5"/>
  <c r="V31" i="5" s="1"/>
  <c r="W31" i="5" s="1"/>
  <c r="K817" i="9" s="1"/>
  <c r="P817" i="9" s="1"/>
  <c r="K789" i="9"/>
  <c r="P789" i="9" s="1"/>
  <c r="DE84" i="20"/>
  <c r="DF84" i="20"/>
  <c r="Q154" i="30"/>
  <c r="W524" i="9"/>
  <c r="D524" i="9" s="1"/>
  <c r="W169" i="9"/>
  <c r="AN169" i="9" s="1"/>
  <c r="J154" i="30"/>
  <c r="K154" i="30" s="1"/>
  <c r="P155" i="30"/>
  <c r="X10" i="5" s="1"/>
  <c r="K567" i="9"/>
  <c r="K571" i="9" s="1"/>
  <c r="P571" i="9" s="1"/>
  <c r="P29" i="5"/>
  <c r="Q29" i="5" s="1"/>
  <c r="DG84" i="20"/>
  <c r="F169" i="9"/>
  <c r="CS14" i="1"/>
  <c r="X51" i="5" s="1"/>
  <c r="X55" i="5"/>
  <c r="DK13" i="1"/>
  <c r="CC68" i="20"/>
  <c r="CC72" i="20" s="1"/>
  <c r="F170" i="9"/>
  <c r="CR13" i="1"/>
  <c r="CN13" i="11"/>
  <c r="CN37" i="11" s="1"/>
  <c r="CQ14" i="1"/>
  <c r="CR14" i="1" s="1"/>
  <c r="D168" i="10"/>
  <c r="BZ8" i="20" a="1"/>
  <c r="CA8" i="20" s="1"/>
  <c r="CR63" i="1"/>
  <c r="CQ53" i="1"/>
  <c r="CR53" i="1" s="1"/>
  <c r="L168" i="10"/>
  <c r="F168" i="10"/>
  <c r="T167" i="10" s="1"/>
  <c r="BZ10" i="20" a="1"/>
  <c r="CB10" i="20" s="1"/>
  <c r="CQ24" i="1"/>
  <c r="X10" i="15" s="1"/>
  <c r="AW68" i="2" s="1"/>
  <c r="X7" i="15"/>
  <c r="X13" i="15" s="1"/>
  <c r="CR64" i="1"/>
  <c r="CR24" i="1"/>
  <c r="CS24" i="1" s="1"/>
  <c r="BZ13" i="20" a="1"/>
  <c r="CA13" i="20" s="1"/>
  <c r="C9" i="62" s="1"/>
  <c r="F34" i="62" s="1"/>
  <c r="CS33" i="1"/>
  <c r="DE33" i="1" s="1"/>
  <c r="CQ34" i="1"/>
  <c r="CR34" i="1" s="1"/>
  <c r="CQ73" i="1"/>
  <c r="CR83" i="1" s="1"/>
  <c r="CS53" i="1"/>
  <c r="CS34" i="1"/>
  <c r="X24" i="15"/>
  <c r="O6" i="61"/>
  <c r="DI8" i="20"/>
  <c r="X37" i="15"/>
  <c r="CC10" i="20"/>
  <c r="X17" i="15"/>
  <c r="X66" i="15"/>
  <c r="AH166" i="10"/>
  <c r="CB81" i="20"/>
  <c r="CA220" i="1"/>
  <c r="CI209" i="1"/>
  <c r="CM209" i="1" s="1"/>
  <c r="BG45" i="20"/>
  <c r="BG43" i="20" s="1"/>
  <c r="AR45" i="20"/>
  <c r="CA166" i="1"/>
  <c r="BH45" i="20"/>
  <c r="BH43" i="20" s="1"/>
  <c r="BO166" i="1"/>
  <c r="AS45" i="20" s="1"/>
  <c r="AS43" i="20" s="1"/>
  <c r="AY198" i="1"/>
  <c r="BC209" i="1"/>
  <c r="R43" i="20"/>
  <c r="R33" i="20" s="1"/>
  <c r="AB268" i="1"/>
  <c r="AB271" i="1"/>
  <c r="AG271" i="1"/>
  <c r="AG267" i="1"/>
  <c r="AE39" i="20"/>
  <c r="AE40" i="20" s="1"/>
  <c r="M43" i="20"/>
  <c r="M33" i="20" s="1"/>
  <c r="BP43" i="20"/>
  <c r="BP44" i="20" s="1"/>
  <c r="CE167" i="1"/>
  <c r="CE200" i="1" s="1"/>
  <c r="CE222" i="1" s="1"/>
  <c r="BO167" i="1"/>
  <c r="BO168" i="1" s="1"/>
  <c r="DB45" i="20" s="1"/>
  <c r="BW166" i="1"/>
  <c r="CI166" i="1"/>
  <c r="BG166" i="1"/>
  <c r="AI45" i="20" s="1"/>
  <c r="AI43" i="20" s="1"/>
  <c r="BB45" i="20"/>
  <c r="BB43" i="20" s="1"/>
  <c r="AY199" i="1"/>
  <c r="AU166" i="1"/>
  <c r="T45" i="20" s="1"/>
  <c r="T43" i="20" s="1"/>
  <c r="AU198" i="1"/>
  <c r="AY167" i="1"/>
  <c r="AY168" i="1" s="1"/>
  <c r="CX45" i="20" s="1"/>
  <c r="BL45" i="20"/>
  <c r="CI198" i="1"/>
  <c r="CI220" i="1" s="1"/>
  <c r="CM220" i="1" s="1"/>
  <c r="CQ220" i="1" s="1"/>
  <c r="CU220" i="1" s="1"/>
  <c r="CY220" i="1" s="1"/>
  <c r="BO199" i="1"/>
  <c r="CE198" i="1"/>
  <c r="AJ198" i="1"/>
  <c r="AN177" i="1"/>
  <c r="AN178" i="1" s="1"/>
  <c r="AN211" i="1" s="1"/>
  <c r="AH45" i="20"/>
  <c r="AH43" i="20" s="1"/>
  <c r="U15" i="20"/>
  <c r="AZ268" i="1"/>
  <c r="BD268" i="1"/>
  <c r="AE15" i="20"/>
  <c r="CU270" i="1"/>
  <c r="CZ270" i="1" s="1"/>
  <c r="CH33" i="20"/>
  <c r="CH34" i="20" s="1"/>
  <c r="CH44" i="20"/>
  <c r="BG199" i="1"/>
  <c r="BG221" i="1" s="1"/>
  <c r="BW199" i="1"/>
  <c r="BC45" i="20"/>
  <c r="BC43" i="20" s="1"/>
  <c r="BW167" i="1"/>
  <c r="AJ220" i="1"/>
  <c r="Z45" i="20"/>
  <c r="Z43" i="20" s="1"/>
  <c r="Z33" i="20" s="1"/>
  <c r="CI199" i="1"/>
  <c r="CI221" i="1" s="1"/>
  <c r="CQ221" i="1" s="1"/>
  <c r="CY221" i="1" s="1"/>
  <c r="BR45" i="20"/>
  <c r="BR43" i="20" s="1"/>
  <c r="BR44" i="20" s="1"/>
  <c r="CI168" i="1"/>
  <c r="DG45" i="20" s="1"/>
  <c r="BD45" i="20"/>
  <c r="BD43" i="20" s="1"/>
  <c r="BD44" i="20" s="1"/>
  <c r="AW96" i="2"/>
  <c r="AB49" i="3"/>
  <c r="AB65" i="3"/>
  <c r="AH16" i="3"/>
  <c r="AH33" i="3" s="1"/>
  <c r="AH45" i="3" s="1"/>
  <c r="AH49" i="3" s="1"/>
  <c r="BI83" i="20"/>
  <c r="BT46" i="1"/>
  <c r="BU46" i="1"/>
  <c r="BY46" i="1"/>
  <c r="BA27" i="2"/>
  <c r="AX13" i="3" s="1"/>
  <c r="AW24" i="2"/>
  <c r="AW23" i="2" s="1"/>
  <c r="BA13" i="2"/>
  <c r="BA10" i="2"/>
  <c r="BC10" i="2" s="1"/>
  <c r="BE10" i="2" s="1"/>
  <c r="BG10" i="2" s="1"/>
  <c r="BI10" i="2" s="1"/>
  <c r="AR59" i="23"/>
  <c r="CL42" i="11"/>
  <c r="BT23" i="11"/>
  <c r="BT29" i="11"/>
  <c r="BT35" i="11"/>
  <c r="X31" i="11"/>
  <c r="X25" i="11"/>
  <c r="X37" i="11"/>
  <c r="AZ28" i="11"/>
  <c r="AZ16" i="11"/>
  <c r="AZ34" i="11"/>
  <c r="R117" i="10"/>
  <c r="AH117" i="10"/>
  <c r="R146" i="10"/>
  <c r="AH146" i="10"/>
  <c r="BN41" i="11"/>
  <c r="BO35" i="11"/>
  <c r="BS37" i="11"/>
  <c r="BW37" i="11"/>
  <c r="BR43" i="11"/>
  <c r="BV43" i="11"/>
  <c r="G36" i="11"/>
  <c r="F42" i="11"/>
  <c r="R133" i="10"/>
  <c r="AH133" i="10"/>
  <c r="R153" i="10"/>
  <c r="AH153" i="10"/>
  <c r="T28" i="11"/>
  <c r="T34" i="11"/>
  <c r="T16" i="11"/>
  <c r="T22" i="11"/>
  <c r="J42" i="11"/>
  <c r="N42" i="11"/>
  <c r="K36" i="11"/>
  <c r="F40" i="11"/>
  <c r="G34" i="11"/>
  <c r="CL40" i="11"/>
  <c r="AH110" i="10"/>
  <c r="R110" i="10"/>
  <c r="CE35" i="11"/>
  <c r="CD41" i="11"/>
  <c r="J40" i="11"/>
  <c r="K34" i="11"/>
  <c r="AY34" i="11"/>
  <c r="BC34" i="11"/>
  <c r="AX40" i="11"/>
  <c r="BO34" i="11"/>
  <c r="BS34" i="11"/>
  <c r="BN40" i="11"/>
  <c r="L34" i="11"/>
  <c r="L28" i="11"/>
  <c r="L16" i="11"/>
  <c r="AJ28" i="11"/>
  <c r="AJ16" i="11"/>
  <c r="AJ34" i="11"/>
  <c r="AJ22" i="11"/>
  <c r="BB43" i="11"/>
  <c r="BC37" i="11"/>
  <c r="BH35" i="11"/>
  <c r="BH37" i="11"/>
  <c r="X88" i="10"/>
  <c r="BR35" i="11"/>
  <c r="J61" i="10"/>
  <c r="T116" i="10"/>
  <c r="J97" i="10"/>
  <c r="BC18" i="11"/>
  <c r="T20" i="10"/>
  <c r="T145" i="10"/>
  <c r="P139" i="10"/>
  <c r="P111" i="10"/>
  <c r="P91" i="10"/>
  <c r="P110" i="10"/>
  <c r="N88" i="10"/>
  <c r="T110" i="10"/>
  <c r="P90" i="10"/>
  <c r="J34" i="10"/>
  <c r="P83" i="10"/>
  <c r="P68" i="10"/>
  <c r="CF18" i="11"/>
  <c r="CF24" i="11"/>
  <c r="CF30" i="11" s="1"/>
  <c r="A42" i="11"/>
  <c r="BG19" i="11"/>
  <c r="AL35" i="11"/>
  <c r="A25" i="11"/>
  <c r="P84" i="10"/>
  <c r="K18" i="11"/>
  <c r="AY16" i="11"/>
  <c r="BC19" i="11"/>
  <c r="BS19" i="11"/>
  <c r="CH37" i="11"/>
  <c r="CI37" i="11" s="1"/>
  <c r="CH43" i="11"/>
  <c r="CI19" i="11"/>
  <c r="BH17" i="11"/>
  <c r="BH25" i="11"/>
  <c r="J140" i="10"/>
  <c r="BW17" i="11"/>
  <c r="X97" i="10"/>
  <c r="AY18" i="11"/>
  <c r="J20" i="10"/>
  <c r="R20" i="10" s="1"/>
  <c r="P145" i="10"/>
  <c r="N111" i="10"/>
  <c r="N116" i="10"/>
  <c r="N74" i="10"/>
  <c r="N34" i="10"/>
  <c r="P34" i="10"/>
  <c r="T83" i="10"/>
  <c r="A24" i="11"/>
  <c r="AA16" i="11"/>
  <c r="A43" i="11"/>
  <c r="P116" i="10"/>
  <c r="CM16" i="11"/>
  <c r="N37" i="11"/>
  <c r="J18" i="10"/>
  <c r="R18" i="10" s="1"/>
  <c r="N145" i="10"/>
  <c r="P97" i="10"/>
  <c r="N67" i="10"/>
  <c r="A36" i="11"/>
  <c r="AQ17" i="11"/>
  <c r="O18" i="11"/>
  <c r="R126" i="10"/>
  <c r="AH126" i="10"/>
  <c r="J127" i="10"/>
  <c r="P70" i="10"/>
  <c r="N109" i="10"/>
  <c r="X146" i="10"/>
  <c r="CV255" i="1"/>
  <c r="CC26" i="20"/>
  <c r="CA26" i="20"/>
  <c r="CB26" i="20"/>
  <c r="CA10" i="20"/>
  <c r="C6" i="62" s="1"/>
  <c r="BZ21" i="20" a="1"/>
  <c r="BZ21" i="20" s="1"/>
  <c r="CQ84" i="1"/>
  <c r="BZ10" i="20"/>
  <c r="R113" i="10"/>
  <c r="AQ80" i="20" s="1"/>
  <c r="AH113" i="10"/>
  <c r="J29" i="10"/>
  <c r="R29" i="10" s="1"/>
  <c r="J15" i="10"/>
  <c r="J71" i="10"/>
  <c r="J78" i="10"/>
  <c r="AH78" i="10" s="1"/>
  <c r="R26" i="10"/>
  <c r="R82" i="10"/>
  <c r="J85" i="10"/>
  <c r="AH74" i="10"/>
  <c r="J106" i="10"/>
  <c r="J22" i="10"/>
  <c r="R22" i="10"/>
  <c r="AH68" i="10"/>
  <c r="J99" i="10"/>
  <c r="R89" i="10"/>
  <c r="AH95" i="10"/>
  <c r="R102" i="10"/>
  <c r="R62" i="10"/>
  <c r="AF70" i="10"/>
  <c r="AF151" i="10"/>
  <c r="AF144" i="10"/>
  <c r="AB146" i="9"/>
  <c r="Z138" i="10"/>
  <c r="Z145" i="10"/>
  <c r="Z151" i="10"/>
  <c r="AI84" i="9"/>
  <c r="BC27" i="2"/>
  <c r="BC104" i="2" s="1"/>
  <c r="BC110" i="2" s="1"/>
  <c r="AZ13" i="3"/>
  <c r="BA104" i="2"/>
  <c r="AX25" i="3"/>
  <c r="BC13" i="2"/>
  <c r="R34" i="10"/>
  <c r="J36" i="10"/>
  <c r="R36" i="10" s="1"/>
  <c r="AH61" i="10"/>
  <c r="J64" i="10"/>
  <c r="R61" i="10"/>
  <c r="O37" i="11"/>
  <c r="R43" i="11"/>
  <c r="S37" i="11"/>
  <c r="N43" i="11"/>
  <c r="AQ35" i="11"/>
  <c r="AM35" i="11"/>
  <c r="AP41" i="11"/>
  <c r="AL41" i="11"/>
  <c r="BW35" i="11"/>
  <c r="BR41" i="11"/>
  <c r="BS35" i="11"/>
  <c r="BV41" i="11"/>
  <c r="R140" i="10"/>
  <c r="J141" i="10"/>
  <c r="AH140" i="10"/>
  <c r="AH97" i="10"/>
  <c r="R97" i="10"/>
  <c r="R127" i="10"/>
  <c r="BI80" i="20" s="1"/>
  <c r="AH127" i="10"/>
  <c r="CU260" i="1"/>
  <c r="X42" i="15"/>
  <c r="O18" i="61" s="1"/>
  <c r="O98" i="61" s="1"/>
  <c r="AH106" i="10"/>
  <c r="R106" i="10"/>
  <c r="R78" i="10"/>
  <c r="X80" i="20" s="1"/>
  <c r="R99" i="10"/>
  <c r="AB80" i="20" s="1"/>
  <c r="AH99" i="10"/>
  <c r="R85" i="10"/>
  <c r="Y80" i="20" s="1"/>
  <c r="AH85" i="10"/>
  <c r="R71" i="10"/>
  <c r="W80" i="20" s="1"/>
  <c r="AH71" i="10"/>
  <c r="V172" i="10"/>
  <c r="X172" i="10" s="1"/>
  <c r="BA110" i="2"/>
  <c r="BE27" i="2"/>
  <c r="BB13" i="3" s="1"/>
  <c r="BE13" i="2"/>
  <c r="AZ25" i="3"/>
  <c r="AH64" i="10"/>
  <c r="R64" i="10"/>
  <c r="U80" i="20" s="1"/>
  <c r="R141" i="10"/>
  <c r="BL80" i="20" s="1"/>
  <c r="AH141" i="10"/>
  <c r="AW38" i="2"/>
  <c r="AW94" i="2"/>
  <c r="P351" i="9"/>
  <c r="Z351" i="9" s="1"/>
  <c r="P352" i="9"/>
  <c r="R352" i="9" s="1"/>
  <c r="K174" i="9"/>
  <c r="V173" i="10" s="1"/>
  <c r="X173" i="10" s="1"/>
  <c r="BG27" i="2"/>
  <c r="BE104" i="2"/>
  <c r="BE110" i="2" s="1"/>
  <c r="BG13" i="2"/>
  <c r="BI13" i="2" s="1"/>
  <c r="BF25" i="3" s="1"/>
  <c r="BD25" i="3"/>
  <c r="BB25" i="3"/>
  <c r="AW41" i="2"/>
  <c r="AW52" i="2" s="1"/>
  <c r="AT29" i="3"/>
  <c r="AT31" i="3"/>
  <c r="CQ245" i="1"/>
  <c r="X54" i="15"/>
  <c r="BD13" i="3"/>
  <c r="X55" i="15"/>
  <c r="O24" i="61"/>
  <c r="O63" i="61" s="1"/>
  <c r="O104" i="61" s="1"/>
  <c r="O148" i="61" s="1"/>
  <c r="DI26" i="20"/>
  <c r="N172" i="10"/>
  <c r="O147" i="61"/>
  <c r="O145" i="61" s="1"/>
  <c r="CL37" i="11"/>
  <c r="CM37" i="11" s="1"/>
  <c r="J168" i="10"/>
  <c r="R168" i="10" s="1"/>
  <c r="P172" i="10"/>
  <c r="J172" i="10"/>
  <c r="N168" i="10"/>
  <c r="P168" i="10"/>
  <c r="Y22" i="5"/>
  <c r="CQ269" i="1"/>
  <c r="CR269" i="1" s="1"/>
  <c r="DI15" i="20"/>
  <c r="AF138" i="10"/>
  <c r="Z144" i="10"/>
  <c r="AF91" i="10"/>
  <c r="AF60" i="10"/>
  <c r="AP148" i="9"/>
  <c r="CE68" i="20"/>
  <c r="CE72" i="20" s="1"/>
  <c r="CV60" i="1"/>
  <c r="D172" i="10"/>
  <c r="CV10" i="1"/>
  <c r="CR10" i="11"/>
  <c r="I7" i="77" s="1"/>
  <c r="I8" i="77" s="1"/>
  <c r="CU50" i="1"/>
  <c r="DC30" i="1"/>
  <c r="CW30" i="1"/>
  <c r="DB30" i="1" s="1"/>
  <c r="Y66" i="15"/>
  <c r="Y14" i="15"/>
  <c r="BB39" i="3"/>
  <c r="BB42" i="3" s="1"/>
  <c r="O12" i="61"/>
  <c r="O133" i="61" s="1"/>
  <c r="AH165" i="10"/>
  <c r="AH167" i="10"/>
  <c r="AH168" i="10"/>
  <c r="Z19" i="15"/>
  <c r="AA19" i="15" s="1"/>
  <c r="AB19" i="15" s="1"/>
  <c r="AC19" i="15" s="1"/>
  <c r="AD19" i="15" s="1"/>
  <c r="R98" i="9"/>
  <c r="BG92" i="9"/>
  <c r="AG63" i="9"/>
  <c r="O42" i="5"/>
  <c r="AG34" i="9"/>
  <c r="AR34" i="9" s="1"/>
  <c r="AE35" i="9"/>
  <c r="AB34" i="10" s="1"/>
  <c r="AD34" i="10" s="1"/>
  <c r="AF32" i="10"/>
  <c r="Z96" i="10"/>
  <c r="BK271" i="1"/>
  <c r="BL271" i="1"/>
  <c r="BL267" i="1"/>
  <c r="BK268" i="1"/>
  <c r="AO15" i="20" s="1"/>
  <c r="AN15" i="20"/>
  <c r="AG268" i="1"/>
  <c r="AJ271" i="1"/>
  <c r="AJ268" i="1"/>
  <c r="AK268" i="1" s="1"/>
  <c r="AK267" i="1"/>
  <c r="AO267" i="1"/>
  <c r="CB271" i="1"/>
  <c r="CF271" i="1"/>
  <c r="AK270" i="1"/>
  <c r="AG270" i="1"/>
  <c r="AN271" i="1"/>
  <c r="AV271" i="1" s="1"/>
  <c r="O15" i="20"/>
  <c r="AN268" i="1"/>
  <c r="AV267" i="1"/>
  <c r="BT267" i="1"/>
  <c r="AS15" i="20"/>
  <c r="BO268" i="1"/>
  <c r="BO271" i="1"/>
  <c r="BP267" i="1"/>
  <c r="BS219" i="1"/>
  <c r="BS190" i="1"/>
  <c r="BS131" i="1"/>
  <c r="DC32" i="20"/>
  <c r="BS210" i="1"/>
  <c r="BS178" i="1"/>
  <c r="BS211" i="1" s="1"/>
  <c r="BV44" i="20"/>
  <c r="BV33" i="20"/>
  <c r="CZ32" i="20"/>
  <c r="BG190" i="1"/>
  <c r="BG131" i="1"/>
  <c r="BG219" i="1"/>
  <c r="O45" i="20"/>
  <c r="O43" i="20" s="1"/>
  <c r="O44" i="20" s="1"/>
  <c r="AN199" i="1"/>
  <c r="AN167" i="1"/>
  <c r="BW168" i="1"/>
  <c r="DD45" i="20"/>
  <c r="BW200" i="1"/>
  <c r="BG210" i="1"/>
  <c r="AY131" i="1"/>
  <c r="AY190" i="1"/>
  <c r="AY219" i="1"/>
  <c r="CX32" i="20"/>
  <c r="DB32" i="20"/>
  <c r="BO131" i="1"/>
  <c r="BO219" i="1"/>
  <c r="BO190" i="1"/>
  <c r="CE219" i="1"/>
  <c r="CE131" i="1"/>
  <c r="CE190" i="1"/>
  <c r="DF32" i="20"/>
  <c r="E45" i="20"/>
  <c r="E43" i="20" s="1"/>
  <c r="E33" i="20" s="1"/>
  <c r="AF167" i="1"/>
  <c r="F45" i="20"/>
  <c r="F43" i="20" s="1"/>
  <c r="F33" i="20" s="1"/>
  <c r="AT45" i="20"/>
  <c r="AT43" i="20" s="1"/>
  <c r="AN168" i="1"/>
  <c r="CV45" i="20" s="1"/>
  <c r="CA199" i="1"/>
  <c r="BM45" i="20"/>
  <c r="BM43" i="20" s="1"/>
  <c r="CB33" i="20"/>
  <c r="BW177" i="1"/>
  <c r="BO209" i="1"/>
  <c r="AW45" i="20"/>
  <c r="AW43" i="20" s="1"/>
  <c r="AW44" i="20" s="1"/>
  <c r="AN198" i="1"/>
  <c r="AN220" i="1"/>
  <c r="AU220" i="1"/>
  <c r="CQ201" i="1"/>
  <c r="BO200" i="1"/>
  <c r="CA167" i="1"/>
  <c r="BG209" i="1"/>
  <c r="BG220" i="1"/>
  <c r="BC198" i="1"/>
  <c r="BC220" i="1" s="1"/>
  <c r="D45" i="20"/>
  <c r="D43" i="20" s="1"/>
  <c r="D33" i="20" s="1"/>
  <c r="D34" i="20" s="1"/>
  <c r="AY177" i="1"/>
  <c r="BQ43" i="20"/>
  <c r="BQ44" i="20" s="1"/>
  <c r="AM43" i="20"/>
  <c r="AM44" i="20" s="1"/>
  <c r="CE220" i="1"/>
  <c r="CA178" i="1"/>
  <c r="CA211" i="1" s="1"/>
  <c r="AU178" i="1"/>
  <c r="AU211" i="1"/>
  <c r="BS198" i="1"/>
  <c r="BS220" i="1" s="1"/>
  <c r="AC45" i="20"/>
  <c r="AC43" i="20"/>
  <c r="BO220" i="1"/>
  <c r="BO201" i="1"/>
  <c r="DB43" i="20" s="1"/>
  <c r="BW44" i="20"/>
  <c r="BW33" i="20"/>
  <c r="CC33" i="20"/>
  <c r="CC44" i="20"/>
  <c r="CV32" i="20"/>
  <c r="AN131" i="1"/>
  <c r="AN219" i="1"/>
  <c r="AN190" i="1"/>
  <c r="BC167" i="1"/>
  <c r="AD45" i="20"/>
  <c r="AD43" i="20" s="1"/>
  <c r="AD44" i="20" s="1"/>
  <c r="BC199" i="1"/>
  <c r="BC221" i="1" s="1"/>
  <c r="CM211" i="1"/>
  <c r="CQ211" i="1" s="1"/>
  <c r="CI222" i="1"/>
  <c r="CM222" i="1" s="1"/>
  <c r="CQ222" i="1" s="1"/>
  <c r="CU222" i="1" s="1"/>
  <c r="CY222" i="1" s="1"/>
  <c r="CI178" i="1"/>
  <c r="BX33" i="20"/>
  <c r="BX34" i="20" s="1"/>
  <c r="DH32" i="20"/>
  <c r="CM190" i="1"/>
  <c r="CM131" i="1"/>
  <c r="AJ131" i="1"/>
  <c r="AJ190" i="1"/>
  <c r="AJ219" i="1"/>
  <c r="BW190" i="1"/>
  <c r="DD32" i="20"/>
  <c r="BW219" i="1"/>
  <c r="BW131" i="1"/>
  <c r="BC210" i="1"/>
  <c r="BC178" i="1"/>
  <c r="BC211" i="1" s="1"/>
  <c r="CM177" i="1"/>
  <c r="CQ210" i="1"/>
  <c r="CU210" i="1" s="1"/>
  <c r="CY210" i="1" s="1"/>
  <c r="CY177" i="1" s="1"/>
  <c r="P635" i="9"/>
  <c r="K158" i="30"/>
  <c r="E158" i="30"/>
  <c r="CR16" i="11"/>
  <c r="CR22" i="11" s="1"/>
  <c r="CR28" i="11" s="1"/>
  <c r="CV50" i="1"/>
  <c r="F172" i="10"/>
  <c r="CU70" i="1"/>
  <c r="CV80" i="1" s="1"/>
  <c r="CW70" i="1"/>
  <c r="CW50" i="1"/>
  <c r="CV70" i="1"/>
  <c r="BT271" i="1"/>
  <c r="BP271" i="1"/>
  <c r="AO271" i="1"/>
  <c r="AK271" i="1"/>
  <c r="BT268" i="1"/>
  <c r="AT15" i="20"/>
  <c r="AV268" i="1"/>
  <c r="P15" i="20"/>
  <c r="AO268" i="1"/>
  <c r="AN200" i="1"/>
  <c r="AN201" i="1" s="1"/>
  <c r="CV43" i="20" s="1"/>
  <c r="P45" i="20"/>
  <c r="P43" i="20" s="1"/>
  <c r="BI45" i="20"/>
  <c r="BI43" i="20" s="1"/>
  <c r="CA200" i="1"/>
  <c r="AY210" i="1"/>
  <c r="AY221" i="1" s="1"/>
  <c r="AY178" i="1"/>
  <c r="AY211" i="1" s="1"/>
  <c r="BW210" i="1"/>
  <c r="BW221" i="1" s="1"/>
  <c r="BW178" i="1"/>
  <c r="BW211" i="1" s="1"/>
  <c r="BW222" i="1" s="1"/>
  <c r="CA168" i="1"/>
  <c r="DE45" i="20" s="1"/>
  <c r="AF168" i="1"/>
  <c r="CT45" i="20" s="1"/>
  <c r="CQ177" i="1"/>
  <c r="CM178" i="1"/>
  <c r="AE45" i="20"/>
  <c r="AJ43" i="20" s="1"/>
  <c r="BC200" i="1"/>
  <c r="BC222" i="1" s="1"/>
  <c r="BC168" i="1"/>
  <c r="CY45" i="20" s="1"/>
  <c r="R635" i="9"/>
  <c r="Q158" i="30"/>
  <c r="AG158" i="30"/>
  <c r="V158" i="30"/>
  <c r="CU90" i="1"/>
  <c r="CV90" i="1" s="1"/>
  <c r="R172" i="10"/>
  <c r="AH172" i="10"/>
  <c r="CU100" i="1"/>
  <c r="AE43" i="20"/>
  <c r="AE44" i="20" s="1"/>
  <c r="BC201" i="1"/>
  <c r="CY43" i="20" s="1"/>
  <c r="CY44" i="20" s="1"/>
  <c r="J173" i="10"/>
  <c r="N173" i="10"/>
  <c r="P173" i="10"/>
  <c r="CV100" i="1"/>
  <c r="W173" i="9"/>
  <c r="D173" i="9" s="1"/>
  <c r="I173" i="9" s="1"/>
  <c r="CF68" i="20"/>
  <c r="CF72" i="20"/>
  <c r="CU15" i="1"/>
  <c r="CV11" i="1"/>
  <c r="CR11" i="11" s="1"/>
  <c r="D173" i="10"/>
  <c r="CV61" i="1"/>
  <c r="CW31" i="1"/>
  <c r="DB31" i="1" s="1"/>
  <c r="CW15" i="1"/>
  <c r="CV15" i="1"/>
  <c r="CR267" i="1"/>
  <c r="CQ270" i="1"/>
  <c r="CV270" i="1"/>
  <c r="CV266" i="1"/>
  <c r="CQ271" i="1"/>
  <c r="CR266" i="1"/>
  <c r="CN268" i="1"/>
  <c r="CR270" i="1"/>
  <c r="CU126" i="1"/>
  <c r="CU257" i="1"/>
  <c r="CV257" i="1" s="1"/>
  <c r="CV256" i="1"/>
  <c r="CG18" i="20"/>
  <c r="CE18" i="20"/>
  <c r="CF18" i="20"/>
  <c r="D13" i="62" s="1"/>
  <c r="DC31" i="1"/>
  <c r="F173" i="10"/>
  <c r="AH173" i="10" s="1"/>
  <c r="CU35" i="1"/>
  <c r="CU25" i="1"/>
  <c r="CU51" i="1"/>
  <c r="CV51" i="1" s="1"/>
  <c r="CV65" i="1"/>
  <c r="CR271" i="1"/>
  <c r="CV25" i="1"/>
  <c r="CW25" i="1" s="1"/>
  <c r="CU71" i="1"/>
  <c r="CV81" i="1" s="1"/>
  <c r="CW35" i="1"/>
  <c r="CV35" i="1"/>
  <c r="CU75" i="1"/>
  <c r="CW75" i="1" s="1"/>
  <c r="CU85" i="1"/>
  <c r="CV85" i="1" s="1"/>
  <c r="D351" i="9"/>
  <c r="I351" i="9" s="1"/>
  <c r="D159" i="30"/>
  <c r="E159" i="30" s="1"/>
  <c r="J159" i="30"/>
  <c r="D528" i="9"/>
  <c r="I528" i="9" s="1"/>
  <c r="W174" i="9"/>
  <c r="AV174" i="9" s="1"/>
  <c r="D635" i="9"/>
  <c r="I635" i="9" s="1"/>
  <c r="P159" i="30"/>
  <c r="Q159" i="30" s="1"/>
  <c r="CU116" i="1"/>
  <c r="CV122" i="1"/>
  <c r="BD39" i="3" l="1"/>
  <c r="BD42" i="3" s="1"/>
  <c r="BI49" i="2"/>
  <c r="BF39" i="3" s="1"/>
  <c r="BF42" i="3" s="1"/>
  <c r="BG104" i="2"/>
  <c r="BI27" i="2"/>
  <c r="BI104" i="2" s="1"/>
  <c r="CU211" i="1"/>
  <c r="CQ178" i="1"/>
  <c r="AU219" i="1"/>
  <c r="AU190" i="1"/>
  <c r="AU131" i="1"/>
  <c r="CW32" i="20"/>
  <c r="BO210" i="1"/>
  <c r="BO221" i="1" s="1"/>
  <c r="BO178" i="1"/>
  <c r="BO211" i="1" s="1"/>
  <c r="BO222" i="1" s="1"/>
  <c r="CA190" i="1"/>
  <c r="CA219" i="1"/>
  <c r="DE32" i="20"/>
  <c r="CA131" i="1"/>
  <c r="BK178" i="1"/>
  <c r="BK211" i="1" s="1"/>
  <c r="CE168" i="1"/>
  <c r="DF45" i="20" s="1"/>
  <c r="BG167" i="1"/>
  <c r="AN222" i="1"/>
  <c r="BW220" i="1"/>
  <c r="O33" i="20"/>
  <c r="CA201" i="1"/>
  <c r="DE43" i="20" s="1"/>
  <c r="BN45" i="20"/>
  <c r="BN43" i="20" s="1"/>
  <c r="AU199" i="1"/>
  <c r="AU221" i="1" s="1"/>
  <c r="CU201" i="1"/>
  <c r="AN210" i="1"/>
  <c r="AN221" i="1" s="1"/>
  <c r="BW201" i="1"/>
  <c r="DD43" i="20" s="1"/>
  <c r="AU167" i="1"/>
  <c r="BK199" i="1"/>
  <c r="BK167" i="1"/>
  <c r="BK168" i="1" s="1"/>
  <c r="DA45" i="20" s="1"/>
  <c r="CA221" i="1"/>
  <c r="AL43" i="20"/>
  <c r="BF43" i="20"/>
  <c r="BF33" i="20" s="1"/>
  <c r="BC190" i="1"/>
  <c r="BC219" i="1"/>
  <c r="BC131" i="1"/>
  <c r="CY32" i="20"/>
  <c r="CV44" i="20"/>
  <c r="CV33" i="20"/>
  <c r="CM176" i="1"/>
  <c r="CQ209" i="1"/>
  <c r="AJ167" i="1"/>
  <c r="AJ200" i="1" s="1"/>
  <c r="AJ222" i="1" s="1"/>
  <c r="AJ199" i="1"/>
  <c r="AJ221" i="1" s="1"/>
  <c r="BK190" i="1"/>
  <c r="BK131" i="1"/>
  <c r="BK219" i="1"/>
  <c r="DA32" i="20"/>
  <c r="CI131" i="1"/>
  <c r="CI219" i="1"/>
  <c r="DG32" i="20"/>
  <c r="CI190" i="1"/>
  <c r="BS167" i="1"/>
  <c r="BS168" i="1"/>
  <c r="DC45" i="20" s="1"/>
  <c r="AX45" i="20"/>
  <c r="AX43" i="20" s="1"/>
  <c r="AX44" i="20" s="1"/>
  <c r="BS199" i="1"/>
  <c r="CQ208" i="1"/>
  <c r="CM175" i="1"/>
  <c r="CU177" i="1"/>
  <c r="CA222" i="1"/>
  <c r="CI201" i="1"/>
  <c r="DG43" i="20" s="1"/>
  <c r="DG44" i="20" s="1"/>
  <c r="AY200" i="1"/>
  <c r="AY201" i="1" s="1"/>
  <c r="CX43" i="20" s="1"/>
  <c r="CM201" i="1"/>
  <c r="DH43" i="20" s="1"/>
  <c r="AG43" i="20"/>
  <c r="AG33" i="20" s="1"/>
  <c r="AG34" i="20" s="1"/>
  <c r="BA43" i="20"/>
  <c r="CM142" i="1"/>
  <c r="AY220" i="1"/>
  <c r="H44" i="20"/>
  <c r="BW34" i="20"/>
  <c r="F169" i="10"/>
  <c r="T168" i="10" s="1"/>
  <c r="DI21" i="20"/>
  <c r="CQ93" i="1"/>
  <c r="CC13" i="20"/>
  <c r="CC73" i="20" s="1"/>
  <c r="DI13" i="20"/>
  <c r="AW69" i="2"/>
  <c r="CS73" i="1"/>
  <c r="X27" i="15"/>
  <c r="O11" i="61"/>
  <c r="CR73" i="1"/>
  <c r="X25" i="15"/>
  <c r="CQ74" i="1"/>
  <c r="O30" i="61"/>
  <c r="O159" i="61" s="1"/>
  <c r="O157" i="61" s="1"/>
  <c r="R34" i="20"/>
  <c r="I13" i="62"/>
  <c r="H13" i="62"/>
  <c r="AN169" i="30"/>
  <c r="W143" i="71"/>
  <c r="W54" i="71" s="1"/>
  <c r="T154" i="71"/>
  <c r="U158" i="71"/>
  <c r="V158" i="71" s="1"/>
  <c r="W158" i="71" s="1"/>
  <c r="R161" i="71"/>
  <c r="S161" i="71" s="1"/>
  <c r="I153" i="71"/>
  <c r="I54" i="71"/>
  <c r="I22" i="71"/>
  <c r="M156" i="71"/>
  <c r="N156" i="71" s="1"/>
  <c r="O156" i="71" s="1"/>
  <c r="S162" i="71"/>
  <c r="R157" i="71"/>
  <c r="U167" i="71"/>
  <c r="U32" i="71"/>
  <c r="U166" i="71"/>
  <c r="V166" i="71" s="1"/>
  <c r="W166" i="71" s="1"/>
  <c r="U165" i="71"/>
  <c r="V165" i="71" s="1"/>
  <c r="Q160" i="71"/>
  <c r="R160" i="71" s="1"/>
  <c r="U59" i="71"/>
  <c r="U60" i="71" s="1"/>
  <c r="U51" i="71"/>
  <c r="U52" i="71" s="1"/>
  <c r="U55" i="71"/>
  <c r="V153" i="71"/>
  <c r="V54" i="71"/>
  <c r="V22" i="71"/>
  <c r="V164" i="71"/>
  <c r="W164" i="71" s="1"/>
  <c r="R772" i="9"/>
  <c r="I772" i="9" s="1"/>
  <c r="D772" i="9" s="1"/>
  <c r="R757" i="9"/>
  <c r="I757" i="9" s="1"/>
  <c r="D757" i="9" s="1"/>
  <c r="AJ162" i="30"/>
  <c r="CC25" i="1"/>
  <c r="P175" i="9"/>
  <c r="R175" i="9" s="1"/>
  <c r="CU124" i="1"/>
  <c r="DJ18" i="20"/>
  <c r="AG36" i="15"/>
  <c r="P15" i="61"/>
  <c r="D479" i="9"/>
  <c r="I479" i="9" s="1"/>
  <c r="AK479" i="9" s="1"/>
  <c r="F54" i="30"/>
  <c r="BH111" i="30"/>
  <c r="AH76" i="30"/>
  <c r="AR103" i="30"/>
  <c r="BI297" i="9" s="1"/>
  <c r="E41" i="30"/>
  <c r="BH296" i="9"/>
  <c r="AR104" i="30"/>
  <c r="BI298" i="9" s="1"/>
  <c r="D575" i="9"/>
  <c r="I575" i="9" s="1"/>
  <c r="AK575" i="9" s="1"/>
  <c r="AG88" i="30"/>
  <c r="AH95" i="30" s="1"/>
  <c r="X71" i="9"/>
  <c r="AN71" i="9" s="1"/>
  <c r="D35" i="9"/>
  <c r="AS37" i="30"/>
  <c r="AH37" i="30"/>
  <c r="AH31" i="30"/>
  <c r="AX13" i="30"/>
  <c r="AG20" i="30"/>
  <c r="AL27" i="30"/>
  <c r="AL34" i="30"/>
  <c r="D42" i="9"/>
  <c r="I42" i="9" s="1"/>
  <c r="X44" i="9"/>
  <c r="D47" i="9"/>
  <c r="AS30" i="30"/>
  <c r="I33" i="9"/>
  <c r="AH25" i="30"/>
  <c r="D36" i="9"/>
  <c r="I36" i="9" s="1"/>
  <c r="AG13" i="30"/>
  <c r="AA20" i="30"/>
  <c r="I43" i="9"/>
  <c r="I26" i="9"/>
  <c r="AN41" i="9"/>
  <c r="X37" i="9"/>
  <c r="D44" i="9" s="1"/>
  <c r="AA40" i="30"/>
  <c r="AG33" i="30"/>
  <c r="AV108" i="30"/>
  <c r="X587" i="9"/>
  <c r="D587" i="9" s="1"/>
  <c r="I587" i="9" s="1"/>
  <c r="BU15" i="1"/>
  <c r="BU16" i="1" s="1"/>
  <c r="Q109" i="30"/>
  <c r="AY108" i="30"/>
  <c r="Z479" i="9"/>
  <c r="AB486" i="9" s="1"/>
  <c r="AG110" i="30"/>
  <c r="AH110" i="30" s="1"/>
  <c r="T486" i="9"/>
  <c r="X125" i="9"/>
  <c r="AN479" i="9"/>
  <c r="AR479" i="9" s="1"/>
  <c r="AT486" i="9" s="1"/>
  <c r="AG109" i="30"/>
  <c r="AH109" i="30" s="1"/>
  <c r="Z586" i="9"/>
  <c r="AR108" i="30"/>
  <c r="P111" i="30"/>
  <c r="V109" i="30"/>
  <c r="AV116" i="30" s="1"/>
  <c r="Q117" i="30"/>
  <c r="F131" i="61"/>
  <c r="F157" i="61"/>
  <c r="I168" i="61"/>
  <c r="H168" i="61"/>
  <c r="H157" i="61"/>
  <c r="G157" i="61"/>
  <c r="G168" i="61"/>
  <c r="C153" i="61"/>
  <c r="C134" i="61"/>
  <c r="E31" i="61"/>
  <c r="E16" i="61"/>
  <c r="E26" i="61"/>
  <c r="H86" i="61"/>
  <c r="F133" i="61"/>
  <c r="N133" i="61"/>
  <c r="E90" i="61"/>
  <c r="G75" i="61"/>
  <c r="H173" i="61"/>
  <c r="G45" i="61"/>
  <c r="J98" i="61"/>
  <c r="H37" i="61"/>
  <c r="M37" i="61"/>
  <c r="F95" i="61"/>
  <c r="O92" i="61"/>
  <c r="C150" i="61"/>
  <c r="O86" i="61"/>
  <c r="E110" i="61"/>
  <c r="D173" i="61"/>
  <c r="H35" i="61"/>
  <c r="I35" i="61"/>
  <c r="E173" i="61"/>
  <c r="E131" i="61"/>
  <c r="N76" i="61"/>
  <c r="G116" i="61"/>
  <c r="G30" i="61"/>
  <c r="J139" i="61"/>
  <c r="H50" i="61"/>
  <c r="O51" i="61"/>
  <c r="O45" i="61"/>
  <c r="E65" i="61"/>
  <c r="H45" i="61"/>
  <c r="E168" i="61"/>
  <c r="N37" i="61"/>
  <c r="N34" i="20"/>
  <c r="BU34" i="20"/>
  <c r="X34" i="20"/>
  <c r="AJ33" i="20"/>
  <c r="Y44" i="20"/>
  <c r="N44" i="20"/>
  <c r="BF34" i="20"/>
  <c r="AE33" i="20"/>
  <c r="O34" i="20"/>
  <c r="E34" i="20"/>
  <c r="BM44" i="20"/>
  <c r="BM33" i="20"/>
  <c r="BM34" i="20" s="1"/>
  <c r="H55" i="20"/>
  <c r="H64" i="20" s="1"/>
  <c r="H19" i="20"/>
  <c r="BL60" i="20"/>
  <c r="BL19" i="20"/>
  <c r="BL74" i="20"/>
  <c r="BQ33" i="20"/>
  <c r="BQ34" i="20" s="1"/>
  <c r="BL76" i="20"/>
  <c r="AJ40" i="20"/>
  <c r="H60" i="20"/>
  <c r="AH23" i="20"/>
  <c r="AH61" i="20"/>
  <c r="AW55" i="20"/>
  <c r="BB74" i="20"/>
  <c r="AW19" i="20"/>
  <c r="AW60" i="20"/>
  <c r="AR73" i="20"/>
  <c r="AM59" i="20"/>
  <c r="AM73" i="20"/>
  <c r="BU36" i="20"/>
  <c r="BV36" i="20"/>
  <c r="CV34" i="20"/>
  <c r="BP33" i="20"/>
  <c r="X23" i="20"/>
  <c r="BL58" i="20"/>
  <c r="BK16" i="20"/>
  <c r="BK58" i="20"/>
  <c r="AR58" i="20"/>
  <c r="AR16" i="20"/>
  <c r="CW12" i="20"/>
  <c r="CX67" i="20"/>
  <c r="CZ12" i="20"/>
  <c r="CZ59" i="20"/>
  <c r="DC55" i="20"/>
  <c r="DC64" i="20" s="1"/>
  <c r="DC60" i="20"/>
  <c r="DC19" i="20"/>
  <c r="P12" i="20"/>
  <c r="P59" i="20"/>
  <c r="P67" i="20"/>
  <c r="U59" i="20"/>
  <c r="U67" i="20"/>
  <c r="Z59" i="20"/>
  <c r="Z12" i="20"/>
  <c r="AE12" i="20"/>
  <c r="AJ58" i="20" s="1"/>
  <c r="AJ12" i="20"/>
  <c r="AE67" i="20"/>
  <c r="AE59" i="20"/>
  <c r="AJ67" i="20"/>
  <c r="AJ59" i="20"/>
  <c r="AO12" i="20"/>
  <c r="AO58" i="20" s="1"/>
  <c r="AO67" i="20"/>
  <c r="AT59" i="20"/>
  <c r="AT12" i="20"/>
  <c r="AY67" i="20"/>
  <c r="BS12" i="20"/>
  <c r="BW12" i="20"/>
  <c r="T73" i="20"/>
  <c r="T59" i="20"/>
  <c r="Y59" i="20"/>
  <c r="Y73" i="20"/>
  <c r="AW73" i="20"/>
  <c r="AR59" i="20"/>
  <c r="AY73" i="20"/>
  <c r="AY59" i="20"/>
  <c r="BD73" i="20"/>
  <c r="BI73" i="20"/>
  <c r="BN73" i="20"/>
  <c r="BN59" i="20"/>
  <c r="BS73" i="20"/>
  <c r="H51" i="61"/>
  <c r="H133" i="61"/>
  <c r="BR62" i="20"/>
  <c r="Z32" i="20"/>
  <c r="Z34" i="20" s="1"/>
  <c r="Z36" i="20"/>
  <c r="Y36" i="20"/>
  <c r="AE32" i="20"/>
  <c r="AE36" i="20"/>
  <c r="AI32" i="20"/>
  <c r="AI36" i="20"/>
  <c r="AJ36" i="20"/>
  <c r="AN32" i="20"/>
  <c r="AM36" i="20"/>
  <c r="AN36" i="20"/>
  <c r="AX32" i="20"/>
  <c r="AW36" i="20"/>
  <c r="BB40" i="20"/>
  <c r="BB36" i="20"/>
  <c r="BC36" i="20"/>
  <c r="BL36" i="20"/>
  <c r="BK36" i="20"/>
  <c r="BK40" i="20"/>
  <c r="CU34" i="20"/>
  <c r="CU44" i="20"/>
  <c r="K12" i="20"/>
  <c r="K67" i="20"/>
  <c r="K73" i="20"/>
  <c r="K59" i="20"/>
  <c r="P73" i="20"/>
  <c r="BF58" i="20"/>
  <c r="BF16" i="20"/>
  <c r="CB32" i="20"/>
  <c r="CB34" i="20" s="1"/>
  <c r="CA36" i="20"/>
  <c r="CB36" i="20"/>
  <c r="CQ12" i="20"/>
  <c r="Y40" i="20"/>
  <c r="U39" i="20"/>
  <c r="U40" i="20" s="1"/>
  <c r="DH39" i="20"/>
  <c r="DH40" i="20" s="1"/>
  <c r="D39" i="20"/>
  <c r="D40" i="20" s="1"/>
  <c r="CX12" i="20"/>
  <c r="DG73" i="20"/>
  <c r="AD59" i="20"/>
  <c r="T12" i="20"/>
  <c r="AD12" i="20"/>
  <c r="AI12" i="20"/>
  <c r="AN12" i="20"/>
  <c r="AS12" i="20"/>
  <c r="AX12" i="20"/>
  <c r="BU12" i="20"/>
  <c r="X59" i="20"/>
  <c r="AV73" i="20"/>
  <c r="AX59" i="20"/>
  <c r="AB40" i="20"/>
  <c r="BI39" i="20"/>
  <c r="BI40" i="20" s="1"/>
  <c r="BS39" i="20"/>
  <c r="BS40" i="20" s="1"/>
  <c r="BZ39" i="20"/>
  <c r="BZ40" i="20" s="1"/>
  <c r="W43" i="20"/>
  <c r="S43" i="20"/>
  <c r="AD40" i="20"/>
  <c r="CA44" i="20"/>
  <c r="CZ40" i="20"/>
  <c r="AM16" i="20"/>
  <c r="CQ67" i="20"/>
  <c r="E39" i="20"/>
  <c r="E40" i="20" s="1"/>
  <c r="AQ67" i="20"/>
  <c r="BA67" i="20"/>
  <c r="AS40" i="20"/>
  <c r="X44" i="20"/>
  <c r="AB43" i="20"/>
  <c r="AB44" i="20" s="1"/>
  <c r="AV43" i="20"/>
  <c r="AV44" i="20" s="1"/>
  <c r="BX44" i="20"/>
  <c r="BZ43" i="20"/>
  <c r="BZ44" i="20" s="1"/>
  <c r="CF43" i="20"/>
  <c r="CV39" i="20"/>
  <c r="CV40" i="20" s="1"/>
  <c r="BU44" i="20"/>
  <c r="CR67" i="20"/>
  <c r="BX73" i="20"/>
  <c r="AJ39" i="20"/>
  <c r="AT39" i="20"/>
  <c r="AT40" i="20" s="1"/>
  <c r="BD39" i="20"/>
  <c r="BD40" i="20" s="1"/>
  <c r="DB40" i="20"/>
  <c r="R39" i="20"/>
  <c r="R40" i="20" s="1"/>
  <c r="AH39" i="20"/>
  <c r="AH40" i="20" s="1"/>
  <c r="AM39" i="20"/>
  <c r="AM40" i="20" s="1"/>
  <c r="BV39" i="20"/>
  <c r="DD39" i="20"/>
  <c r="DD40" i="20" s="1"/>
  <c r="CB21" i="20"/>
  <c r="CC21" i="20"/>
  <c r="CA21" i="20"/>
  <c r="C16" i="62" s="1"/>
  <c r="CA67" i="20"/>
  <c r="R44" i="20"/>
  <c r="BH74" i="20"/>
  <c r="BH55" i="20"/>
  <c r="BM76" i="20" s="1"/>
  <c r="AC33" i="20"/>
  <c r="AC34" i="20" s="1"/>
  <c r="AC44" i="20"/>
  <c r="BZ8" i="20"/>
  <c r="CB8" i="20"/>
  <c r="AB58" i="20"/>
  <c r="AB16" i="20"/>
  <c r="BA33" i="20"/>
  <c r="BA34" i="20" s="1"/>
  <c r="BA44" i="20"/>
  <c r="AD33" i="20"/>
  <c r="BV58" i="20"/>
  <c r="BV16" i="20"/>
  <c r="W32" i="20"/>
  <c r="W36" i="20"/>
  <c r="W59" i="20"/>
  <c r="W12" i="20"/>
  <c r="AG12" i="20"/>
  <c r="AG67" i="20"/>
  <c r="AV67" i="20"/>
  <c r="AV59" i="20"/>
  <c r="AX36" i="20"/>
  <c r="AY32" i="20"/>
  <c r="AR43" i="20"/>
  <c r="BC55" i="20"/>
  <c r="BH58" i="20"/>
  <c r="BM87" i="20" s="1"/>
  <c r="BQ87" i="20"/>
  <c r="AV12" i="20"/>
  <c r="AB59" i="20"/>
  <c r="W67" i="20"/>
  <c r="BD58" i="20"/>
  <c r="BD16" i="20"/>
  <c r="E16" i="20"/>
  <c r="E58" i="20"/>
  <c r="BW67" i="20"/>
  <c r="BR67" i="20"/>
  <c r="BV59" i="20"/>
  <c r="T16" i="20"/>
  <c r="T58" i="20"/>
  <c r="AN58" i="20"/>
  <c r="AN16" i="20"/>
  <c r="AX58" i="20"/>
  <c r="AX16" i="20"/>
  <c r="D59" i="20"/>
  <c r="I73" i="20"/>
  <c r="S59" i="20"/>
  <c r="S73" i="20"/>
  <c r="AC16" i="20"/>
  <c r="AC73" i="20"/>
  <c r="AC59" i="20"/>
  <c r="AO59" i="20"/>
  <c r="AT73" i="20"/>
  <c r="BC73" i="20"/>
  <c r="BH73" i="20"/>
  <c r="BM73" i="20"/>
  <c r="BM59" i="20"/>
  <c r="BR88" i="20" s="1"/>
  <c r="BR59" i="20"/>
  <c r="BW73" i="20"/>
  <c r="BW59" i="20"/>
  <c r="BW88" i="20" s="1"/>
  <c r="U32" i="20"/>
  <c r="T36" i="20"/>
  <c r="U36" i="20"/>
  <c r="AC36" i="20"/>
  <c r="AD32" i="20"/>
  <c r="AD36" i="20"/>
  <c r="AH32" i="20"/>
  <c r="AH36" i="20"/>
  <c r="BN40" i="20"/>
  <c r="BP32" i="20"/>
  <c r="BN36" i="20"/>
  <c r="BP36" i="20"/>
  <c r="BS32" i="20"/>
  <c r="BS34" i="20" s="1"/>
  <c r="BR40" i="20"/>
  <c r="BR36" i="20"/>
  <c r="A1" i="23"/>
  <c r="A1" i="11"/>
  <c r="A1" i="10"/>
  <c r="CH39" i="20"/>
  <c r="CH40" i="20" s="1"/>
  <c r="O67" i="20"/>
  <c r="J67" i="20"/>
  <c r="J12" i="20"/>
  <c r="O73" i="20"/>
  <c r="J59" i="20"/>
  <c r="J73" i="20"/>
  <c r="CB18" i="20"/>
  <c r="BZ18" i="20"/>
  <c r="CC18" i="20"/>
  <c r="BL43" i="20"/>
  <c r="BL44" i="20" s="1"/>
  <c r="O16" i="20"/>
  <c r="BC19" i="20"/>
  <c r="AH62" i="20"/>
  <c r="CA33" i="20"/>
  <c r="CA34" i="20" s="1"/>
  <c r="AG59" i="20"/>
  <c r="AX40" i="20"/>
  <c r="AQ12" i="20"/>
  <c r="AQ16" i="20" s="1"/>
  <c r="CZ67" i="20"/>
  <c r="CY12" i="20"/>
  <c r="CY67" i="20"/>
  <c r="CA28" i="20"/>
  <c r="CC28" i="20"/>
  <c r="BZ28" i="20"/>
  <c r="CB72" i="20"/>
  <c r="AY36" i="20"/>
  <c r="CC27" i="20"/>
  <c r="CA27" i="20"/>
  <c r="CB27" i="20"/>
  <c r="DB73" i="20"/>
  <c r="DA59" i="20"/>
  <c r="BD59" i="20"/>
  <c r="BD67" i="20"/>
  <c r="BI12" i="20"/>
  <c r="BI59" i="20"/>
  <c r="BS88" i="20" s="1"/>
  <c r="BS67" i="20"/>
  <c r="BN67" i="20"/>
  <c r="BN12" i="20"/>
  <c r="F32" i="20"/>
  <c r="F34" i="20" s="1"/>
  <c r="E36" i="20"/>
  <c r="F36" i="20"/>
  <c r="P32" i="20"/>
  <c r="O36" i="20"/>
  <c r="P36" i="20"/>
  <c r="BH32" i="20"/>
  <c r="BH36" i="20"/>
  <c r="BG36" i="20"/>
  <c r="BQ58" i="20"/>
  <c r="BQ16" i="20"/>
  <c r="BZ72" i="20"/>
  <c r="AB67" i="20"/>
  <c r="AL12" i="20"/>
  <c r="AL16" i="20" s="1"/>
  <c r="AQ74" i="20" s="1"/>
  <c r="AL67" i="20"/>
  <c r="BA12" i="20"/>
  <c r="BA59" i="20"/>
  <c r="BK88" i="20" s="1"/>
  <c r="BF67" i="20"/>
  <c r="AT32" i="20"/>
  <c r="AS36" i="20"/>
  <c r="AT36" i="20"/>
  <c r="CT44" i="20"/>
  <c r="CT33" i="20"/>
  <c r="CT34" i="20" s="1"/>
  <c r="CT46" i="20"/>
  <c r="AN55" i="20"/>
  <c r="AN64" i="20" s="1"/>
  <c r="N51" i="61"/>
  <c r="CR12" i="20"/>
  <c r="CR16" i="20" s="1"/>
  <c r="CR19" i="20" s="1"/>
  <c r="AQ59" i="20"/>
  <c r="N58" i="20"/>
  <c r="N16" i="20"/>
  <c r="BX59" i="20"/>
  <c r="BX67" i="20"/>
  <c r="BX12" i="20"/>
  <c r="D12" i="20"/>
  <c r="I67" i="20"/>
  <c r="S12" i="20"/>
  <c r="X67" i="20"/>
  <c r="I133" i="61"/>
  <c r="I92" i="61"/>
  <c r="I51" i="61"/>
  <c r="AQ36" i="20"/>
  <c r="AQ32" i="20"/>
  <c r="CC40" i="20"/>
  <c r="CE32" i="20"/>
  <c r="CE36" i="20"/>
  <c r="AW39" i="20"/>
  <c r="AW40" i="20" s="1"/>
  <c r="T40" i="20"/>
  <c r="BG39" i="20"/>
  <c r="BG40" i="20" s="1"/>
  <c r="BU40" i="20"/>
  <c r="BS44" i="20"/>
  <c r="BF44" i="20"/>
  <c r="CE43" i="20"/>
  <c r="O40" i="20"/>
  <c r="BB55" i="20"/>
  <c r="BX40" i="20"/>
  <c r="AN43" i="20"/>
  <c r="BL39" i="20"/>
  <c r="BL40" i="20" s="1"/>
  <c r="BK43" i="20"/>
  <c r="CF39" i="20"/>
  <c r="CF40" i="20" s="1"/>
  <c r="CU46" i="20"/>
  <c r="X39" i="20"/>
  <c r="X40" i="20" s="1"/>
  <c r="CY39" i="20"/>
  <c r="CY40" i="20" s="1"/>
  <c r="AO16" i="20"/>
  <c r="AO55" i="20" s="1"/>
  <c r="AO64" i="20" s="1"/>
  <c r="AR39" i="20"/>
  <c r="CB39" i="20"/>
  <c r="CB40" i="20" s="1"/>
  <c r="CG43" i="20"/>
  <c r="W109" i="2"/>
  <c r="L172" i="10"/>
  <c r="A173" i="10"/>
  <c r="A180" i="10"/>
  <c r="B173" i="10"/>
  <c r="B180" i="10"/>
  <c r="P61" i="10"/>
  <c r="P69" i="10"/>
  <c r="N83" i="10"/>
  <c r="P132" i="10"/>
  <c r="L173" i="10"/>
  <c r="A20" i="10"/>
  <c r="A181" i="10"/>
  <c r="B174" i="10"/>
  <c r="B181" i="10"/>
  <c r="T104" i="10"/>
  <c r="P119" i="10"/>
  <c r="AF21" i="10"/>
  <c r="A175" i="10"/>
  <c r="A182" i="10"/>
  <c r="B175" i="10"/>
  <c r="B182" i="10"/>
  <c r="Z172" i="10"/>
  <c r="A32" i="10"/>
  <c r="A179" i="10"/>
  <c r="B25" i="10"/>
  <c r="B179" i="10"/>
  <c r="B64" i="10"/>
  <c r="B183" i="10"/>
  <c r="L18" i="10"/>
  <c r="J48" i="10"/>
  <c r="AH48" i="10" s="1"/>
  <c r="L61" i="10"/>
  <c r="R68" i="10"/>
  <c r="N110" i="10"/>
  <c r="T109" i="10"/>
  <c r="N139" i="10"/>
  <c r="N154" i="10"/>
  <c r="AE96" i="2"/>
  <c r="AE103" i="2" s="1"/>
  <c r="AA96" i="2"/>
  <c r="AG96" i="2"/>
  <c r="AG103" i="2" s="1"/>
  <c r="AK96" i="2"/>
  <c r="AK103" i="2" s="1"/>
  <c r="AM109" i="2" s="1"/>
  <c r="P59" i="23"/>
  <c r="P53" i="23"/>
  <c r="F53" i="23"/>
  <c r="F59" i="23"/>
  <c r="Y48" i="2"/>
  <c r="Y50" i="2" s="1"/>
  <c r="D35" i="23"/>
  <c r="D59" i="23" s="1"/>
  <c r="D37" i="11"/>
  <c r="L35" i="23"/>
  <c r="AA37" i="11"/>
  <c r="J91" i="10"/>
  <c r="N105" i="10"/>
  <c r="L65" i="3"/>
  <c r="L49" i="3"/>
  <c r="D51" i="61"/>
  <c r="D133" i="61"/>
  <c r="D92" i="61"/>
  <c r="M92" i="61"/>
  <c r="M133" i="61"/>
  <c r="M51" i="61"/>
  <c r="CF268" i="1"/>
  <c r="N42" i="3"/>
  <c r="D33" i="3"/>
  <c r="D45" i="3" s="1"/>
  <c r="CQ268" i="1"/>
  <c r="U52" i="2"/>
  <c r="J92" i="61"/>
  <c r="F45" i="3"/>
  <c r="F49" i="3" s="1"/>
  <c r="J133" i="61"/>
  <c r="BL269" i="1"/>
  <c r="D121" i="61"/>
  <c r="D122" i="61" s="1"/>
  <c r="D177" i="61"/>
  <c r="D178" i="61" s="1"/>
  <c r="D80" i="61"/>
  <c r="D81" i="61" s="1"/>
  <c r="CT16" i="20"/>
  <c r="CT58" i="20"/>
  <c r="AH89" i="10"/>
  <c r="AU43" i="1"/>
  <c r="AU42" i="1"/>
  <c r="BA42" i="1" s="1"/>
  <c r="M57" i="61"/>
  <c r="M98" i="61"/>
  <c r="D10" i="61"/>
  <c r="D129" i="61"/>
  <c r="D131" i="61" s="1"/>
  <c r="D47" i="61"/>
  <c r="D49" i="61" s="1"/>
  <c r="D88" i="61"/>
  <c r="D90" i="61" s="1"/>
  <c r="O57" i="61"/>
  <c r="F168" i="61"/>
  <c r="C157" i="61"/>
  <c r="G69" i="61"/>
  <c r="L117" i="61"/>
  <c r="D76" i="61"/>
  <c r="AJ169" i="30"/>
  <c r="Z12" i="5" s="1"/>
  <c r="K47" i="5"/>
  <c r="L48" i="5" s="1"/>
  <c r="AW9" i="5"/>
  <c r="AW8" i="5"/>
  <c r="L27" i="5"/>
  <c r="K262" i="9" s="1"/>
  <c r="D66" i="5"/>
  <c r="K13" i="5"/>
  <c r="K7" i="15" s="1"/>
  <c r="BI116" i="2" s="1"/>
  <c r="I66" i="5"/>
  <c r="AC103" i="2"/>
  <c r="Y103" i="2"/>
  <c r="AQ102" i="2"/>
  <c r="K523" i="9"/>
  <c r="P523" i="9" s="1"/>
  <c r="Z523" i="9" s="1"/>
  <c r="Y27" i="5"/>
  <c r="DJ81" i="20" s="1"/>
  <c r="K346" i="9"/>
  <c r="P346" i="9" s="1"/>
  <c r="BI276" i="9"/>
  <c r="AR83" i="30"/>
  <c r="D55" i="9"/>
  <c r="I55" i="9" s="1"/>
  <c r="AG83" i="30"/>
  <c r="AY83" i="30" s="1"/>
  <c r="AH102" i="30"/>
  <c r="AA83" i="30"/>
  <c r="AH87" i="30"/>
  <c r="D78" i="9"/>
  <c r="D77" i="9"/>
  <c r="I77" i="9" s="1"/>
  <c r="AR86" i="30"/>
  <c r="BI280" i="9" s="1"/>
  <c r="L41" i="30"/>
  <c r="AR95" i="30"/>
  <c r="AH82" i="30"/>
  <c r="AR41" i="30"/>
  <c r="D69" i="9"/>
  <c r="I69" i="9" s="1"/>
  <c r="X65" i="9"/>
  <c r="AS74" i="30"/>
  <c r="AR48" i="30"/>
  <c r="AS48" i="30" s="1"/>
  <c r="AA90" i="30"/>
  <c r="L83" i="30"/>
  <c r="AA48" i="30"/>
  <c r="R41" i="30"/>
  <c r="AY95" i="30"/>
  <c r="AS38" i="30"/>
  <c r="BI281" i="9"/>
  <c r="AH38" i="30"/>
  <c r="AA39" i="30"/>
  <c r="X51" i="9"/>
  <c r="X30" i="9"/>
  <c r="D37" i="9" s="1"/>
  <c r="AN29" i="9"/>
  <c r="AN30" i="9" s="1"/>
  <c r="AA27" i="30"/>
  <c r="Z34" i="30"/>
  <c r="F32" i="30"/>
  <c r="AH16" i="30"/>
  <c r="AN35" i="9"/>
  <c r="AR16" i="30"/>
  <c r="AH20" i="30"/>
  <c r="D40" i="9"/>
  <c r="D29" i="9"/>
  <c r="AG27" i="30"/>
  <c r="AH27" i="30" s="1"/>
  <c r="L32" i="30"/>
  <c r="AH24" i="30"/>
  <c r="F33" i="30"/>
  <c r="D91" i="9"/>
  <c r="I91" i="9" s="1"/>
  <c r="AS45" i="30"/>
  <c r="AS82" i="30"/>
  <c r="AS58" i="30"/>
  <c r="X72" i="9"/>
  <c r="D72" i="9" s="1"/>
  <c r="K803" i="9"/>
  <c r="P807" i="9" s="1"/>
  <c r="Y28" i="5"/>
  <c r="DD85" i="20"/>
  <c r="K738" i="9"/>
  <c r="P738" i="9" s="1"/>
  <c r="P739" i="9" s="1"/>
  <c r="M27" i="5"/>
  <c r="N27" i="5" s="1"/>
  <c r="K276" i="9" s="1"/>
  <c r="P425" i="9"/>
  <c r="Z425" i="9" s="1"/>
  <c r="Z426" i="9" s="1"/>
  <c r="AB426" i="9" s="1"/>
  <c r="P782" i="9"/>
  <c r="P783" i="9" s="1"/>
  <c r="Q30" i="5"/>
  <c r="K724" i="9" s="1"/>
  <c r="P728" i="9" s="1"/>
  <c r="AK514" i="9"/>
  <c r="AI375" i="9"/>
  <c r="AG193" i="9"/>
  <c r="AI19" i="9"/>
  <c r="AK19" i="9" s="1"/>
  <c r="AK331" i="9"/>
  <c r="P373" i="9"/>
  <c r="AP27" i="9"/>
  <c r="D746" i="9"/>
  <c r="V13" i="10"/>
  <c r="X13" i="10" s="1"/>
  <c r="AI203" i="9"/>
  <c r="BG127" i="9"/>
  <c r="AT459" i="9"/>
  <c r="AS144" i="30"/>
  <c r="AW139" i="9"/>
  <c r="I311" i="9"/>
  <c r="I527" i="9"/>
  <c r="T521" i="9"/>
  <c r="AI104" i="9"/>
  <c r="K105" i="9"/>
  <c r="BG125" i="9"/>
  <c r="AV133" i="9"/>
  <c r="D167" i="9"/>
  <c r="I167" i="9" s="1"/>
  <c r="T167" i="9" s="1"/>
  <c r="R601" i="9"/>
  <c r="T601" i="9" s="1"/>
  <c r="X601" i="9" s="1"/>
  <c r="R39" i="5"/>
  <c r="D263" i="9"/>
  <c r="I263" i="9" s="1"/>
  <c r="AG36" i="9"/>
  <c r="AN256" i="9"/>
  <c r="AP317" i="9"/>
  <c r="Z473" i="9"/>
  <c r="R480" i="9"/>
  <c r="AG370" i="9"/>
  <c r="AI120" i="9"/>
  <c r="AT474" i="9"/>
  <c r="R520" i="9"/>
  <c r="AB154" i="9"/>
  <c r="AB161" i="9"/>
  <c r="AG206" i="9"/>
  <c r="AG205" i="9"/>
  <c r="AI212" i="9" s="1"/>
  <c r="AR63" i="9"/>
  <c r="AB62" i="10"/>
  <c r="AD62" i="10" s="1"/>
  <c r="W170" i="9"/>
  <c r="AN170" i="9" s="1"/>
  <c r="AG377" i="9"/>
  <c r="AI377" i="9" s="1"/>
  <c r="AG575" i="9"/>
  <c r="AB54" i="10"/>
  <c r="AD54" i="10" s="1"/>
  <c r="AF61" i="10" s="1"/>
  <c r="F130" i="30"/>
  <c r="R130" i="30"/>
  <c r="P207" i="9"/>
  <c r="AI481" i="9"/>
  <c r="D433" i="9"/>
  <c r="I433" i="9" s="1"/>
  <c r="E92" i="20"/>
  <c r="Q42" i="5"/>
  <c r="Q155" i="30"/>
  <c r="AT311" i="9"/>
  <c r="AG589" i="9"/>
  <c r="AI596" i="9" s="1"/>
  <c r="AG496" i="9"/>
  <c r="AI503" i="9" s="1"/>
  <c r="AG64" i="9"/>
  <c r="AR130" i="30"/>
  <c r="AY130" i="30"/>
  <c r="AE48" i="9"/>
  <c r="AB282" i="9"/>
  <c r="AR567" i="9"/>
  <c r="AT574" i="9" s="1"/>
  <c r="AI574" i="9"/>
  <c r="D454" i="9"/>
  <c r="I454" i="9" s="1"/>
  <c r="AB139" i="10"/>
  <c r="AD139" i="10" s="1"/>
  <c r="AF146" i="10" s="1"/>
  <c r="Z140" i="9"/>
  <c r="AB147" i="9" s="1"/>
  <c r="F496" i="9"/>
  <c r="I496" i="9" s="1"/>
  <c r="I600" i="9"/>
  <c r="T600" i="9" s="1"/>
  <c r="AI26" i="9"/>
  <c r="AI417" i="9"/>
  <c r="AI572" i="9"/>
  <c r="AK572" i="9" s="1"/>
  <c r="AH137" i="30"/>
  <c r="AG47" i="9"/>
  <c r="AI593" i="9"/>
  <c r="AK593" i="9" s="1"/>
  <c r="P370" i="9"/>
  <c r="Z91" i="9"/>
  <c r="DE85" i="20"/>
  <c r="K752" i="9"/>
  <c r="U30" i="5"/>
  <c r="K745" i="9"/>
  <c r="K574" i="9"/>
  <c r="P578" i="9" s="1"/>
  <c r="Z578" i="9" s="1"/>
  <c r="P248" i="9"/>
  <c r="Z248" i="9" s="1"/>
  <c r="AB248" i="9" s="1"/>
  <c r="P717" i="9"/>
  <c r="P718" i="9" s="1"/>
  <c r="K721" i="9"/>
  <c r="K117" i="9" s="1"/>
  <c r="AQ93" i="20" s="1"/>
  <c r="K810" i="9"/>
  <c r="DH84" i="20"/>
  <c r="B26" i="5"/>
  <c r="P631" i="9"/>
  <c r="Z631" i="9" s="1"/>
  <c r="R630" i="9"/>
  <c r="CU267" i="1"/>
  <c r="V49" i="3"/>
  <c r="V65" i="3"/>
  <c r="BN33" i="20"/>
  <c r="BN34" i="20" s="1"/>
  <c r="BN44" i="20"/>
  <c r="CA73" i="20"/>
  <c r="C34" i="62" s="1"/>
  <c r="CA59" i="20"/>
  <c r="U61" i="20"/>
  <c r="U23" i="20"/>
  <c r="U62" i="20"/>
  <c r="AH44" i="20"/>
  <c r="AH33" i="20"/>
  <c r="AH34" i="20" s="1"/>
  <c r="R49" i="3"/>
  <c r="R65" i="3"/>
  <c r="AX33" i="20"/>
  <c r="AX34" i="20" s="1"/>
  <c r="AW33" i="20"/>
  <c r="AW34" i="20" s="1"/>
  <c r="AT33" i="20"/>
  <c r="AT44" i="20"/>
  <c r="BZ15" i="20" a="1"/>
  <c r="CR268" i="1"/>
  <c r="CX44" i="20"/>
  <c r="CX33" i="20"/>
  <c r="CX34" i="20" s="1"/>
  <c r="CV46" i="20"/>
  <c r="C62" i="20"/>
  <c r="C61" i="20"/>
  <c r="C23" i="20"/>
  <c r="BM60" i="20"/>
  <c r="BM74" i="20"/>
  <c r="F34" i="15"/>
  <c r="F39" i="15"/>
  <c r="CZ16" i="20"/>
  <c r="CZ19" i="20" s="1"/>
  <c r="CZ58" i="20"/>
  <c r="AE34" i="20"/>
  <c r="AJ44" i="20"/>
  <c r="CY46" i="20"/>
  <c r="BL268" i="1"/>
  <c r="BM64" i="20"/>
  <c r="CB13" i="20"/>
  <c r="Z44" i="20"/>
  <c r="BZ13" i="20"/>
  <c r="BZ73" i="20" s="1"/>
  <c r="CB12" i="20"/>
  <c r="CB58" i="20" s="1"/>
  <c r="H177" i="61"/>
  <c r="H178" i="61" s="1"/>
  <c r="U60" i="20"/>
  <c r="BL23" i="20"/>
  <c r="BR74" i="20"/>
  <c r="BH60" i="20"/>
  <c r="BM89" i="20" s="1"/>
  <c r="BH19" i="20"/>
  <c r="I58" i="20"/>
  <c r="I16" i="20"/>
  <c r="BB23" i="20"/>
  <c r="BB62" i="20"/>
  <c r="BB61" i="20"/>
  <c r="T19" i="20"/>
  <c r="T60" i="20"/>
  <c r="BQ60" i="20"/>
  <c r="BQ74" i="20"/>
  <c r="N40" i="15"/>
  <c r="N45" i="15"/>
  <c r="E76" i="61"/>
  <c r="F76" i="61"/>
  <c r="CX46" i="20"/>
  <c r="BK55" i="20"/>
  <c r="BK64" i="20" s="1"/>
  <c r="BK60" i="20"/>
  <c r="D110" i="61"/>
  <c r="E117" i="61"/>
  <c r="AM33" i="20"/>
  <c r="AM34" i="20" s="1"/>
  <c r="BR33" i="20"/>
  <c r="BR34" i="20" s="1"/>
  <c r="BD33" i="20"/>
  <c r="BD34" i="20" s="1"/>
  <c r="O146" i="61"/>
  <c r="U55" i="20"/>
  <c r="U64" i="20" s="1"/>
  <c r="CB67" i="20"/>
  <c r="E55" i="61"/>
  <c r="E71" i="61" s="1"/>
  <c r="X83" i="20"/>
  <c r="CT55" i="20"/>
  <c r="CT64" i="20" s="1"/>
  <c r="CT60" i="20"/>
  <c r="BM19" i="20"/>
  <c r="F60" i="20"/>
  <c r="F19" i="20"/>
  <c r="CX16" i="20"/>
  <c r="CX58" i="20"/>
  <c r="BX16" i="20"/>
  <c r="BX58" i="20"/>
  <c r="C55" i="20"/>
  <c r="C64" i="20" s="1"/>
  <c r="C60" i="20"/>
  <c r="H74" i="20"/>
  <c r="AE58" i="20"/>
  <c r="AE16" i="20"/>
  <c r="BP268" i="1"/>
  <c r="CC8" i="20"/>
  <c r="CC67" i="20" s="1"/>
  <c r="AJ16" i="20"/>
  <c r="AY55" i="20"/>
  <c r="AY19" i="20"/>
  <c r="AY60" i="20"/>
  <c r="BD74" i="20"/>
  <c r="CR58" i="20"/>
  <c r="M16" i="20"/>
  <c r="M58" i="20"/>
  <c r="AV94" i="20"/>
  <c r="AY94" i="20"/>
  <c r="AX94" i="20"/>
  <c r="M45" i="15"/>
  <c r="M40" i="15"/>
  <c r="AI67" i="2"/>
  <c r="Q15" i="15"/>
  <c r="Q59" i="15"/>
  <c r="Q31" i="15"/>
  <c r="Q11" i="15"/>
  <c r="DB8" i="20"/>
  <c r="Q33" i="15"/>
  <c r="Q37" i="15"/>
  <c r="Q13" i="15"/>
  <c r="Q20" i="15"/>
  <c r="Q28" i="15"/>
  <c r="R8" i="15"/>
  <c r="R67" i="15" s="1"/>
  <c r="BG60" i="20"/>
  <c r="BG19" i="20"/>
  <c r="L76" i="61"/>
  <c r="M76" i="61"/>
  <c r="K110" i="30"/>
  <c r="X480" i="9"/>
  <c r="J111" i="30"/>
  <c r="K119" i="30" s="1"/>
  <c r="L110" i="30"/>
  <c r="D111" i="30"/>
  <c r="E110" i="30"/>
  <c r="E118" i="30"/>
  <c r="V110" i="30"/>
  <c r="AV117" i="30" s="1"/>
  <c r="E15" i="15"/>
  <c r="E33" i="15"/>
  <c r="E20" i="15"/>
  <c r="CP10" i="20"/>
  <c r="CP12" i="20" s="1"/>
  <c r="E11" i="15"/>
  <c r="K8" i="61"/>
  <c r="DE10" i="20"/>
  <c r="AO68" i="2"/>
  <c r="BR60" i="20"/>
  <c r="X61" i="20"/>
  <c r="BP87" i="20"/>
  <c r="BU88" i="20"/>
  <c r="BP88" i="20"/>
  <c r="BP58" i="20"/>
  <c r="AQ58" i="20"/>
  <c r="AW23" i="20"/>
  <c r="Q17" i="15"/>
  <c r="BV87" i="20"/>
  <c r="F45" i="61"/>
  <c r="F30" i="61"/>
  <c r="F86" i="61"/>
  <c r="F35" i="61"/>
  <c r="G35" i="61"/>
  <c r="F10" i="61"/>
  <c r="DC59" i="20"/>
  <c r="DC73" i="20"/>
  <c r="R58" i="20"/>
  <c r="BV55" i="20"/>
  <c r="BV19" i="20"/>
  <c r="CY59" i="20"/>
  <c r="AM69" i="2"/>
  <c r="J11" i="61"/>
  <c r="DD13" i="20"/>
  <c r="T25" i="15"/>
  <c r="H139" i="61"/>
  <c r="H98" i="61"/>
  <c r="Y16" i="20"/>
  <c r="Y58" i="20"/>
  <c r="AY110" i="30"/>
  <c r="CO13" i="20"/>
  <c r="D26" i="15"/>
  <c r="D33" i="15"/>
  <c r="BQ46" i="1"/>
  <c r="BP46" i="1"/>
  <c r="I37" i="61"/>
  <c r="I50" i="61"/>
  <c r="I132" i="61"/>
  <c r="I8" i="61"/>
  <c r="AK68" i="2"/>
  <c r="I20" i="9"/>
  <c r="N18" i="61"/>
  <c r="DH21" i="20"/>
  <c r="CU26" i="20"/>
  <c r="K55" i="15"/>
  <c r="CQ73" i="20"/>
  <c r="K36" i="61"/>
  <c r="DE68" i="20"/>
  <c r="I91" i="61"/>
  <c r="AV42" i="1"/>
  <c r="H17" i="15"/>
  <c r="P45" i="15"/>
  <c r="P40" i="15"/>
  <c r="C49" i="61"/>
  <c r="C69" i="61"/>
  <c r="E69" i="61"/>
  <c r="D594" i="9"/>
  <c r="I594" i="9" s="1"/>
  <c r="AK594" i="9" s="1"/>
  <c r="Z587" i="9"/>
  <c r="AB594" i="9" s="1"/>
  <c r="AN587" i="9"/>
  <c r="AR587" i="9" s="1"/>
  <c r="AT594" i="9" s="1"/>
  <c r="I30" i="61"/>
  <c r="R15" i="15"/>
  <c r="H59" i="15"/>
  <c r="H33" i="15"/>
  <c r="H13" i="15"/>
  <c r="H8" i="15"/>
  <c r="H20" i="15"/>
  <c r="I8" i="15"/>
  <c r="CS8" i="20"/>
  <c r="AU41" i="1"/>
  <c r="L31" i="15"/>
  <c r="AU40" i="1"/>
  <c r="D115" i="61"/>
  <c r="C90" i="61"/>
  <c r="BC32" i="20"/>
  <c r="BV32" i="20"/>
  <c r="BV34" i="20" s="1"/>
  <c r="N55" i="15"/>
  <c r="L35" i="10"/>
  <c r="T97" i="10"/>
  <c r="CJ19" i="11"/>
  <c r="CJ25" i="11" s="1"/>
  <c r="CJ31" i="11" s="1"/>
  <c r="S115" i="2"/>
  <c r="D36" i="10"/>
  <c r="L36" i="10" s="1"/>
  <c r="CF36" i="20"/>
  <c r="CH36" i="20"/>
  <c r="AM55" i="20"/>
  <c r="R166" i="10"/>
  <c r="L50" i="10"/>
  <c r="AQ43" i="20"/>
  <c r="L132" i="10"/>
  <c r="BV40" i="20"/>
  <c r="CA40" i="20"/>
  <c r="L144" i="10"/>
  <c r="F603" i="9"/>
  <c r="AS220" i="30"/>
  <c r="AS223" i="30"/>
  <c r="AS234" i="30"/>
  <c r="AK494" i="9"/>
  <c r="F319" i="9"/>
  <c r="I319" i="9" s="1"/>
  <c r="D155" i="30"/>
  <c r="AN347" i="9"/>
  <c r="F347" i="9"/>
  <c r="H155" i="30" s="1"/>
  <c r="DI69" i="20" s="1"/>
  <c r="D347" i="9"/>
  <c r="AA29" i="5"/>
  <c r="DL83" i="20" s="1"/>
  <c r="K644" i="9"/>
  <c r="P644" i="9" s="1"/>
  <c r="AG426" i="9"/>
  <c r="AI425" i="9"/>
  <c r="D124" i="9"/>
  <c r="I124" i="9" s="1"/>
  <c r="AN124" i="9"/>
  <c r="F131" i="30"/>
  <c r="AG134" i="30"/>
  <c r="R134" i="30" s="1"/>
  <c r="AV607" i="9"/>
  <c r="AW607" i="9" s="1"/>
  <c r="AN607" i="9"/>
  <c r="AR607" i="9" s="1"/>
  <c r="AN44" i="9"/>
  <c r="AT19" i="9"/>
  <c r="F524" i="9"/>
  <c r="N155" i="30" s="1"/>
  <c r="DI70" i="20" s="1"/>
  <c r="AN524" i="9"/>
  <c r="Z528" i="9"/>
  <c r="R535" i="9"/>
  <c r="R528" i="9"/>
  <c r="P174" i="9"/>
  <c r="R174" i="9" s="1"/>
  <c r="R408" i="9"/>
  <c r="R415" i="9"/>
  <c r="R146" i="30"/>
  <c r="AH146" i="30"/>
  <c r="K383" i="9"/>
  <c r="P382" i="9"/>
  <c r="R389" i="9" s="1"/>
  <c r="AI380" i="9"/>
  <c r="AI387" i="9"/>
  <c r="T423" i="9"/>
  <c r="AK423" i="9"/>
  <c r="J104" i="30"/>
  <c r="D475" i="9"/>
  <c r="I475" i="9" s="1"/>
  <c r="AT467" i="9"/>
  <c r="AT460" i="9"/>
  <c r="P252" i="9"/>
  <c r="R252" i="9" s="1"/>
  <c r="T252" i="9" s="1"/>
  <c r="K253" i="9"/>
  <c r="K254" i="9" s="1"/>
  <c r="AI206" i="9"/>
  <c r="AI213" i="9"/>
  <c r="P200" i="9"/>
  <c r="R207" i="9" s="1"/>
  <c r="R204" i="9"/>
  <c r="R197" i="9"/>
  <c r="AI220" i="9"/>
  <c r="AI227" i="9"/>
  <c r="AP607" i="9"/>
  <c r="AT614" i="9" s="1"/>
  <c r="AI614" i="9"/>
  <c r="AK614" i="9" s="1"/>
  <c r="AG610" i="9"/>
  <c r="AI246" i="9"/>
  <c r="AI253" i="9"/>
  <c r="B15" i="30"/>
  <c r="B209" i="9"/>
  <c r="B386" i="9" s="1"/>
  <c r="B39" i="9"/>
  <c r="AR133" i="9"/>
  <c r="AI140" i="9"/>
  <c r="AK140" i="9" s="1"/>
  <c r="AP133" i="9"/>
  <c r="AT140" i="9" s="1"/>
  <c r="AN174" i="9"/>
  <c r="AG35" i="9"/>
  <c r="AR35" i="9" s="1"/>
  <c r="AP35" i="9"/>
  <c r="R643" i="9"/>
  <c r="I643" i="9" s="1"/>
  <c r="D643" i="9" s="1"/>
  <c r="R636" i="9"/>
  <c r="P160" i="30" s="1"/>
  <c r="R373" i="9"/>
  <c r="R380" i="9"/>
  <c r="P405" i="9"/>
  <c r="R405" i="9" s="1"/>
  <c r="R404" i="9"/>
  <c r="R411" i="9"/>
  <c r="AI415" i="9"/>
  <c r="AR415" i="9"/>
  <c r="AG419" i="9"/>
  <c r="AB33" i="10"/>
  <c r="AD33" i="10" s="1"/>
  <c r="AP34" i="9"/>
  <c r="AI309" i="9"/>
  <c r="AI316" i="9"/>
  <c r="AK316" i="9" s="1"/>
  <c r="AG312" i="9"/>
  <c r="AP309" i="9"/>
  <c r="AP312" i="9" s="1"/>
  <c r="AR309" i="9"/>
  <c r="AI61" i="9"/>
  <c r="Z635" i="9"/>
  <c r="R642" i="9"/>
  <c r="I642" i="9" s="1"/>
  <c r="R529" i="9"/>
  <c r="Z529" i="9" s="1"/>
  <c r="R536" i="9"/>
  <c r="I536" i="9" s="1"/>
  <c r="D536" i="9" s="1"/>
  <c r="AK499" i="9"/>
  <c r="AK616" i="9"/>
  <c r="AK599" i="9"/>
  <c r="AI374" i="9"/>
  <c r="AK471" i="9"/>
  <c r="T338" i="9"/>
  <c r="Z168" i="9"/>
  <c r="AB168" i="9" s="1"/>
  <c r="D30" i="9"/>
  <c r="I30" i="9" s="1"/>
  <c r="T513" i="9"/>
  <c r="D298" i="9"/>
  <c r="I298" i="9" s="1"/>
  <c r="R345" i="9"/>
  <c r="T345" i="9" s="1"/>
  <c r="Z345" i="9"/>
  <c r="AT608" i="9"/>
  <c r="Z162" i="9"/>
  <c r="P517" i="9"/>
  <c r="R517" i="9" s="1"/>
  <c r="AT616" i="9"/>
  <c r="AN326" i="9"/>
  <c r="Z326" i="9"/>
  <c r="D141" i="30"/>
  <c r="F141" i="30" s="1"/>
  <c r="AN333" i="9"/>
  <c r="AN489" i="9"/>
  <c r="R621" i="9"/>
  <c r="Z614" i="9"/>
  <c r="Z97" i="9"/>
  <c r="AB97" i="9" s="1"/>
  <c r="AI105" i="9"/>
  <c r="AT268" i="9"/>
  <c r="AG127" i="30"/>
  <c r="T7" i="5" s="1"/>
  <c r="T13" i="5" s="1"/>
  <c r="T7" i="15" s="1"/>
  <c r="I29" i="9"/>
  <c r="AN510" i="9"/>
  <c r="Z510" i="9"/>
  <c r="J148" i="30"/>
  <c r="AN517" i="9"/>
  <c r="R516" i="9"/>
  <c r="T516" i="9" s="1"/>
  <c r="AP333" i="9"/>
  <c r="R104" i="9"/>
  <c r="D127" i="30"/>
  <c r="AN319" i="9"/>
  <c r="I337" i="9"/>
  <c r="T337" i="9" s="1"/>
  <c r="J127" i="30"/>
  <c r="K127" i="30" s="1"/>
  <c r="AN496" i="9"/>
  <c r="R614" i="9"/>
  <c r="Z607" i="9"/>
  <c r="AB607" i="9" s="1"/>
  <c r="AT507" i="9"/>
  <c r="R522" i="9"/>
  <c r="T522" i="9" s="1"/>
  <c r="Z522" i="9"/>
  <c r="J134" i="30"/>
  <c r="AN503" i="9"/>
  <c r="Z503" i="9"/>
  <c r="T614" i="9"/>
  <c r="AN468" i="9"/>
  <c r="D92" i="9"/>
  <c r="I92" i="9" s="1"/>
  <c r="D51" i="9"/>
  <c r="T514" i="9"/>
  <c r="R629" i="9"/>
  <c r="T629" i="9" s="1"/>
  <c r="Z629" i="9"/>
  <c r="R628" i="9"/>
  <c r="T628" i="9" s="1"/>
  <c r="Z628" i="9"/>
  <c r="AT601" i="9"/>
  <c r="D148" i="30"/>
  <c r="AN340" i="9"/>
  <c r="D624" i="9"/>
  <c r="I624" i="9" s="1"/>
  <c r="AT613" i="9"/>
  <c r="R330" i="9"/>
  <c r="D134" i="30"/>
  <c r="F134" i="30" s="1"/>
  <c r="AT599" i="9"/>
  <c r="AK445" i="9"/>
  <c r="AV489" i="9"/>
  <c r="AI432" i="9"/>
  <c r="AK432" i="9" s="1"/>
  <c r="AI383" i="9"/>
  <c r="R375" i="9"/>
  <c r="AG391" i="9"/>
  <c r="AR416" i="9"/>
  <c r="AT423" i="9" s="1"/>
  <c r="AG405" i="9"/>
  <c r="AR489" i="9"/>
  <c r="AI466" i="9"/>
  <c r="AK466" i="9" s="1"/>
  <c r="AG384" i="9"/>
  <c r="AI575" i="9"/>
  <c r="AR586" i="9"/>
  <c r="AT586" i="9" s="1"/>
  <c r="AK587" i="9"/>
  <c r="T587" i="9"/>
  <c r="L63" i="5"/>
  <c r="V151" i="30"/>
  <c r="AV158" i="30" s="1"/>
  <c r="B361" i="9"/>
  <c r="B333" i="9"/>
  <c r="B354" i="9"/>
  <c r="B347" i="9"/>
  <c r="B340" i="9"/>
  <c r="P793" i="9"/>
  <c r="AT315" i="9"/>
  <c r="AE141" i="9"/>
  <c r="AG145" i="9" s="1"/>
  <c r="AI145" i="9" s="1"/>
  <c r="AK145" i="9" s="1"/>
  <c r="AG132" i="9"/>
  <c r="AI139" i="9" s="1"/>
  <c r="X100" i="9"/>
  <c r="V116" i="10"/>
  <c r="X116" i="10" s="1"/>
  <c r="Z123" i="10" s="1"/>
  <c r="AY127" i="30"/>
  <c r="BQ138" i="30"/>
  <c r="BI330" i="9"/>
  <c r="BK296" i="9"/>
  <c r="BJ296" i="9"/>
  <c r="BH294" i="9"/>
  <c r="BK294" i="9" s="1"/>
  <c r="BU294" i="9" s="1"/>
  <c r="BH295" i="9"/>
  <c r="Q10" i="5"/>
  <c r="Q104" i="30"/>
  <c r="P105" i="30"/>
  <c r="J47" i="5"/>
  <c r="J48" i="5" s="1"/>
  <c r="AV8" i="5"/>
  <c r="D725" i="9"/>
  <c r="G725" i="9"/>
  <c r="N13" i="5"/>
  <c r="N66" i="5" s="1"/>
  <c r="N47" i="5"/>
  <c r="BQ137" i="30"/>
  <c r="BI329" i="9"/>
  <c r="R145" i="30"/>
  <c r="L145" i="30"/>
  <c r="F145" i="30"/>
  <c r="AH145" i="30"/>
  <c r="AR126" i="30"/>
  <c r="AY126" i="30"/>
  <c r="F126" i="30"/>
  <c r="AI62" i="9"/>
  <c r="DJ83" i="20"/>
  <c r="AN125" i="9"/>
  <c r="AR125" i="9" s="1"/>
  <c r="AP55" i="9"/>
  <c r="AE56" i="9"/>
  <c r="D97" i="9"/>
  <c r="I97" i="9" s="1"/>
  <c r="T97" i="9" s="1"/>
  <c r="D90" i="9"/>
  <c r="I90" i="9" s="1"/>
  <c r="Z90" i="9"/>
  <c r="AR145" i="30"/>
  <c r="R104" i="30"/>
  <c r="D732" i="9"/>
  <c r="G732" i="9" s="1"/>
  <c r="M62" i="30"/>
  <c r="AN112" i="9"/>
  <c r="AR112" i="9" s="1"/>
  <c r="D112" i="9"/>
  <c r="I112" i="9" s="1"/>
  <c r="AR566" i="9"/>
  <c r="AR568" i="9" s="1"/>
  <c r="AN568" i="9"/>
  <c r="K152" i="30"/>
  <c r="R139" i="30"/>
  <c r="AR55" i="9"/>
  <c r="AF49" i="10"/>
  <c r="AK503" i="9"/>
  <c r="D132" i="9"/>
  <c r="I132" i="9" s="1"/>
  <c r="AK288" i="9"/>
  <c r="X329" i="9"/>
  <c r="X336" i="9" s="1"/>
  <c r="Q146" i="30"/>
  <c r="V146" i="30"/>
  <c r="AV153" i="30" s="1"/>
  <c r="AR27" i="9"/>
  <c r="AT34" i="9" s="1"/>
  <c r="Q112" i="30"/>
  <c r="AH153" i="30"/>
  <c r="K153" i="30"/>
  <c r="AT275" i="9"/>
  <c r="BK315" i="9"/>
  <c r="BU315" i="9" s="1"/>
  <c r="BM315" i="9"/>
  <c r="BW315" i="9" s="1"/>
  <c r="CL315" i="9" s="1"/>
  <c r="AR124" i="30"/>
  <c r="F124" i="30"/>
  <c r="I41" i="9"/>
  <c r="T148" i="30"/>
  <c r="L144" i="30"/>
  <c r="AH144" i="30"/>
  <c r="R132" i="30"/>
  <c r="L132" i="30"/>
  <c r="AR132" i="30"/>
  <c r="AS139" i="30" s="1"/>
  <c r="AY132" i="30"/>
  <c r="DK83" i="20"/>
  <c r="P426" i="9"/>
  <c r="R426" i="9" s="1"/>
  <c r="T426" i="9" s="1"/>
  <c r="K637" i="9"/>
  <c r="AF56" i="10"/>
  <c r="U7" i="5"/>
  <c r="U13" i="5" s="1"/>
  <c r="V14" i="5" s="1"/>
  <c r="BS138" i="30"/>
  <c r="AT485" i="9"/>
  <c r="AT478" i="9"/>
  <c r="T329" i="9"/>
  <c r="AK329" i="9"/>
  <c r="Z98" i="9"/>
  <c r="AN98" i="9"/>
  <c r="AR98" i="9" s="1"/>
  <c r="AH133" i="30"/>
  <c r="BQ139" i="30"/>
  <c r="W104" i="30"/>
  <c r="P721" i="9"/>
  <c r="R728" i="9" s="1"/>
  <c r="K722" i="9"/>
  <c r="G440" i="9"/>
  <c r="M69" i="30" s="1"/>
  <c r="D440" i="9"/>
  <c r="AE28" i="9"/>
  <c r="AB26" i="10"/>
  <c r="AD26" i="10" s="1"/>
  <c r="AF33" i="10" s="1"/>
  <c r="I47" i="9"/>
  <c r="AN426" i="9"/>
  <c r="AR425" i="9"/>
  <c r="AT425" i="9" s="1"/>
  <c r="AN51" i="9"/>
  <c r="R133" i="30"/>
  <c r="AH140" i="30"/>
  <c r="F133" i="30"/>
  <c r="AR133" i="30"/>
  <c r="L133" i="30"/>
  <c r="G760" i="9"/>
  <c r="I760" i="9" s="1"/>
  <c r="D760" i="9"/>
  <c r="D767" i="9"/>
  <c r="I767" i="9" s="1"/>
  <c r="T134" i="30"/>
  <c r="DF71" i="20" s="1"/>
  <c r="I610" i="9"/>
  <c r="Q141" i="30"/>
  <c r="U10" i="5"/>
  <c r="Q134" i="30"/>
  <c r="R127" i="30"/>
  <c r="T10" i="5"/>
  <c r="R141" i="30"/>
  <c r="I746" i="9"/>
  <c r="AI68" i="9"/>
  <c r="AK304" i="9"/>
  <c r="AK485" i="9"/>
  <c r="AP33" i="9"/>
  <c r="AP37" i="9" s="1"/>
  <c r="X16" i="9"/>
  <c r="D23" i="9" s="1"/>
  <c r="I168" i="9"/>
  <c r="T168" i="9" s="1"/>
  <c r="AT452" i="9"/>
  <c r="D461" i="9"/>
  <c r="I461" i="9" s="1"/>
  <c r="AN447" i="9"/>
  <c r="R137" i="30"/>
  <c r="AG33" i="9"/>
  <c r="AR33" i="9" s="1"/>
  <c r="Q144" i="30"/>
  <c r="AK425" i="9"/>
  <c r="R42" i="5"/>
  <c r="AT446" i="9"/>
  <c r="AK438" i="9"/>
  <c r="T479" i="9"/>
  <c r="DC87" i="20"/>
  <c r="AK586" i="9"/>
  <c r="AK26" i="9"/>
  <c r="AR99" i="9"/>
  <c r="AK574" i="9"/>
  <c r="D22" i="9"/>
  <c r="I50" i="9"/>
  <c r="AN529" i="9"/>
  <c r="R634" i="9"/>
  <c r="T634" i="9" s="1"/>
  <c r="Z634" i="9"/>
  <c r="D89" i="9"/>
  <c r="I89" i="9" s="1"/>
  <c r="I495" i="9"/>
  <c r="AK495" i="9" s="1"/>
  <c r="AK493" i="9"/>
  <c r="AK446" i="9"/>
  <c r="AR461" i="9"/>
  <c r="AR451" i="9"/>
  <c r="AT458" i="9" s="1"/>
  <c r="Q126" i="30"/>
  <c r="AR120" i="9"/>
  <c r="AV89" i="30"/>
  <c r="AV110" i="30"/>
  <c r="D120" i="9"/>
  <c r="I120" i="9" s="1"/>
  <c r="AK120" i="9" s="1"/>
  <c r="X107" i="9"/>
  <c r="AR104" i="9"/>
  <c r="AI111" i="9"/>
  <c r="AR105" i="9"/>
  <c r="AG118" i="9"/>
  <c r="AI118" i="9" s="1"/>
  <c r="AG396" i="9"/>
  <c r="AG397" i="9"/>
  <c r="R451" i="9"/>
  <c r="T451" i="9" s="1"/>
  <c r="Z444" i="9"/>
  <c r="AB451" i="9" s="1"/>
  <c r="R494" i="9"/>
  <c r="T494" i="9" s="1"/>
  <c r="X494" i="9" s="1"/>
  <c r="Z487" i="9"/>
  <c r="R487" i="9"/>
  <c r="AI409" i="9"/>
  <c r="AT492" i="9"/>
  <c r="AT499" i="9"/>
  <c r="R132" i="9"/>
  <c r="AG395" i="9"/>
  <c r="AI395" i="9" s="1"/>
  <c r="AG412" i="9"/>
  <c r="AI502" i="9"/>
  <c r="AK502" i="9" s="1"/>
  <c r="D85" i="9"/>
  <c r="AT465" i="9"/>
  <c r="AG394" i="9"/>
  <c r="P445" i="9"/>
  <c r="AG454" i="9"/>
  <c r="AP489" i="9"/>
  <c r="X114" i="9"/>
  <c r="G114" i="9" s="1"/>
  <c r="AB97" i="30" s="1"/>
  <c r="AG468" i="9"/>
  <c r="AI468" i="9" s="1"/>
  <c r="AR464" i="9"/>
  <c r="AT464" i="9" s="1"/>
  <c r="AN419" i="9"/>
  <c r="AG489" i="9"/>
  <c r="AI489" i="9" s="1"/>
  <c r="X177" i="9"/>
  <c r="G177" i="9" s="1"/>
  <c r="AG131" i="9"/>
  <c r="AI138" i="9" s="1"/>
  <c r="AK138" i="9" s="1"/>
  <c r="D468" i="9"/>
  <c r="I468" i="9" s="1"/>
  <c r="D110" i="9"/>
  <c r="I110" i="9" s="1"/>
  <c r="AG117" i="30"/>
  <c r="AY117" i="30" s="1"/>
  <c r="AN89" i="9"/>
  <c r="AI431" i="9"/>
  <c r="AK431" i="9" s="1"/>
  <c r="W135" i="9"/>
  <c r="AN135" i="9" s="1"/>
  <c r="AT501" i="9"/>
  <c r="AT494" i="9"/>
  <c r="AB89" i="10"/>
  <c r="AD89" i="10" s="1"/>
  <c r="AF89" i="10" s="1"/>
  <c r="L120" i="9"/>
  <c r="P377" i="9"/>
  <c r="R377" i="9" s="1"/>
  <c r="AT453" i="9"/>
  <c r="R388" i="9"/>
  <c r="AI388" i="9"/>
  <c r="AI408" i="9"/>
  <c r="AP495" i="9"/>
  <c r="R47" i="5"/>
  <c r="DC89" i="20" s="1"/>
  <c r="AN85" i="9"/>
  <c r="AR85" i="9" s="1"/>
  <c r="AI390" i="9"/>
  <c r="AP82" i="9"/>
  <c r="AP86" i="9" s="1"/>
  <c r="AG82" i="9"/>
  <c r="AI451" i="9"/>
  <c r="AI418" i="9"/>
  <c r="X93" i="9"/>
  <c r="AI488" i="9"/>
  <c r="AI381" i="9"/>
  <c r="AB130" i="10"/>
  <c r="AD130" i="10" s="1"/>
  <c r="AF137" i="10" s="1"/>
  <c r="AK464" i="9"/>
  <c r="AR437" i="9"/>
  <c r="AT444" i="9" s="1"/>
  <c r="AR466" i="9"/>
  <c r="AT466" i="9" s="1"/>
  <c r="V117" i="30"/>
  <c r="AV124" i="30" s="1"/>
  <c r="AG89" i="9"/>
  <c r="R424" i="9"/>
  <c r="T424" i="9" s="1"/>
  <c r="R495" i="9"/>
  <c r="AP90" i="9"/>
  <c r="AB459" i="9"/>
  <c r="P412" i="9"/>
  <c r="AK422" i="9"/>
  <c r="D125" i="9"/>
  <c r="I125" i="9" s="1"/>
  <c r="AI458" i="9"/>
  <c r="AG90" i="9"/>
  <c r="AI97" i="9" s="1"/>
  <c r="AI473" i="9"/>
  <c r="AK473" i="9" s="1"/>
  <c r="AB81" i="10"/>
  <c r="AD81" i="10" s="1"/>
  <c r="AB102" i="10"/>
  <c r="AD102" i="10" s="1"/>
  <c r="AF109" i="10" s="1"/>
  <c r="D111" i="9"/>
  <c r="I111" i="9" s="1"/>
  <c r="AG92" i="20"/>
  <c r="R422" i="9"/>
  <c r="T422" i="9" s="1"/>
  <c r="D96" i="9"/>
  <c r="I96" i="9" s="1"/>
  <c r="AN461" i="9"/>
  <c r="AV94" i="30"/>
  <c r="AK452" i="9"/>
  <c r="K117" i="30"/>
  <c r="AP89" i="9"/>
  <c r="AP93" i="9" s="1"/>
  <c r="AK472" i="9"/>
  <c r="AI93" i="20"/>
  <c r="AI444" i="9"/>
  <c r="AK444" i="9" s="1"/>
  <c r="AF83" i="10"/>
  <c r="AR432" i="9"/>
  <c r="AT439" i="9" s="1"/>
  <c r="AG83" i="9"/>
  <c r="AR83" i="9" s="1"/>
  <c r="K133" i="9"/>
  <c r="R417" i="9"/>
  <c r="AK602" i="9"/>
  <c r="AN596" i="9"/>
  <c r="AP138" i="9"/>
  <c r="AP132" i="9"/>
  <c r="AT139" i="9" s="1"/>
  <c r="AH118" i="30"/>
  <c r="S10" i="5"/>
  <c r="Z132" i="9"/>
  <c r="AB139" i="9" s="1"/>
  <c r="AR116" i="30"/>
  <c r="AK118" i="30"/>
  <c r="V116" i="30"/>
  <c r="AV123" i="30" s="1"/>
  <c r="V119" i="30"/>
  <c r="AV126" i="30" s="1"/>
  <c r="AV131" i="9"/>
  <c r="AW138" i="9" s="1"/>
  <c r="S41" i="5"/>
  <c r="AR138" i="9"/>
  <c r="Q127" i="30"/>
  <c r="V129" i="10"/>
  <c r="F116" i="30"/>
  <c r="F118" i="30"/>
  <c r="V118" i="30"/>
  <c r="AV125" i="30" s="1"/>
  <c r="Q125" i="30"/>
  <c r="AV134" i="9"/>
  <c r="X135" i="9"/>
  <c r="D603" i="9"/>
  <c r="I603" i="9" s="1"/>
  <c r="AK603" i="9" s="1"/>
  <c r="AR595" i="9"/>
  <c r="AR596" i="9" s="1"/>
  <c r="AB133" i="10"/>
  <c r="AD133" i="10" s="1"/>
  <c r="Z137" i="10"/>
  <c r="Q118" i="30"/>
  <c r="AH116" i="30"/>
  <c r="BS118" i="30"/>
  <c r="D131" i="9"/>
  <c r="I131" i="9" s="1"/>
  <c r="Q123" i="30"/>
  <c r="AG119" i="30"/>
  <c r="AT592" i="9"/>
  <c r="AT606" i="9"/>
  <c r="AT147" i="9"/>
  <c r="S92" i="20"/>
  <c r="AD92" i="20"/>
  <c r="AB329" i="9"/>
  <c r="K63" i="5"/>
  <c r="J63" i="5"/>
  <c r="D71" i="9"/>
  <c r="P565" i="9"/>
  <c r="Z565" i="9" s="1"/>
  <c r="D118" i="9"/>
  <c r="I118" i="9" s="1"/>
  <c r="T146" i="9"/>
  <c r="Z95" i="10"/>
  <c r="Z102" i="10"/>
  <c r="K17" i="15"/>
  <c r="AA116" i="2"/>
  <c r="AE116" i="2"/>
  <c r="K11" i="15"/>
  <c r="AI116" i="2"/>
  <c r="BA116" i="2"/>
  <c r="K37" i="15"/>
  <c r="AS116" i="2"/>
  <c r="K15" i="15"/>
  <c r="CV8" i="20"/>
  <c r="K28" i="15"/>
  <c r="AK115" i="2"/>
  <c r="AM115" i="2"/>
  <c r="K13" i="15"/>
  <c r="K59" i="15"/>
  <c r="AO116" i="2"/>
  <c r="AK116" i="2"/>
  <c r="AU116" i="2"/>
  <c r="K33" i="15"/>
  <c r="AO115" i="2"/>
  <c r="AG115" i="2"/>
  <c r="BC116" i="2"/>
  <c r="BE116" i="2"/>
  <c r="AG116" i="2"/>
  <c r="AM116" i="2"/>
  <c r="L8" i="15"/>
  <c r="L67" i="15" s="1"/>
  <c r="W116" i="2"/>
  <c r="AY116" i="2"/>
  <c r="AW116" i="2"/>
  <c r="AS86" i="30"/>
  <c r="AH94" i="30"/>
  <c r="AR17" i="30"/>
  <c r="R32" i="30"/>
  <c r="T615" i="9"/>
  <c r="W115" i="2"/>
  <c r="BI277" i="9"/>
  <c r="AS210" i="30"/>
  <c r="AH62" i="30"/>
  <c r="AY94" i="30"/>
  <c r="AH17" i="30"/>
  <c r="R33" i="30"/>
  <c r="BH133" i="30"/>
  <c r="W151" i="30"/>
  <c r="AS24" i="30"/>
  <c r="AX24" i="30" s="1"/>
  <c r="AS31" i="30"/>
  <c r="O36" i="61"/>
  <c r="O75" i="61" s="1"/>
  <c r="O170" i="61" s="1"/>
  <c r="DI68" i="20"/>
  <c r="AR20" i="30"/>
  <c r="AS19" i="30"/>
  <c r="AX19" i="30" s="1"/>
  <c r="D739" i="9"/>
  <c r="AS215" i="30"/>
  <c r="X54" i="5"/>
  <c r="Y54" i="5" s="1"/>
  <c r="Z54" i="5" s="1"/>
  <c r="AA54" i="5" s="1"/>
  <c r="AR105" i="30"/>
  <c r="AR10" i="30"/>
  <c r="AS17" i="30" s="1"/>
  <c r="AX17" i="30" s="1"/>
  <c r="AS207" i="30"/>
  <c r="AS216" i="30"/>
  <c r="AS221" i="30"/>
  <c r="AS224" i="30"/>
  <c r="AS235" i="30"/>
  <c r="I350" i="9"/>
  <c r="AH55" i="30"/>
  <c r="AH69" i="30"/>
  <c r="AT457" i="9"/>
  <c r="AE41" i="30"/>
  <c r="AP169" i="30"/>
  <c r="AR447" i="9"/>
  <c r="AG32" i="30"/>
  <c r="AL41" i="30"/>
  <c r="X773" i="9"/>
  <c r="AS222" i="30"/>
  <c r="BU44" i="1"/>
  <c r="BT44" i="1"/>
  <c r="BY44" i="1"/>
  <c r="DC14" i="20"/>
  <c r="S30" i="15"/>
  <c r="R31" i="15"/>
  <c r="R51" i="15"/>
  <c r="BK280" i="9"/>
  <c r="BU280" i="9" s="1"/>
  <c r="BZ280" i="9" s="1"/>
  <c r="BJ280" i="9"/>
  <c r="BT280" i="9" s="1"/>
  <c r="CI280" i="9" s="1"/>
  <c r="BK273" i="9"/>
  <c r="BU273" i="9" s="1"/>
  <c r="CJ273" i="9" s="1"/>
  <c r="BJ273" i="9"/>
  <c r="BT273" i="9" s="1"/>
  <c r="CI273" i="9" s="1"/>
  <c r="BH273" i="9"/>
  <c r="L13" i="5"/>
  <c r="L14" i="5" s="1"/>
  <c r="L56" i="5"/>
  <c r="BH275" i="9"/>
  <c r="BK275" i="9" s="1"/>
  <c r="E76" i="30"/>
  <c r="F79" i="30"/>
  <c r="M56" i="5"/>
  <c r="AT450" i="9"/>
  <c r="P7" i="5"/>
  <c r="P13" i="5" s="1"/>
  <c r="P66" i="5" s="1"/>
  <c r="D106" i="9"/>
  <c r="I106" i="9" s="1"/>
  <c r="AS94" i="30"/>
  <c r="BI288" i="9"/>
  <c r="AS101" i="30"/>
  <c r="AG90" i="30"/>
  <c r="AY89" i="30"/>
  <c r="AH96" i="30"/>
  <c r="AH89" i="30"/>
  <c r="AV96" i="30"/>
  <c r="AR89" i="30"/>
  <c r="J56" i="5"/>
  <c r="K56" i="5"/>
  <c r="AS73" i="30"/>
  <c r="AS80" i="30"/>
  <c r="AR76" i="30"/>
  <c r="AS76" i="30" s="1"/>
  <c r="Q56" i="5"/>
  <c r="P56" i="5"/>
  <c r="J13" i="5"/>
  <c r="J66" i="5" s="1"/>
  <c r="AE69" i="30"/>
  <c r="AV87" i="30"/>
  <c r="F89" i="30"/>
  <c r="AV93" i="30"/>
  <c r="AV103" i="30"/>
  <c r="AV109" i="30"/>
  <c r="BH297" i="9"/>
  <c r="BK297" i="9" s="1"/>
  <c r="AT581" i="9"/>
  <c r="D99" i="9"/>
  <c r="I99" i="9" s="1"/>
  <c r="AS55" i="30"/>
  <c r="AS67" i="30"/>
  <c r="D582" i="9"/>
  <c r="I582" i="9" s="1"/>
  <c r="D75" i="9"/>
  <c r="R13" i="5"/>
  <c r="R66" i="5" s="1"/>
  <c r="AR113" i="9"/>
  <c r="AB153" i="9"/>
  <c r="F158" i="30"/>
  <c r="K75" i="9"/>
  <c r="M93" i="20" s="1"/>
  <c r="X513" i="9"/>
  <c r="AV506" i="9"/>
  <c r="I83" i="9"/>
  <c r="V7" i="15"/>
  <c r="V20" i="15" s="1"/>
  <c r="I44" i="9"/>
  <c r="AN606" i="9"/>
  <c r="AR606" i="9" s="1"/>
  <c r="X613" i="9"/>
  <c r="AN613" i="9" s="1"/>
  <c r="AR613" i="9" s="1"/>
  <c r="AV606" i="9"/>
  <c r="AW606" i="9" s="1"/>
  <c r="AR146" i="30"/>
  <c r="AV499" i="9"/>
  <c r="AW499" i="9" s="1"/>
  <c r="BQ130" i="30"/>
  <c r="X145" i="9"/>
  <c r="AV147" i="30"/>
  <c r="BH276" i="9"/>
  <c r="Z104" i="9"/>
  <c r="K20" i="15"/>
  <c r="K8" i="15"/>
  <c r="K67" i="15" s="1"/>
  <c r="Z125" i="9"/>
  <c r="D76" i="9"/>
  <c r="W67" i="2"/>
  <c r="D63" i="9"/>
  <c r="AN54" i="9"/>
  <c r="AR54" i="9" s="1"/>
  <c r="AH132" i="30"/>
  <c r="AK137" i="30"/>
  <c r="B538" i="9"/>
  <c r="B645" i="9"/>
  <c r="B535" i="9"/>
  <c r="B642" i="9"/>
  <c r="F146" i="30"/>
  <c r="AR499" i="9"/>
  <c r="BI322" i="9"/>
  <c r="AS137" i="30"/>
  <c r="AK104" i="9"/>
  <c r="I35" i="9"/>
  <c r="K26" i="15"/>
  <c r="AR62" i="9"/>
  <c r="AB587" i="9"/>
  <c r="D68" i="9"/>
  <c r="AY125" i="30"/>
  <c r="AR131" i="30"/>
  <c r="X58" i="9"/>
  <c r="D58" i="9" s="1"/>
  <c r="AH131" i="30"/>
  <c r="L131" i="30"/>
  <c r="X79" i="9"/>
  <c r="D79" i="9" s="1"/>
  <c r="D62" i="9"/>
  <c r="Y116" i="2"/>
  <c r="AN75" i="9"/>
  <c r="AN79" i="9" s="1"/>
  <c r="D305" i="9"/>
  <c r="I305" i="9" s="1"/>
  <c r="N141" i="30"/>
  <c r="AH125" i="30"/>
  <c r="BS137" i="30"/>
  <c r="T141" i="30"/>
  <c r="DG71" i="20" s="1"/>
  <c r="L146" i="30"/>
  <c r="BS130" i="30"/>
  <c r="AT301" i="9"/>
  <c r="AR125" i="30"/>
  <c r="AR127" i="30" s="1"/>
  <c r="D82" i="9"/>
  <c r="AH138" i="30"/>
  <c r="R131" i="30"/>
  <c r="D56" i="9"/>
  <c r="D61" i="9"/>
  <c r="I61" i="9" s="1"/>
  <c r="D291" i="9"/>
  <c r="I291" i="9" s="1"/>
  <c r="AY131" i="30"/>
  <c r="A536" i="9"/>
  <c r="A643" i="9"/>
  <c r="M47" i="5"/>
  <c r="N63" i="5"/>
  <c r="M13" i="5"/>
  <c r="M66" i="5" s="1"/>
  <c r="M63" i="5"/>
  <c r="A358" i="9"/>
  <c r="A535" i="9"/>
  <c r="Z27" i="5"/>
  <c r="DK81" i="20" s="1"/>
  <c r="K530" i="9"/>
  <c r="A652" i="9"/>
  <c r="B359" i="9"/>
  <c r="B536" i="9"/>
  <c r="B653" i="9"/>
  <c r="B537" i="9"/>
  <c r="AK460" i="9"/>
  <c r="A357" i="9"/>
  <c r="A534" i="9"/>
  <c r="A360" i="9"/>
  <c r="A537" i="9"/>
  <c r="B357" i="9"/>
  <c r="B534" i="9"/>
  <c r="I54" i="9"/>
  <c r="AK608" i="9"/>
  <c r="T608" i="9"/>
  <c r="AV173" i="9"/>
  <c r="R351" i="9"/>
  <c r="T351" i="9" s="1"/>
  <c r="R359" i="9"/>
  <c r="I359" i="9" s="1"/>
  <c r="AK458" i="9"/>
  <c r="AV9" i="5"/>
  <c r="AN454" i="9"/>
  <c r="AN64" i="9"/>
  <c r="AR64" i="9" s="1"/>
  <c r="AN61" i="9"/>
  <c r="AN263" i="9"/>
  <c r="BS132" i="30"/>
  <c r="I28" i="9"/>
  <c r="AK579" i="9"/>
  <c r="AN166" i="9"/>
  <c r="AY138" i="30"/>
  <c r="R138" i="30"/>
  <c r="AI581" i="9"/>
  <c r="AK581" i="9" s="1"/>
  <c r="AG582" i="9"/>
  <c r="D174" i="9"/>
  <c r="AN167" i="9"/>
  <c r="AP155" i="9"/>
  <c r="AT155" i="9" s="1"/>
  <c r="Z160" i="9"/>
  <c r="AB160" i="9" s="1"/>
  <c r="R160" i="9"/>
  <c r="T160" i="9" s="1"/>
  <c r="AB147" i="10"/>
  <c r="AD147" i="10" s="1"/>
  <c r="BN92" i="20"/>
  <c r="AP508" i="9"/>
  <c r="AT508" i="9" s="1"/>
  <c r="AI508" i="9"/>
  <c r="AK508" i="9" s="1"/>
  <c r="AN173" i="9"/>
  <c r="AK269" i="9"/>
  <c r="AK453" i="9"/>
  <c r="E169" i="61"/>
  <c r="E75" i="61"/>
  <c r="AB132" i="10"/>
  <c r="AD132" i="10" s="1"/>
  <c r="AF139" i="10" s="1"/>
  <c r="AG134" i="9"/>
  <c r="BC92" i="20"/>
  <c r="D159" i="9"/>
  <c r="I159" i="9" s="1"/>
  <c r="W163" i="9"/>
  <c r="W142" i="9"/>
  <c r="AN141" i="9"/>
  <c r="BH280" i="9"/>
  <c r="AK268" i="9"/>
  <c r="AG319" i="9"/>
  <c r="AI324" i="9"/>
  <c r="AK324" i="9" s="1"/>
  <c r="AY139" i="30"/>
  <c r="F139" i="30"/>
  <c r="AI154" i="9"/>
  <c r="AK154" i="9" s="1"/>
  <c r="AP154" i="9"/>
  <c r="AT154" i="9" s="1"/>
  <c r="AG146" i="9"/>
  <c r="AB145" i="10"/>
  <c r="AD145" i="10" s="1"/>
  <c r="AF145" i="10" s="1"/>
  <c r="BS92" i="20"/>
  <c r="AB154" i="10"/>
  <c r="AD154" i="10" s="1"/>
  <c r="AN162" i="9"/>
  <c r="D139" i="9"/>
  <c r="I139" i="9" s="1"/>
  <c r="AG242" i="9"/>
  <c r="I509" i="9"/>
  <c r="R509" i="9"/>
  <c r="R771" i="9"/>
  <c r="I771" i="9" s="1"/>
  <c r="D771" i="9" s="1"/>
  <c r="D162" i="9"/>
  <c r="I162" i="9" s="1"/>
  <c r="AG151" i="30"/>
  <c r="R151" i="30" s="1"/>
  <c r="D340" i="9"/>
  <c r="I340" i="9" s="1"/>
  <c r="BP92" i="20"/>
  <c r="AB95" i="10"/>
  <c r="AD95" i="10" s="1"/>
  <c r="AF95" i="10" s="1"/>
  <c r="AG153" i="9"/>
  <c r="AR153" i="9" s="1"/>
  <c r="AN131" i="9"/>
  <c r="AN132" i="9"/>
  <c r="AR132" i="9" s="1"/>
  <c r="B56" i="9"/>
  <c r="B39" i="30" s="1"/>
  <c r="B212" i="9"/>
  <c r="B126" i="9"/>
  <c r="B140" i="9"/>
  <c r="B254" i="9"/>
  <c r="B296" i="9"/>
  <c r="B324" i="9"/>
  <c r="B424" i="9"/>
  <c r="B389" i="9"/>
  <c r="B375" i="9"/>
  <c r="B508" i="9"/>
  <c r="B501" i="9"/>
  <c r="B552" i="9"/>
  <c r="B788" i="9"/>
  <c r="Z159" i="10"/>
  <c r="AK465" i="9"/>
  <c r="AG475" i="9"/>
  <c r="AI475" i="9" s="1"/>
  <c r="AP595" i="9"/>
  <c r="AF98" i="10"/>
  <c r="AI595" i="9"/>
  <c r="AP615" i="9"/>
  <c r="AE13" i="9"/>
  <c r="AI234" i="9"/>
  <c r="AR600" i="9"/>
  <c r="B42" i="9"/>
  <c r="B25" i="30" s="1"/>
  <c r="B226" i="9"/>
  <c r="B147" i="9"/>
  <c r="B168" i="9"/>
  <c r="B191" i="9"/>
  <c r="B303" i="9"/>
  <c r="B310" i="9"/>
  <c r="B431" i="9"/>
  <c r="B396" i="9"/>
  <c r="B480" i="9"/>
  <c r="B452" i="9"/>
  <c r="B566" i="9"/>
  <c r="B573" i="9"/>
  <c r="B816" i="9"/>
  <c r="B49" i="9"/>
  <c r="B32" i="30" s="1"/>
  <c r="AG506" i="9"/>
  <c r="AR506" i="9" s="1"/>
  <c r="I609" i="9"/>
  <c r="AK609" i="9" s="1"/>
  <c r="I621" i="9"/>
  <c r="T621" i="9" s="1"/>
  <c r="D630" i="9"/>
  <c r="B21" i="9"/>
  <c r="B240" i="9"/>
  <c r="B233" i="9"/>
  <c r="B198" i="9"/>
  <c r="B247" i="9"/>
  <c r="B282" i="9"/>
  <c r="B331" i="9"/>
  <c r="B438" i="9"/>
  <c r="B410" i="9"/>
  <c r="B445" i="9"/>
  <c r="B466" i="9"/>
  <c r="B559" i="9"/>
  <c r="B629" i="9"/>
  <c r="B28" i="9"/>
  <c r="B11" i="30" s="1"/>
  <c r="R196" i="9"/>
  <c r="AG273" i="9"/>
  <c r="AG277" i="9" s="1"/>
  <c r="AG287" i="9"/>
  <c r="AI294" i="9" s="1"/>
  <c r="AK294" i="9" s="1"/>
  <c r="I309" i="9"/>
  <c r="T309" i="9" s="1"/>
  <c r="AT431" i="9"/>
  <c r="Z153" i="10"/>
  <c r="Z160" i="10"/>
  <c r="AN575" i="9"/>
  <c r="AR571" i="9"/>
  <c r="AT571" i="9" s="1"/>
  <c r="Z146" i="10"/>
  <c r="O47" i="5"/>
  <c r="O48" i="5" s="1"/>
  <c r="AI34" i="9"/>
  <c r="AK34" i="9" s="1"/>
  <c r="AG37" i="9"/>
  <c r="AB29" i="5"/>
  <c r="B181" i="9"/>
  <c r="B358" i="9"/>
  <c r="O39" i="5"/>
  <c r="AG65" i="9"/>
  <c r="Z28" i="5"/>
  <c r="K537" i="9" s="1"/>
  <c r="DJ82" i="20"/>
  <c r="P38" i="5"/>
  <c r="P39" i="5" s="1"/>
  <c r="AT274" i="9"/>
  <c r="BG111" i="9"/>
  <c r="AK315" i="9"/>
  <c r="AT424" i="9"/>
  <c r="Z97" i="10"/>
  <c r="AV613" i="9"/>
  <c r="D256" i="9"/>
  <c r="I256" i="9" s="1"/>
  <c r="AT261" i="9"/>
  <c r="AF119" i="10"/>
  <c r="A182" i="9"/>
  <c r="A359" i="9"/>
  <c r="V145" i="30"/>
  <c r="AV152" i="30" s="1"/>
  <c r="K353" i="9"/>
  <c r="Z173" i="10"/>
  <c r="D105" i="9"/>
  <c r="I105" i="9" s="1"/>
  <c r="AK105" i="9" s="1"/>
  <c r="B183" i="9"/>
  <c r="B360" i="9"/>
  <c r="D48" i="9"/>
  <c r="P225" i="9"/>
  <c r="K226" i="9"/>
  <c r="AR312" i="9"/>
  <c r="AT308" i="9"/>
  <c r="BJ295" i="9"/>
  <c r="BK295" i="9"/>
  <c r="F104" i="30"/>
  <c r="E218" i="30"/>
  <c r="E112" i="30"/>
  <c r="E104" i="30"/>
  <c r="AN106" i="9"/>
  <c r="D113" i="9"/>
  <c r="I113" i="9" s="1"/>
  <c r="AN119" i="9"/>
  <c r="AN121" i="9" s="1"/>
  <c r="D119" i="9"/>
  <c r="I119" i="9" s="1"/>
  <c r="X121" i="9"/>
  <c r="AG106" i="9"/>
  <c r="AG107" i="9" s="1"/>
  <c r="AP105" i="9"/>
  <c r="AB104" i="10"/>
  <c r="AD104" i="10" s="1"/>
  <c r="AF104" i="10" s="1"/>
  <c r="AG117" i="9"/>
  <c r="AB116" i="10"/>
  <c r="AD116" i="10" s="1"/>
  <c r="AF116" i="10" s="1"/>
  <c r="AQ92" i="20"/>
  <c r="AI267" i="9"/>
  <c r="AK267" i="9" s="1"/>
  <c r="AG270" i="9"/>
  <c r="AI270" i="9" s="1"/>
  <c r="AK270" i="9" s="1"/>
  <c r="AI274" i="9"/>
  <c r="AG247" i="9"/>
  <c r="AP247" i="9"/>
  <c r="AG252" i="9"/>
  <c r="AG245" i="9"/>
  <c r="AR245" i="9" s="1"/>
  <c r="AT245" i="9" s="1"/>
  <c r="AG211" i="9"/>
  <c r="AG210" i="9"/>
  <c r="R220" i="9"/>
  <c r="R213" i="9"/>
  <c r="AN242" i="9"/>
  <c r="AR241" i="9"/>
  <c r="P268" i="9"/>
  <c r="AR280" i="9"/>
  <c r="AN284" i="9"/>
  <c r="AI287" i="9"/>
  <c r="AK287" i="9" s="1"/>
  <c r="Z303" i="9"/>
  <c r="R310" i="9"/>
  <c r="R303" i="9"/>
  <c r="T303" i="9" s="1"/>
  <c r="AR303" i="9"/>
  <c r="AR305" i="9" s="1"/>
  <c r="R224" i="9"/>
  <c r="P221" i="9"/>
  <c r="G107" i="9"/>
  <c r="AN277" i="9"/>
  <c r="AF105" i="10"/>
  <c r="AF112" i="10"/>
  <c r="AG70" i="9"/>
  <c r="AG71" i="9"/>
  <c r="J92" i="20"/>
  <c r="AB69" i="10"/>
  <c r="AD69" i="10" s="1"/>
  <c r="AF76" i="10" s="1"/>
  <c r="AP68" i="9"/>
  <c r="AP72" i="9" s="1"/>
  <c r="H92" i="20"/>
  <c r="AG69" i="9"/>
  <c r="AB67" i="10"/>
  <c r="AD67" i="10" s="1"/>
  <c r="AF67" i="10" s="1"/>
  <c r="AR290" i="9"/>
  <c r="AI290" i="9"/>
  <c r="AK290" i="9" s="1"/>
  <c r="AI297" i="9"/>
  <c r="AK297" i="9" s="1"/>
  <c r="D84" i="9"/>
  <c r="AN84" i="9"/>
  <c r="AN86" i="9" s="1"/>
  <c r="X86" i="9"/>
  <c r="AR266" i="9"/>
  <c r="AT266" i="9" s="1"/>
  <c r="AN270" i="9"/>
  <c r="AN91" i="9"/>
  <c r="D98" i="9"/>
  <c r="I98" i="9" s="1"/>
  <c r="T98" i="9" s="1"/>
  <c r="AI310" i="9"/>
  <c r="AI303" i="9"/>
  <c r="AK303" i="9" s="1"/>
  <c r="AG305" i="9"/>
  <c r="AG284" i="9"/>
  <c r="AI281" i="9"/>
  <c r="AK281" i="9" s="1"/>
  <c r="AI295" i="9"/>
  <c r="AI302" i="9"/>
  <c r="AK302" i="9" s="1"/>
  <c r="AG127" i="9"/>
  <c r="AG126" i="9"/>
  <c r="AP126" i="9"/>
  <c r="AB125" i="10"/>
  <c r="AD125" i="10" s="1"/>
  <c r="AV92" i="20"/>
  <c r="AP124" i="9"/>
  <c r="AP128" i="9" s="1"/>
  <c r="AG124" i="9"/>
  <c r="AB123" i="10"/>
  <c r="AD123" i="10" s="1"/>
  <c r="AF130" i="10" s="1"/>
  <c r="P193" i="9"/>
  <c r="R199" i="9"/>
  <c r="AG221" i="9"/>
  <c r="AI224" i="9"/>
  <c r="AI225" i="9"/>
  <c r="AI232" i="9"/>
  <c r="AI262" i="9"/>
  <c r="AK262" i="9" s="1"/>
  <c r="AI255" i="9"/>
  <c r="AK255" i="9" s="1"/>
  <c r="AG228" i="9"/>
  <c r="AR68" i="9"/>
  <c r="AI132" i="9"/>
  <c r="AT269" i="9"/>
  <c r="AT276" i="9"/>
  <c r="D113" i="30"/>
  <c r="D103" i="9"/>
  <c r="I103" i="9" s="1"/>
  <c r="AN103" i="9"/>
  <c r="AR103" i="9" s="1"/>
  <c r="AI92" i="20"/>
  <c r="AP117" i="9"/>
  <c r="AP121" i="9" s="1"/>
  <c r="P42" i="5"/>
  <c r="R219" i="9"/>
  <c r="AN298" i="9"/>
  <c r="D249" i="9"/>
  <c r="I249" i="9" s="1"/>
  <c r="AR255" i="9"/>
  <c r="AT262" i="9" s="1"/>
  <c r="AG235" i="9"/>
  <c r="AR295" i="9"/>
  <c r="AT295" i="9" s="1"/>
  <c r="AK275" i="9"/>
  <c r="AI199" i="9"/>
  <c r="AK274" i="9"/>
  <c r="AR281" i="9"/>
  <c r="AT281" i="9" s="1"/>
  <c r="AF117" i="10"/>
  <c r="I312" i="9"/>
  <c r="AK424" i="9"/>
  <c r="P259" i="9"/>
  <c r="K260" i="9"/>
  <c r="AT585" i="9"/>
  <c r="F155" i="9"/>
  <c r="I155" i="9" s="1"/>
  <c r="BS72" i="20"/>
  <c r="P254" i="9"/>
  <c r="R254" i="9" s="1"/>
  <c r="T254" i="9" s="1"/>
  <c r="P255" i="9"/>
  <c r="I64" i="9"/>
  <c r="P253" i="9"/>
  <c r="R253" i="9" s="1"/>
  <c r="T253" i="9" s="1"/>
  <c r="AC116" i="2"/>
  <c r="G739" i="9"/>
  <c r="AB18" i="10"/>
  <c r="AE20" i="9"/>
  <c r="BG133" i="9"/>
  <c r="P567" i="9"/>
  <c r="AF53" i="10"/>
  <c r="AK451" i="9"/>
  <c r="L139" i="30"/>
  <c r="AN21" i="9"/>
  <c r="D21" i="9"/>
  <c r="P790" i="9"/>
  <c r="P797" i="9"/>
  <c r="AQ116" i="2"/>
  <c r="X620" i="9"/>
  <c r="X627" i="9" s="1"/>
  <c r="AN57" i="9"/>
  <c r="D57" i="9"/>
  <c r="AP78" i="9"/>
  <c r="AG78" i="9"/>
  <c r="AB77" i="10"/>
  <c r="AD77" i="10" s="1"/>
  <c r="AF77" i="10" s="1"/>
  <c r="AP92" i="9"/>
  <c r="AG96" i="9"/>
  <c r="AI103" i="9" s="1"/>
  <c r="Z92" i="20"/>
  <c r="AB89" i="30"/>
  <c r="Z472" i="9"/>
  <c r="AN472" i="9"/>
  <c r="AR140" i="30"/>
  <c r="F140" i="30"/>
  <c r="L140" i="30"/>
  <c r="AR111" i="9"/>
  <c r="A180" i="9"/>
  <c r="A728" i="9"/>
  <c r="A742" i="9"/>
  <c r="A89" i="9"/>
  <c r="A72" i="30" s="1"/>
  <c r="A499" i="9"/>
  <c r="A138" i="9"/>
  <c r="A620" i="9"/>
  <c r="A308" i="9"/>
  <c r="A19" i="9"/>
  <c r="A557" i="9"/>
  <c r="A238" i="9"/>
  <c r="A436" i="9"/>
  <c r="A217" i="9"/>
  <c r="A749" i="9"/>
  <c r="A756" i="9"/>
  <c r="A387" i="9"/>
  <c r="A152" i="9"/>
  <c r="A571" i="9"/>
  <c r="A273" i="9"/>
  <c r="A40" i="9"/>
  <c r="A23" i="30" s="1"/>
  <c r="A464" i="9"/>
  <c r="A103" i="9"/>
  <c r="A86" i="30" s="1"/>
  <c r="A54" i="9"/>
  <c r="A37" i="30" s="1"/>
  <c r="A585" i="9"/>
  <c r="A315" i="9"/>
  <c r="A793" i="9"/>
  <c r="A173" i="9"/>
  <c r="A714" i="9"/>
  <c r="A735" i="9"/>
  <c r="A564" i="9"/>
  <c r="A266" i="9"/>
  <c r="A336" i="9"/>
  <c r="A124" i="9"/>
  <c r="A606" i="9"/>
  <c r="A329" i="9"/>
  <c r="A110" i="9"/>
  <c r="A93" i="30" s="1"/>
  <c r="A68" i="9"/>
  <c r="A51" i="30" s="1"/>
  <c r="A485" i="9"/>
  <c r="A145" i="9"/>
  <c r="A817" i="9"/>
  <c r="A183" i="9"/>
  <c r="A141" i="9"/>
  <c r="A57" i="9"/>
  <c r="A40" i="30" s="1"/>
  <c r="A752" i="9"/>
  <c r="A738" i="9"/>
  <c r="A36" i="9"/>
  <c r="A19" i="30" s="1"/>
  <c r="A745" i="9"/>
  <c r="A717" i="9"/>
  <c r="A481" i="9"/>
  <c r="A724" i="9"/>
  <c r="A773" i="9"/>
  <c r="B527" i="9"/>
  <c r="B180" i="9"/>
  <c r="B721" i="9"/>
  <c r="B266" i="9"/>
  <c r="B450" i="9"/>
  <c r="B110" i="9"/>
  <c r="B93" i="30" s="1"/>
  <c r="B117" i="9"/>
  <c r="B259" i="9"/>
  <c r="B54" i="9"/>
  <c r="B37" i="30" s="1"/>
  <c r="B373" i="9"/>
  <c r="B252" i="9"/>
  <c r="B19" i="9"/>
  <c r="B793" i="9"/>
  <c r="B294" i="9"/>
  <c r="B343" i="9"/>
  <c r="B245" i="9"/>
  <c r="B571" i="9"/>
  <c r="B394" i="9"/>
  <c r="B814" i="9"/>
  <c r="B47" i="9"/>
  <c r="B30" i="30" s="1"/>
  <c r="B415" i="9"/>
  <c r="B273" i="9"/>
  <c r="B217" i="9"/>
  <c r="B159" i="9"/>
  <c r="B492" i="9"/>
  <c r="B26" i="9"/>
  <c r="B9" i="30" s="1"/>
  <c r="B380" i="9"/>
  <c r="B308" i="9"/>
  <c r="B550" i="9"/>
  <c r="B436" i="9"/>
  <c r="B40" i="9"/>
  <c r="B23" i="30" s="1"/>
  <c r="B131" i="9"/>
  <c r="B89" i="9"/>
  <c r="B72" i="30" s="1"/>
  <c r="B145" i="9"/>
  <c r="B714" i="9"/>
  <c r="B124" i="9"/>
  <c r="B387" i="9"/>
  <c r="B401" i="9"/>
  <c r="B613" i="9"/>
  <c r="B96" i="9"/>
  <c r="B79" i="30" s="1"/>
  <c r="B557" i="9"/>
  <c r="B520" i="9"/>
  <c r="B786" i="9"/>
  <c r="B471" i="9"/>
  <c r="B422" i="9"/>
  <c r="B231" i="9"/>
  <c r="B68" i="9"/>
  <c r="B51" i="30" s="1"/>
  <c r="B75" i="9"/>
  <c r="B58" i="30" s="1"/>
  <c r="B408" i="9"/>
  <c r="B322" i="9"/>
  <c r="F92" i="20"/>
  <c r="AP64" i="9"/>
  <c r="AB46" i="30"/>
  <c r="D246" i="9"/>
  <c r="I246" i="9" s="1"/>
  <c r="T246" i="9" s="1"/>
  <c r="AN246" i="9"/>
  <c r="B802" i="9"/>
  <c r="B182" i="9"/>
  <c r="AN37" i="9"/>
  <c r="BG110" i="9"/>
  <c r="AN433" i="9"/>
  <c r="Z566" i="9"/>
  <c r="G184" i="9"/>
  <c r="A651" i="9"/>
  <c r="A181" i="9"/>
  <c r="B472" i="9"/>
  <c r="G182" i="9"/>
  <c r="Q133" i="30"/>
  <c r="AN72" i="9"/>
  <c r="I161" i="9"/>
  <c r="T161" i="9" s="1"/>
  <c r="B510" i="9"/>
  <c r="B184" i="9"/>
  <c r="Z131" i="10"/>
  <c r="G183" i="9"/>
  <c r="P214" i="9"/>
  <c r="R217" i="9"/>
  <c r="R210" i="9"/>
  <c r="R198" i="9"/>
  <c r="AF88" i="10"/>
  <c r="AF68" i="10"/>
  <c r="AF75" i="10"/>
  <c r="Z247" i="9"/>
  <c r="AB247" i="9" s="1"/>
  <c r="R247" i="9"/>
  <c r="T247" i="9" s="1"/>
  <c r="AI110" i="9"/>
  <c r="AK110" i="9" s="1"/>
  <c r="AK260" i="9"/>
  <c r="AK295" i="9"/>
  <c r="V122" i="10"/>
  <c r="AK276" i="9"/>
  <c r="R205" i="9"/>
  <c r="AF124" i="10"/>
  <c r="AT283" i="9"/>
  <c r="AK289" i="9"/>
  <c r="AG114" i="9"/>
  <c r="AI119" i="9"/>
  <c r="AI112" i="9"/>
  <c r="AT309" i="9"/>
  <c r="AF125" i="10"/>
  <c r="AF118" i="10"/>
  <c r="AT290" i="9"/>
  <c r="AT297" i="9"/>
  <c r="T302" i="9"/>
  <c r="R22" i="15"/>
  <c r="R61" i="15"/>
  <c r="AI242" i="9"/>
  <c r="AT260" i="9"/>
  <c r="AR263" i="9"/>
  <c r="AF126" i="10"/>
  <c r="AF103" i="10"/>
  <c r="AF110" i="10"/>
  <c r="AI198" i="9"/>
  <c r="AI205" i="9"/>
  <c r="AG200" i="9"/>
  <c r="AR97" i="9"/>
  <c r="AK253" i="9"/>
  <c r="AK266" i="9"/>
  <c r="T104" i="9"/>
  <c r="AT267" i="9"/>
  <c r="K159" i="30"/>
  <c r="AR158" i="30"/>
  <c r="BI316" i="9"/>
  <c r="BQ124" i="30"/>
  <c r="AS131" i="30"/>
  <c r="AK124" i="30"/>
  <c r="BS124" i="30"/>
  <c r="AH158" i="30"/>
  <c r="R158" i="30"/>
  <c r="DI72" i="20"/>
  <c r="AK325" i="9"/>
  <c r="T325" i="9"/>
  <c r="AT282" i="9"/>
  <c r="V159" i="30"/>
  <c r="AV166" i="30" s="1"/>
  <c r="AU166" i="30" s="1"/>
  <c r="DA11" i="1" s="1"/>
  <c r="CK68" i="20" s="1"/>
  <c r="CK72" i="20" s="1"/>
  <c r="L158" i="30"/>
  <c r="T459" i="9"/>
  <c r="AK459" i="9"/>
  <c r="DD68" i="20"/>
  <c r="J36" i="61"/>
  <c r="S54" i="5"/>
  <c r="AR289" i="9"/>
  <c r="AN291" i="9"/>
  <c r="AN440" i="9"/>
  <c r="AR438" i="9"/>
  <c r="AR580" i="9"/>
  <c r="AN582" i="9"/>
  <c r="AK311" i="9"/>
  <c r="AK248" i="9"/>
  <c r="BH274" i="9"/>
  <c r="BJ274" i="9" s="1"/>
  <c r="I323" i="9"/>
  <c r="AT26" i="9"/>
  <c r="I500" i="9"/>
  <c r="AV165" i="30"/>
  <c r="AU165" i="30" s="1"/>
  <c r="AK601" i="9"/>
  <c r="T517" i="9"/>
  <c r="I310" i="9"/>
  <c r="D585" i="9"/>
  <c r="I585" i="9" s="1"/>
  <c r="AK585" i="9" s="1"/>
  <c r="CU261" i="1"/>
  <c r="CU258" i="1"/>
  <c r="CE26" i="20" a="1"/>
  <c r="CE26" i="20" s="1"/>
  <c r="BI44" i="20"/>
  <c r="BI33" i="20"/>
  <c r="BI34" i="20" s="1"/>
  <c r="DB33" i="20"/>
  <c r="DB34" i="20" s="1"/>
  <c r="DB44" i="20"/>
  <c r="DB46" i="20"/>
  <c r="DD44" i="20"/>
  <c r="DD33" i="20"/>
  <c r="DD34" i="20" s="1"/>
  <c r="DD46" i="20"/>
  <c r="AI33" i="20"/>
  <c r="AI34" i="20" s="1"/>
  <c r="AI44" i="20"/>
  <c r="BH44" i="20"/>
  <c r="BH33" i="20"/>
  <c r="DG33" i="20"/>
  <c r="DG34" i="20" s="1"/>
  <c r="T33" i="20"/>
  <c r="T34" i="20" s="1"/>
  <c r="T44" i="20"/>
  <c r="BB44" i="20"/>
  <c r="BB33" i="20"/>
  <c r="BB34" i="20" s="1"/>
  <c r="X15" i="15"/>
  <c r="X33" i="15"/>
  <c r="DI10" i="20"/>
  <c r="X11" i="15"/>
  <c r="O8" i="61"/>
  <c r="X20" i="15"/>
  <c r="BZ67" i="20"/>
  <c r="T635" i="9"/>
  <c r="CM230" i="1"/>
  <c r="CM187" i="1"/>
  <c r="CM132" i="1" s="1"/>
  <c r="CM143" i="1" s="1"/>
  <c r="BG110" i="2"/>
  <c r="BG116" i="2"/>
  <c r="BC33" i="20"/>
  <c r="BC44" i="20"/>
  <c r="AR44" i="20"/>
  <c r="AR33" i="20"/>
  <c r="AR34" i="20" s="1"/>
  <c r="DE44" i="20"/>
  <c r="DE33" i="20"/>
  <c r="DE34" i="20" s="1"/>
  <c r="DE46" i="20"/>
  <c r="P33" i="20"/>
  <c r="P34" i="20" s="1"/>
  <c r="P44" i="20"/>
  <c r="CE201" i="1"/>
  <c r="DF43" i="20" s="1"/>
  <c r="DF46" i="20" s="1"/>
  <c r="AS33" i="20"/>
  <c r="AS44" i="20"/>
  <c r="BG33" i="20"/>
  <c r="BG34" i="20" s="1"/>
  <c r="BG44" i="20"/>
  <c r="DI59" i="20"/>
  <c r="DI73" i="20"/>
  <c r="AP162" i="30"/>
  <c r="AG159" i="30"/>
  <c r="R159" i="30" s="1"/>
  <c r="T528" i="9"/>
  <c r="CV75" i="1"/>
  <c r="CW71" i="1"/>
  <c r="R173" i="10"/>
  <c r="CW51" i="1"/>
  <c r="CR34" i="11"/>
  <c r="J169" i="10"/>
  <c r="CA12" i="20"/>
  <c r="C8" i="62" s="1"/>
  <c r="X26" i="15"/>
  <c r="CQ54" i="1"/>
  <c r="K581" i="9"/>
  <c r="R29" i="5"/>
  <c r="AB601" i="9"/>
  <c r="AT579" i="9"/>
  <c r="AT572" i="9"/>
  <c r="AG436" i="9"/>
  <c r="AG429" i="9"/>
  <c r="AG430" i="9"/>
  <c r="AE75" i="9"/>
  <c r="AP429" i="9"/>
  <c r="AP433" i="9" s="1"/>
  <c r="K436" i="9"/>
  <c r="P436" i="9" s="1"/>
  <c r="L59" i="23"/>
  <c r="L53" i="23"/>
  <c r="AH63" i="20"/>
  <c r="AH25" i="20"/>
  <c r="R19" i="20"/>
  <c r="R74" i="20"/>
  <c r="R60" i="20"/>
  <c r="R55" i="20"/>
  <c r="AQ19" i="20"/>
  <c r="AQ60" i="20"/>
  <c r="AQ55" i="20"/>
  <c r="BP60" i="20"/>
  <c r="BP19" i="20"/>
  <c r="BP74" i="20"/>
  <c r="BP55" i="20"/>
  <c r="D49" i="3"/>
  <c r="D46" i="3"/>
  <c r="F44" i="3" s="1"/>
  <c r="F46" i="3" s="1"/>
  <c r="H44" i="3" s="1"/>
  <c r="P65" i="3"/>
  <c r="P49" i="3"/>
  <c r="T61" i="20"/>
  <c r="T62" i="20"/>
  <c r="T23" i="20"/>
  <c r="CI315" i="9"/>
  <c r="BY315" i="9"/>
  <c r="AB317" i="9"/>
  <c r="AV317" i="9"/>
  <c r="AK439" i="9"/>
  <c r="CV123" i="1"/>
  <c r="CE28" i="20" s="1" a="1"/>
  <c r="CV71" i="1"/>
  <c r="CU55" i="1"/>
  <c r="T172" i="10"/>
  <c r="CY33" i="20"/>
  <c r="CY34" i="20" s="1"/>
  <c r="AJ45" i="20"/>
  <c r="CN19" i="11"/>
  <c r="CN25" i="11" s="1"/>
  <c r="CN31" i="11" s="1"/>
  <c r="P266" i="9"/>
  <c r="AS17" i="5"/>
  <c r="M74" i="20"/>
  <c r="M55" i="20"/>
  <c r="M60" i="20"/>
  <c r="M19" i="20"/>
  <c r="BX60" i="20"/>
  <c r="BX55" i="20"/>
  <c r="BX19" i="20"/>
  <c r="CQ16" i="20"/>
  <c r="CQ58" i="20"/>
  <c r="I64" i="1"/>
  <c r="C36" i="15"/>
  <c r="AK450" i="9"/>
  <c r="AR495" i="9"/>
  <c r="AB495" i="9"/>
  <c r="CK315" i="9"/>
  <c r="CA315" i="9"/>
  <c r="CU91" i="1"/>
  <c r="BZ15" i="20"/>
  <c r="CR17" i="11"/>
  <c r="CR23" i="11" s="1"/>
  <c r="CR29" i="11" s="1"/>
  <c r="CR35" i="11"/>
  <c r="CL43" i="11"/>
  <c r="Z571" i="9"/>
  <c r="R571" i="9"/>
  <c r="T571" i="9" s="1"/>
  <c r="R578" i="9"/>
  <c r="T578" i="9" s="1"/>
  <c r="AC115" i="2"/>
  <c r="AE115" i="2"/>
  <c r="AG109" i="2"/>
  <c r="AE109" i="2"/>
  <c r="Y115" i="2"/>
  <c r="Y109" i="2"/>
  <c r="D109" i="61"/>
  <c r="D93" i="61"/>
  <c r="AI109" i="2"/>
  <c r="AI115" i="2"/>
  <c r="AK109" i="2"/>
  <c r="AP515" i="9"/>
  <c r="AI515" i="9"/>
  <c r="AK515" i="9" s="1"/>
  <c r="BR76" i="20"/>
  <c r="BR64" i="20"/>
  <c r="V11" i="15"/>
  <c r="V33" i="15"/>
  <c r="V37" i="15"/>
  <c r="V15" i="15"/>
  <c r="E60" i="20"/>
  <c r="E55" i="20"/>
  <c r="E19" i="20"/>
  <c r="BZ315" i="9"/>
  <c r="CJ315" i="9"/>
  <c r="AK478" i="9"/>
  <c r="AK301" i="9"/>
  <c r="T654" i="9"/>
  <c r="AK654" i="9"/>
  <c r="BZ273" i="9"/>
  <c r="Z253" i="9"/>
  <c r="D169" i="9"/>
  <c r="I169" i="9" s="1"/>
  <c r="K430" i="9"/>
  <c r="K76" i="9" s="1"/>
  <c r="K572" i="9"/>
  <c r="D631" i="9"/>
  <c r="I631" i="9" s="1"/>
  <c r="E60" i="61"/>
  <c r="E62" i="61" s="1"/>
  <c r="H110" i="61"/>
  <c r="J45" i="3"/>
  <c r="J65" i="3" s="1"/>
  <c r="AP514" i="9"/>
  <c r="AT514" i="9" s="1"/>
  <c r="AE516" i="9"/>
  <c r="BR63" i="20"/>
  <c r="BX88" i="20"/>
  <c r="BW268" i="1"/>
  <c r="AS83" i="30"/>
  <c r="BQ104" i="30"/>
  <c r="D105" i="30"/>
  <c r="AS65" i="30"/>
  <c r="AS60" i="30"/>
  <c r="R738" i="9"/>
  <c r="AR151" i="30"/>
  <c r="E148" i="30"/>
  <c r="W8" i="5"/>
  <c r="BV88" i="20"/>
  <c r="F7" i="77" a="1"/>
  <c r="X614" i="9"/>
  <c r="AV151" i="30"/>
  <c r="N95" i="61"/>
  <c r="N54" i="61"/>
  <c r="N136" i="61"/>
  <c r="P72" i="1"/>
  <c r="P56" i="1"/>
  <c r="R52" i="1"/>
  <c r="Q52" i="1"/>
  <c r="P54" i="1"/>
  <c r="V52" i="1"/>
  <c r="CM74" i="1"/>
  <c r="CM93" i="1"/>
  <c r="CN83" i="1"/>
  <c r="CO73" i="1"/>
  <c r="CN73" i="1"/>
  <c r="P249" i="9"/>
  <c r="L28" i="5"/>
  <c r="P800" i="9"/>
  <c r="P429" i="9"/>
  <c r="AG154" i="30"/>
  <c r="V154" i="30"/>
  <c r="AC6" i="2"/>
  <c r="AD105" i="30"/>
  <c r="AJ105" i="30"/>
  <c r="AG105" i="30"/>
  <c r="AR62" i="30"/>
  <c r="AS62" i="30" s="1"/>
  <c r="R248" i="9"/>
  <c r="T248" i="9" s="1"/>
  <c r="J155" i="30"/>
  <c r="AZ39" i="3"/>
  <c r="AZ42" i="3" s="1"/>
  <c r="AT422" i="9"/>
  <c r="T330" i="9"/>
  <c r="BS104" i="30"/>
  <c r="O13" i="5"/>
  <c r="AZ101" i="1"/>
  <c r="AU106" i="1"/>
  <c r="AZ106" i="1" s="1"/>
  <c r="AU105" i="1"/>
  <c r="AZ105" i="1" s="1"/>
  <c r="CR71" i="1"/>
  <c r="V152" i="30"/>
  <c r="CN34" i="11"/>
  <c r="F4" i="77" a="1"/>
  <c r="AI155" i="9"/>
  <c r="P100" i="1"/>
  <c r="V75" i="1"/>
  <c r="H5" i="5"/>
  <c r="AN101" i="1"/>
  <c r="B7" i="15"/>
  <c r="AL58" i="23"/>
  <c r="N58" i="23"/>
  <c r="B7" i="77" a="1"/>
  <c r="T29" i="11"/>
  <c r="T23" i="11"/>
  <c r="T35" i="11"/>
  <c r="T17" i="11"/>
  <c r="BL30" i="11"/>
  <c r="BL36" i="11"/>
  <c r="P17" i="11"/>
  <c r="P35" i="11"/>
  <c r="P23" i="11"/>
  <c r="P29" i="11"/>
  <c r="AD20" i="1"/>
  <c r="Z20" i="1"/>
  <c r="D15" i="61"/>
  <c r="CX18" i="20"/>
  <c r="CW21" i="20"/>
  <c r="C18" i="61"/>
  <c r="DF21" i="20"/>
  <c r="L18" i="61"/>
  <c r="T520" i="9"/>
  <c r="AR27" i="30"/>
  <c r="AS25" i="30"/>
  <c r="AX25" i="30" s="1"/>
  <c r="BG37" i="11"/>
  <c r="BF43" i="11"/>
  <c r="F56" i="23"/>
  <c r="F50" i="23"/>
  <c r="AH53" i="23"/>
  <c r="AH59" i="23"/>
  <c r="K63" i="61"/>
  <c r="K104" i="61" s="1"/>
  <c r="DE40" i="20"/>
  <c r="BT30" i="11"/>
  <c r="BT36" i="11"/>
  <c r="BT24" i="11"/>
  <c r="BT18" i="11"/>
  <c r="BX35" i="11"/>
  <c r="BX17" i="11"/>
  <c r="BX23" i="11" s="1"/>
  <c r="BX29" i="11" s="1"/>
  <c r="L29" i="11"/>
  <c r="L17" i="11"/>
  <c r="L23" i="11"/>
  <c r="L35" i="11"/>
  <c r="AF36" i="11"/>
  <c r="AF18" i="11"/>
  <c r="AF30" i="11"/>
  <c r="AF24" i="11"/>
  <c r="BH23" i="11"/>
  <c r="BH29" i="11"/>
  <c r="AI68" i="2"/>
  <c r="DB10" i="20"/>
  <c r="DB12" i="20" s="1"/>
  <c r="H8" i="61"/>
  <c r="CJ72" i="1"/>
  <c r="CJ82" i="1"/>
  <c r="CI92" i="1"/>
  <c r="DF18" i="20"/>
  <c r="L15" i="61"/>
  <c r="DC21" i="20"/>
  <c r="I18" i="61"/>
  <c r="AS26" i="30"/>
  <c r="AX26" i="30" s="1"/>
  <c r="BH89" i="30"/>
  <c r="AA103" i="2"/>
  <c r="V41" i="11"/>
  <c r="W35" i="11"/>
  <c r="BB42" i="11"/>
  <c r="BF42" i="11"/>
  <c r="BG36" i="11"/>
  <c r="BW36" i="11"/>
  <c r="CE34" i="11"/>
  <c r="CD40" i="11"/>
  <c r="N50" i="23"/>
  <c r="R53" i="23"/>
  <c r="R59" i="23"/>
  <c r="V58" i="23"/>
  <c r="V52" i="23"/>
  <c r="AY87" i="30"/>
  <c r="P101" i="1"/>
  <c r="BW40" i="20"/>
  <c r="H28" i="11"/>
  <c r="H16" i="11"/>
  <c r="H22" i="11"/>
  <c r="H34" i="11"/>
  <c r="AN37" i="11"/>
  <c r="AN19" i="11"/>
  <c r="AV25" i="11"/>
  <c r="AV31" i="11"/>
  <c r="AV19" i="11"/>
  <c r="AV37" i="11"/>
  <c r="CF35" i="11"/>
  <c r="CF17" i="11"/>
  <c r="CF23" i="11" s="1"/>
  <c r="CF29" i="11" s="1"/>
  <c r="BK220" i="1"/>
  <c r="AD144" i="30"/>
  <c r="AD141" i="30"/>
  <c r="AE141" i="30" s="1"/>
  <c r="AY156" i="9" s="1"/>
  <c r="AP36" i="9"/>
  <c r="AE40" i="9"/>
  <c r="AB35" i="10"/>
  <c r="AD35" i="10" s="1"/>
  <c r="R91" i="10"/>
  <c r="CI34" i="11"/>
  <c r="V59" i="23"/>
  <c r="V53" i="23"/>
  <c r="F162" i="10"/>
  <c r="L51" i="61"/>
  <c r="L92" i="61"/>
  <c r="AR40" i="20"/>
  <c r="BX37" i="11"/>
  <c r="BX19" i="11"/>
  <c r="BX25" i="11" s="1"/>
  <c r="BX31" i="11" s="1"/>
  <c r="BL17" i="11"/>
  <c r="BL29" i="11"/>
  <c r="BL35" i="11"/>
  <c r="BL23" i="11"/>
  <c r="U116" i="2"/>
  <c r="CU8" i="20"/>
  <c r="G8" i="61"/>
  <c r="AG68" i="2"/>
  <c r="DA10" i="20"/>
  <c r="DA12" i="20" s="1"/>
  <c r="G18" i="61"/>
  <c r="DA21" i="20"/>
  <c r="CE221" i="1"/>
  <c r="CM221" i="1" s="1"/>
  <c r="CU221" i="1" s="1"/>
  <c r="V56" i="5"/>
  <c r="Q87" i="2"/>
  <c r="T51" i="23"/>
  <c r="AH56" i="1"/>
  <c r="AP51" i="23"/>
  <c r="AS32" i="20"/>
  <c r="CC32" i="20"/>
  <c r="CC34" i="20" s="1"/>
  <c r="BD53" i="1"/>
  <c r="J41" i="20"/>
  <c r="J26" i="20"/>
  <c r="H35" i="20"/>
  <c r="H28" i="20"/>
  <c r="H37" i="20"/>
  <c r="H27" i="20"/>
  <c r="AE91" i="9"/>
  <c r="AA33" i="30"/>
  <c r="E83" i="30"/>
  <c r="R88" i="30"/>
  <c r="AG93" i="30"/>
  <c r="X772" i="9"/>
  <c r="AO18" i="5"/>
  <c r="AM60" i="2"/>
  <c r="V59" i="3"/>
  <c r="X59" i="3" s="1"/>
  <c r="J61" i="3"/>
  <c r="J62" i="3" s="1"/>
  <c r="AD62" i="3"/>
  <c r="AN62" i="3"/>
  <c r="AP61" i="3"/>
  <c r="AP62" i="3" s="1"/>
  <c r="AB28" i="10"/>
  <c r="AD28" i="10" s="1"/>
  <c r="AF28" i="10" s="1"/>
  <c r="J7" i="11"/>
  <c r="AD35" i="23"/>
  <c r="AD59" i="23" s="1"/>
  <c r="AJ32" i="23"/>
  <c r="F45" i="23"/>
  <c r="F57" i="23" s="1"/>
  <c r="N44" i="23"/>
  <c r="N56" i="23" s="1"/>
  <c r="Z52" i="23"/>
  <c r="AJ44" i="23"/>
  <c r="AJ50" i="23" s="1"/>
  <c r="AL53" i="23"/>
  <c r="AT51" i="23"/>
  <c r="V153" i="30"/>
  <c r="S169" i="61"/>
  <c r="T169" i="61"/>
  <c r="R169" i="61"/>
  <c r="O15" i="61"/>
  <c r="H41" i="20"/>
  <c r="H26" i="20"/>
  <c r="K41" i="20"/>
  <c r="K26" i="20"/>
  <c r="I35" i="20"/>
  <c r="I28" i="20"/>
  <c r="AB165" i="1"/>
  <c r="BK132" i="1"/>
  <c r="I37" i="20"/>
  <c r="I27" i="20"/>
  <c r="L96" i="30"/>
  <c r="BB101" i="30"/>
  <c r="BA103" i="30"/>
  <c r="BB103" i="30" s="1"/>
  <c r="X770" i="9"/>
  <c r="N119" i="10"/>
  <c r="B4" i="77" a="1"/>
  <c r="AH36" i="11"/>
  <c r="AD44" i="23"/>
  <c r="AD50" i="23" s="1"/>
  <c r="AL35" i="23"/>
  <c r="AL59" i="23" s="1"/>
  <c r="AD53" i="23"/>
  <c r="D52" i="23"/>
  <c r="X771" i="9"/>
  <c r="W159" i="30"/>
  <c r="W166" i="30" s="1"/>
  <c r="AH52" i="23"/>
  <c r="Z57" i="23"/>
  <c r="J35" i="20"/>
  <c r="J28" i="20"/>
  <c r="J37" i="20"/>
  <c r="J27" i="20"/>
  <c r="AR33" i="23"/>
  <c r="AR57" i="23" s="1"/>
  <c r="AG147" i="30"/>
  <c r="I630" i="9"/>
  <c r="I346" i="9"/>
  <c r="I41" i="20"/>
  <c r="I39" i="20" s="1"/>
  <c r="I26" i="20"/>
  <c r="AB126" i="1"/>
  <c r="K35" i="20"/>
  <c r="K28" i="20"/>
  <c r="K37" i="20"/>
  <c r="K27" i="20"/>
  <c r="S11" i="5"/>
  <c r="AF32" i="23"/>
  <c r="AF56" i="23" s="1"/>
  <c r="I523" i="9"/>
  <c r="AR46" i="23"/>
  <c r="AR52" i="23" s="1"/>
  <c r="M4" i="77"/>
  <c r="M5" i="77" s="1"/>
  <c r="J4" i="77"/>
  <c r="J5" i="77" s="1"/>
  <c r="K4" i="77"/>
  <c r="K5" i="77" s="1"/>
  <c r="L4" i="77"/>
  <c r="L5" i="77" s="1"/>
  <c r="AV32" i="23"/>
  <c r="AV56" i="23" s="1"/>
  <c r="AV45" i="23"/>
  <c r="AV51" i="23" s="1"/>
  <c r="CP35" i="11"/>
  <c r="X14" i="15"/>
  <c r="AR34" i="23"/>
  <c r="AR58" i="23" s="1"/>
  <c r="AT53" i="23"/>
  <c r="CM29" i="11"/>
  <c r="BI110" i="2" l="1"/>
  <c r="BF13" i="3"/>
  <c r="BK221" i="1"/>
  <c r="BG168" i="1"/>
  <c r="CZ45" i="20" s="1"/>
  <c r="BG200" i="1"/>
  <c r="AL44" i="20"/>
  <c r="AL33" i="20"/>
  <c r="AL34" i="20" s="1"/>
  <c r="AU200" i="1"/>
  <c r="AU168" i="1"/>
  <c r="CW45" i="20" s="1"/>
  <c r="U45" i="20"/>
  <c r="U43" i="20" s="1"/>
  <c r="BK200" i="1"/>
  <c r="BK222" i="1" s="1"/>
  <c r="AO45" i="20"/>
  <c r="AO43" i="20" s="1"/>
  <c r="CY211" i="1"/>
  <c r="CY178" i="1" s="1"/>
  <c r="CU178" i="1"/>
  <c r="AJ201" i="1"/>
  <c r="AY222" i="1"/>
  <c r="BS221" i="1"/>
  <c r="DG46" i="20"/>
  <c r="BP34" i="20"/>
  <c r="BZ33" i="20"/>
  <c r="BZ34" i="20" s="1"/>
  <c r="AG44" i="20"/>
  <c r="AJ168" i="1"/>
  <c r="AB33" i="20"/>
  <c r="AB34" i="20" s="1"/>
  <c r="DH33" i="20"/>
  <c r="DH34" i="20" s="1"/>
  <c r="DH46" i="20"/>
  <c r="CQ175" i="1"/>
  <c r="CU208" i="1"/>
  <c r="AY45" i="20"/>
  <c r="AY43" i="20" s="1"/>
  <c r="BS200" i="1"/>
  <c r="BS222" i="1" s="1"/>
  <c r="CQ176" i="1"/>
  <c r="CU209" i="1"/>
  <c r="O50" i="61"/>
  <c r="O37" i="61"/>
  <c r="O91" i="61"/>
  <c r="CR74" i="1"/>
  <c r="CR84" i="1"/>
  <c r="CA88" i="20"/>
  <c r="C25" i="62"/>
  <c r="CQ94" i="1"/>
  <c r="CQ104" i="1" s="1"/>
  <c r="CQ103" i="1"/>
  <c r="DD103" i="1" s="1"/>
  <c r="W22" i="71"/>
  <c r="W32" i="71" s="1"/>
  <c r="W153" i="71"/>
  <c r="U154" i="71"/>
  <c r="V154" i="71" s="1"/>
  <c r="W154" i="71" s="1"/>
  <c r="T162" i="71"/>
  <c r="P156" i="71"/>
  <c r="Q156" i="71" s="1"/>
  <c r="R156" i="71" s="1"/>
  <c r="I51" i="71"/>
  <c r="J52" i="71" s="1"/>
  <c r="J55" i="71"/>
  <c r="S160" i="71"/>
  <c r="T160" i="71" s="1"/>
  <c r="U160" i="71" s="1"/>
  <c r="W59" i="71"/>
  <c r="W60" i="71" s="1"/>
  <c r="W51" i="71"/>
  <c r="W55" i="71"/>
  <c r="V168" i="71"/>
  <c r="W168" i="71" s="1"/>
  <c r="V32" i="71"/>
  <c r="T161" i="71"/>
  <c r="U161" i="71" s="1"/>
  <c r="W165" i="71"/>
  <c r="S157" i="71"/>
  <c r="T157" i="71" s="1"/>
  <c r="V59" i="71"/>
  <c r="V60" i="71" s="1"/>
  <c r="V51" i="71"/>
  <c r="V52" i="71" s="1"/>
  <c r="V55" i="71"/>
  <c r="V167" i="71"/>
  <c r="W167" i="71" s="1"/>
  <c r="I155" i="71"/>
  <c r="I171" i="71" s="1"/>
  <c r="I23" i="71" s="1"/>
  <c r="I12" i="71" s="1"/>
  <c r="I13" i="71" s="1"/>
  <c r="I32" i="71"/>
  <c r="I30" i="71" s="1"/>
  <c r="R721" i="9"/>
  <c r="AL169" i="30"/>
  <c r="Y12" i="5"/>
  <c r="Y56" i="5" s="1"/>
  <c r="AL162" i="30"/>
  <c r="P276" i="9"/>
  <c r="K277" i="9"/>
  <c r="P350" i="9"/>
  <c r="R350" i="9" s="1"/>
  <c r="O27" i="5"/>
  <c r="P803" i="9"/>
  <c r="P804" i="9" s="1"/>
  <c r="CY121" i="1"/>
  <c r="CY111" i="1" s="1"/>
  <c r="P136" i="61"/>
  <c r="AT578" i="9"/>
  <c r="AR110" i="30"/>
  <c r="AS103" i="30"/>
  <c r="AR575" i="9"/>
  <c r="AT587" i="9"/>
  <c r="AB104" i="9"/>
  <c r="BJ294" i="9"/>
  <c r="BT294" i="9" s="1"/>
  <c r="AN100" i="9"/>
  <c r="F110" i="30"/>
  <c r="AR88" i="30"/>
  <c r="AY88" i="30"/>
  <c r="AH88" i="30"/>
  <c r="AV95" i="30"/>
  <c r="I40" i="9"/>
  <c r="I37" i="9"/>
  <c r="AH33" i="30"/>
  <c r="AR33" i="30"/>
  <c r="AH40" i="30"/>
  <c r="Q111" i="30"/>
  <c r="X588" i="9"/>
  <c r="Q119" i="30"/>
  <c r="R111" i="30"/>
  <c r="AB593" i="9"/>
  <c r="AB586" i="9"/>
  <c r="AK108" i="30"/>
  <c r="BI301" i="9"/>
  <c r="BH301" i="9" s="1"/>
  <c r="AS108" i="30"/>
  <c r="AB479" i="9"/>
  <c r="AR109" i="30"/>
  <c r="AY109" i="30"/>
  <c r="F109" i="30"/>
  <c r="L276" i="9"/>
  <c r="L277" i="9" s="1"/>
  <c r="K280" i="9"/>
  <c r="E153" i="61"/>
  <c r="E134" i="61"/>
  <c r="E109" i="61"/>
  <c r="E93" i="61"/>
  <c r="I74" i="61"/>
  <c r="H74" i="61"/>
  <c r="E32" i="61"/>
  <c r="E21" i="61"/>
  <c r="E23" i="61" s="1"/>
  <c r="H69" i="61"/>
  <c r="H76" i="61"/>
  <c r="H121" i="61"/>
  <c r="H122" i="61" s="1"/>
  <c r="H80" i="61"/>
  <c r="H81" i="61" s="1"/>
  <c r="H115" i="61"/>
  <c r="I115" i="61"/>
  <c r="C137" i="61"/>
  <c r="C161" i="61"/>
  <c r="F134" i="61"/>
  <c r="F153" i="61"/>
  <c r="AT34" i="20"/>
  <c r="AJ34" i="20"/>
  <c r="AV33" i="20"/>
  <c r="AV34" i="20" s="1"/>
  <c r="AD34" i="20"/>
  <c r="S44" i="20"/>
  <c r="S33" i="20"/>
  <c r="S34" i="20" s="1"/>
  <c r="AS58" i="20"/>
  <c r="AS16" i="20"/>
  <c r="BS58" i="20"/>
  <c r="BS16" i="20"/>
  <c r="CW16" i="20"/>
  <c r="CW58" i="20"/>
  <c r="AW61" i="20"/>
  <c r="AW62" i="20"/>
  <c r="CF33" i="20"/>
  <c r="CF34" i="20" s="1"/>
  <c r="CF44" i="20"/>
  <c r="W33" i="20"/>
  <c r="W34" i="20" s="1"/>
  <c r="W44" i="20"/>
  <c r="BF55" i="20"/>
  <c r="BF64" i="20" s="1"/>
  <c r="BF60" i="20"/>
  <c r="BP89" i="20" s="1"/>
  <c r="BF19" i="20"/>
  <c r="Z16" i="20"/>
  <c r="Z58" i="20"/>
  <c r="DC61" i="20"/>
  <c r="BK19" i="20"/>
  <c r="BK74" i="20"/>
  <c r="BL62" i="20"/>
  <c r="BL61" i="20"/>
  <c r="BU58" i="20"/>
  <c r="BU16" i="20"/>
  <c r="AI58" i="20"/>
  <c r="AI16" i="20"/>
  <c r="BW58" i="20"/>
  <c r="BW16" i="20"/>
  <c r="AW74" i="20"/>
  <c r="AR60" i="20"/>
  <c r="AR74" i="20"/>
  <c r="AR55" i="20"/>
  <c r="AR64" i="20" s="1"/>
  <c r="AR19" i="20"/>
  <c r="AW76" i="20"/>
  <c r="AW64" i="20"/>
  <c r="BZ59" i="20"/>
  <c r="AM19" i="20"/>
  <c r="AM60" i="20"/>
  <c r="AM74" i="20"/>
  <c r="AD58" i="20"/>
  <c r="AD16" i="20"/>
  <c r="K58" i="20"/>
  <c r="K16" i="20"/>
  <c r="AT16" i="20"/>
  <c r="AT58" i="20"/>
  <c r="P58" i="20"/>
  <c r="P16" i="20"/>
  <c r="X63" i="20"/>
  <c r="X25" i="20"/>
  <c r="H61" i="20"/>
  <c r="H62" i="20"/>
  <c r="H23" i="20"/>
  <c r="H63" i="20" s="1"/>
  <c r="BZ12" i="20"/>
  <c r="BZ58" i="20" s="1"/>
  <c r="BQ55" i="20"/>
  <c r="BQ19" i="20"/>
  <c r="CE33" i="20"/>
  <c r="CE34" i="20" s="1"/>
  <c r="CE44" i="20"/>
  <c r="D58" i="20"/>
  <c r="D16" i="20"/>
  <c r="BA16" i="20"/>
  <c r="BA58" i="20"/>
  <c r="BK87" i="20" s="1"/>
  <c r="CY58" i="20"/>
  <c r="CY16" i="20"/>
  <c r="T55" i="20"/>
  <c r="T74" i="20"/>
  <c r="BC64" i="20"/>
  <c r="AG58" i="20"/>
  <c r="AG16" i="20"/>
  <c r="AB60" i="20"/>
  <c r="AB19" i="20"/>
  <c r="AB55" i="20"/>
  <c r="CB87" i="20"/>
  <c r="AN33" i="20"/>
  <c r="AN34" i="20" s="1"/>
  <c r="AN44" i="20"/>
  <c r="BC23" i="20"/>
  <c r="BC61" i="20"/>
  <c r="BC62" i="20"/>
  <c r="AX60" i="20"/>
  <c r="AX19" i="20"/>
  <c r="AX74" i="20"/>
  <c r="AX55" i="20"/>
  <c r="BC74" i="20"/>
  <c r="BH34" i="20"/>
  <c r="BV74" i="20"/>
  <c r="AL58" i="20"/>
  <c r="BL33" i="20"/>
  <c r="BL34" i="20" s="1"/>
  <c r="AO19" i="20"/>
  <c r="AO60" i="20"/>
  <c r="BR87" i="20"/>
  <c r="BK33" i="20"/>
  <c r="BK34" i="20" s="1"/>
  <c r="BK44" i="20"/>
  <c r="N55" i="20"/>
  <c r="N64" i="20" s="1"/>
  <c r="N19" i="20"/>
  <c r="N60" i="20"/>
  <c r="O60" i="20"/>
  <c r="O19" i="20"/>
  <c r="O55" i="20"/>
  <c r="AN60" i="20"/>
  <c r="AN19" i="20"/>
  <c r="BD19" i="20"/>
  <c r="BD60" i="20"/>
  <c r="AV58" i="20"/>
  <c r="AV16" i="20"/>
  <c r="W58" i="20"/>
  <c r="W16" i="20"/>
  <c r="BV60" i="20"/>
  <c r="BV89" i="20" s="1"/>
  <c r="BI58" i="20"/>
  <c r="BN87" i="20" s="1"/>
  <c r="BI16" i="20"/>
  <c r="J58" i="20"/>
  <c r="J16" i="20"/>
  <c r="H39" i="20"/>
  <c r="BX87" i="20"/>
  <c r="CG44" i="20"/>
  <c r="CG33" i="20"/>
  <c r="CG34" i="20" s="1"/>
  <c r="BB76" i="20"/>
  <c r="BB64" i="20"/>
  <c r="BG76" i="20"/>
  <c r="S16" i="20"/>
  <c r="S58" i="20"/>
  <c r="BN58" i="20"/>
  <c r="BS87" i="20" s="1"/>
  <c r="BN16" i="20"/>
  <c r="BN88" i="20"/>
  <c r="AC55" i="20"/>
  <c r="AC19" i="20"/>
  <c r="AH74" i="20"/>
  <c r="AC60" i="20"/>
  <c r="AC74" i="20"/>
  <c r="BH64" i="20"/>
  <c r="BH76" i="20"/>
  <c r="R48" i="10"/>
  <c r="J50" i="10"/>
  <c r="AH91" i="10"/>
  <c r="J92" i="10"/>
  <c r="F43" i="11"/>
  <c r="G37" i="11"/>
  <c r="N45" i="3"/>
  <c r="N65" i="3" s="1"/>
  <c r="CT19" i="20"/>
  <c r="D52" i="61"/>
  <c r="D68" i="61"/>
  <c r="D153" i="61"/>
  <c r="D134" i="61"/>
  <c r="D29" i="61"/>
  <c r="D13" i="61"/>
  <c r="BA43" i="1"/>
  <c r="AV43" i="1"/>
  <c r="AA12" i="5"/>
  <c r="AB12" i="5" s="1"/>
  <c r="AC12" i="5" s="1"/>
  <c r="AD12" i="5" s="1"/>
  <c r="P524" i="9"/>
  <c r="Z524" i="9" s="1"/>
  <c r="S42" i="5"/>
  <c r="T41" i="5"/>
  <c r="U41" i="5" s="1"/>
  <c r="V41" i="5" s="1"/>
  <c r="W41" i="5" s="1"/>
  <c r="X41" i="5" s="1"/>
  <c r="Y41" i="5" s="1"/>
  <c r="K169" i="9"/>
  <c r="K48" i="5"/>
  <c r="R523" i="9"/>
  <c r="T523" i="9" s="1"/>
  <c r="AQ103" i="2"/>
  <c r="AS102" i="2"/>
  <c r="P527" i="9"/>
  <c r="AK475" i="9"/>
  <c r="AS102" i="30"/>
  <c r="BI289" i="9"/>
  <c r="AS95" i="30"/>
  <c r="I78" i="9"/>
  <c r="I71" i="9"/>
  <c r="AT573" i="9"/>
  <c r="BS83" i="30"/>
  <c r="BQ83" i="30"/>
  <c r="I85" i="9"/>
  <c r="J14" i="5"/>
  <c r="AH83" i="30"/>
  <c r="AK112" i="9"/>
  <c r="K14" i="5"/>
  <c r="BH281" i="9"/>
  <c r="BK281" i="9" s="1"/>
  <c r="BY280" i="9"/>
  <c r="AR298" i="9"/>
  <c r="AT451" i="9"/>
  <c r="AB425" i="9"/>
  <c r="AS16" i="30"/>
  <c r="AX16" i="30" s="1"/>
  <c r="AX20" i="30" s="1"/>
  <c r="AS23" i="30"/>
  <c r="AX23" i="30" s="1"/>
  <c r="AX27" i="30" s="1"/>
  <c r="L34" i="30"/>
  <c r="R34" i="30"/>
  <c r="AA34" i="30"/>
  <c r="F34" i="30"/>
  <c r="AA41" i="30"/>
  <c r="I72" i="9"/>
  <c r="AK468" i="9"/>
  <c r="K269" i="9"/>
  <c r="P742" i="9"/>
  <c r="R742" i="9" s="1"/>
  <c r="I742" i="9" s="1"/>
  <c r="D742" i="9" s="1"/>
  <c r="R425" i="9"/>
  <c r="T425" i="9" s="1"/>
  <c r="Z254" i="9"/>
  <c r="AB254" i="9" s="1"/>
  <c r="R735" i="9"/>
  <c r="P732" i="9"/>
  <c r="R739" i="9" s="1"/>
  <c r="AB167" i="9"/>
  <c r="AV601" i="9"/>
  <c r="X608" i="9"/>
  <c r="V104" i="10"/>
  <c r="X104" i="10" s="1"/>
  <c r="Z104" i="10" s="1"/>
  <c r="P105" i="9"/>
  <c r="AT255" i="9"/>
  <c r="AI277" i="9"/>
  <c r="AK277" i="9" s="1"/>
  <c r="AI284" i="9"/>
  <c r="AK284" i="9" s="1"/>
  <c r="AK600" i="9"/>
  <c r="AK111" i="9"/>
  <c r="AR36" i="9"/>
  <c r="AT317" i="9"/>
  <c r="AP319" i="9"/>
  <c r="AT319" i="9" s="1"/>
  <c r="BT295" i="9"/>
  <c r="CI295" i="9" s="1"/>
  <c r="R181" i="9"/>
  <c r="Z252" i="9"/>
  <c r="AB252" i="9" s="1"/>
  <c r="AK61" i="9"/>
  <c r="AR454" i="9"/>
  <c r="AT461" i="9" s="1"/>
  <c r="U7" i="15"/>
  <c r="V8" i="15" s="1"/>
  <c r="V67" i="15" s="1"/>
  <c r="AI384" i="9"/>
  <c r="Z636" i="9"/>
  <c r="AI391" i="9"/>
  <c r="F127" i="30"/>
  <c r="W536" i="9"/>
  <c r="AK309" i="9"/>
  <c r="AK132" i="9"/>
  <c r="AG207" i="9"/>
  <c r="R200" i="9"/>
  <c r="AR426" i="9"/>
  <c r="T9" i="5"/>
  <c r="Z174" i="9"/>
  <c r="AB174" i="9" s="1"/>
  <c r="AB140" i="10"/>
  <c r="AD140" i="10" s="1"/>
  <c r="AH134" i="30"/>
  <c r="W643" i="9"/>
  <c r="Z643" i="9" s="1"/>
  <c r="AN114" i="9"/>
  <c r="AI235" i="9"/>
  <c r="L127" i="30"/>
  <c r="T594" i="9"/>
  <c r="AG141" i="9"/>
  <c r="AG142" i="9" s="1"/>
  <c r="X501" i="9"/>
  <c r="AV494" i="9"/>
  <c r="X140" i="9"/>
  <c r="G140" i="9" s="1"/>
  <c r="AT515" i="9"/>
  <c r="AT432" i="9"/>
  <c r="AT104" i="9"/>
  <c r="AI90" i="9"/>
  <c r="AK90" i="9" s="1"/>
  <c r="AR273" i="9"/>
  <c r="AT273" i="9" s="1"/>
  <c r="AI273" i="9"/>
  <c r="AK273" i="9" s="1"/>
  <c r="AW613" i="9"/>
  <c r="V74" i="10"/>
  <c r="X74" i="10" s="1"/>
  <c r="R412" i="9"/>
  <c r="AT316" i="9"/>
  <c r="L134" i="30"/>
  <c r="V148" i="30"/>
  <c r="AW144" i="30" s="1"/>
  <c r="BU281" i="9"/>
  <c r="AG86" i="9"/>
  <c r="AR47" i="9"/>
  <c r="AT54" i="9" s="1"/>
  <c r="AI54" i="9"/>
  <c r="AK54" i="9" s="1"/>
  <c r="AK130" i="30"/>
  <c r="AS130" i="30"/>
  <c r="F180" i="9"/>
  <c r="DA10" i="1"/>
  <c r="CJ68" i="20" s="1"/>
  <c r="CJ72" i="20" s="1"/>
  <c r="BY273" i="9"/>
  <c r="P256" i="9"/>
  <c r="AT302" i="9"/>
  <c r="AF132" i="10"/>
  <c r="AI280" i="9"/>
  <c r="AK280" i="9" s="1"/>
  <c r="AT62" i="9"/>
  <c r="BI92" i="20"/>
  <c r="D107" i="9"/>
  <c r="I107" i="9" s="1"/>
  <c r="AB98" i="9"/>
  <c r="T350" i="9"/>
  <c r="AT593" i="9"/>
  <c r="Z517" i="9"/>
  <c r="AI426" i="9"/>
  <c r="AK426" i="9" s="1"/>
  <c r="AP48" i="9"/>
  <c r="AG48" i="9"/>
  <c r="AB47" i="10"/>
  <c r="AD47" i="10" s="1"/>
  <c r="AF54" i="10" s="1"/>
  <c r="AE49" i="9"/>
  <c r="AR90" i="9"/>
  <c r="AT90" i="9" s="1"/>
  <c r="AT105" i="9"/>
  <c r="P749" i="9"/>
  <c r="P745" i="9"/>
  <c r="V30" i="5"/>
  <c r="DF85" i="20"/>
  <c r="P752" i="9"/>
  <c r="P756" i="9"/>
  <c r="K283" i="9"/>
  <c r="P27" i="5"/>
  <c r="AN26" i="5"/>
  <c r="B44" i="5"/>
  <c r="C15" i="5"/>
  <c r="C26" i="5" s="1"/>
  <c r="K15" i="9"/>
  <c r="B32" i="5"/>
  <c r="B35" i="5" s="1"/>
  <c r="P810" i="9"/>
  <c r="P811" i="9" s="1"/>
  <c r="P814" i="9"/>
  <c r="P818" i="9" s="1"/>
  <c r="F181" i="9"/>
  <c r="CZ267" i="1"/>
  <c r="CV267" i="1"/>
  <c r="CU271" i="1"/>
  <c r="CU259" i="1"/>
  <c r="CY255" i="1"/>
  <c r="CZ74" i="20"/>
  <c r="CZ55" i="20"/>
  <c r="V13" i="15"/>
  <c r="V17" i="15"/>
  <c r="CB16" i="20"/>
  <c r="O171" i="61"/>
  <c r="O169" i="61" s="1"/>
  <c r="C93" i="61"/>
  <c r="C109" i="61"/>
  <c r="AV41" i="1"/>
  <c r="BA41" i="1"/>
  <c r="AG70" i="2"/>
  <c r="AD10" i="3" s="1"/>
  <c r="P51" i="15"/>
  <c r="P52" i="15" s="1"/>
  <c r="P48" i="15"/>
  <c r="P49" i="15" s="1"/>
  <c r="P46" i="15"/>
  <c r="CO73" i="20"/>
  <c r="CO59" i="20"/>
  <c r="CO16" i="20"/>
  <c r="Y19" i="20"/>
  <c r="Y55" i="20"/>
  <c r="AD74" i="20"/>
  <c r="Y74" i="20"/>
  <c r="Y60" i="20"/>
  <c r="AM76" i="2"/>
  <c r="AM75" i="2"/>
  <c r="BV76" i="20"/>
  <c r="BV64" i="20"/>
  <c r="G115" i="61"/>
  <c r="F110" i="61"/>
  <c r="F115" i="61"/>
  <c r="F90" i="61"/>
  <c r="AW25" i="20"/>
  <c r="AW63" i="20"/>
  <c r="K111" i="30"/>
  <c r="X481" i="9"/>
  <c r="L111" i="30"/>
  <c r="CR55" i="20"/>
  <c r="CR64" i="20" s="1"/>
  <c r="CR60" i="20"/>
  <c r="AY61" i="20"/>
  <c r="AY23" i="20"/>
  <c r="AY62" i="20"/>
  <c r="F23" i="20"/>
  <c r="F61" i="20"/>
  <c r="F62" i="20"/>
  <c r="N74" i="20"/>
  <c r="I60" i="20"/>
  <c r="I74" i="20"/>
  <c r="I55" i="20"/>
  <c r="I19" i="20"/>
  <c r="BH23" i="20"/>
  <c r="BH62" i="20"/>
  <c r="BH61" i="20"/>
  <c r="BL63" i="20"/>
  <c r="BL25" i="20"/>
  <c r="CB15" i="20"/>
  <c r="CB55" i="20" s="1"/>
  <c r="CC15" i="20"/>
  <c r="CA15" i="20"/>
  <c r="AQ44" i="20"/>
  <c r="AQ33" i="20"/>
  <c r="AQ34" i="20" s="1"/>
  <c r="CS12" i="20"/>
  <c r="CT67" i="20"/>
  <c r="CS67" i="20"/>
  <c r="CS59" i="20"/>
  <c r="I10" i="61"/>
  <c r="I88" i="61"/>
  <c r="I90" i="61" s="1"/>
  <c r="I47" i="61"/>
  <c r="I49" i="61" s="1"/>
  <c r="I129" i="61"/>
  <c r="I131" i="61" s="1"/>
  <c r="F13" i="61"/>
  <c r="F29" i="61"/>
  <c r="E34" i="15"/>
  <c r="E39" i="15"/>
  <c r="BG61" i="20"/>
  <c r="BG23" i="20"/>
  <c r="BG62" i="20"/>
  <c r="Q39" i="15"/>
  <c r="Q34" i="15"/>
  <c r="Q65" i="5"/>
  <c r="BQ64" i="20"/>
  <c r="BQ76" i="20"/>
  <c r="BQ61" i="20"/>
  <c r="BQ62" i="20"/>
  <c r="BQ23" i="20"/>
  <c r="CB59" i="20"/>
  <c r="CB73" i="20"/>
  <c r="BR89" i="20"/>
  <c r="CZ60" i="20"/>
  <c r="DG8" i="20"/>
  <c r="V28" i="15"/>
  <c r="AS67" i="2"/>
  <c r="AS73" i="2" s="1"/>
  <c r="BC34" i="20"/>
  <c r="O116" i="61"/>
  <c r="O172" i="61" s="1"/>
  <c r="AM64" i="20"/>
  <c r="AR76" i="20"/>
  <c r="AM76" i="20"/>
  <c r="BA40" i="1"/>
  <c r="AU44" i="1"/>
  <c r="AU46" i="1"/>
  <c r="AU45" i="1"/>
  <c r="AV40" i="1"/>
  <c r="H65" i="5"/>
  <c r="H66" i="5" s="1"/>
  <c r="H34" i="15"/>
  <c r="I35" i="15" s="1"/>
  <c r="H39" i="15"/>
  <c r="C68" i="61"/>
  <c r="C52" i="61"/>
  <c r="I157" i="61"/>
  <c r="I173" i="61"/>
  <c r="D39" i="15"/>
  <c r="D34" i="15"/>
  <c r="DE73" i="20"/>
  <c r="DD73" i="20"/>
  <c r="G121" i="61"/>
  <c r="G122" i="61" s="1"/>
  <c r="G80" i="61"/>
  <c r="G81" i="61" s="1"/>
  <c r="G177" i="61"/>
  <c r="G178" i="61" s="1"/>
  <c r="F49" i="61"/>
  <c r="G74" i="61"/>
  <c r="F69" i="61"/>
  <c r="F74" i="61"/>
  <c r="CP73" i="20"/>
  <c r="BL89" i="20"/>
  <c r="BQ89" i="20"/>
  <c r="DB67" i="20"/>
  <c r="DB59" i="20"/>
  <c r="DC67" i="20"/>
  <c r="AE60" i="20"/>
  <c r="AJ60" i="20"/>
  <c r="AE19" i="20"/>
  <c r="AJ74" i="20"/>
  <c r="AJ55" i="20"/>
  <c r="AJ19" i="20"/>
  <c r="AE55" i="20"/>
  <c r="AO74" i="20"/>
  <c r="CX60" i="20"/>
  <c r="CY74" i="20"/>
  <c r="CX55" i="20"/>
  <c r="H76" i="20"/>
  <c r="N46" i="15"/>
  <c r="N48" i="15"/>
  <c r="AC70" i="2"/>
  <c r="Z10" i="3" s="1"/>
  <c r="N51" i="15"/>
  <c r="O52" i="15" s="1"/>
  <c r="BB63" i="20"/>
  <c r="BB25" i="20"/>
  <c r="BB75" i="20" s="1"/>
  <c r="BK76" i="20"/>
  <c r="F43" i="15"/>
  <c r="F45" i="15"/>
  <c r="F40" i="15"/>
  <c r="C63" i="20"/>
  <c r="C25" i="20"/>
  <c r="U63" i="20"/>
  <c r="U25" i="20"/>
  <c r="K75" i="61"/>
  <c r="K169" i="61"/>
  <c r="K116" i="61"/>
  <c r="N98" i="61"/>
  <c r="N57" i="61"/>
  <c r="AK110" i="30"/>
  <c r="AS110" i="30"/>
  <c r="BI303" i="9"/>
  <c r="K129" i="61"/>
  <c r="K47" i="61"/>
  <c r="K88" i="61"/>
  <c r="AN480" i="9"/>
  <c r="X126" i="9"/>
  <c r="Z480" i="9"/>
  <c r="AB480" i="9" s="1"/>
  <c r="D480" i="9"/>
  <c r="I480" i="9" s="1"/>
  <c r="D487" i="9"/>
  <c r="I487" i="9" s="1"/>
  <c r="AY64" i="20"/>
  <c r="CC12" i="20"/>
  <c r="CC59" i="20"/>
  <c r="BM61" i="20"/>
  <c r="BM23" i="20"/>
  <c r="BM62" i="20"/>
  <c r="M6" i="61"/>
  <c r="V59" i="15"/>
  <c r="V26" i="15"/>
  <c r="AS118" i="30"/>
  <c r="I110" i="61"/>
  <c r="I117" i="61"/>
  <c r="I69" i="61"/>
  <c r="I76" i="61"/>
  <c r="J50" i="61"/>
  <c r="J37" i="61"/>
  <c r="K37" i="61"/>
  <c r="J132" i="61"/>
  <c r="J91" i="61"/>
  <c r="BV62" i="20"/>
  <c r="BV61" i="20"/>
  <c r="BV23" i="20"/>
  <c r="L43" i="10"/>
  <c r="CP58" i="20"/>
  <c r="CP16" i="20"/>
  <c r="CQ74" i="20" s="1"/>
  <c r="E111" i="30"/>
  <c r="E119" i="30"/>
  <c r="V111" i="30"/>
  <c r="AV118" i="30" s="1"/>
  <c r="AG111" i="30"/>
  <c r="F111" i="30" s="1"/>
  <c r="AI73" i="2"/>
  <c r="AI72" i="2"/>
  <c r="AA70" i="2"/>
  <c r="X10" i="3" s="1"/>
  <c r="M46" i="15"/>
  <c r="M48" i="15"/>
  <c r="AL60" i="20"/>
  <c r="AL19" i="20"/>
  <c r="AL55" i="20"/>
  <c r="AQ76" i="20" s="1"/>
  <c r="AL74" i="20"/>
  <c r="Y52" i="2"/>
  <c r="Y83" i="20"/>
  <c r="CD280" i="9"/>
  <c r="BJ275" i="9"/>
  <c r="CJ280" i="9"/>
  <c r="CB315" i="9"/>
  <c r="F153" i="30"/>
  <c r="AF111" i="10"/>
  <c r="AR131" i="9"/>
  <c r="AG135" i="9"/>
  <c r="AF147" i="10"/>
  <c r="AV329" i="9"/>
  <c r="AW329" i="9" s="1"/>
  <c r="U14" i="5"/>
  <c r="AF140" i="10"/>
  <c r="AI402" i="9"/>
  <c r="B216" i="9"/>
  <c r="B393" i="9" s="1"/>
  <c r="B22" i="30"/>
  <c r="B46" i="9"/>
  <c r="Q9" i="5"/>
  <c r="J105" i="30"/>
  <c r="K112" i="30"/>
  <c r="K104" i="30"/>
  <c r="L104" i="30"/>
  <c r="E134" i="30"/>
  <c r="U8" i="5"/>
  <c r="K134" i="30"/>
  <c r="K141" i="30"/>
  <c r="U9" i="5"/>
  <c r="V8" i="5"/>
  <c r="E141" i="30"/>
  <c r="AI610" i="9"/>
  <c r="AK610" i="9" s="1"/>
  <c r="AI617" i="9"/>
  <c r="AK617" i="9" s="1"/>
  <c r="AK155" i="9"/>
  <c r="W9" i="5"/>
  <c r="BJ281" i="9"/>
  <c r="BT281" i="9" s="1"/>
  <c r="BY281" i="9" s="1"/>
  <c r="CE280" i="9"/>
  <c r="AN93" i="9"/>
  <c r="AP131" i="9"/>
  <c r="AT138" i="9" s="1"/>
  <c r="AP617" i="9"/>
  <c r="AT615" i="9"/>
  <c r="AK97" i="9"/>
  <c r="R382" i="9"/>
  <c r="V141" i="30"/>
  <c r="AV148" i="30" s="1"/>
  <c r="AU148" i="30" s="1"/>
  <c r="I51" i="9"/>
  <c r="P383" i="9"/>
  <c r="P384" i="9" s="1"/>
  <c r="P387" i="9"/>
  <c r="K148" i="30"/>
  <c r="BT274" i="9"/>
  <c r="BY274" i="9" s="1"/>
  <c r="I347" i="9"/>
  <c r="I174" i="9"/>
  <c r="T174" i="9" s="1"/>
  <c r="AK118" i="9"/>
  <c r="V134" i="30"/>
  <c r="AW134" i="30" s="1"/>
  <c r="I524" i="9"/>
  <c r="E127" i="30"/>
  <c r="V127" i="30"/>
  <c r="T8" i="5"/>
  <c r="AP610" i="9"/>
  <c r="AT610" i="9" s="1"/>
  <c r="AT607" i="9"/>
  <c r="AH141" i="30"/>
  <c r="AY134" i="30"/>
  <c r="E155" i="30"/>
  <c r="X8" i="5"/>
  <c r="AF123" i="10"/>
  <c r="AI125" i="9"/>
  <c r="AK125" i="9" s="1"/>
  <c r="D114" i="9"/>
  <c r="I114" i="9" s="1"/>
  <c r="AF102" i="10"/>
  <c r="AR118" i="9"/>
  <c r="AT125" i="9" s="1"/>
  <c r="AR419" i="9"/>
  <c r="D100" i="9"/>
  <c r="I100" i="9" s="1"/>
  <c r="AF133" i="10"/>
  <c r="T132" i="9"/>
  <c r="AT120" i="9"/>
  <c r="AT33" i="9"/>
  <c r="AR37" i="9"/>
  <c r="AR117" i="30"/>
  <c r="BQ117" i="30" s="1"/>
  <c r="BH330" i="9"/>
  <c r="AG120" i="30"/>
  <c r="S7" i="5" s="1"/>
  <c r="F117" i="30"/>
  <c r="AH117" i="30"/>
  <c r="AH124" i="30"/>
  <c r="AI33" i="9"/>
  <c r="AK33" i="9" s="1"/>
  <c r="AW130" i="30"/>
  <c r="I440" i="9"/>
  <c r="Q11" i="5"/>
  <c r="W105" i="30"/>
  <c r="X104" i="30"/>
  <c r="P641" i="9"/>
  <c r="P637" i="9"/>
  <c r="DH71" i="20"/>
  <c r="AH152" i="30"/>
  <c r="R152" i="30"/>
  <c r="L152" i="30"/>
  <c r="F152" i="30"/>
  <c r="AK145" i="30"/>
  <c r="AS145" i="30"/>
  <c r="AP56" i="9"/>
  <c r="AB55" i="10"/>
  <c r="AD55" i="10" s="1"/>
  <c r="AG57" i="9"/>
  <c r="AG56" i="9"/>
  <c r="BH329" i="9"/>
  <c r="BH331" i="9"/>
  <c r="T495" i="9"/>
  <c r="X495" i="9" s="1"/>
  <c r="AV495" i="9" s="1"/>
  <c r="BS133" i="30"/>
  <c r="AS133" i="30"/>
  <c r="BI325" i="9"/>
  <c r="BQ133" i="30"/>
  <c r="AK133" i="30"/>
  <c r="AK153" i="30"/>
  <c r="L153" i="30"/>
  <c r="R153" i="30"/>
  <c r="I23" i="9"/>
  <c r="P722" i="9"/>
  <c r="K723" i="9"/>
  <c r="K118" i="9"/>
  <c r="BI324" i="9"/>
  <c r="BQ132" i="30"/>
  <c r="AK132" i="30"/>
  <c r="Z346" i="9"/>
  <c r="P347" i="9"/>
  <c r="Z347" i="9" s="1"/>
  <c r="R346" i="9"/>
  <c r="T346" i="9" s="1"/>
  <c r="I22" i="9"/>
  <c r="AB27" i="10"/>
  <c r="AD27" i="10" s="1"/>
  <c r="AF34" i="10" s="1"/>
  <c r="AP28" i="9"/>
  <c r="AG28" i="9"/>
  <c r="AG29" i="9"/>
  <c r="BQ126" i="30"/>
  <c r="AK126" i="30"/>
  <c r="BS126" i="30"/>
  <c r="BI318" i="9"/>
  <c r="AT473" i="9"/>
  <c r="AN352" i="9"/>
  <c r="Z352" i="9"/>
  <c r="P167" i="30"/>
  <c r="Q167" i="30" s="1"/>
  <c r="J167" i="30"/>
  <c r="K167" i="30" s="1"/>
  <c r="AN536" i="9"/>
  <c r="Z536" i="9"/>
  <c r="AR89" i="9"/>
  <c r="AP496" i="9"/>
  <c r="AT502" i="9"/>
  <c r="AT495" i="9"/>
  <c r="Z445" i="9"/>
  <c r="AB452" i="9" s="1"/>
  <c r="R452" i="9"/>
  <c r="T452" i="9" s="1"/>
  <c r="R419" i="9"/>
  <c r="AI482" i="9"/>
  <c r="V132" i="10"/>
  <c r="X132" i="10" s="1"/>
  <c r="BC93" i="20"/>
  <c r="P133" i="9"/>
  <c r="AI401" i="9"/>
  <c r="AG398" i="9"/>
  <c r="AI394" i="9"/>
  <c r="AF96" i="10"/>
  <c r="AI412" i="9"/>
  <c r="AI419" i="9"/>
  <c r="AP141" i="9"/>
  <c r="AT148" i="9" s="1"/>
  <c r="AI404" i="9"/>
  <c r="AI397" i="9"/>
  <c r="AI89" i="9"/>
  <c r="AK89" i="9" s="1"/>
  <c r="AR82" i="9"/>
  <c r="AI496" i="9"/>
  <c r="AK496" i="9" s="1"/>
  <c r="AR468" i="9"/>
  <c r="AT468" i="9" s="1"/>
  <c r="AT471" i="9"/>
  <c r="AI454" i="9"/>
  <c r="AK454" i="9" s="1"/>
  <c r="AI461" i="9"/>
  <c r="AK461" i="9" s="1"/>
  <c r="AI152" i="9"/>
  <c r="AK152" i="9" s="1"/>
  <c r="AR145" i="9"/>
  <c r="AP145" i="9"/>
  <c r="AI403" i="9"/>
  <c r="AI396" i="9"/>
  <c r="AB132" i="9"/>
  <c r="DD86" i="20"/>
  <c r="S38" i="5"/>
  <c r="S39" i="5" s="1"/>
  <c r="BI308" i="9"/>
  <c r="BH308" i="9" s="1"/>
  <c r="AK116" i="30"/>
  <c r="AS123" i="30"/>
  <c r="BS116" i="30"/>
  <c r="BQ116" i="30"/>
  <c r="AS116" i="30"/>
  <c r="G135" i="9"/>
  <c r="F119" i="30"/>
  <c r="AR119" i="30"/>
  <c r="AY119" i="30"/>
  <c r="AH126" i="30"/>
  <c r="AV135" i="9"/>
  <c r="AP596" i="9"/>
  <c r="AT603" i="9" s="1"/>
  <c r="AT602" i="9"/>
  <c r="AI228" i="9"/>
  <c r="I75" i="9"/>
  <c r="AF152" i="10"/>
  <c r="AA27" i="5"/>
  <c r="K360" i="9"/>
  <c r="P360" i="9" s="1"/>
  <c r="P353" i="9"/>
  <c r="P357" i="9"/>
  <c r="P537" i="9"/>
  <c r="AF154" i="10"/>
  <c r="AR13" i="30"/>
  <c r="AS20" i="30" s="1"/>
  <c r="CV59" i="20"/>
  <c r="CV12" i="20"/>
  <c r="CW67" i="20"/>
  <c r="BJ297" i="9"/>
  <c r="W158" i="30"/>
  <c r="W155" i="30"/>
  <c r="K65" i="5"/>
  <c r="K66" i="5" s="1"/>
  <c r="K39" i="15"/>
  <c r="K34" i="15"/>
  <c r="BH298" i="9"/>
  <c r="BK298" i="9" s="1"/>
  <c r="AR32" i="30"/>
  <c r="AH39" i="30"/>
  <c r="AH32" i="30"/>
  <c r="AG34" i="30"/>
  <c r="T30" i="15"/>
  <c r="T31" i="15" s="1"/>
  <c r="DD14" i="20"/>
  <c r="CN280" i="9"/>
  <c r="L66" i="5"/>
  <c r="AK119" i="9"/>
  <c r="D86" i="9"/>
  <c r="AR270" i="9"/>
  <c r="AT270" i="9" s="1"/>
  <c r="AY90" i="30"/>
  <c r="AH90" i="30"/>
  <c r="BS76" i="30"/>
  <c r="BQ76" i="30"/>
  <c r="BI283" i="9"/>
  <c r="AR90" i="30"/>
  <c r="AS96" i="30"/>
  <c r="AS89" i="30"/>
  <c r="D359" i="9"/>
  <c r="W359" i="9" s="1"/>
  <c r="AK103" i="9"/>
  <c r="AN107" i="9"/>
  <c r="AR119" i="9"/>
  <c r="I82" i="9"/>
  <c r="D65" i="9"/>
  <c r="AV336" i="9"/>
  <c r="AW336" i="9" s="1"/>
  <c r="X343" i="9"/>
  <c r="BH322" i="9"/>
  <c r="AV145" i="9"/>
  <c r="AW145" i="9" s="1"/>
  <c r="G145" i="9"/>
  <c r="L6" i="61"/>
  <c r="AQ67" i="2"/>
  <c r="U26" i="15"/>
  <c r="DF8" i="20"/>
  <c r="U17" i="15"/>
  <c r="U15" i="15"/>
  <c r="U59" i="15"/>
  <c r="U13" i="15"/>
  <c r="U20" i="15"/>
  <c r="U33" i="15"/>
  <c r="U37" i="15"/>
  <c r="U8" i="15"/>
  <c r="U67" i="15" s="1"/>
  <c r="U28" i="15"/>
  <c r="U11" i="15"/>
  <c r="AR513" i="9"/>
  <c r="X520" i="9"/>
  <c r="AB513" i="9"/>
  <c r="AV513" i="9"/>
  <c r="AW513" i="9" s="1"/>
  <c r="I56" i="9"/>
  <c r="AK125" i="30"/>
  <c r="BI317" i="9"/>
  <c r="AS132" i="30"/>
  <c r="BQ125" i="30"/>
  <c r="AS125" i="30"/>
  <c r="BS125" i="30"/>
  <c r="DG70" i="20"/>
  <c r="AV141" i="30"/>
  <c r="AU141" i="30" s="1"/>
  <c r="I68" i="9"/>
  <c r="AK68" i="9" s="1"/>
  <c r="BK276" i="9"/>
  <c r="BJ276" i="9"/>
  <c r="BH277" i="9"/>
  <c r="I62" i="9"/>
  <c r="AK62" i="9" s="1"/>
  <c r="I58" i="9"/>
  <c r="W72" i="2"/>
  <c r="W73" i="2"/>
  <c r="AS146" i="30"/>
  <c r="AS153" i="30"/>
  <c r="AK146" i="30"/>
  <c r="X152" i="9"/>
  <c r="AR284" i="9"/>
  <c r="I79" i="9"/>
  <c r="BI323" i="9"/>
  <c r="BS131" i="30"/>
  <c r="AS138" i="30"/>
  <c r="AK131" i="30"/>
  <c r="AR134" i="30"/>
  <c r="BQ131" i="30"/>
  <c r="I63" i="9"/>
  <c r="I76" i="9"/>
  <c r="AW506" i="9"/>
  <c r="T33" i="15"/>
  <c r="T26" i="15"/>
  <c r="T20" i="15"/>
  <c r="T13" i="15"/>
  <c r="DE8" i="20"/>
  <c r="T37" i="15"/>
  <c r="T28" i="15"/>
  <c r="AO67" i="2"/>
  <c r="T59" i="15"/>
  <c r="T15" i="15"/>
  <c r="K6" i="61"/>
  <c r="T11" i="15"/>
  <c r="T17" i="15"/>
  <c r="P530" i="9"/>
  <c r="P534" i="9"/>
  <c r="N14" i="5"/>
  <c r="M14" i="5"/>
  <c r="N48" i="5"/>
  <c r="M48" i="5"/>
  <c r="P22" i="15"/>
  <c r="P61" i="15"/>
  <c r="P63" i="5"/>
  <c r="AI146" i="9"/>
  <c r="AK146" i="9" s="1"/>
  <c r="AP146" i="9"/>
  <c r="AR146" i="9"/>
  <c r="AG149" i="9"/>
  <c r="AT132" i="9"/>
  <c r="AR287" i="9"/>
  <c r="AR291" i="9" s="1"/>
  <c r="AP506" i="9"/>
  <c r="AI513" i="9"/>
  <c r="AK513" i="9" s="1"/>
  <c r="AI506" i="9"/>
  <c r="AK506" i="9" s="1"/>
  <c r="AG510" i="9"/>
  <c r="AI510" i="9" s="1"/>
  <c r="AK510" i="9" s="1"/>
  <c r="AR156" i="9"/>
  <c r="AN65" i="9"/>
  <c r="AR61" i="9"/>
  <c r="AT68" i="9" s="1"/>
  <c r="AF69" i="10"/>
  <c r="AF84" i="10"/>
  <c r="AG291" i="9"/>
  <c r="AI298" i="9" s="1"/>
  <c r="AK298" i="9" s="1"/>
  <c r="AI153" i="9"/>
  <c r="AK153" i="9" s="1"/>
  <c r="AP153" i="9"/>
  <c r="AP156" i="9" s="1"/>
  <c r="AI319" i="9"/>
  <c r="AK319" i="9" s="1"/>
  <c r="AI326" i="9"/>
  <c r="AK326" i="9" s="1"/>
  <c r="D149" i="9"/>
  <c r="D142" i="9"/>
  <c r="I142" i="9" s="1"/>
  <c r="AN142" i="9"/>
  <c r="AP134" i="9"/>
  <c r="AR134" i="9"/>
  <c r="AR135" i="9" s="1"/>
  <c r="AI589" i="9"/>
  <c r="AI582" i="9"/>
  <c r="AK582" i="9" s="1"/>
  <c r="AP13" i="9"/>
  <c r="AE14" i="9"/>
  <c r="AG13" i="9"/>
  <c r="L151" i="30"/>
  <c r="F151" i="30"/>
  <c r="AH151" i="30"/>
  <c r="T509" i="9"/>
  <c r="AK509" i="9"/>
  <c r="T139" i="9"/>
  <c r="AK139" i="9"/>
  <c r="AN163" i="9"/>
  <c r="D163" i="9"/>
  <c r="D170" i="9"/>
  <c r="I170" i="9" s="1"/>
  <c r="AG156" i="9"/>
  <c r="X634" i="9"/>
  <c r="AN634" i="9" s="1"/>
  <c r="AN627" i="9"/>
  <c r="AV627" i="9"/>
  <c r="P47" i="5"/>
  <c r="P48" i="5" s="1"/>
  <c r="Q39" i="5"/>
  <c r="O61" i="15"/>
  <c r="O22" i="15"/>
  <c r="I48" i="9"/>
  <c r="DK82" i="20"/>
  <c r="AA28" i="5"/>
  <c r="AR84" i="9"/>
  <c r="K176" i="9"/>
  <c r="AC29" i="5"/>
  <c r="DM83" i="20"/>
  <c r="AG128" i="9"/>
  <c r="AR124" i="9"/>
  <c r="AI124" i="9"/>
  <c r="AK124" i="9" s="1"/>
  <c r="AR71" i="9"/>
  <c r="AT71" i="9" s="1"/>
  <c r="AI71" i="9"/>
  <c r="AK71" i="9" s="1"/>
  <c r="AT310" i="9"/>
  <c r="AT303" i="9"/>
  <c r="R275" i="9"/>
  <c r="T275" i="9" s="1"/>
  <c r="Z268" i="9"/>
  <c r="AB275" i="9" s="1"/>
  <c r="AG256" i="9"/>
  <c r="AI259" i="9"/>
  <c r="AK259" i="9" s="1"/>
  <c r="AI252" i="9"/>
  <c r="AK252" i="9" s="1"/>
  <c r="AR252" i="9"/>
  <c r="AR117" i="9"/>
  <c r="AG121" i="9"/>
  <c r="AI121" i="9" s="1"/>
  <c r="AI117" i="9"/>
  <c r="AK117" i="9" s="1"/>
  <c r="AI133" i="9"/>
  <c r="AI126" i="9"/>
  <c r="AI77" i="9"/>
  <c r="AK77" i="9" s="1"/>
  <c r="AI70" i="9"/>
  <c r="AK70" i="9" s="1"/>
  <c r="AR70" i="9"/>
  <c r="AB90" i="30"/>
  <c r="O51" i="5"/>
  <c r="AI291" i="9"/>
  <c r="AK291" i="9" s="1"/>
  <c r="AT248" i="9"/>
  <c r="AR242" i="9"/>
  <c r="AI217" i="9"/>
  <c r="AG214" i="9"/>
  <c r="AI214" i="9" s="1"/>
  <c r="AI210" i="9"/>
  <c r="G121" i="9"/>
  <c r="AB104" i="30" s="1"/>
  <c r="D121" i="9"/>
  <c r="AT288" i="9"/>
  <c r="AI131" i="9"/>
  <c r="AK131" i="9" s="1"/>
  <c r="AI127" i="9"/>
  <c r="AI134" i="9"/>
  <c r="I84" i="9"/>
  <c r="AK84" i="9" s="1"/>
  <c r="D93" i="9"/>
  <c r="I93" i="9" s="1"/>
  <c r="AI218" i="9"/>
  <c r="AI211" i="9"/>
  <c r="AI247" i="9"/>
  <c r="AK247" i="9" s="1"/>
  <c r="AI254" i="9"/>
  <c r="AK254" i="9" s="1"/>
  <c r="AR247" i="9"/>
  <c r="AR106" i="9"/>
  <c r="AR107" i="9" s="1"/>
  <c r="P226" i="9"/>
  <c r="R226" i="9" s="1"/>
  <c r="K227" i="9"/>
  <c r="AI305" i="9"/>
  <c r="AK305" i="9" s="1"/>
  <c r="AI312" i="9"/>
  <c r="AK312" i="9" s="1"/>
  <c r="AI69" i="9"/>
  <c r="AK69" i="9" s="1"/>
  <c r="AG72" i="9"/>
  <c r="AR69" i="9"/>
  <c r="AB303" i="9"/>
  <c r="AB310" i="9"/>
  <c r="AI245" i="9"/>
  <c r="AK245" i="9" s="1"/>
  <c r="AG249" i="9"/>
  <c r="AI249" i="9" s="1"/>
  <c r="AK249" i="9" s="1"/>
  <c r="AI106" i="9"/>
  <c r="AK106" i="9" s="1"/>
  <c r="AI113" i="9"/>
  <c r="AK113" i="9" s="1"/>
  <c r="R225" i="9"/>
  <c r="AR246" i="9"/>
  <c r="AN249" i="9"/>
  <c r="AR472" i="9"/>
  <c r="AN475" i="9"/>
  <c r="AR78" i="9"/>
  <c r="AI78" i="9"/>
  <c r="AK78" i="9" s="1"/>
  <c r="AI85" i="9"/>
  <c r="AG100" i="9"/>
  <c r="AI107" i="9" s="1"/>
  <c r="AI96" i="9"/>
  <c r="AK96" i="9" s="1"/>
  <c r="AV620" i="9"/>
  <c r="AW620" i="9" s="1"/>
  <c r="AN620" i="9"/>
  <c r="X159" i="9"/>
  <c r="AR96" i="9"/>
  <c r="I57" i="9"/>
  <c r="I21" i="9"/>
  <c r="AK246" i="9"/>
  <c r="P568" i="9"/>
  <c r="Z567" i="9"/>
  <c r="Z568" i="9" s="1"/>
  <c r="P260" i="9"/>
  <c r="K261" i="9"/>
  <c r="AT111" i="9"/>
  <c r="AK140" i="30"/>
  <c r="AS140" i="30"/>
  <c r="AR141" i="30"/>
  <c r="BI332" i="9"/>
  <c r="BH332" i="9" s="1"/>
  <c r="BH333" i="9" s="1"/>
  <c r="AN58" i="9"/>
  <c r="AR57" i="9"/>
  <c r="AN23" i="9"/>
  <c r="AP20" i="9"/>
  <c r="AB19" i="10"/>
  <c r="AG20" i="9"/>
  <c r="AE21" i="9"/>
  <c r="Z255" i="9"/>
  <c r="AB255" i="9" s="1"/>
  <c r="R255" i="9"/>
  <c r="T255" i="9" s="1"/>
  <c r="Z259" i="9"/>
  <c r="R259" i="9"/>
  <c r="T259" i="9" s="1"/>
  <c r="R214" i="9"/>
  <c r="R221" i="9"/>
  <c r="AT103" i="9"/>
  <c r="AT110" i="9"/>
  <c r="Z249" i="9"/>
  <c r="BK274" i="9"/>
  <c r="BU274" i="9" s="1"/>
  <c r="CE281" i="9" s="1"/>
  <c r="AI114" i="9"/>
  <c r="AI200" i="9"/>
  <c r="AI207" i="9"/>
  <c r="AT97" i="9"/>
  <c r="AT305" i="9"/>
  <c r="AT312" i="9"/>
  <c r="X500" i="9"/>
  <c r="AK500" i="9"/>
  <c r="T500" i="9"/>
  <c r="AT445" i="9"/>
  <c r="AT438" i="9"/>
  <c r="AK310" i="9"/>
  <c r="T310" i="9"/>
  <c r="AK158" i="30"/>
  <c r="AO158" i="30"/>
  <c r="AK323" i="9"/>
  <c r="T323" i="9"/>
  <c r="X323" i="9"/>
  <c r="J169" i="61"/>
  <c r="J75" i="61"/>
  <c r="J116" i="61"/>
  <c r="AD128" i="30"/>
  <c r="AK127" i="30"/>
  <c r="BQ127" i="30"/>
  <c r="BS127" i="30"/>
  <c r="BI319" i="9"/>
  <c r="AS134" i="30"/>
  <c r="AT580" i="9"/>
  <c r="AR582" i="9"/>
  <c r="AT582" i="9" s="1"/>
  <c r="AT296" i="9"/>
  <c r="AT289" i="9"/>
  <c r="AR114" i="9"/>
  <c r="AT119" i="9"/>
  <c r="AT112" i="9"/>
  <c r="BH316" i="9"/>
  <c r="BH317" i="9"/>
  <c r="BH318" i="9"/>
  <c r="CF26" i="20"/>
  <c r="D21" i="62" s="1"/>
  <c r="CH26" i="20"/>
  <c r="CE27" i="20" a="1"/>
  <c r="CF27" i="20" s="1"/>
  <c r="CG26" i="20"/>
  <c r="CV258" i="1"/>
  <c r="N93" i="20"/>
  <c r="P76" i="9"/>
  <c r="V75" i="10"/>
  <c r="X75" i="10" s="1"/>
  <c r="CH28" i="20"/>
  <c r="CE28" i="20"/>
  <c r="CF28" i="20"/>
  <c r="CG28" i="20"/>
  <c r="CP41" i="11"/>
  <c r="CQ35" i="11"/>
  <c r="T630" i="9"/>
  <c r="AH42" i="11"/>
  <c r="AL42" i="11"/>
  <c r="AM36" i="11"/>
  <c r="AI36" i="11"/>
  <c r="I40" i="20"/>
  <c r="J32" i="20"/>
  <c r="J36" i="20"/>
  <c r="AV160" i="30"/>
  <c r="AF35" i="10"/>
  <c r="AF42" i="10"/>
  <c r="AD151" i="30"/>
  <c r="AD148" i="30"/>
  <c r="AE148" i="30" s="1"/>
  <c r="AY163" i="9" s="1"/>
  <c r="U101" i="1"/>
  <c r="Q101" i="1"/>
  <c r="AA115" i="2"/>
  <c r="AA109" i="2"/>
  <c r="I139" i="61"/>
  <c r="I98" i="61"/>
  <c r="I57" i="61"/>
  <c r="CI102" i="1"/>
  <c r="CN92" i="1"/>
  <c r="CI96" i="1"/>
  <c r="CJ92" i="1"/>
  <c r="CI94" i="1"/>
  <c r="DB58" i="20"/>
  <c r="DB16" i="20"/>
  <c r="AD56" i="23"/>
  <c r="D54" i="61"/>
  <c r="D55" i="61" s="1"/>
  <c r="D136" i="61"/>
  <c r="D137" i="61" s="1"/>
  <c r="D95" i="61"/>
  <c r="D16" i="61"/>
  <c r="I5" i="5"/>
  <c r="AT5" i="5"/>
  <c r="U100" i="1"/>
  <c r="Q100" i="1"/>
  <c r="P105" i="1"/>
  <c r="X9" i="5"/>
  <c r="K155" i="30"/>
  <c r="V155" i="30"/>
  <c r="AW152" i="30" s="1"/>
  <c r="AV161" i="30"/>
  <c r="CM103" i="1"/>
  <c r="CN93" i="1"/>
  <c r="CM94" i="1"/>
  <c r="CR93" i="1"/>
  <c r="H7" i="77"/>
  <c r="H8" i="77" s="1"/>
  <c r="F7" i="77"/>
  <c r="F8" i="77" s="1"/>
  <c r="G7" i="77"/>
  <c r="G8" i="77" s="1"/>
  <c r="AW145" i="30"/>
  <c r="AW147" i="30"/>
  <c r="AW148" i="30"/>
  <c r="AW146" i="30"/>
  <c r="AV155" i="30"/>
  <c r="AS72" i="2"/>
  <c r="D106" i="61"/>
  <c r="D96" i="61"/>
  <c r="D111" i="61"/>
  <c r="D118" i="61"/>
  <c r="E118" i="61"/>
  <c r="AC109" i="2"/>
  <c r="R256" i="9"/>
  <c r="T256" i="9" s="1"/>
  <c r="C37" i="15"/>
  <c r="C39" i="15"/>
  <c r="M76" i="20"/>
  <c r="M64" i="20"/>
  <c r="J49" i="3"/>
  <c r="Z276" i="9"/>
  <c r="BY295" i="9"/>
  <c r="AB494" i="9"/>
  <c r="BP64" i="20"/>
  <c r="BP76" i="20"/>
  <c r="R436" i="9"/>
  <c r="T436" i="9" s="1"/>
  <c r="Z436" i="9"/>
  <c r="AR429" i="9"/>
  <c r="AG433" i="9"/>
  <c r="AI433" i="9" s="1"/>
  <c r="AK433" i="9" s="1"/>
  <c r="AI429" i="9"/>
  <c r="AK429" i="9" s="1"/>
  <c r="AT575" i="9"/>
  <c r="CA58" i="20"/>
  <c r="CA16" i="20"/>
  <c r="C11" i="62" s="1"/>
  <c r="AH159" i="30"/>
  <c r="AR159" i="30"/>
  <c r="L159" i="30"/>
  <c r="F159" i="30"/>
  <c r="AB54" i="5"/>
  <c r="AA55" i="5"/>
  <c r="DL72" i="20" s="1"/>
  <c r="M36" i="20"/>
  <c r="M32" i="20"/>
  <c r="M34" i="20" s="1"/>
  <c r="AV57" i="23"/>
  <c r="E4" i="77"/>
  <c r="E5" i="77" s="1"/>
  <c r="E11" i="77" s="1"/>
  <c r="E13" i="77" s="1"/>
  <c r="B4" i="77"/>
  <c r="B5" i="77" s="1"/>
  <c r="D4" i="77"/>
  <c r="D5" i="77" s="1"/>
  <c r="C4" i="77"/>
  <c r="C5" i="77" s="1"/>
  <c r="O95" i="61"/>
  <c r="O136" i="61"/>
  <c r="O54" i="61"/>
  <c r="AJ56" i="23"/>
  <c r="X56" i="3"/>
  <c r="X57" i="3" s="1"/>
  <c r="Z59" i="3"/>
  <c r="AR93" i="30"/>
  <c r="AV100" i="30"/>
  <c r="AH93" i="30"/>
  <c r="AY93" i="30"/>
  <c r="AH100" i="30"/>
  <c r="AG97" i="30"/>
  <c r="AG92" i="9"/>
  <c r="Y92" i="20"/>
  <c r="AP91" i="9"/>
  <c r="AB90" i="10"/>
  <c r="AD90" i="10" s="1"/>
  <c r="AG91" i="9"/>
  <c r="I32" i="20"/>
  <c r="I36" i="20"/>
  <c r="H40" i="20"/>
  <c r="H36" i="20"/>
  <c r="H34" i="20"/>
  <c r="G47" i="61"/>
  <c r="G49" i="61" s="1"/>
  <c r="G129" i="61"/>
  <c r="G131" i="61" s="1"/>
  <c r="G88" i="61"/>
  <c r="G90" i="61" s="1"/>
  <c r="G10" i="61"/>
  <c r="AE41" i="9"/>
  <c r="AG40" i="9"/>
  <c r="AB39" i="10"/>
  <c r="AD39" i="10" s="1"/>
  <c r="AP40" i="9"/>
  <c r="AP44" i="9" s="1"/>
  <c r="DC23" i="20"/>
  <c r="DC62" i="20"/>
  <c r="AS27" i="30"/>
  <c r="C57" i="61"/>
  <c r="C139" i="61"/>
  <c r="C32" i="61"/>
  <c r="C21" i="61"/>
  <c r="C23" i="61" s="1"/>
  <c r="C98" i="61"/>
  <c r="B7" i="77"/>
  <c r="B8" i="77" s="1"/>
  <c r="C7" i="77"/>
  <c r="C8" i="77" s="1"/>
  <c r="D7" i="77"/>
  <c r="D8" i="77" s="1"/>
  <c r="AV159" i="30"/>
  <c r="Z8" i="3"/>
  <c r="AE6" i="2"/>
  <c r="AR154" i="30"/>
  <c r="AH154" i="30"/>
  <c r="AG155" i="30"/>
  <c r="R154" i="30"/>
  <c r="F154" i="30"/>
  <c r="L154" i="30"/>
  <c r="K439" i="9"/>
  <c r="M28" i="5"/>
  <c r="CN74" i="1"/>
  <c r="CN84" i="1"/>
  <c r="CO74" i="1"/>
  <c r="CS74" i="1"/>
  <c r="AS151" i="30"/>
  <c r="AS158" i="30"/>
  <c r="AK151" i="30"/>
  <c r="BX268" i="1"/>
  <c r="CB268" i="1"/>
  <c r="BD15" i="20"/>
  <c r="BD55" i="20" s="1"/>
  <c r="CR23" i="20"/>
  <c r="CR62" i="20"/>
  <c r="CR61" i="20"/>
  <c r="P572" i="9"/>
  <c r="K573" i="9"/>
  <c r="E64" i="20"/>
  <c r="CQ55" i="20"/>
  <c r="CQ19" i="20"/>
  <c r="CR74" i="20"/>
  <c r="CQ60" i="20"/>
  <c r="BX62" i="20"/>
  <c r="BX23" i="20"/>
  <c r="BX61" i="20"/>
  <c r="AT17" i="5"/>
  <c r="AR317" i="9"/>
  <c r="AR494" i="9"/>
  <c r="AQ23" i="20"/>
  <c r="AQ62" i="20"/>
  <c r="AQ61" i="20"/>
  <c r="AR436" i="9"/>
  <c r="AG440" i="9"/>
  <c r="AI436" i="9"/>
  <c r="AK436" i="9" s="1"/>
  <c r="AI443" i="9"/>
  <c r="AK443" i="9" s="1"/>
  <c r="K588" i="9"/>
  <c r="S29" i="5"/>
  <c r="DC83" i="20"/>
  <c r="R169" i="10"/>
  <c r="CB80" i="20" s="1"/>
  <c r="AH169" i="10"/>
  <c r="BZ16" i="20"/>
  <c r="DI12" i="20"/>
  <c r="CB19" i="20"/>
  <c r="CB74" i="20"/>
  <c r="CB60" i="20"/>
  <c r="Q160" i="30"/>
  <c r="F147" i="30"/>
  <c r="R147" i="30"/>
  <c r="L147" i="30"/>
  <c r="AG148" i="30"/>
  <c r="AH147" i="30"/>
  <c r="AR147" i="30"/>
  <c r="AB166" i="1"/>
  <c r="I45" i="20"/>
  <c r="I43" i="20" s="1"/>
  <c r="K39" i="20"/>
  <c r="K40" i="20" s="1"/>
  <c r="M44" i="20"/>
  <c r="AS34" i="20"/>
  <c r="G57" i="61"/>
  <c r="G98" i="61"/>
  <c r="G139" i="61"/>
  <c r="CU67" i="20"/>
  <c r="CU12" i="20"/>
  <c r="CV67" i="20"/>
  <c r="CU59" i="20"/>
  <c r="R162" i="10"/>
  <c r="CA80" i="20" s="1"/>
  <c r="T161" i="10"/>
  <c r="AH162" i="10"/>
  <c r="F51" i="23"/>
  <c r="L54" i="61"/>
  <c r="L95" i="61"/>
  <c r="L136" i="61"/>
  <c r="C8" i="15"/>
  <c r="B31" i="15"/>
  <c r="B33" i="15"/>
  <c r="B37" i="15"/>
  <c r="B11" i="15"/>
  <c r="B26" i="15"/>
  <c r="I4" i="77"/>
  <c r="I5" i="77" s="1"/>
  <c r="I11" i="77" s="1"/>
  <c r="I13" i="77" s="1"/>
  <c r="G4" i="77"/>
  <c r="G5" i="77" s="1"/>
  <c r="F4" i="77"/>
  <c r="F5" i="77" s="1"/>
  <c r="F11" i="77" s="1"/>
  <c r="F13" i="77" s="1"/>
  <c r="H4" i="77"/>
  <c r="H5" i="77" s="1"/>
  <c r="O14" i="5"/>
  <c r="P14" i="5"/>
  <c r="AS69" i="30"/>
  <c r="V56" i="1"/>
  <c r="Q56" i="1"/>
  <c r="R56" i="1"/>
  <c r="AB253" i="9"/>
  <c r="M23" i="20"/>
  <c r="M61" i="20"/>
  <c r="M62" i="20"/>
  <c r="CW55" i="1"/>
  <c r="CV55" i="1"/>
  <c r="CD281" i="9"/>
  <c r="AV140" i="9"/>
  <c r="AV324" i="9"/>
  <c r="X331" i="9"/>
  <c r="X147" i="9"/>
  <c r="AW494" i="9"/>
  <c r="AV501" i="9"/>
  <c r="X508" i="9"/>
  <c r="T63" i="20"/>
  <c r="T25" i="20"/>
  <c r="AQ64" i="20"/>
  <c r="R64" i="20"/>
  <c r="R76" i="20"/>
  <c r="R62" i="20"/>
  <c r="R23" i="20"/>
  <c r="R61" i="20"/>
  <c r="M92" i="20"/>
  <c r="AG75" i="9"/>
  <c r="AG76" i="9"/>
  <c r="AB74" i="10"/>
  <c r="AD74" i="10" s="1"/>
  <c r="AP75" i="9"/>
  <c r="AP79" i="9" s="1"/>
  <c r="BY294" i="9"/>
  <c r="CI294" i="9"/>
  <c r="CO280" i="9"/>
  <c r="AR601" i="9"/>
  <c r="AW601" i="9"/>
  <c r="P581" i="9"/>
  <c r="P585" i="9"/>
  <c r="CS54" i="1"/>
  <c r="CR54" i="1"/>
  <c r="DF44" i="20"/>
  <c r="DF33" i="20"/>
  <c r="DF34" i="20" s="1"/>
  <c r="O47" i="61"/>
  <c r="O49" i="61" s="1"/>
  <c r="O88" i="61"/>
  <c r="O90" i="61" s="1"/>
  <c r="O10" i="61"/>
  <c r="X34" i="15"/>
  <c r="X65" i="5"/>
  <c r="X39" i="15"/>
  <c r="K160" i="30"/>
  <c r="K32" i="20"/>
  <c r="K36" i="20"/>
  <c r="X774" i="9"/>
  <c r="D774" i="9" s="1"/>
  <c r="F6" i="23"/>
  <c r="N7" i="11"/>
  <c r="AP18" i="5"/>
  <c r="AO22" i="5"/>
  <c r="J39" i="20"/>
  <c r="J40" i="20" s="1"/>
  <c r="DA16" i="20"/>
  <c r="DA58" i="20"/>
  <c r="H88" i="61"/>
  <c r="H90" i="61" s="1"/>
  <c r="H129" i="61"/>
  <c r="H131" i="61" s="1"/>
  <c r="H47" i="61"/>
  <c r="H49" i="61" s="1"/>
  <c r="H10" i="61"/>
  <c r="L98" i="61"/>
  <c r="L57" i="61"/>
  <c r="CX19" i="20"/>
  <c r="AO101" i="1"/>
  <c r="AN105" i="1"/>
  <c r="AV101" i="1"/>
  <c r="AN106" i="1"/>
  <c r="R429" i="9"/>
  <c r="T429" i="9" s="1"/>
  <c r="Z429" i="9"/>
  <c r="E65" i="5"/>
  <c r="E66" i="5" s="1"/>
  <c r="Q54" i="1"/>
  <c r="R54" i="1"/>
  <c r="V54" i="1"/>
  <c r="P76" i="1"/>
  <c r="Q82" i="1"/>
  <c r="P74" i="1"/>
  <c r="Q72" i="1"/>
  <c r="P92" i="1"/>
  <c r="V72" i="1"/>
  <c r="R72" i="1"/>
  <c r="AB614" i="9"/>
  <c r="X621" i="9"/>
  <c r="AV614" i="9"/>
  <c r="AN614" i="9"/>
  <c r="AG516" i="9"/>
  <c r="AE520" i="9"/>
  <c r="P430" i="9"/>
  <c r="K431" i="9"/>
  <c r="E62" i="20"/>
  <c r="E61" i="20"/>
  <c r="E23" i="20"/>
  <c r="O66" i="5"/>
  <c r="CZ62" i="20"/>
  <c r="CZ23" i="20"/>
  <c r="CZ61" i="20"/>
  <c r="M45" i="61"/>
  <c r="M30" i="61"/>
  <c r="M159" i="61" s="1"/>
  <c r="M157" i="61" s="1"/>
  <c r="M35" i="61"/>
  <c r="M10" i="61"/>
  <c r="M86" i="61"/>
  <c r="V34" i="15"/>
  <c r="V39" i="15"/>
  <c r="V65" i="5"/>
  <c r="V66" i="5" s="1"/>
  <c r="AB571" i="9"/>
  <c r="AB578" i="9"/>
  <c r="CU95" i="1"/>
  <c r="CV95" i="1" s="1"/>
  <c r="CV91" i="1"/>
  <c r="CU101" i="1"/>
  <c r="AB502" i="9"/>
  <c r="AR502" i="9"/>
  <c r="BX64" i="20"/>
  <c r="Z266" i="9"/>
  <c r="R266" i="9"/>
  <c r="T266" i="9" s="1"/>
  <c r="P281" i="9"/>
  <c r="P280" i="9"/>
  <c r="BZ281" i="9"/>
  <c r="CJ281" i="9"/>
  <c r="AW317" i="9"/>
  <c r="BP23" i="20"/>
  <c r="BP61" i="20"/>
  <c r="BP62" i="20"/>
  <c r="K437" i="9"/>
  <c r="K82" i="9"/>
  <c r="AR430" i="9"/>
  <c r="AI437" i="9"/>
  <c r="AK437" i="9" s="1"/>
  <c r="AI430" i="9"/>
  <c r="AK430" i="9" s="1"/>
  <c r="CJ294" i="9"/>
  <c r="BU295" i="9"/>
  <c r="BZ294" i="9"/>
  <c r="AN608" i="9"/>
  <c r="X615" i="9"/>
  <c r="AB608" i="9"/>
  <c r="AV608" i="9"/>
  <c r="CE27" i="20"/>
  <c r="CM231" i="1"/>
  <c r="CM188" i="1"/>
  <c r="CM133" i="1" s="1"/>
  <c r="CM144" i="1" s="1"/>
  <c r="W175" i="9"/>
  <c r="AO44" i="20" l="1"/>
  <c r="AO33" i="20"/>
  <c r="AO34" i="20" s="1"/>
  <c r="AU201" i="1"/>
  <c r="CW43" i="20" s="1"/>
  <c r="AU222" i="1"/>
  <c r="CZ46" i="20"/>
  <c r="BK201" i="1"/>
  <c r="DA43" i="20" s="1"/>
  <c r="U44" i="20"/>
  <c r="U33" i="20"/>
  <c r="U34" i="20" s="1"/>
  <c r="CW46" i="20"/>
  <c r="BG201" i="1"/>
  <c r="CZ43" i="20" s="1"/>
  <c r="BG222" i="1"/>
  <c r="BS201" i="1"/>
  <c r="DC43" i="20" s="1"/>
  <c r="AY44" i="20"/>
  <c r="AY33" i="20"/>
  <c r="AY34" i="20" s="1"/>
  <c r="CU176" i="1"/>
  <c r="CY209" i="1"/>
  <c r="CY176" i="1" s="1"/>
  <c r="CY208" i="1"/>
  <c r="CY175" i="1" s="1"/>
  <c r="CU175" i="1"/>
  <c r="CA87" i="20"/>
  <c r="C24" i="62"/>
  <c r="BZ88" i="20"/>
  <c r="C14" i="62"/>
  <c r="C18" i="62" s="1"/>
  <c r="F35" i="62"/>
  <c r="O110" i="61"/>
  <c r="O160" i="61" s="1"/>
  <c r="O117" i="61"/>
  <c r="O69" i="61"/>
  <c r="O158" i="61" s="1"/>
  <c r="O76" i="61"/>
  <c r="I21" i="62"/>
  <c r="H21" i="62"/>
  <c r="CY256" i="1"/>
  <c r="CY260" i="1" s="1"/>
  <c r="CZ120" i="1"/>
  <c r="W169" i="71"/>
  <c r="I15" i="71"/>
  <c r="I38" i="71" s="1"/>
  <c r="I33" i="71"/>
  <c r="J29" i="71" s="1"/>
  <c r="I24" i="71"/>
  <c r="V161" i="71"/>
  <c r="W161" i="71" s="1"/>
  <c r="U162" i="71"/>
  <c r="V162" i="71" s="1"/>
  <c r="U157" i="71"/>
  <c r="V157" i="71" s="1"/>
  <c r="J155" i="71"/>
  <c r="J171" i="71" s="1"/>
  <c r="J23" i="71" s="1"/>
  <c r="J12" i="71" s="1"/>
  <c r="J13" i="71" s="1"/>
  <c r="V160" i="71"/>
  <c r="W160" i="71" s="1"/>
  <c r="S156" i="71"/>
  <c r="T156" i="71" s="1"/>
  <c r="W52" i="71"/>
  <c r="Z56" i="5"/>
  <c r="P354" i="9"/>
  <c r="P173" i="9"/>
  <c r="R358" i="9"/>
  <c r="Z350" i="9"/>
  <c r="K183" i="9"/>
  <c r="CJ93" i="20" s="1" a="1"/>
  <c r="R357" i="9"/>
  <c r="CY122" i="1"/>
  <c r="CY112" i="1" s="1"/>
  <c r="CY125" i="1"/>
  <c r="BT296" i="9"/>
  <c r="BT297" i="9" s="1"/>
  <c r="BZ274" i="9"/>
  <c r="AK85" i="9"/>
  <c r="BH283" i="9"/>
  <c r="BH284" i="9" s="1"/>
  <c r="CI274" i="9"/>
  <c r="BI282" i="9"/>
  <c r="BH282" i="9" s="1"/>
  <c r="AS88" i="30"/>
  <c r="AS40" i="30"/>
  <c r="AS33" i="30"/>
  <c r="BL301" i="9"/>
  <c r="BV301" i="9" s="1"/>
  <c r="BK301" i="9"/>
  <c r="BU301" i="9" s="1"/>
  <c r="BJ301" i="9"/>
  <c r="BT301" i="9" s="1"/>
  <c r="BM301" i="9"/>
  <c r="BW301" i="9" s="1"/>
  <c r="AS109" i="30"/>
  <c r="AK109" i="30"/>
  <c r="BI302" i="9"/>
  <c r="BH302" i="9" s="1"/>
  <c r="D588" i="9"/>
  <c r="I588" i="9" s="1"/>
  <c r="AK588" i="9" s="1"/>
  <c r="X589" i="9"/>
  <c r="D595" i="9"/>
  <c r="I595" i="9" s="1"/>
  <c r="AK595" i="9" s="1"/>
  <c r="AN588" i="9"/>
  <c r="R524" i="9"/>
  <c r="V175" i="10"/>
  <c r="CE93" i="20" a="1"/>
  <c r="Z41" i="5"/>
  <c r="AA41" i="5" s="1"/>
  <c r="AB41" i="5" s="1"/>
  <c r="AC41" i="5" s="1"/>
  <c r="AD41" i="5" s="1"/>
  <c r="AD38" i="5" s="1"/>
  <c r="AG41" i="5"/>
  <c r="E96" i="61"/>
  <c r="E111" i="61"/>
  <c r="E106" i="61"/>
  <c r="F161" i="61"/>
  <c r="F137" i="61"/>
  <c r="F174" i="61"/>
  <c r="E161" i="61"/>
  <c r="E137" i="61"/>
  <c r="E150" i="61"/>
  <c r="F150" i="61"/>
  <c r="AI60" i="20"/>
  <c r="AI19" i="20"/>
  <c r="AI74" i="20"/>
  <c r="AI55" i="20"/>
  <c r="Z60" i="20"/>
  <c r="Z74" i="20"/>
  <c r="Z55" i="20"/>
  <c r="Z19" i="20"/>
  <c r="AR61" i="20"/>
  <c r="AR62" i="20"/>
  <c r="AR23" i="20"/>
  <c r="BF23" i="20"/>
  <c r="BF62" i="20"/>
  <c r="BF61" i="20"/>
  <c r="AS19" i="20"/>
  <c r="AS55" i="20"/>
  <c r="AS60" i="20"/>
  <c r="AS74" i="20"/>
  <c r="AT19" i="20"/>
  <c r="AT60" i="20"/>
  <c r="AT55" i="20"/>
  <c r="AT74" i="20"/>
  <c r="AY74" i="20"/>
  <c r="H25" i="20"/>
  <c r="H75" i="20" s="1"/>
  <c r="BW74" i="20"/>
  <c r="BW19" i="20"/>
  <c r="BW55" i="20"/>
  <c r="BW60" i="20"/>
  <c r="BW89" i="20" s="1"/>
  <c r="BU55" i="20"/>
  <c r="BU60" i="20"/>
  <c r="BU89" i="20" s="1"/>
  <c r="BU74" i="20"/>
  <c r="BU19" i="20"/>
  <c r="CW55" i="20"/>
  <c r="CW64" i="20" s="1"/>
  <c r="CX74" i="20"/>
  <c r="CW19" i="20"/>
  <c r="CW60" i="20"/>
  <c r="BK23" i="20"/>
  <c r="BK62" i="20"/>
  <c r="BK61" i="20"/>
  <c r="CB89" i="20"/>
  <c r="AE74" i="20"/>
  <c r="AN74" i="20"/>
  <c r="P74" i="20"/>
  <c r="P60" i="20"/>
  <c r="U74" i="20"/>
  <c r="P19" i="20"/>
  <c r="P55" i="20"/>
  <c r="K60" i="20"/>
  <c r="K74" i="20"/>
  <c r="K19" i="20"/>
  <c r="K55" i="20"/>
  <c r="AD55" i="20"/>
  <c r="AD64" i="20" s="1"/>
  <c r="AD60" i="20"/>
  <c r="AD19" i="20"/>
  <c r="AM23" i="20"/>
  <c r="AM62" i="20"/>
  <c r="AM61" i="20"/>
  <c r="BW87" i="20"/>
  <c r="BU87" i="20"/>
  <c r="BS55" i="20"/>
  <c r="BS60" i="20"/>
  <c r="BX89" i="20" s="1"/>
  <c r="BS19" i="20"/>
  <c r="BX74" i="20"/>
  <c r="BZ87" i="20"/>
  <c r="AX64" i="20"/>
  <c r="AX76" i="20"/>
  <c r="AB23" i="20"/>
  <c r="AB61" i="20"/>
  <c r="AB62" i="20"/>
  <c r="CG27" i="20"/>
  <c r="CB88" i="20"/>
  <c r="AC64" i="20"/>
  <c r="AH76" i="20"/>
  <c r="AC76" i="20"/>
  <c r="J60" i="20"/>
  <c r="J19" i="20"/>
  <c r="J55" i="20"/>
  <c r="O76" i="20" s="1"/>
  <c r="J74" i="20"/>
  <c r="O64" i="20"/>
  <c r="AB64" i="20"/>
  <c r="AG19" i="20"/>
  <c r="AG60" i="20"/>
  <c r="AG74" i="20"/>
  <c r="AG55" i="20"/>
  <c r="BC76" i="20"/>
  <c r="S60" i="20"/>
  <c r="S55" i="20"/>
  <c r="X74" i="20"/>
  <c r="S19" i="20"/>
  <c r="S74" i="20"/>
  <c r="N23" i="20"/>
  <c r="N61" i="20"/>
  <c r="N62" i="20"/>
  <c r="CH27" i="20"/>
  <c r="DG12" i="20"/>
  <c r="CZ64" i="20"/>
  <c r="CC88" i="20"/>
  <c r="BN55" i="20"/>
  <c r="BN60" i="20"/>
  <c r="BN74" i="20"/>
  <c r="BN19" i="20"/>
  <c r="BS74" i="20"/>
  <c r="BI60" i="20"/>
  <c r="BN89" i="20" s="1"/>
  <c r="BI19" i="20"/>
  <c r="BI74" i="20"/>
  <c r="BI55" i="20"/>
  <c r="BI64" i="20" s="1"/>
  <c r="W60" i="20"/>
  <c r="W19" i="20"/>
  <c r="W55" i="20"/>
  <c r="AB76" i="20" s="1"/>
  <c r="W74" i="20"/>
  <c r="AV60" i="20"/>
  <c r="AV19" i="20"/>
  <c r="AV74" i="20"/>
  <c r="AV55" i="20"/>
  <c r="BD61" i="20"/>
  <c r="BD23" i="20"/>
  <c r="BD62" i="20"/>
  <c r="AN23" i="20"/>
  <c r="AN62" i="20"/>
  <c r="AN61" i="20"/>
  <c r="AB74" i="20"/>
  <c r="T64" i="20"/>
  <c r="T76" i="20"/>
  <c r="O61" i="20"/>
  <c r="O23" i="20"/>
  <c r="O62" i="20"/>
  <c r="AC62" i="20"/>
  <c r="AC23" i="20"/>
  <c r="AC61" i="20"/>
  <c r="O74" i="20"/>
  <c r="AO62" i="20"/>
  <c r="AO61" i="20"/>
  <c r="AO23" i="20"/>
  <c r="AX62" i="20"/>
  <c r="AX23" i="20"/>
  <c r="AX61" i="20"/>
  <c r="BC63" i="20"/>
  <c r="BC25" i="20"/>
  <c r="CY55" i="20"/>
  <c r="CY64" i="20" s="1"/>
  <c r="CY19" i="20"/>
  <c r="CY60" i="20"/>
  <c r="BA19" i="20"/>
  <c r="BA55" i="20"/>
  <c r="BA74" i="20"/>
  <c r="BA60" i="20"/>
  <c r="BK89" i="20" s="1"/>
  <c r="BF74" i="20"/>
  <c r="D55" i="20"/>
  <c r="D64" i="20" s="1"/>
  <c r="D60" i="20"/>
  <c r="D19" i="20"/>
  <c r="AH50" i="10"/>
  <c r="R50" i="10"/>
  <c r="R92" i="10"/>
  <c r="Z80" i="20" s="1"/>
  <c r="AH92" i="10"/>
  <c r="N49" i="3"/>
  <c r="CT61" i="20"/>
  <c r="CT62" i="20"/>
  <c r="CT23" i="20"/>
  <c r="E38" i="61"/>
  <c r="D38" i="61"/>
  <c r="D26" i="61"/>
  <c r="D31" i="61"/>
  <c r="D174" i="61"/>
  <c r="E174" i="61"/>
  <c r="D150" i="61"/>
  <c r="D161" i="61"/>
  <c r="D65" i="61"/>
  <c r="E79" i="61" s="1"/>
  <c r="D70" i="61"/>
  <c r="E77" i="61"/>
  <c r="V168" i="10"/>
  <c r="X168" i="10" s="1"/>
  <c r="Z168" i="10" s="1"/>
  <c r="BZ93" i="20" a="1"/>
  <c r="AQ109" i="2"/>
  <c r="AQ115" i="2"/>
  <c r="R527" i="9"/>
  <c r="T527" i="9" s="1"/>
  <c r="Z527" i="9"/>
  <c r="AB259" i="9"/>
  <c r="AT96" i="9"/>
  <c r="DN83" i="20"/>
  <c r="AD29" i="5"/>
  <c r="DO83" i="20" s="1"/>
  <c r="P169" i="9"/>
  <c r="AS103" i="2"/>
  <c r="AU102" i="2"/>
  <c r="AR155" i="30"/>
  <c r="BT275" i="9"/>
  <c r="CI275" i="9" s="1"/>
  <c r="CI281" i="9"/>
  <c r="AR277" i="9"/>
  <c r="AT277" i="9" s="1"/>
  <c r="AT280" i="9"/>
  <c r="K273" i="9"/>
  <c r="P269" i="9"/>
  <c r="R537" i="9"/>
  <c r="I537" i="9" s="1"/>
  <c r="AW627" i="9"/>
  <c r="Z105" i="9"/>
  <c r="AB105" i="9" s="1"/>
  <c r="R105" i="9"/>
  <c r="T105" i="9" s="1"/>
  <c r="DG59" i="20"/>
  <c r="AI141" i="9"/>
  <c r="AK141" i="9" s="1"/>
  <c r="AT454" i="9"/>
  <c r="AI142" i="9"/>
  <c r="DG67" i="20"/>
  <c r="Z256" i="9"/>
  <c r="AB256" i="9" s="1"/>
  <c r="AT118" i="9"/>
  <c r="AI149" i="9"/>
  <c r="BH325" i="9"/>
  <c r="BL325" i="9" s="1"/>
  <c r="AS117" i="30"/>
  <c r="Q7" i="5"/>
  <c r="Q63" i="5" s="1"/>
  <c r="AR141" i="9"/>
  <c r="AR142" i="9" s="1"/>
  <c r="AI148" i="9"/>
  <c r="AK148" i="9" s="1"/>
  <c r="AT426" i="9"/>
  <c r="AK107" i="9"/>
  <c r="F120" i="30"/>
  <c r="X166" i="9"/>
  <c r="AV166" i="9" s="1"/>
  <c r="AW173" i="9" s="1"/>
  <c r="AY120" i="30"/>
  <c r="R752" i="9"/>
  <c r="I752" i="9" s="1"/>
  <c r="D752" i="9" s="1"/>
  <c r="AR48" i="9"/>
  <c r="AT55" i="9" s="1"/>
  <c r="AI55" i="9"/>
  <c r="AK55" i="9" s="1"/>
  <c r="T524" i="9"/>
  <c r="AB487" i="9"/>
  <c r="AG49" i="9"/>
  <c r="AP49" i="9"/>
  <c r="AB48" i="10"/>
  <c r="AD48" i="10" s="1"/>
  <c r="AF55" i="10" s="1"/>
  <c r="AG50" i="9"/>
  <c r="AI57" i="9" s="1"/>
  <c r="AK57" i="9" s="1"/>
  <c r="W30" i="5"/>
  <c r="DG85" i="20"/>
  <c r="K759" i="9"/>
  <c r="R756" i="9"/>
  <c r="I756" i="9" s="1"/>
  <c r="D756" i="9" s="1"/>
  <c r="P746" i="9"/>
  <c r="R746" i="9" s="1"/>
  <c r="R745" i="9"/>
  <c r="I745" i="9" s="1"/>
  <c r="D745" i="9" s="1"/>
  <c r="R749" i="9"/>
  <c r="I749" i="9" s="1"/>
  <c r="D749" i="9" s="1"/>
  <c r="P753" i="9"/>
  <c r="P15" i="9"/>
  <c r="K19" i="9"/>
  <c r="V14" i="10"/>
  <c r="X14" i="10" s="1"/>
  <c r="K290" i="9"/>
  <c r="Q27" i="5"/>
  <c r="D15" i="5"/>
  <c r="D26" i="5" s="1"/>
  <c r="AO26" i="5"/>
  <c r="C44" i="5"/>
  <c r="C45" i="5" s="1"/>
  <c r="C32" i="5"/>
  <c r="K22" i="9"/>
  <c r="R353" i="9"/>
  <c r="E161" i="30" s="1"/>
  <c r="K287" i="9"/>
  <c r="L283" i="9"/>
  <c r="P283" i="9"/>
  <c r="P284" i="9" s="1"/>
  <c r="K284" i="9"/>
  <c r="CZ271" i="1"/>
  <c r="CV271" i="1"/>
  <c r="CZ255" i="1"/>
  <c r="BV63" i="20"/>
  <c r="BV25" i="20"/>
  <c r="BM63" i="20"/>
  <c r="BM25" i="20"/>
  <c r="AK480" i="9"/>
  <c r="T480" i="9"/>
  <c r="H40" i="15"/>
  <c r="H45" i="15"/>
  <c r="H43" i="15"/>
  <c r="BQ63" i="20"/>
  <c r="BQ25" i="20"/>
  <c r="BQ75" i="20" s="1"/>
  <c r="I52" i="61"/>
  <c r="I68" i="61"/>
  <c r="Y23" i="20"/>
  <c r="Y61" i="20"/>
  <c r="Y62" i="20"/>
  <c r="J117" i="61"/>
  <c r="K117" i="61"/>
  <c r="J76" i="61"/>
  <c r="K76" i="61"/>
  <c r="AK487" i="9"/>
  <c r="T487" i="9"/>
  <c r="AR480" i="9"/>
  <c r="BH303" i="9"/>
  <c r="F52" i="61"/>
  <c r="F68" i="61"/>
  <c r="BG25" i="20"/>
  <c r="BG63" i="20"/>
  <c r="I153" i="61"/>
  <c r="I134" i="61"/>
  <c r="CS58" i="20"/>
  <c r="CS16" i="20"/>
  <c r="I62" i="20"/>
  <c r="I23" i="20"/>
  <c r="I61" i="20"/>
  <c r="AY25" i="20"/>
  <c r="AY63" i="20"/>
  <c r="Y64" i="20"/>
  <c r="Y76" i="20"/>
  <c r="AD76" i="20"/>
  <c r="AQ83" i="20"/>
  <c r="AD16" i="3"/>
  <c r="AD33" i="3" s="1"/>
  <c r="AD45" i="3" s="1"/>
  <c r="C106" i="61"/>
  <c r="D120" i="61" s="1"/>
  <c r="C96" i="61"/>
  <c r="C101" i="61" s="1"/>
  <c r="C103" i="61" s="1"/>
  <c r="C111" i="61"/>
  <c r="F48" i="15"/>
  <c r="F46" i="15"/>
  <c r="CX64" i="20"/>
  <c r="AV45" i="1"/>
  <c r="BA45" i="1"/>
  <c r="F31" i="61"/>
  <c r="F38" i="61"/>
  <c r="F16" i="61"/>
  <c r="F26" i="61"/>
  <c r="F40" i="61" s="1"/>
  <c r="N76" i="20"/>
  <c r="I76" i="20"/>
  <c r="I64" i="20"/>
  <c r="AN481" i="9"/>
  <c r="AR481" i="9" s="1"/>
  <c r="X127" i="9"/>
  <c r="X128" i="9" s="1"/>
  <c r="D481" i="9"/>
  <c r="I481" i="9" s="1"/>
  <c r="AK481" i="9" s="1"/>
  <c r="D488" i="9"/>
  <c r="I488" i="9" s="1"/>
  <c r="AK488" i="9" s="1"/>
  <c r="AH119" i="30"/>
  <c r="AL64" i="20"/>
  <c r="CC58" i="20"/>
  <c r="CC16" i="20"/>
  <c r="O49" i="15"/>
  <c r="N49" i="15"/>
  <c r="AE64" i="20"/>
  <c r="AJ76" i="20"/>
  <c r="AE76" i="20"/>
  <c r="AJ64" i="20"/>
  <c r="AO76" i="20"/>
  <c r="AE62" i="20"/>
  <c r="AE61" i="20"/>
  <c r="AJ62" i="20"/>
  <c r="AJ61" i="20"/>
  <c r="AJ23" i="20"/>
  <c r="AE23" i="20"/>
  <c r="AV46" i="1"/>
  <c r="BA46" i="1"/>
  <c r="Q43" i="15"/>
  <c r="Q40" i="15"/>
  <c r="Q45" i="15"/>
  <c r="E40" i="15"/>
  <c r="E45" i="15"/>
  <c r="E43" i="15"/>
  <c r="I93" i="61"/>
  <c r="I109" i="61"/>
  <c r="CO60" i="20"/>
  <c r="CO74" i="20"/>
  <c r="CO55" i="20"/>
  <c r="CO19" i="20"/>
  <c r="N52" i="15"/>
  <c r="M49" i="15"/>
  <c r="J173" i="61"/>
  <c r="K173" i="61"/>
  <c r="Z16" i="3"/>
  <c r="Z33" i="3" s="1"/>
  <c r="Z45" i="3" s="1"/>
  <c r="F93" i="61"/>
  <c r="F109" i="61"/>
  <c r="H11" i="77"/>
  <c r="H13" i="77" s="1"/>
  <c r="AL61" i="20"/>
  <c r="AL23" i="20"/>
  <c r="AL62" i="20"/>
  <c r="X16" i="3"/>
  <c r="X33" i="3" s="1"/>
  <c r="X45" i="3" s="1"/>
  <c r="AA48" i="2"/>
  <c r="AR111" i="30"/>
  <c r="AH111" i="30"/>
  <c r="AG112" i="30"/>
  <c r="AY111" i="30"/>
  <c r="CP19" i="20"/>
  <c r="CP60" i="20"/>
  <c r="CP55" i="20"/>
  <c r="CQ76" i="20" s="1"/>
  <c r="CP74" i="20"/>
  <c r="X482" i="9"/>
  <c r="AN126" i="9"/>
  <c r="AR126" i="9" s="1"/>
  <c r="AT133" i="9" s="1"/>
  <c r="D126" i="9"/>
  <c r="I126" i="9" s="1"/>
  <c r="AK126" i="9" s="1"/>
  <c r="D133" i="9"/>
  <c r="I133" i="9" s="1"/>
  <c r="AK133" i="9" s="1"/>
  <c r="Z126" i="9"/>
  <c r="D45" i="15"/>
  <c r="D43" i="15"/>
  <c r="D40" i="15"/>
  <c r="C70" i="61"/>
  <c r="C55" i="61"/>
  <c r="C60" i="61" s="1"/>
  <c r="C62" i="61" s="1"/>
  <c r="D77" i="61"/>
  <c r="C65" i="61"/>
  <c r="AV44" i="1"/>
  <c r="BA44" i="1"/>
  <c r="I13" i="61"/>
  <c r="I29" i="61"/>
  <c r="BH63" i="20"/>
  <c r="BH25" i="20"/>
  <c r="BH75" i="20" s="1"/>
  <c r="F25" i="20"/>
  <c r="F63" i="20"/>
  <c r="R384" i="9"/>
  <c r="AV634" i="9"/>
  <c r="AW634" i="9" s="1"/>
  <c r="AH127" i="30"/>
  <c r="X502" i="9"/>
  <c r="AW132" i="30"/>
  <c r="AW131" i="30"/>
  <c r="R173" i="9"/>
  <c r="T173" i="9" s="1"/>
  <c r="Z173" i="9"/>
  <c r="AB173" i="9" s="1"/>
  <c r="X496" i="9"/>
  <c r="G496" i="9" s="1"/>
  <c r="M127" i="30" s="1"/>
  <c r="AW133" i="30"/>
  <c r="P391" i="9"/>
  <c r="R398" i="9" s="1"/>
  <c r="R387" i="9"/>
  <c r="R394" i="9"/>
  <c r="AW141" i="30"/>
  <c r="AW138" i="30"/>
  <c r="AW140" i="30"/>
  <c r="AW139" i="30"/>
  <c r="AW137" i="30"/>
  <c r="AT617" i="9"/>
  <c r="AP510" i="9"/>
  <c r="AT510" i="9" s="1"/>
  <c r="AT506" i="9"/>
  <c r="AT513" i="9"/>
  <c r="R390" i="9"/>
  <c r="R383" i="9"/>
  <c r="B29" i="30"/>
  <c r="B53" i="9"/>
  <c r="B223" i="9"/>
  <c r="B400" i="9" s="1"/>
  <c r="AT89" i="9"/>
  <c r="AW123" i="30"/>
  <c r="AW127" i="30"/>
  <c r="AW124" i="30"/>
  <c r="AV134" i="30"/>
  <c r="AU134" i="30" s="1"/>
  <c r="AW126" i="30"/>
  <c r="AW125" i="30"/>
  <c r="AK142" i="9"/>
  <c r="AK114" i="9"/>
  <c r="AR86" i="9"/>
  <c r="BL330" i="9"/>
  <c r="BJ330" i="9"/>
  <c r="BM330" i="9"/>
  <c r="BK330" i="9"/>
  <c r="AK117" i="30"/>
  <c r="BS117" i="30"/>
  <c r="BI309" i="9"/>
  <c r="BH309" i="9" s="1"/>
  <c r="BL309" i="9" s="1"/>
  <c r="AS124" i="30"/>
  <c r="AW495" i="9"/>
  <c r="AV496" i="9"/>
  <c r="AW496" i="9" s="1"/>
  <c r="I86" i="9"/>
  <c r="R722" i="9"/>
  <c r="R729" i="9"/>
  <c r="BM329" i="9"/>
  <c r="BW329" i="9" s="1"/>
  <c r="BJ329" i="9"/>
  <c r="BT329" i="9" s="1"/>
  <c r="BK329" i="9"/>
  <c r="BU329" i="9" s="1"/>
  <c r="BL329" i="9"/>
  <c r="BV329" i="9" s="1"/>
  <c r="W55" i="5"/>
  <c r="F163" i="9"/>
  <c r="I163" i="9" s="1"/>
  <c r="CO14" i="1"/>
  <c r="W51" i="5" s="1"/>
  <c r="AI36" i="9"/>
  <c r="AK36" i="9" s="1"/>
  <c r="AR29" i="9"/>
  <c r="AT36" i="9" s="1"/>
  <c r="AI63" i="9"/>
  <c r="AK63" i="9" s="1"/>
  <c r="AI56" i="9"/>
  <c r="AK56" i="9" s="1"/>
  <c r="AG58" i="9"/>
  <c r="AR56" i="9"/>
  <c r="P180" i="9"/>
  <c r="R180" i="9" s="1"/>
  <c r="R354" i="9"/>
  <c r="AR28" i="9"/>
  <c r="AI35" i="9"/>
  <c r="AK35" i="9" s="1"/>
  <c r="AG30" i="9"/>
  <c r="AR93" i="20"/>
  <c r="V117" i="10"/>
  <c r="X117" i="10" s="1"/>
  <c r="Z124" i="10" s="1"/>
  <c r="P118" i="9"/>
  <c r="AI64" i="9"/>
  <c r="AK64" i="9" s="1"/>
  <c r="R637" i="9"/>
  <c r="T637" i="9" s="1"/>
  <c r="P638" i="9"/>
  <c r="R638" i="9" s="1"/>
  <c r="R644" i="9"/>
  <c r="I644" i="9" s="1"/>
  <c r="D644" i="9" s="1"/>
  <c r="K119" i="9"/>
  <c r="P724" i="9"/>
  <c r="P723" i="9"/>
  <c r="BJ331" i="9"/>
  <c r="BM331" i="9"/>
  <c r="BL331" i="9"/>
  <c r="BK331" i="9"/>
  <c r="AF62" i="10"/>
  <c r="AS152" i="30"/>
  <c r="AK152" i="30"/>
  <c r="R641" i="9"/>
  <c r="I641" i="9" s="1"/>
  <c r="P645" i="9"/>
  <c r="Z359" i="9"/>
  <c r="AN359" i="9"/>
  <c r="AI398" i="9"/>
  <c r="AI405" i="9"/>
  <c r="Z132" i="10"/>
  <c r="Z139" i="10"/>
  <c r="AT503" i="9"/>
  <c r="AT496" i="9"/>
  <c r="AT145" i="9"/>
  <c r="AT152" i="9"/>
  <c r="AP142" i="9"/>
  <c r="R133" i="9"/>
  <c r="Z133" i="9"/>
  <c r="R140" i="9"/>
  <c r="T140" i="9" s="1"/>
  <c r="BH310" i="9"/>
  <c r="BM310" i="9" s="1"/>
  <c r="DD92" i="20"/>
  <c r="DD87" i="20"/>
  <c r="T38" i="5"/>
  <c r="T42" i="5"/>
  <c r="DE86" i="20"/>
  <c r="AS126" i="30"/>
  <c r="BQ119" i="30"/>
  <c r="BS119" i="30"/>
  <c r="BI311" i="9"/>
  <c r="AK119" i="30"/>
  <c r="AS119" i="30"/>
  <c r="AR120" i="30"/>
  <c r="BK308" i="9"/>
  <c r="BU308" i="9" s="1"/>
  <c r="BM308" i="9"/>
  <c r="BW308" i="9" s="1"/>
  <c r="BJ308" i="9"/>
  <c r="BT308" i="9" s="1"/>
  <c r="BL308" i="9"/>
  <c r="BV308" i="9" s="1"/>
  <c r="S47" i="5"/>
  <c r="S13" i="5"/>
  <c r="S63" i="5"/>
  <c r="S22" i="15"/>
  <c r="S61" i="15"/>
  <c r="BJ298" i="9"/>
  <c r="AP149" i="9"/>
  <c r="AT153" i="9"/>
  <c r="AT146" i="9"/>
  <c r="AP135" i="9"/>
  <c r="AT141" i="9"/>
  <c r="R360" i="9"/>
  <c r="I360" i="9" s="1"/>
  <c r="D360" i="9" s="1"/>
  <c r="P361" i="9"/>
  <c r="R361" i="9" s="1"/>
  <c r="BY275" i="9"/>
  <c r="P183" i="9"/>
  <c r="P176" i="9"/>
  <c r="R176" i="9" s="1"/>
  <c r="AB27" i="5"/>
  <c r="DL81" i="20"/>
  <c r="K43" i="15"/>
  <c r="K30" i="15" s="1"/>
  <c r="K31" i="15" s="1"/>
  <c r="K40" i="15"/>
  <c r="K45" i="15"/>
  <c r="X155" i="30"/>
  <c r="CV16" i="20"/>
  <c r="CV58" i="20"/>
  <c r="W165" i="30"/>
  <c r="W169" i="30" s="1"/>
  <c r="W162" i="30"/>
  <c r="AB634" i="9"/>
  <c r="BT276" i="9"/>
  <c r="BT277" i="9" s="1"/>
  <c r="AS39" i="30"/>
  <c r="AR34" i="30"/>
  <c r="AS32" i="30"/>
  <c r="AH34" i="30"/>
  <c r="AH41" i="30"/>
  <c r="U30" i="15"/>
  <c r="DE14" i="20"/>
  <c r="BI284" i="9"/>
  <c r="BQ90" i="30"/>
  <c r="AS90" i="30"/>
  <c r="BS90" i="30"/>
  <c r="BJ283" i="9"/>
  <c r="W182" i="9"/>
  <c r="AN182" i="9" s="1"/>
  <c r="D167" i="30"/>
  <c r="AG167" i="30" s="1"/>
  <c r="F167" i="30" s="1"/>
  <c r="R182" i="9"/>
  <c r="BK325" i="9"/>
  <c r="AT284" i="9"/>
  <c r="BI326" i="9"/>
  <c r="BS134" i="30"/>
  <c r="BQ134" i="30"/>
  <c r="AK134" i="30"/>
  <c r="V55" i="5"/>
  <c r="CK14" i="1"/>
  <c r="F156" i="9"/>
  <c r="I156" i="9" s="1"/>
  <c r="U34" i="15"/>
  <c r="U65" i="5"/>
  <c r="U66" i="5" s="1"/>
  <c r="U39" i="15"/>
  <c r="BH324" i="9"/>
  <c r="DE12" i="20"/>
  <c r="DE59" i="20"/>
  <c r="G152" i="9"/>
  <c r="AV152" i="9"/>
  <c r="AW152" i="9" s="1"/>
  <c r="BJ277" i="9"/>
  <c r="BK277" i="9"/>
  <c r="AQ72" i="2"/>
  <c r="AQ73" i="2"/>
  <c r="BH323" i="9"/>
  <c r="I65" i="9"/>
  <c r="K127" i="61"/>
  <c r="K45" i="61"/>
  <c r="K86" i="61"/>
  <c r="K10" i="61"/>
  <c r="K30" i="61"/>
  <c r="AO73" i="2"/>
  <c r="AO72" i="2"/>
  <c r="T34" i="15"/>
  <c r="T39" i="15"/>
  <c r="T65" i="5"/>
  <c r="T66" i="5" s="1"/>
  <c r="AV520" i="9"/>
  <c r="AW520" i="9" s="1"/>
  <c r="X527" i="9"/>
  <c r="AB520" i="9"/>
  <c r="L30" i="61"/>
  <c r="L159" i="61" s="1"/>
  <c r="L157" i="61" s="1"/>
  <c r="L45" i="61"/>
  <c r="M74" i="61" s="1"/>
  <c r="L10" i="61"/>
  <c r="L35" i="61"/>
  <c r="L86" i="61"/>
  <c r="M115" i="61" s="1"/>
  <c r="BL322" i="9"/>
  <c r="BV322" i="9" s="1"/>
  <c r="BK322" i="9"/>
  <c r="BU322" i="9" s="1"/>
  <c r="BJ322" i="9"/>
  <c r="BT322" i="9" s="1"/>
  <c r="BM322" i="9"/>
  <c r="BW322" i="9" s="1"/>
  <c r="DF59" i="20"/>
  <c r="DF67" i="20"/>
  <c r="DF12" i="20"/>
  <c r="AV343" i="9"/>
  <c r="AW343" i="9" s="1"/>
  <c r="X350" i="9"/>
  <c r="D537" i="9"/>
  <c r="R534" i="9"/>
  <c r="P538" i="9"/>
  <c r="R530" i="9"/>
  <c r="T530" i="9" s="1"/>
  <c r="P531" i="9"/>
  <c r="R531" i="9" s="1"/>
  <c r="AR13" i="9"/>
  <c r="AT294" i="9"/>
  <c r="AT287" i="9"/>
  <c r="AG15" i="9"/>
  <c r="AG14" i="9"/>
  <c r="AP14" i="9"/>
  <c r="AP16" i="9" s="1"/>
  <c r="AR100" i="9"/>
  <c r="AT107" i="9" s="1"/>
  <c r="AI156" i="9"/>
  <c r="AT61" i="9"/>
  <c r="AR65" i="9"/>
  <c r="AR149" i="9"/>
  <c r="AT84" i="9"/>
  <c r="Q61" i="15"/>
  <c r="Q22" i="15"/>
  <c r="DL82" i="20"/>
  <c r="AB28" i="5"/>
  <c r="AR72" i="9"/>
  <c r="AT69" i="9"/>
  <c r="AT126" i="9"/>
  <c r="AT77" i="9"/>
  <c r="AT70" i="9"/>
  <c r="AI221" i="9"/>
  <c r="AI72" i="9"/>
  <c r="AK72" i="9" s="1"/>
  <c r="K231" i="9"/>
  <c r="P227" i="9"/>
  <c r="AT113" i="9"/>
  <c r="AT106" i="9"/>
  <c r="I121" i="9"/>
  <c r="AK121" i="9" s="1"/>
  <c r="O54" i="5"/>
  <c r="CZ68" i="20"/>
  <c r="O63" i="5"/>
  <c r="F36" i="61"/>
  <c r="AR121" i="9"/>
  <c r="AT121" i="9" s="1"/>
  <c r="AT117" i="9"/>
  <c r="AI256" i="9"/>
  <c r="AK256" i="9" s="1"/>
  <c r="AI263" i="9"/>
  <c r="AK263" i="9" s="1"/>
  <c r="AT131" i="9"/>
  <c r="AT124" i="9"/>
  <c r="AT247" i="9"/>
  <c r="AT254" i="9"/>
  <c r="AT259" i="9"/>
  <c r="AT252" i="9"/>
  <c r="AR256" i="9"/>
  <c r="AT263" i="9" s="1"/>
  <c r="AI135" i="9"/>
  <c r="AI128" i="9"/>
  <c r="AT479" i="9"/>
  <c r="AT472" i="9"/>
  <c r="AR475" i="9"/>
  <c r="AP21" i="9"/>
  <c r="AG21" i="9"/>
  <c r="AG22" i="9"/>
  <c r="AB20" i="10"/>
  <c r="P261" i="9"/>
  <c r="P262" i="9"/>
  <c r="AT78" i="9"/>
  <c r="AT85" i="9"/>
  <c r="AI27" i="9"/>
  <c r="AK27" i="9" s="1"/>
  <c r="AI20" i="9"/>
  <c r="AK20" i="9" s="1"/>
  <c r="AR20" i="9"/>
  <c r="AS141" i="30"/>
  <c r="BI333" i="9"/>
  <c r="AK141" i="30"/>
  <c r="R260" i="9"/>
  <c r="T260" i="9" s="1"/>
  <c r="Z260" i="9"/>
  <c r="R267" i="9"/>
  <c r="T267" i="9" s="1"/>
  <c r="AT246" i="9"/>
  <c r="AT253" i="9"/>
  <c r="AR249" i="9"/>
  <c r="AR58" i="9"/>
  <c r="AT64" i="9"/>
  <c r="G159" i="9"/>
  <c r="AV159" i="9"/>
  <c r="CJ274" i="9"/>
  <c r="CO281" i="9" s="1"/>
  <c r="BU275" i="9"/>
  <c r="BU276" i="9" s="1"/>
  <c r="BT298" i="9"/>
  <c r="BY298" i="9" s="1"/>
  <c r="BJ316" i="9"/>
  <c r="BT316" i="9" s="1"/>
  <c r="BM316" i="9"/>
  <c r="BW316" i="9" s="1"/>
  <c r="BL316" i="9"/>
  <c r="BV316" i="9" s="1"/>
  <c r="BK316" i="9"/>
  <c r="BU316" i="9" s="1"/>
  <c r="X146" i="9"/>
  <c r="AV146" i="9" s="1"/>
  <c r="AW146" i="9" s="1"/>
  <c r="X330" i="9"/>
  <c r="AV323" i="9"/>
  <c r="AW323" i="9" s="1"/>
  <c r="AR323" i="9"/>
  <c r="AT323" i="9" s="1"/>
  <c r="AB323" i="9"/>
  <c r="G774" i="9"/>
  <c r="AR500" i="9"/>
  <c r="X507" i="9"/>
  <c r="AV500" i="9"/>
  <c r="AW500" i="9" s="1"/>
  <c r="AB500" i="9"/>
  <c r="BL318" i="9"/>
  <c r="BK318" i="9"/>
  <c r="BH319" i="9"/>
  <c r="BJ318" i="9"/>
  <c r="BM318" i="9"/>
  <c r="AT114" i="9"/>
  <c r="BL317" i="9"/>
  <c r="BJ317" i="9"/>
  <c r="BM317" i="9"/>
  <c r="BK317" i="9"/>
  <c r="AT291" i="9"/>
  <c r="AT298" i="9"/>
  <c r="BY277" i="9"/>
  <c r="CI277" i="9"/>
  <c r="R93" i="20"/>
  <c r="V81" i="10"/>
  <c r="X81" i="10" s="1"/>
  <c r="Z430" i="9"/>
  <c r="AB430" i="9" s="1"/>
  <c r="R430" i="9"/>
  <c r="T430" i="9" s="1"/>
  <c r="P437" i="9"/>
  <c r="K83" i="9"/>
  <c r="K438" i="9"/>
  <c r="P439" i="9" s="1"/>
  <c r="AB266" i="9"/>
  <c r="AB509" i="9"/>
  <c r="AR509" i="9"/>
  <c r="AN621" i="9"/>
  <c r="X628" i="9"/>
  <c r="AB621" i="9"/>
  <c r="AV621" i="9"/>
  <c r="AV106" i="1"/>
  <c r="AO106" i="1"/>
  <c r="CX61" i="20"/>
  <c r="CX62" i="20"/>
  <c r="CX23" i="20"/>
  <c r="H109" i="61"/>
  <c r="H93" i="61"/>
  <c r="DA19" i="20"/>
  <c r="DA60" i="20"/>
  <c r="DA74" i="20"/>
  <c r="DA55" i="20"/>
  <c r="H6" i="23"/>
  <c r="R7" i="11"/>
  <c r="O52" i="61"/>
  <c r="O68" i="61"/>
  <c r="O154" i="61" s="1"/>
  <c r="V160" i="30"/>
  <c r="AW160" i="30" s="1"/>
  <c r="AG160" i="30"/>
  <c r="E160" i="30"/>
  <c r="Z581" i="9"/>
  <c r="P582" i="9"/>
  <c r="AF74" i="10"/>
  <c r="AF81" i="10"/>
  <c r="AB501" i="9"/>
  <c r="AR324" i="9"/>
  <c r="AW140" i="9"/>
  <c r="M63" i="20"/>
  <c r="M25" i="20"/>
  <c r="M75" i="20" s="1"/>
  <c r="CU58" i="20"/>
  <c r="CU16" i="20"/>
  <c r="CB64" i="20"/>
  <c r="CB76" i="20"/>
  <c r="AU17" i="5"/>
  <c r="BX63" i="20"/>
  <c r="BX25" i="20"/>
  <c r="CQ61" i="20"/>
  <c r="CQ23" i="20"/>
  <c r="CQ62" i="20"/>
  <c r="BD64" i="20"/>
  <c r="BD76" i="20"/>
  <c r="P443" i="9"/>
  <c r="X7" i="5"/>
  <c r="X13" i="5" s="1"/>
  <c r="AH155" i="30"/>
  <c r="F155" i="30"/>
  <c r="R155" i="30"/>
  <c r="G13" i="61"/>
  <c r="G29" i="61"/>
  <c r="BI287" i="9"/>
  <c r="AS100" i="30"/>
  <c r="AS93" i="30"/>
  <c r="AR97" i="30"/>
  <c r="D11" i="77"/>
  <c r="D13" i="77" s="1"/>
  <c r="CA74" i="20"/>
  <c r="C35" i="62" s="1"/>
  <c r="CA19" i="20"/>
  <c r="CA60" i="20"/>
  <c r="C26" i="62" s="1"/>
  <c r="CA55" i="20"/>
  <c r="D101" i="61"/>
  <c r="D103" i="61" s="1"/>
  <c r="D112" i="61"/>
  <c r="F176" i="9"/>
  <c r="CH68" i="20"/>
  <c r="CH72" i="20" s="1"/>
  <c r="L155" i="30"/>
  <c r="D162" i="61"/>
  <c r="D142" i="61"/>
  <c r="D144" i="61" s="1"/>
  <c r="AW608" i="9"/>
  <c r="CZ25" i="20"/>
  <c r="CZ63" i="20"/>
  <c r="Q84" i="1"/>
  <c r="Q74" i="1"/>
  <c r="R74" i="1"/>
  <c r="V74" i="1"/>
  <c r="CM232" i="1"/>
  <c r="CM189" i="1"/>
  <c r="CM134" i="1" s="1"/>
  <c r="CM145" i="1" s="1"/>
  <c r="BU296" i="9"/>
  <c r="CJ295" i="9"/>
  <c r="BZ295" i="9"/>
  <c r="Z280" i="9"/>
  <c r="M90" i="61"/>
  <c r="M110" i="61"/>
  <c r="M160" i="61" s="1"/>
  <c r="M69" i="61"/>
  <c r="M158" i="61" s="1"/>
  <c r="M49" i="61"/>
  <c r="AG520" i="9"/>
  <c r="AE521" i="9"/>
  <c r="AR614" i="9"/>
  <c r="U92" i="1"/>
  <c r="P96" i="1"/>
  <c r="P102" i="1"/>
  <c r="P94" i="1"/>
  <c r="Q92" i="1"/>
  <c r="Q76" i="1"/>
  <c r="R76" i="1"/>
  <c r="V76" i="1"/>
  <c r="Q86" i="1"/>
  <c r="H29" i="61"/>
  <c r="H13" i="61"/>
  <c r="AR76" i="9"/>
  <c r="AI83" i="9"/>
  <c r="AK83" i="9" s="1"/>
  <c r="AI76" i="9"/>
  <c r="AK76" i="9" s="1"/>
  <c r="AV147" i="9"/>
  <c r="CN281" i="9"/>
  <c r="B39" i="15"/>
  <c r="B34" i="15"/>
  <c r="AK147" i="30"/>
  <c r="AS147" i="30"/>
  <c r="AR148" i="30"/>
  <c r="AS155" i="30" s="1"/>
  <c r="AQ25" i="20"/>
  <c r="AQ63" i="20"/>
  <c r="AR496" i="9"/>
  <c r="C162" i="61"/>
  <c r="C142" i="61"/>
  <c r="C144" i="61" s="1"/>
  <c r="AF39" i="10"/>
  <c r="AF46" i="10"/>
  <c r="G93" i="61"/>
  <c r="G109" i="61"/>
  <c r="AB59" i="3"/>
  <c r="Z56" i="3"/>
  <c r="Z57" i="3" s="1"/>
  <c r="B11" i="77"/>
  <c r="B13" i="77" s="1"/>
  <c r="AO159" i="30"/>
  <c r="AS159" i="30"/>
  <c r="AK159" i="30"/>
  <c r="E120" i="61"/>
  <c r="G11" i="77"/>
  <c r="G13" i="77" s="1"/>
  <c r="CM104" i="1"/>
  <c r="CR104" i="1" s="1"/>
  <c r="CR94" i="1"/>
  <c r="AW158" i="30"/>
  <c r="AW155" i="30"/>
  <c r="AW151" i="30"/>
  <c r="AW159" i="30"/>
  <c r="U105" i="1"/>
  <c r="Q105" i="1"/>
  <c r="AU5" i="5"/>
  <c r="J5" i="5"/>
  <c r="D60" i="61"/>
  <c r="D62" i="61" s="1"/>
  <c r="D71" i="61"/>
  <c r="DB19" i="20"/>
  <c r="DB55" i="20"/>
  <c r="DB74" i="20"/>
  <c r="DB60" i="20"/>
  <c r="DC74" i="20"/>
  <c r="CN96" i="1"/>
  <c r="CJ96" i="1"/>
  <c r="AD158" i="30"/>
  <c r="AD155" i="30"/>
  <c r="AE155" i="30" s="1"/>
  <c r="AY170" i="9" s="1"/>
  <c r="Z76" i="9"/>
  <c r="BP25" i="20"/>
  <c r="BP63" i="20"/>
  <c r="CV101" i="1"/>
  <c r="CU105" i="1"/>
  <c r="CV105" i="1" s="1"/>
  <c r="E63" i="20"/>
  <c r="E25" i="20"/>
  <c r="AB429" i="9"/>
  <c r="AQ18" i="5"/>
  <c r="AP22" i="5"/>
  <c r="Z175" i="9"/>
  <c r="AV175" i="9"/>
  <c r="D175" i="9"/>
  <c r="AN175" i="9"/>
  <c r="AN615" i="9"/>
  <c r="AR615" i="9" s="1"/>
  <c r="AV615" i="9"/>
  <c r="AW615" i="9" s="1"/>
  <c r="X622" i="9"/>
  <c r="AB615" i="9"/>
  <c r="AT430" i="9"/>
  <c r="AT437" i="9"/>
  <c r="BY276" i="9"/>
  <c r="CI276" i="9"/>
  <c r="Z281" i="9"/>
  <c r="M29" i="61"/>
  <c r="M155" i="61" s="1"/>
  <c r="M153" i="61" s="1"/>
  <c r="M13" i="61"/>
  <c r="K77" i="9"/>
  <c r="P431" i="9"/>
  <c r="P432" i="9"/>
  <c r="AP516" i="9"/>
  <c r="AI516" i="9"/>
  <c r="AK516" i="9" s="1"/>
  <c r="AG517" i="9"/>
  <c r="AI517" i="9" s="1"/>
  <c r="AK517" i="9" s="1"/>
  <c r="AW614" i="9"/>
  <c r="AV105" i="1"/>
  <c r="AO105" i="1"/>
  <c r="H68" i="61"/>
  <c r="H52" i="61"/>
  <c r="I774" i="9"/>
  <c r="O29" i="61"/>
  <c r="O155" i="61" s="1"/>
  <c r="O153" i="61" s="1"/>
  <c r="O13" i="61"/>
  <c r="CI297" i="9"/>
  <c r="BY297" i="9"/>
  <c r="AI82" i="9"/>
  <c r="AK82" i="9" s="1"/>
  <c r="AR75" i="9"/>
  <c r="AG79" i="9"/>
  <c r="AI75" i="9"/>
  <c r="AK75" i="9" s="1"/>
  <c r="R25" i="20"/>
  <c r="R63" i="20"/>
  <c r="AR501" i="9"/>
  <c r="AW501" i="9"/>
  <c r="G147" i="9"/>
  <c r="AB324" i="9"/>
  <c r="I33" i="20"/>
  <c r="I34" i="20" s="1"/>
  <c r="I44" i="20"/>
  <c r="CB62" i="20"/>
  <c r="CB61" i="20"/>
  <c r="CB23" i="20"/>
  <c r="T29" i="5"/>
  <c r="K595" i="9"/>
  <c r="DD83" i="20"/>
  <c r="AI447" i="9"/>
  <c r="AK447" i="9" s="1"/>
  <c r="AI440" i="9"/>
  <c r="AK440" i="9" s="1"/>
  <c r="CQ64" i="20"/>
  <c r="CR76" i="20"/>
  <c r="P573" i="9"/>
  <c r="P574" i="9"/>
  <c r="AS154" i="30"/>
  <c r="AK154" i="30"/>
  <c r="DC25" i="20"/>
  <c r="DC63" i="20"/>
  <c r="AR40" i="9"/>
  <c r="AI40" i="9"/>
  <c r="AK40" i="9" s="1"/>
  <c r="AI47" i="9"/>
  <c r="AK47" i="9" s="1"/>
  <c r="G153" i="61"/>
  <c r="G134" i="61"/>
  <c r="AG93" i="9"/>
  <c r="AI91" i="9"/>
  <c r="AK91" i="9" s="1"/>
  <c r="AI98" i="9"/>
  <c r="AK98" i="9" s="1"/>
  <c r="AR91" i="9"/>
  <c r="AI99" i="9"/>
  <c r="AK99" i="9" s="1"/>
  <c r="AI92" i="9"/>
  <c r="AK92" i="9" s="1"/>
  <c r="AR92" i="9"/>
  <c r="AC54" i="5"/>
  <c r="AB55" i="5"/>
  <c r="DM72" i="20" s="1"/>
  <c r="AT429" i="9"/>
  <c r="AR433" i="9"/>
  <c r="AT433" i="9" s="1"/>
  <c r="C40" i="15"/>
  <c r="C43" i="15"/>
  <c r="C45" i="15"/>
  <c r="D32" i="61"/>
  <c r="D21" i="61"/>
  <c r="D23" i="61" s="1"/>
  <c r="AW153" i="30"/>
  <c r="AR608" i="9"/>
  <c r="V43" i="15"/>
  <c r="DG94" i="20" s="1"/>
  <c r="V40" i="15"/>
  <c r="V45" i="15"/>
  <c r="H134" i="61"/>
  <c r="H153" i="61"/>
  <c r="X43" i="15"/>
  <c r="DI94" i="20" s="1"/>
  <c r="BZ94" i="20" s="1"/>
  <c r="X40" i="15"/>
  <c r="X45" i="15"/>
  <c r="O109" i="61"/>
  <c r="O156" i="61" s="1"/>
  <c r="O93" i="61"/>
  <c r="Z585" i="9"/>
  <c r="R585" i="9"/>
  <c r="T585" i="9" s="1"/>
  <c r="AV508" i="9"/>
  <c r="X515" i="9"/>
  <c r="X338" i="9"/>
  <c r="X154" i="9"/>
  <c r="AV154" i="9" s="1"/>
  <c r="AV331" i="9"/>
  <c r="AW324" i="9"/>
  <c r="DG16" i="20"/>
  <c r="DG58" i="20"/>
  <c r="AB167" i="1"/>
  <c r="K45" i="20" s="1"/>
  <c r="K43" i="20" s="1"/>
  <c r="J45" i="20"/>
  <c r="J43" i="20" s="1"/>
  <c r="R148" i="30"/>
  <c r="AH148" i="30"/>
  <c r="F148" i="30"/>
  <c r="L148" i="30"/>
  <c r="W7" i="5"/>
  <c r="DI16" i="20"/>
  <c r="DI58" i="20"/>
  <c r="BZ74" i="20"/>
  <c r="BZ19" i="20"/>
  <c r="BZ55" i="20"/>
  <c r="BZ60" i="20"/>
  <c r="BZ89" i="20" s="1"/>
  <c r="P592" i="9"/>
  <c r="P588" i="9"/>
  <c r="AR440" i="9"/>
  <c r="AT436" i="9"/>
  <c r="AT443" i="9"/>
  <c r="R572" i="9"/>
  <c r="T572" i="9" s="1"/>
  <c r="R579" i="9"/>
  <c r="T579" i="9" s="1"/>
  <c r="Z572" i="9"/>
  <c r="CR25" i="20"/>
  <c r="CR63" i="20"/>
  <c r="AK155" i="30"/>
  <c r="N28" i="5"/>
  <c r="K446" i="9"/>
  <c r="AG6" i="2"/>
  <c r="AB8" i="3"/>
  <c r="AE42" i="9"/>
  <c r="AB40" i="10"/>
  <c r="AD40" i="10" s="1"/>
  <c r="AP41" i="9"/>
  <c r="AG41" i="9"/>
  <c r="G68" i="61"/>
  <c r="G52" i="61"/>
  <c r="AF90" i="10"/>
  <c r="AF97" i="10"/>
  <c r="AH97" i="30"/>
  <c r="AY97" i="30"/>
  <c r="AH104" i="30"/>
  <c r="C11" i="77"/>
  <c r="C13" i="77" s="1"/>
  <c r="AB436" i="9"/>
  <c r="BY296" i="9"/>
  <c r="CI296" i="9"/>
  <c r="CN103" i="1"/>
  <c r="CR103" i="1"/>
  <c r="AW154" i="30"/>
  <c r="CN94" i="1"/>
  <c r="CI114" i="1"/>
  <c r="CI104" i="1" s="1"/>
  <c r="CJ94" i="1"/>
  <c r="CN102" i="1"/>
  <c r="CI106" i="1"/>
  <c r="CJ102" i="1"/>
  <c r="F175" i="9"/>
  <c r="CG68" i="20"/>
  <c r="CG72" i="20" s="1"/>
  <c r="AD42" i="5" l="1"/>
  <c r="CW44" i="20"/>
  <c r="CW33" i="20"/>
  <c r="CW34" i="20" s="1"/>
  <c r="CZ44" i="20"/>
  <c r="CZ33" i="20"/>
  <c r="CZ34" i="20" s="1"/>
  <c r="DA44" i="20"/>
  <c r="DA33" i="20"/>
  <c r="DA34" i="20" s="1"/>
  <c r="DA46" i="20"/>
  <c r="DC44" i="20"/>
  <c r="DC33" i="20"/>
  <c r="DC34" i="20" s="1"/>
  <c r="DC46" i="20"/>
  <c r="CY257" i="1"/>
  <c r="I16" i="71"/>
  <c r="W157" i="71"/>
  <c r="I37" i="71"/>
  <c r="I39" i="71" s="1"/>
  <c r="J21" i="71"/>
  <c r="J24" i="71" s="1"/>
  <c r="I35" i="71"/>
  <c r="J30" i="71"/>
  <c r="J15" i="71" s="1"/>
  <c r="J38" i="71" s="1"/>
  <c r="W162" i="71"/>
  <c r="K155" i="71"/>
  <c r="U156" i="71"/>
  <c r="V156" i="71" s="1"/>
  <c r="W156" i="71" s="1"/>
  <c r="V182" i="10"/>
  <c r="CY115" i="1"/>
  <c r="CZ121" i="1"/>
  <c r="CY123" i="1"/>
  <c r="CY124" i="1" s="1"/>
  <c r="CY126" i="1"/>
  <c r="CZ256" i="1"/>
  <c r="BK283" i="9"/>
  <c r="BU283" i="9" s="1"/>
  <c r="BJ282" i="9"/>
  <c r="BT282" i="9" s="1"/>
  <c r="BK282" i="9"/>
  <c r="BU282" i="9" s="1"/>
  <c r="AR588" i="9"/>
  <c r="AN589" i="9"/>
  <c r="BL302" i="9"/>
  <c r="BV302" i="9" s="1"/>
  <c r="BM302" i="9"/>
  <c r="BW302" i="9" s="1"/>
  <c r="BJ302" i="9"/>
  <c r="BT302" i="9" s="1"/>
  <c r="BK302" i="9"/>
  <c r="BU302" i="9" s="1"/>
  <c r="CL301" i="9"/>
  <c r="CB301" i="9"/>
  <c r="BY301" i="9"/>
  <c r="CI301" i="9"/>
  <c r="CN301" i="9" s="1"/>
  <c r="CD301" i="9"/>
  <c r="G589" i="9"/>
  <c r="S112" i="30" s="1"/>
  <c r="D596" i="9"/>
  <c r="I596" i="9" s="1"/>
  <c r="AK596" i="9" s="1"/>
  <c r="D589" i="9"/>
  <c r="CJ301" i="9"/>
  <c r="CO301" i="9" s="1"/>
  <c r="BZ301" i="9"/>
  <c r="CE301" i="9"/>
  <c r="CK301" i="9"/>
  <c r="CA301" i="9"/>
  <c r="DO86" i="20"/>
  <c r="DO92" i="20" s="1"/>
  <c r="AK41" i="5"/>
  <c r="CH93" i="20"/>
  <c r="CE93" i="20"/>
  <c r="CF93" i="20"/>
  <c r="CG93" i="20"/>
  <c r="CM93" i="20"/>
  <c r="CJ93" i="20"/>
  <c r="CK93" i="20"/>
  <c r="CL93" i="20"/>
  <c r="E142" i="61"/>
  <c r="E144" i="61" s="1"/>
  <c r="F175" i="61" s="1"/>
  <c r="E162" i="61"/>
  <c r="E101" i="61"/>
  <c r="E103" i="61" s="1"/>
  <c r="E112" i="61"/>
  <c r="F162" i="61"/>
  <c r="F142" i="61"/>
  <c r="F144" i="61" s="1"/>
  <c r="F176" i="61"/>
  <c r="BU64" i="20"/>
  <c r="BU76" i="20"/>
  <c r="BW76" i="20"/>
  <c r="BW64" i="20"/>
  <c r="AT23" i="20"/>
  <c r="AT61" i="20"/>
  <c r="AT62" i="20"/>
  <c r="Z23" i="20"/>
  <c r="Z61" i="20"/>
  <c r="Z62" i="20"/>
  <c r="AN76" i="20"/>
  <c r="AI76" i="20"/>
  <c r="AI64" i="20"/>
  <c r="CY76" i="20"/>
  <c r="BS64" i="20"/>
  <c r="BX76" i="20"/>
  <c r="AM63" i="20"/>
  <c r="AM25" i="20"/>
  <c r="AM75" i="20" s="1"/>
  <c r="K76" i="20"/>
  <c r="K64" i="20"/>
  <c r="P76" i="20"/>
  <c r="P64" i="20"/>
  <c r="U76" i="20"/>
  <c r="BU62" i="20"/>
  <c r="BU23" i="20"/>
  <c r="BU61" i="20"/>
  <c r="BW62" i="20"/>
  <c r="BW23" i="20"/>
  <c r="BW61" i="20"/>
  <c r="AS64" i="20"/>
  <c r="AS76" i="20"/>
  <c r="BF25" i="20"/>
  <c r="BF63" i="20"/>
  <c r="Z64" i="20"/>
  <c r="Z76" i="20"/>
  <c r="AD62" i="20"/>
  <c r="AD23" i="20"/>
  <c r="AD61" i="20"/>
  <c r="K23" i="20"/>
  <c r="K61" i="20"/>
  <c r="K62" i="20"/>
  <c r="P62" i="20"/>
  <c r="P23" i="20"/>
  <c r="P61" i="20"/>
  <c r="CW23" i="20"/>
  <c r="CW62" i="20"/>
  <c r="CW61" i="20"/>
  <c r="AT64" i="20"/>
  <c r="AT76" i="20"/>
  <c r="AY76" i="20"/>
  <c r="CX76" i="20"/>
  <c r="AS23" i="20"/>
  <c r="AS61" i="20"/>
  <c r="AS62" i="20"/>
  <c r="AR25" i="20"/>
  <c r="AR63" i="20"/>
  <c r="AI62" i="20"/>
  <c r="AI23" i="20"/>
  <c r="AI61" i="20"/>
  <c r="BV75" i="20"/>
  <c r="BS61" i="20"/>
  <c r="BS62" i="20"/>
  <c r="BS23" i="20"/>
  <c r="BK25" i="20"/>
  <c r="BK63" i="20"/>
  <c r="CY62" i="20"/>
  <c r="CY61" i="20"/>
  <c r="CY23" i="20"/>
  <c r="AC63" i="20"/>
  <c r="AC25" i="20"/>
  <c r="AV64" i="20"/>
  <c r="AV76" i="20"/>
  <c r="AB25" i="20"/>
  <c r="AB63" i="20"/>
  <c r="CA89" i="20"/>
  <c r="CC87" i="20"/>
  <c r="BC75" i="20"/>
  <c r="BD63" i="20"/>
  <c r="BD25" i="20"/>
  <c r="AV23" i="20"/>
  <c r="AV61" i="20"/>
  <c r="AV62" i="20"/>
  <c r="W23" i="20"/>
  <c r="W62" i="20"/>
  <c r="W61" i="20"/>
  <c r="BI62" i="20"/>
  <c r="BI23" i="20"/>
  <c r="BI61" i="20"/>
  <c r="BN61" i="20"/>
  <c r="BN62" i="20"/>
  <c r="BN23" i="20"/>
  <c r="BN64" i="20"/>
  <c r="BN76" i="20"/>
  <c r="BS76" i="20"/>
  <c r="J23" i="20"/>
  <c r="J61" i="20"/>
  <c r="J62" i="20"/>
  <c r="BI76" i="20"/>
  <c r="AO25" i="20"/>
  <c r="AO63" i="20"/>
  <c r="O25" i="20"/>
  <c r="O63" i="20"/>
  <c r="N63" i="20"/>
  <c r="N25" i="20"/>
  <c r="S76" i="20"/>
  <c r="S64" i="20"/>
  <c r="X76" i="20"/>
  <c r="AG23" i="20"/>
  <c r="AG62" i="20"/>
  <c r="AG61" i="20"/>
  <c r="CZ76" i="20"/>
  <c r="BA64" i="20"/>
  <c r="BF76" i="20"/>
  <c r="BA76" i="20"/>
  <c r="AN25" i="20"/>
  <c r="AN63" i="20"/>
  <c r="AG64" i="20"/>
  <c r="AG76" i="20"/>
  <c r="AL76" i="20"/>
  <c r="D62" i="20"/>
  <c r="D23" i="20"/>
  <c r="D61" i="20"/>
  <c r="BA61" i="20"/>
  <c r="BA23" i="20"/>
  <c r="BA62" i="20"/>
  <c r="AX25" i="20"/>
  <c r="AX63" i="20"/>
  <c r="W64" i="20"/>
  <c r="W76" i="20"/>
  <c r="BS89" i="20"/>
  <c r="S61" i="20"/>
  <c r="S62" i="20"/>
  <c r="S23" i="20"/>
  <c r="J64" i="20"/>
  <c r="J76" i="20"/>
  <c r="D79" i="61"/>
  <c r="CT63" i="20"/>
  <c r="CT25" i="20"/>
  <c r="D40" i="61"/>
  <c r="E40" i="61"/>
  <c r="E176" i="61"/>
  <c r="D176" i="61"/>
  <c r="AW102" i="2"/>
  <c r="AU103" i="2"/>
  <c r="AS115" i="2"/>
  <c r="AS109" i="2"/>
  <c r="P170" i="9"/>
  <c r="Z170" i="9" s="1"/>
  <c r="R169" i="9"/>
  <c r="T169" i="9" s="1"/>
  <c r="Z169" i="9"/>
  <c r="AB169" i="9" s="1"/>
  <c r="BZ93" i="20"/>
  <c r="CC93" i="20"/>
  <c r="CB93" i="20"/>
  <c r="CA93" i="20"/>
  <c r="AC55" i="5"/>
  <c r="DN72" i="20" s="1"/>
  <c r="AD54" i="5"/>
  <c r="AD55" i="5" s="1"/>
  <c r="X169" i="30"/>
  <c r="Z269" i="9"/>
  <c r="R276" i="9"/>
  <c r="T276" i="9" s="1"/>
  <c r="P270" i="9"/>
  <c r="P273" i="9"/>
  <c r="P274" i="9"/>
  <c r="AT149" i="9"/>
  <c r="BJ325" i="9"/>
  <c r="BM325" i="9"/>
  <c r="BJ309" i="9"/>
  <c r="BT309" i="9" s="1"/>
  <c r="CI309" i="9" s="1"/>
  <c r="BH326" i="9"/>
  <c r="G166" i="9"/>
  <c r="Q13" i="5"/>
  <c r="Q47" i="5"/>
  <c r="R391" i="9"/>
  <c r="W360" i="9"/>
  <c r="AN360" i="9" s="1"/>
  <c r="G146" i="9"/>
  <c r="AR49" i="9"/>
  <c r="AT56" i="9" s="1"/>
  <c r="AR50" i="9"/>
  <c r="AG51" i="9"/>
  <c r="R753" i="9"/>
  <c r="P759" i="9"/>
  <c r="P763" i="9"/>
  <c r="X15" i="5"/>
  <c r="K773" i="9"/>
  <c r="P773" i="9" s="1"/>
  <c r="DH85" i="20"/>
  <c r="Z353" i="9"/>
  <c r="K288" i="9"/>
  <c r="P287" i="9"/>
  <c r="K291" i="9"/>
  <c r="P294" i="9"/>
  <c r="Z294" i="9" s="1"/>
  <c r="L290" i="9"/>
  <c r="W354" i="9"/>
  <c r="F354" i="9" s="1"/>
  <c r="H162" i="30" s="1"/>
  <c r="H175" i="30" s="1"/>
  <c r="R283" i="9"/>
  <c r="T283" i="9" s="1"/>
  <c r="Z283" i="9"/>
  <c r="AB283" i="9" s="1"/>
  <c r="V21" i="10"/>
  <c r="X21" i="10" s="1"/>
  <c r="Z21" i="10" s="1"/>
  <c r="K26" i="9"/>
  <c r="E15" i="5"/>
  <c r="E26" i="5" s="1"/>
  <c r="K29" i="9"/>
  <c r="AP26" i="5"/>
  <c r="D44" i="5"/>
  <c r="D45" i="5" s="1"/>
  <c r="D32" i="5"/>
  <c r="V18" i="10"/>
  <c r="X18" i="10" s="1"/>
  <c r="Z18" i="10" s="1"/>
  <c r="P19" i="9"/>
  <c r="K20" i="9"/>
  <c r="AN353" i="9"/>
  <c r="L106" i="9"/>
  <c r="L284" i="9"/>
  <c r="C33" i="5"/>
  <c r="C35" i="5"/>
  <c r="C36" i="5" s="1"/>
  <c r="K297" i="9"/>
  <c r="R27" i="5"/>
  <c r="P16" i="9"/>
  <c r="Z15" i="9"/>
  <c r="Z16" i="9" s="1"/>
  <c r="P177" i="9"/>
  <c r="R177" i="9" s="1"/>
  <c r="R183" i="9"/>
  <c r="E167" i="30"/>
  <c r="CP61" i="20"/>
  <c r="CP23" i="20"/>
  <c r="CP62" i="20"/>
  <c r="AL25" i="20"/>
  <c r="AL63" i="20"/>
  <c r="Q51" i="15"/>
  <c r="Q46" i="15"/>
  <c r="Q48" i="15"/>
  <c r="AI70" i="2"/>
  <c r="AF10" i="3" s="1"/>
  <c r="I26" i="61"/>
  <c r="I16" i="61"/>
  <c r="I31" i="61"/>
  <c r="CO23" i="20"/>
  <c r="CO62" i="20"/>
  <c r="CO61" i="20"/>
  <c r="AE25" i="20"/>
  <c r="AJ25" i="20"/>
  <c r="AE63" i="20"/>
  <c r="AJ63" i="20"/>
  <c r="CC55" i="20"/>
  <c r="CC19" i="20"/>
  <c r="CC74" i="20"/>
  <c r="CC60" i="20"/>
  <c r="CC89" i="20" s="1"/>
  <c r="F21" i="61"/>
  <c r="F23" i="61" s="1"/>
  <c r="F39" i="61" s="1"/>
  <c r="F32" i="61"/>
  <c r="G49" i="15"/>
  <c r="BL75" i="20"/>
  <c r="BG75" i="20"/>
  <c r="BJ303" i="9"/>
  <c r="BT303" i="9" s="1"/>
  <c r="BL303" i="9"/>
  <c r="BV303" i="9" s="1"/>
  <c r="BK303" i="9"/>
  <c r="BM303" i="9"/>
  <c r="BW303" i="9" s="1"/>
  <c r="AN482" i="9"/>
  <c r="D46" i="15"/>
  <c r="D48" i="15"/>
  <c r="I106" i="61"/>
  <c r="I111" i="61"/>
  <c r="I96" i="61"/>
  <c r="BD75" i="20"/>
  <c r="I137" i="61"/>
  <c r="I150" i="61"/>
  <c r="I161" i="61"/>
  <c r="AT480" i="9"/>
  <c r="AR482" i="9"/>
  <c r="AT489" i="9" s="1"/>
  <c r="AT487" i="9"/>
  <c r="C71" i="61"/>
  <c r="AC48" i="2"/>
  <c r="AC50" i="2" s="1"/>
  <c r="AA50" i="2"/>
  <c r="F118" i="61"/>
  <c r="F111" i="61"/>
  <c r="F96" i="61"/>
  <c r="F106" i="61"/>
  <c r="F120" i="61" s="1"/>
  <c r="C112" i="61"/>
  <c r="D127" i="9"/>
  <c r="I127" i="9" s="1"/>
  <c r="AK127" i="9" s="1"/>
  <c r="D134" i="9"/>
  <c r="I134" i="9" s="1"/>
  <c r="AK134" i="9" s="1"/>
  <c r="AN127" i="9"/>
  <c r="AD65" i="3"/>
  <c r="AD49" i="3"/>
  <c r="CS55" i="20"/>
  <c r="CS19" i="20"/>
  <c r="CS74" i="20"/>
  <c r="CS60" i="20"/>
  <c r="CT74" i="20"/>
  <c r="F70" i="61"/>
  <c r="F65" i="61"/>
  <c r="F79" i="61" s="1"/>
  <c r="F77" i="61"/>
  <c r="F55" i="61"/>
  <c r="Y25" i="20"/>
  <c r="Y63" i="20"/>
  <c r="AK111" i="30"/>
  <c r="AS111" i="30"/>
  <c r="BI304" i="9"/>
  <c r="BH304" i="9" s="1"/>
  <c r="AR112" i="30"/>
  <c r="CO76" i="20"/>
  <c r="CO64" i="20"/>
  <c r="AQ75" i="20"/>
  <c r="G128" i="9"/>
  <c r="D135" i="9"/>
  <c r="I135" i="9" s="1"/>
  <c r="AK135" i="9" s="1"/>
  <c r="D128" i="9"/>
  <c r="G482" i="9"/>
  <c r="M112" i="30" s="1"/>
  <c r="AV112" i="30" s="1"/>
  <c r="AU112" i="30" s="1"/>
  <c r="D482" i="9"/>
  <c r="D489" i="9"/>
  <c r="I489" i="9" s="1"/>
  <c r="AK489" i="9" s="1"/>
  <c r="CP76" i="20"/>
  <c r="CP64" i="20"/>
  <c r="AH112" i="30"/>
  <c r="AY112" i="30"/>
  <c r="F112" i="30"/>
  <c r="AH120" i="30"/>
  <c r="X49" i="3"/>
  <c r="X65" i="3"/>
  <c r="Z65" i="3"/>
  <c r="Z49" i="3"/>
  <c r="E48" i="15"/>
  <c r="F49" i="15" s="1"/>
  <c r="E46" i="15"/>
  <c r="AT481" i="9"/>
  <c r="AT488" i="9"/>
  <c r="I63" i="20"/>
  <c r="I25" i="20"/>
  <c r="I65" i="61"/>
  <c r="I70" i="61"/>
  <c r="I55" i="61"/>
  <c r="H48" i="15"/>
  <c r="H46" i="15"/>
  <c r="BR75" i="20"/>
  <c r="BM75" i="20"/>
  <c r="AW159" i="9"/>
  <c r="U55" i="5"/>
  <c r="CG14" i="1"/>
  <c r="DI14" i="1" s="1"/>
  <c r="F149" i="9"/>
  <c r="I149" i="9" s="1"/>
  <c r="AK149" i="9" s="1"/>
  <c r="I175" i="9"/>
  <c r="R645" i="9"/>
  <c r="B230" i="9"/>
  <c r="B407" i="9" s="1"/>
  <c r="B36" i="30"/>
  <c r="B60" i="9"/>
  <c r="X503" i="9"/>
  <c r="G503" i="9" s="1"/>
  <c r="M134" i="30" s="1"/>
  <c r="X509" i="9"/>
  <c r="AV502" i="9"/>
  <c r="BK309" i="9"/>
  <c r="BU309" i="9" s="1"/>
  <c r="BM309" i="9"/>
  <c r="BW309" i="9" s="1"/>
  <c r="BK310" i="9"/>
  <c r="BH311" i="9"/>
  <c r="BL311" i="9" s="1"/>
  <c r="P184" i="9"/>
  <c r="R723" i="9"/>
  <c r="R730" i="9"/>
  <c r="Z637" i="9"/>
  <c r="W638" i="9"/>
  <c r="Q161" i="30"/>
  <c r="R125" i="9"/>
  <c r="Z118" i="9"/>
  <c r="AB125" i="9" s="1"/>
  <c r="AI65" i="9"/>
  <c r="CK329" i="9"/>
  <c r="CA329" i="9"/>
  <c r="BV330" i="9"/>
  <c r="AK65" i="9"/>
  <c r="R724" i="9"/>
  <c r="R731" i="9"/>
  <c r="DH68" i="20"/>
  <c r="N36" i="61"/>
  <c r="BZ329" i="9"/>
  <c r="CJ329" i="9"/>
  <c r="BU330" i="9"/>
  <c r="P119" i="9"/>
  <c r="V118" i="10"/>
  <c r="X118" i="10" s="1"/>
  <c r="Z125" i="10" s="1"/>
  <c r="AS93" i="20"/>
  <c r="W644" i="9"/>
  <c r="AT35" i="9"/>
  <c r="AR30" i="9"/>
  <c r="AT37" i="9" s="1"/>
  <c r="BT330" i="9"/>
  <c r="CI329" i="9"/>
  <c r="BY329" i="9"/>
  <c r="P725" i="9"/>
  <c r="AI37" i="9"/>
  <c r="AK37" i="9" s="1"/>
  <c r="AT63" i="9"/>
  <c r="DH72" i="20"/>
  <c r="W54" i="5"/>
  <c r="CB329" i="9"/>
  <c r="BW330" i="9"/>
  <c r="CL329" i="9"/>
  <c r="Z360" i="9"/>
  <c r="AN530" i="9"/>
  <c r="Z530" i="9"/>
  <c r="AP517" i="9"/>
  <c r="AT517" i="9" s="1"/>
  <c r="AT516" i="9"/>
  <c r="AT142" i="9"/>
  <c r="AB140" i="9"/>
  <c r="AB133" i="9"/>
  <c r="T133" i="9"/>
  <c r="BJ310" i="9"/>
  <c r="BL310" i="9"/>
  <c r="BV309" i="9"/>
  <c r="CF309" i="9" s="1"/>
  <c r="CF308" i="9"/>
  <c r="CK308" i="9"/>
  <c r="CA308" i="9"/>
  <c r="CF315" i="9"/>
  <c r="BI312" i="9"/>
  <c r="AK120" i="30"/>
  <c r="BS120" i="30"/>
  <c r="BQ120" i="30"/>
  <c r="AS127" i="30"/>
  <c r="DE87" i="20"/>
  <c r="DE92" i="20"/>
  <c r="T47" i="5"/>
  <c r="T39" i="5"/>
  <c r="CI308" i="9"/>
  <c r="CD315" i="9"/>
  <c r="CD308" i="9"/>
  <c r="BY308" i="9"/>
  <c r="U38" i="5"/>
  <c r="U42" i="5"/>
  <c r="DF86" i="20"/>
  <c r="S7" i="15"/>
  <c r="T14" i="5"/>
  <c r="S14" i="5"/>
  <c r="CB308" i="9"/>
  <c r="CG308" i="9"/>
  <c r="CG315" i="9"/>
  <c r="CL308" i="9"/>
  <c r="DD89" i="20"/>
  <c r="S48" i="5"/>
  <c r="BZ308" i="9"/>
  <c r="CJ308" i="9"/>
  <c r="CE315" i="9"/>
  <c r="CE308" i="9"/>
  <c r="AT156" i="9"/>
  <c r="AW166" i="9"/>
  <c r="DM81" i="20"/>
  <c r="AC27" i="5"/>
  <c r="AK156" i="9"/>
  <c r="L167" i="30"/>
  <c r="X162" i="30"/>
  <c r="W70" i="2"/>
  <c r="K48" i="15"/>
  <c r="K46" i="15"/>
  <c r="AR167" i="30"/>
  <c r="CV55" i="20"/>
  <c r="CV60" i="20"/>
  <c r="CV19" i="20"/>
  <c r="CW74" i="20"/>
  <c r="V167" i="30"/>
  <c r="AW167" i="30" s="1"/>
  <c r="AS41" i="30"/>
  <c r="AS34" i="30"/>
  <c r="AD162" i="30"/>
  <c r="AE162" i="30" s="1"/>
  <c r="AY177" i="9" s="1"/>
  <c r="AD165" i="30"/>
  <c r="AD169" i="30" s="1"/>
  <c r="CE40" i="1"/>
  <c r="CE41" i="1" s="1"/>
  <c r="V30" i="15"/>
  <c r="DF14" i="20"/>
  <c r="U31" i="15"/>
  <c r="CI298" i="9"/>
  <c r="BK284" i="9"/>
  <c r="BJ284" i="9"/>
  <c r="R167" i="30"/>
  <c r="Z182" i="9"/>
  <c r="AB182" i="9" s="1"/>
  <c r="D182" i="9"/>
  <c r="AV182" i="9"/>
  <c r="AW182" i="9" s="1"/>
  <c r="AB503" i="9"/>
  <c r="CD322" i="9"/>
  <c r="CI322" i="9"/>
  <c r="CD329" i="9"/>
  <c r="BY322" i="9"/>
  <c r="L115" i="61"/>
  <c r="L90" i="61"/>
  <c r="L110" i="61"/>
  <c r="L160" i="61" s="1"/>
  <c r="T43" i="15"/>
  <c r="DE94" i="20" s="1"/>
  <c r="T40" i="15"/>
  <c r="T45" i="15"/>
  <c r="K69" i="61"/>
  <c r="K49" i="61"/>
  <c r="CE329" i="9"/>
  <c r="CJ322" i="9"/>
  <c r="BZ322" i="9"/>
  <c r="CE322" i="9"/>
  <c r="K131" i="61"/>
  <c r="K157" i="61"/>
  <c r="BK323" i="9"/>
  <c r="BU323" i="9" s="1"/>
  <c r="CE323" i="9" s="1"/>
  <c r="BM323" i="9"/>
  <c r="BW323" i="9" s="1"/>
  <c r="CG323" i="9" s="1"/>
  <c r="BL323" i="9"/>
  <c r="BV323" i="9" s="1"/>
  <c r="CF323" i="9" s="1"/>
  <c r="BJ323" i="9"/>
  <c r="BT323" i="9" s="1"/>
  <c r="CD323" i="9" s="1"/>
  <c r="BM326" i="9"/>
  <c r="BK326" i="9"/>
  <c r="BL326" i="9"/>
  <c r="BJ326" i="9"/>
  <c r="CA322" i="9"/>
  <c r="CF322" i="9"/>
  <c r="CK322" i="9"/>
  <c r="CF329" i="9"/>
  <c r="L13" i="61"/>
  <c r="L29" i="61"/>
  <c r="L155" i="61" s="1"/>
  <c r="L153" i="61" s="1"/>
  <c r="K29" i="61"/>
  <c r="K13" i="61"/>
  <c r="BJ324" i="9"/>
  <c r="BK324" i="9"/>
  <c r="BM324" i="9"/>
  <c r="BL324" i="9"/>
  <c r="U40" i="15"/>
  <c r="U45" i="15"/>
  <c r="U43" i="15"/>
  <c r="DF94" i="20" s="1"/>
  <c r="V51" i="5"/>
  <c r="V54" i="5" s="1"/>
  <c r="BT317" i="9"/>
  <c r="AV350" i="9"/>
  <c r="DF16" i="20"/>
  <c r="DG74" i="20" s="1"/>
  <c r="DF58" i="20"/>
  <c r="CB322" i="9"/>
  <c r="CL322" i="9"/>
  <c r="CG329" i="9"/>
  <c r="CG322" i="9"/>
  <c r="L69" i="61"/>
  <c r="L158" i="61" s="1"/>
  <c r="L74" i="61"/>
  <c r="L49" i="61"/>
  <c r="AB527" i="9"/>
  <c r="AV527" i="9"/>
  <c r="AW527" i="9" s="1"/>
  <c r="K110" i="61"/>
  <c r="K90" i="61"/>
  <c r="DE16" i="20"/>
  <c r="DE58" i="20"/>
  <c r="DG72" i="20"/>
  <c r="P575" i="9"/>
  <c r="R575" i="9" s="1"/>
  <c r="T575" i="9" s="1"/>
  <c r="AW154" i="9"/>
  <c r="P263" i="9"/>
  <c r="R263" i="9" s="1"/>
  <c r="T263" i="9" s="1"/>
  <c r="R538" i="9"/>
  <c r="W537" i="9"/>
  <c r="W176" i="9"/>
  <c r="W531" i="9"/>
  <c r="AR14" i="9"/>
  <c r="AR15" i="9"/>
  <c r="AG16" i="9"/>
  <c r="AT72" i="9"/>
  <c r="BV317" i="9"/>
  <c r="AC28" i="5"/>
  <c r="DM82" i="20"/>
  <c r="CD309" i="9"/>
  <c r="F121" i="61"/>
  <c r="F122" i="61" s="1"/>
  <c r="F75" i="61"/>
  <c r="F169" i="61"/>
  <c r="F116" i="61"/>
  <c r="F80" i="61"/>
  <c r="F81" i="61" s="1"/>
  <c r="F177" i="61"/>
  <c r="F178" i="61" s="1"/>
  <c r="P231" i="9"/>
  <c r="K232" i="9"/>
  <c r="R227" i="9"/>
  <c r="P228" i="9"/>
  <c r="R228" i="9" s="1"/>
  <c r="AB175" i="9"/>
  <c r="Z262" i="9"/>
  <c r="R269" i="9"/>
  <c r="T269" i="9" s="1"/>
  <c r="R262" i="9"/>
  <c r="T262" i="9" s="1"/>
  <c r="BU317" i="9"/>
  <c r="AT249" i="9"/>
  <c r="AT256" i="9"/>
  <c r="Z261" i="9"/>
  <c r="R261" i="9"/>
  <c r="T261" i="9" s="1"/>
  <c r="R268" i="9"/>
  <c r="T268" i="9" s="1"/>
  <c r="AI21" i="9"/>
  <c r="AK21" i="9" s="1"/>
  <c r="AI28" i="9"/>
  <c r="AK28" i="9" s="1"/>
  <c r="AR21" i="9"/>
  <c r="AB260" i="9"/>
  <c r="AB267" i="9"/>
  <c r="AT27" i="9"/>
  <c r="AT20" i="9"/>
  <c r="AT65" i="9"/>
  <c r="AG23" i="9"/>
  <c r="AR22" i="9"/>
  <c r="AI29" i="9"/>
  <c r="AK29" i="9" s="1"/>
  <c r="AI22" i="9"/>
  <c r="AK22" i="9" s="1"/>
  <c r="AT475" i="9"/>
  <c r="BU277" i="9"/>
  <c r="CJ276" i="9"/>
  <c r="BZ276" i="9"/>
  <c r="BZ275" i="9"/>
  <c r="CJ275" i="9"/>
  <c r="CE282" i="9"/>
  <c r="AV330" i="9"/>
  <c r="AW330" i="9" s="1"/>
  <c r="AR330" i="9"/>
  <c r="AT330" i="9" s="1"/>
  <c r="AB330" i="9"/>
  <c r="X337" i="9"/>
  <c r="X153" i="9"/>
  <c r="BW317" i="9"/>
  <c r="BW318" i="9" s="1"/>
  <c r="CL316" i="9"/>
  <c r="CB316" i="9"/>
  <c r="F160" i="30"/>
  <c r="AH167" i="30"/>
  <c r="BL319" i="9"/>
  <c r="BK319" i="9"/>
  <c r="BJ319" i="9"/>
  <c r="BM319" i="9"/>
  <c r="BY316" i="9"/>
  <c r="CD316" i="9"/>
  <c r="CI316" i="9"/>
  <c r="AV167" i="30"/>
  <c r="AU167" i="30" s="1"/>
  <c r="CJ316" i="9"/>
  <c r="BZ316" i="9"/>
  <c r="AV507" i="9"/>
  <c r="AW507" i="9" s="1"/>
  <c r="AB507" i="9"/>
  <c r="AR507" i="9"/>
  <c r="X514" i="9"/>
  <c r="CK316" i="9"/>
  <c r="CA316" i="9"/>
  <c r="CN104" i="1"/>
  <c r="CJ104" i="1"/>
  <c r="P450" i="9"/>
  <c r="P446" i="9"/>
  <c r="DG19" i="20"/>
  <c r="DG55" i="20"/>
  <c r="DG60" i="20"/>
  <c r="AR331" i="9"/>
  <c r="G154" i="9"/>
  <c r="AW508" i="9"/>
  <c r="AB585" i="9"/>
  <c r="CC94" i="20"/>
  <c r="CA94" i="20"/>
  <c r="CB94" i="20"/>
  <c r="C48" i="15"/>
  <c r="C46" i="15"/>
  <c r="AT91" i="9"/>
  <c r="AR93" i="9"/>
  <c r="AT98" i="9"/>
  <c r="P599" i="9"/>
  <c r="Z599" i="9" s="1"/>
  <c r="P595" i="9"/>
  <c r="P596" i="9" s="1"/>
  <c r="R75" i="20"/>
  <c r="I77" i="61"/>
  <c r="H55" i="61"/>
  <c r="H70" i="61"/>
  <c r="H77" i="61"/>
  <c r="H65" i="61"/>
  <c r="R432" i="9"/>
  <c r="T432" i="9" s="1"/>
  <c r="Z432" i="9"/>
  <c r="AB432" i="9" s="1"/>
  <c r="AN622" i="9"/>
  <c r="X629" i="9"/>
  <c r="AB622" i="9"/>
  <c r="AV622" i="9"/>
  <c r="AW622" i="9" s="1"/>
  <c r="AR18" i="5"/>
  <c r="AQ22" i="5"/>
  <c r="BP75" i="20"/>
  <c r="DC76" i="20"/>
  <c r="DB76" i="20"/>
  <c r="DB64" i="20"/>
  <c r="D78" i="61"/>
  <c r="E78" i="61"/>
  <c r="AD59" i="3"/>
  <c r="AB56" i="3"/>
  <c r="AB57" i="3" s="1"/>
  <c r="B40" i="15"/>
  <c r="B45" i="15"/>
  <c r="B43" i="15"/>
  <c r="H16" i="61"/>
  <c r="H38" i="61"/>
  <c r="I38" i="61"/>
  <c r="H31" i="61"/>
  <c r="H26" i="61"/>
  <c r="U96" i="1"/>
  <c r="Q96" i="1"/>
  <c r="AG521" i="9"/>
  <c r="AE522" i="9"/>
  <c r="D119" i="61"/>
  <c r="E119" i="61"/>
  <c r="CA62" i="20"/>
  <c r="C28" i="62" s="1"/>
  <c r="CA23" i="20"/>
  <c r="CA61" i="20"/>
  <c r="C27" i="62" s="1"/>
  <c r="BH290" i="9"/>
  <c r="BH289" i="9"/>
  <c r="BH287" i="9"/>
  <c r="BH288" i="9"/>
  <c r="BJ287" i="9"/>
  <c r="BT287" i="9" s="1"/>
  <c r="BK287" i="9"/>
  <c r="BU287" i="9" s="1"/>
  <c r="Z582" i="9"/>
  <c r="DA64" i="20"/>
  <c r="DA76" i="20"/>
  <c r="DA23" i="20"/>
  <c r="DA61" i="20"/>
  <c r="DA62" i="20"/>
  <c r="CX63" i="20"/>
  <c r="CX25" i="20"/>
  <c r="AW621" i="9"/>
  <c r="G70" i="61"/>
  <c r="G77" i="61"/>
  <c r="G55" i="61"/>
  <c r="G65" i="61"/>
  <c r="AF47" i="10"/>
  <c r="AF40" i="10"/>
  <c r="K453" i="9"/>
  <c r="O28" i="5"/>
  <c r="AB572" i="9"/>
  <c r="AB579" i="9"/>
  <c r="BZ76" i="20"/>
  <c r="BZ64" i="20"/>
  <c r="W13" i="5"/>
  <c r="J44" i="20"/>
  <c r="J33" i="20"/>
  <c r="J34" i="20" s="1"/>
  <c r="AW331" i="9"/>
  <c r="AV338" i="9"/>
  <c r="X345" i="9"/>
  <c r="X161" i="9"/>
  <c r="AB338" i="9"/>
  <c r="AB508" i="9"/>
  <c r="AT10" i="3"/>
  <c r="X48" i="15"/>
  <c r="X46" i="15"/>
  <c r="BR94" i="20"/>
  <c r="BQ94" i="20"/>
  <c r="BP94" i="20"/>
  <c r="BS94" i="20"/>
  <c r="D39" i="61"/>
  <c r="E39" i="61"/>
  <c r="AT99" i="9"/>
  <c r="AT92" i="9"/>
  <c r="K602" i="9"/>
  <c r="DE83" i="20"/>
  <c r="U29" i="5"/>
  <c r="AI86" i="9"/>
  <c r="AK86" i="9" s="1"/>
  <c r="AI79" i="9"/>
  <c r="AK79" i="9" s="1"/>
  <c r="O26" i="61"/>
  <c r="O16" i="61"/>
  <c r="O31" i="61"/>
  <c r="R431" i="9"/>
  <c r="T431" i="9" s="1"/>
  <c r="Z431" i="9"/>
  <c r="AV5" i="5"/>
  <c r="K5" i="5"/>
  <c r="G96" i="61"/>
  <c r="G111" i="61"/>
  <c r="G118" i="61"/>
  <c r="G106" i="61"/>
  <c r="G120" i="61" s="1"/>
  <c r="AI520" i="9"/>
  <c r="AK520" i="9" s="1"/>
  <c r="AP520" i="9"/>
  <c r="AT520" i="9" s="1"/>
  <c r="AR520" i="9"/>
  <c r="CM233" i="1"/>
  <c r="CM146" i="1"/>
  <c r="CQ186" i="1" s="1"/>
  <c r="CA64" i="20"/>
  <c r="CA76" i="20"/>
  <c r="AS97" i="30"/>
  <c r="BI291" i="9"/>
  <c r="AS104" i="30"/>
  <c r="BS97" i="30"/>
  <c r="BQ97" i="30"/>
  <c r="CQ25" i="20"/>
  <c r="CQ63" i="20"/>
  <c r="CU55" i="20"/>
  <c r="CU74" i="20"/>
  <c r="CU60" i="20"/>
  <c r="CU19" i="20"/>
  <c r="CV74" i="20"/>
  <c r="H96" i="61"/>
  <c r="I118" i="61"/>
  <c r="H111" i="61"/>
  <c r="H106" i="61"/>
  <c r="H118" i="61"/>
  <c r="AB516" i="9"/>
  <c r="AR516" i="9"/>
  <c r="CJ283" i="9"/>
  <c r="BZ283" i="9"/>
  <c r="CE283" i="9"/>
  <c r="BU284" i="9"/>
  <c r="P438" i="9"/>
  <c r="P440" i="9" s="1"/>
  <c r="K84" i="9"/>
  <c r="AB41" i="10"/>
  <c r="AD41" i="10" s="1"/>
  <c r="AG42" i="9"/>
  <c r="AP42" i="9"/>
  <c r="AG43" i="9"/>
  <c r="R588" i="9"/>
  <c r="T588" i="9" s="1"/>
  <c r="Z588" i="9"/>
  <c r="AB588" i="9" s="1"/>
  <c r="DI60" i="20"/>
  <c r="DI19" i="20"/>
  <c r="DI55" i="20"/>
  <c r="K33" i="20"/>
  <c r="K34" i="20" s="1"/>
  <c r="K44" i="20"/>
  <c r="AV515" i="9"/>
  <c r="X522" i="9"/>
  <c r="H161" i="61"/>
  <c r="I174" i="61"/>
  <c r="H174" i="61"/>
  <c r="H150" i="61"/>
  <c r="H137" i="61"/>
  <c r="G137" i="61"/>
  <c r="G174" i="61"/>
  <c r="G150" i="61"/>
  <c r="G176" i="61" s="1"/>
  <c r="G161" i="61"/>
  <c r="Z574" i="9"/>
  <c r="AB574" i="9" s="1"/>
  <c r="R574" i="9"/>
  <c r="T574" i="9" s="1"/>
  <c r="CB25" i="20"/>
  <c r="CB63" i="20"/>
  <c r="AR503" i="9"/>
  <c r="P433" i="9"/>
  <c r="R433" i="9" s="1"/>
  <c r="T433" i="9" s="1"/>
  <c r="P77" i="9"/>
  <c r="O93" i="20"/>
  <c r="V76" i="10"/>
  <c r="X76" i="10" s="1"/>
  <c r="DB61" i="20"/>
  <c r="DB23" i="20"/>
  <c r="DB62" i="20"/>
  <c r="AT83" i="9"/>
  <c r="AT76" i="9"/>
  <c r="P104" i="1"/>
  <c r="Q94" i="1"/>
  <c r="U94" i="1"/>
  <c r="K70" i="2"/>
  <c r="H10" i="3"/>
  <c r="H16" i="3" s="1"/>
  <c r="H33" i="3" s="1"/>
  <c r="H45" i="3" s="1"/>
  <c r="CJ296" i="9"/>
  <c r="BZ296" i="9"/>
  <c r="BU297" i="9"/>
  <c r="D175" i="61"/>
  <c r="E175" i="61"/>
  <c r="G31" i="61"/>
  <c r="G16" i="61"/>
  <c r="G38" i="61"/>
  <c r="G26" i="61"/>
  <c r="G40" i="61" s="1"/>
  <c r="R439" i="9"/>
  <c r="T439" i="9" s="1"/>
  <c r="Z439" i="9"/>
  <c r="AV17" i="5"/>
  <c r="R581" i="9"/>
  <c r="T581" i="9" s="1"/>
  <c r="AR160" i="30"/>
  <c r="AH160" i="30"/>
  <c r="R160" i="30"/>
  <c r="L160" i="30"/>
  <c r="O70" i="61"/>
  <c r="O65" i="61"/>
  <c r="O55" i="61"/>
  <c r="V7" i="11"/>
  <c r="J6" i="23"/>
  <c r="V82" i="10"/>
  <c r="X82" i="10" s="1"/>
  <c r="P83" i="9"/>
  <c r="S93" i="20"/>
  <c r="Z88" i="10"/>
  <c r="Z81" i="10"/>
  <c r="CN106" i="1"/>
  <c r="CJ106" i="1"/>
  <c r="DG41" i="20"/>
  <c r="CI245" i="1"/>
  <c r="V54" i="15"/>
  <c r="V48" i="15" s="1"/>
  <c r="AR41" i="9"/>
  <c r="AI41" i="9"/>
  <c r="AK41" i="9" s="1"/>
  <c r="AI48" i="9"/>
  <c r="AK48" i="9" s="1"/>
  <c r="AI6" i="2"/>
  <c r="AD8" i="3"/>
  <c r="AT440" i="9"/>
  <c r="AT447" i="9"/>
  <c r="R592" i="9"/>
  <c r="T592" i="9" s="1"/>
  <c r="Z592" i="9"/>
  <c r="BZ23" i="20"/>
  <c r="BZ62" i="20"/>
  <c r="BZ61" i="20"/>
  <c r="AB331" i="9"/>
  <c r="AR508" i="9"/>
  <c r="P589" i="9"/>
  <c r="R589" i="9" s="1"/>
  <c r="O106" i="61"/>
  <c r="O96" i="61"/>
  <c r="O111" i="61"/>
  <c r="V51" i="15"/>
  <c r="V46" i="15"/>
  <c r="AS70" i="2"/>
  <c r="AP10" i="3" s="1"/>
  <c r="AI100" i="9"/>
  <c r="AK100" i="9" s="1"/>
  <c r="AI93" i="9"/>
  <c r="AK93" i="9" s="1"/>
  <c r="AT40" i="9"/>
  <c r="AT47" i="9"/>
  <c r="Z573" i="9"/>
  <c r="R573" i="9"/>
  <c r="T573" i="9" s="1"/>
  <c r="R580" i="9"/>
  <c r="T580" i="9" s="1"/>
  <c r="AT82" i="9"/>
  <c r="AR79" i="9"/>
  <c r="AT75" i="9"/>
  <c r="M38" i="61"/>
  <c r="M31" i="61"/>
  <c r="M16" i="61"/>
  <c r="M26" i="61"/>
  <c r="AS148" i="30"/>
  <c r="AK148" i="30"/>
  <c r="AW147" i="9"/>
  <c r="U102" i="1"/>
  <c r="Q102" i="1"/>
  <c r="P106" i="1"/>
  <c r="M52" i="61"/>
  <c r="M68" i="61"/>
  <c r="M154" i="61" s="1"/>
  <c r="M93" i="61"/>
  <c r="M109" i="61"/>
  <c r="M156" i="61" s="1"/>
  <c r="Z443" i="9"/>
  <c r="R443" i="9"/>
  <c r="T443" i="9" s="1"/>
  <c r="AT324" i="9"/>
  <c r="AV628" i="9"/>
  <c r="AN628" i="9"/>
  <c r="X635" i="9"/>
  <c r="R444" i="9"/>
  <c r="T444" i="9" s="1"/>
  <c r="R437" i="9"/>
  <c r="T437" i="9" s="1"/>
  <c r="Z437" i="9"/>
  <c r="CY113" i="1" l="1"/>
  <c r="D168" i="30"/>
  <c r="E168" i="30" s="1"/>
  <c r="L155" i="71"/>
  <c r="L171" i="71" s="1"/>
  <c r="L23" i="71" s="1"/>
  <c r="L12" i="71" s="1"/>
  <c r="L13" i="71" s="1"/>
  <c r="K171" i="71"/>
  <c r="K23" i="71" s="1"/>
  <c r="K12" i="71" s="1"/>
  <c r="K13" i="71" s="1"/>
  <c r="K21" i="71"/>
  <c r="J33" i="71"/>
  <c r="K29" i="71" s="1"/>
  <c r="J16" i="71"/>
  <c r="CZ122" i="1"/>
  <c r="CY116" i="1"/>
  <c r="CZ257" i="1"/>
  <c r="CY261" i="1"/>
  <c r="AN354" i="9"/>
  <c r="AS167" i="30"/>
  <c r="CI282" i="9"/>
  <c r="CN282" i="9" s="1"/>
  <c r="BY282" i="9"/>
  <c r="T589" i="9"/>
  <c r="I589" i="9"/>
  <c r="AK589" i="9" s="1"/>
  <c r="BZ282" i="9"/>
  <c r="CJ282" i="9"/>
  <c r="CO282" i="9" s="1"/>
  <c r="CD282" i="9"/>
  <c r="BT283" i="9"/>
  <c r="BU303" i="9"/>
  <c r="CE303" i="9" s="1"/>
  <c r="CK302" i="9"/>
  <c r="CA302" i="9"/>
  <c r="CD302" i="9"/>
  <c r="CI302" i="9"/>
  <c r="CN302" i="9" s="1"/>
  <c r="BY302" i="9"/>
  <c r="AT595" i="9"/>
  <c r="AR589" i="9"/>
  <c r="AT588" i="9"/>
  <c r="CJ302" i="9"/>
  <c r="CO302" i="9" s="1"/>
  <c r="BZ302" i="9"/>
  <c r="CE302" i="9"/>
  <c r="CL302" i="9"/>
  <c r="CB302" i="9"/>
  <c r="AI25" i="20"/>
  <c r="AI63" i="20"/>
  <c r="AR75" i="20"/>
  <c r="AW75" i="20"/>
  <c r="BU63" i="20"/>
  <c r="BU25" i="20"/>
  <c r="BU75" i="20" s="1"/>
  <c r="AT25" i="20"/>
  <c r="AY75" i="20" s="1"/>
  <c r="AT63" i="20"/>
  <c r="K63" i="20"/>
  <c r="K25" i="20"/>
  <c r="K75" i="20" s="1"/>
  <c r="BW25" i="20"/>
  <c r="BW75" i="20" s="1"/>
  <c r="BW63" i="20"/>
  <c r="Z25" i="20"/>
  <c r="Z75" i="20" s="1"/>
  <c r="Z63" i="20"/>
  <c r="AX75" i="20"/>
  <c r="BK75" i="20"/>
  <c r="P63" i="20"/>
  <c r="P25" i="20"/>
  <c r="BS63" i="20"/>
  <c r="BS25" i="20"/>
  <c r="BX75" i="20" s="1"/>
  <c r="AS63" i="20"/>
  <c r="AS25" i="20"/>
  <c r="CW63" i="20"/>
  <c r="CW25" i="20"/>
  <c r="AD25" i="20"/>
  <c r="AI75" i="20" s="1"/>
  <c r="AD63" i="20"/>
  <c r="CY63" i="20"/>
  <c r="CY25" i="20"/>
  <c r="CZ75" i="20" s="1"/>
  <c r="BA63" i="20"/>
  <c r="BA25" i="20"/>
  <c r="AN75" i="20"/>
  <c r="AS75" i="20"/>
  <c r="AV25" i="20"/>
  <c r="AV75" i="20" s="1"/>
  <c r="AV63" i="20"/>
  <c r="D63" i="20"/>
  <c r="D25" i="20"/>
  <c r="I75" i="20" s="1"/>
  <c r="J63" i="20"/>
  <c r="J25" i="20"/>
  <c r="J75" i="20" s="1"/>
  <c r="BN63" i="20"/>
  <c r="BN25" i="20"/>
  <c r="BI63" i="20"/>
  <c r="BI25" i="20"/>
  <c r="BI75" i="20" s="1"/>
  <c r="W25" i="20"/>
  <c r="W75" i="20" s="1"/>
  <c r="W63" i="20"/>
  <c r="AC75" i="20"/>
  <c r="AH75" i="20"/>
  <c r="S25" i="20"/>
  <c r="S63" i="20"/>
  <c r="AG63" i="20"/>
  <c r="AG25" i="20"/>
  <c r="AG75" i="20" s="1"/>
  <c r="G79" i="61"/>
  <c r="T75" i="20"/>
  <c r="AB75" i="20"/>
  <c r="DN81" i="20"/>
  <c r="AD27" i="5"/>
  <c r="DO81" i="20" s="1"/>
  <c r="DN82" i="20"/>
  <c r="AD28" i="5"/>
  <c r="DO82" i="20" s="1"/>
  <c r="AI58" i="9"/>
  <c r="AK58" i="9" s="1"/>
  <c r="AU109" i="2"/>
  <c r="AU115" i="2"/>
  <c r="D354" i="9"/>
  <c r="D162" i="30"/>
  <c r="Y8" i="5" s="1"/>
  <c r="AY102" i="2"/>
  <c r="BA102" i="2" s="1"/>
  <c r="BC102" i="2" s="1"/>
  <c r="BE102" i="2" s="1"/>
  <c r="BG102" i="2" s="1"/>
  <c r="BI102" i="2" s="1"/>
  <c r="AW103" i="2"/>
  <c r="R274" i="9"/>
  <c r="T274" i="9" s="1"/>
  <c r="Z274" i="9"/>
  <c r="R281" i="9"/>
  <c r="T281" i="9" s="1"/>
  <c r="Z270" i="9"/>
  <c r="AB276" i="9"/>
  <c r="Z273" i="9"/>
  <c r="R273" i="9"/>
  <c r="T273" i="9" s="1"/>
  <c r="P277" i="9"/>
  <c r="R280" i="9"/>
  <c r="T280" i="9" s="1"/>
  <c r="R184" i="9"/>
  <c r="R48" i="5"/>
  <c r="Q48" i="5"/>
  <c r="BT310" i="9"/>
  <c r="CI310" i="9" s="1"/>
  <c r="BY309" i="9"/>
  <c r="Q66" i="5"/>
  <c r="R14" i="5"/>
  <c r="Q14" i="5"/>
  <c r="Z284" i="9"/>
  <c r="Z354" i="9"/>
  <c r="AB354" i="9" s="1"/>
  <c r="R582" i="9"/>
  <c r="T582" i="9" s="1"/>
  <c r="I128" i="9"/>
  <c r="AK128" i="9" s="1"/>
  <c r="AR51" i="9"/>
  <c r="AT58" i="9" s="1"/>
  <c r="AT57" i="9"/>
  <c r="X19" i="15"/>
  <c r="X32" i="5"/>
  <c r="X35" i="5" s="1"/>
  <c r="X62" i="15"/>
  <c r="Y15" i="5"/>
  <c r="DI80" i="20"/>
  <c r="DI93" i="20" s="1"/>
  <c r="P767" i="9"/>
  <c r="R763" i="9"/>
  <c r="I763" i="9" s="1"/>
  <c r="D763" i="9" s="1"/>
  <c r="R770" i="9"/>
  <c r="I770" i="9" s="1"/>
  <c r="D770" i="9" s="1"/>
  <c r="P760" i="9"/>
  <c r="R760" i="9" s="1"/>
  <c r="R759" i="9"/>
  <c r="I759" i="9" s="1"/>
  <c r="D759" i="9" s="1"/>
  <c r="R766" i="9"/>
  <c r="I766" i="9" s="1"/>
  <c r="D766" i="9" s="1"/>
  <c r="R773" i="9"/>
  <c r="I773" i="9" s="1"/>
  <c r="D773" i="9" s="1"/>
  <c r="P774" i="9"/>
  <c r="DC81" i="20"/>
  <c r="K304" i="9"/>
  <c r="S27" i="5"/>
  <c r="R19" i="9"/>
  <c r="T19" i="9" s="1"/>
  <c r="Z19" i="9"/>
  <c r="P301" i="9"/>
  <c r="K298" i="9"/>
  <c r="P297" i="9"/>
  <c r="P33" i="9"/>
  <c r="V28" i="10"/>
  <c r="X28" i="10" s="1"/>
  <c r="Z28" i="10" s="1"/>
  <c r="R294" i="9"/>
  <c r="T294" i="9" s="1"/>
  <c r="R287" i="9"/>
  <c r="T287" i="9" s="1"/>
  <c r="Z287" i="9"/>
  <c r="D35" i="5"/>
  <c r="D36" i="5" s="1"/>
  <c r="D33" i="5"/>
  <c r="F15" i="5"/>
  <c r="F26" i="5" s="1"/>
  <c r="K36" i="9"/>
  <c r="AQ26" i="5"/>
  <c r="E32" i="5"/>
  <c r="E44" i="5"/>
  <c r="E45" i="5" s="1"/>
  <c r="L291" i="9"/>
  <c r="L113" i="9"/>
  <c r="K289" i="9"/>
  <c r="P288" i="9"/>
  <c r="K21" i="9"/>
  <c r="P20" i="9"/>
  <c r="V19" i="10"/>
  <c r="X19" i="10" s="1"/>
  <c r="Z19" i="10" s="1"/>
  <c r="V25" i="10"/>
  <c r="X25" i="10" s="1"/>
  <c r="K27" i="9"/>
  <c r="P26" i="9"/>
  <c r="V161" i="30"/>
  <c r="F182" i="9"/>
  <c r="I182" i="9" s="1"/>
  <c r="T182" i="9" s="1"/>
  <c r="DA12" i="1"/>
  <c r="CL68" i="20" s="1"/>
  <c r="CL72" i="20" s="1"/>
  <c r="AK167" i="30"/>
  <c r="CY12" i="1"/>
  <c r="J113" i="30"/>
  <c r="AJ113" i="30"/>
  <c r="BI305" i="9"/>
  <c r="AS112" i="30"/>
  <c r="BS112" i="30"/>
  <c r="AK112" i="30"/>
  <c r="BQ112" i="30"/>
  <c r="P113" i="30"/>
  <c r="F60" i="61"/>
  <c r="F62" i="61" s="1"/>
  <c r="F78" i="61" s="1"/>
  <c r="F71" i="61"/>
  <c r="CS61" i="20"/>
  <c r="CS62" i="20"/>
  <c r="CS23" i="20"/>
  <c r="AN128" i="9"/>
  <c r="AR127" i="9"/>
  <c r="Z83" i="20"/>
  <c r="AA52" i="2"/>
  <c r="AB83" i="20"/>
  <c r="CA303" i="9"/>
  <c r="CK303" i="9"/>
  <c r="CC61" i="20"/>
  <c r="CC62" i="20"/>
  <c r="CC23" i="20"/>
  <c r="Q52" i="15"/>
  <c r="R52" i="15"/>
  <c r="CP25" i="20"/>
  <c r="CQ75" i="20" s="1"/>
  <c r="CP63" i="20"/>
  <c r="N75" i="20"/>
  <c r="CS64" i="20"/>
  <c r="CS76" i="20"/>
  <c r="CT76" i="20"/>
  <c r="F101" i="61"/>
  <c r="F103" i="61" s="1"/>
  <c r="F119" i="61" s="1"/>
  <c r="F112" i="61"/>
  <c r="AC52" i="2"/>
  <c r="CD303" i="9"/>
  <c r="BY303" i="9"/>
  <c r="CI303" i="9"/>
  <c r="CN303" i="9" s="1"/>
  <c r="CC76" i="20"/>
  <c r="CC64" i="20"/>
  <c r="AF16" i="3"/>
  <c r="AF33" i="3" s="1"/>
  <c r="AF45" i="3" s="1"/>
  <c r="AF49" i="3" s="1"/>
  <c r="BH83" i="20"/>
  <c r="AS120" i="30"/>
  <c r="I49" i="15"/>
  <c r="H49" i="15"/>
  <c r="E49" i="15"/>
  <c r="I482" i="9"/>
  <c r="AK482" i="9" s="1"/>
  <c r="BK304" i="9"/>
  <c r="BH305" i="9"/>
  <c r="BJ304" i="9"/>
  <c r="BT304" i="9" s="1"/>
  <c r="BM304" i="9"/>
  <c r="BW304" i="9" s="1"/>
  <c r="BL304" i="9"/>
  <c r="BV304" i="9" s="1"/>
  <c r="I112" i="61"/>
  <c r="I101" i="61"/>
  <c r="I103" i="61" s="1"/>
  <c r="CL303" i="9"/>
  <c r="CB303" i="9"/>
  <c r="AE75" i="20"/>
  <c r="AJ75" i="20"/>
  <c r="AO75" i="20"/>
  <c r="I32" i="61"/>
  <c r="I21" i="61"/>
  <c r="I23" i="61" s="1"/>
  <c r="Q49" i="15"/>
  <c r="R49" i="15"/>
  <c r="AT482" i="9"/>
  <c r="I71" i="61"/>
  <c r="I60" i="61"/>
  <c r="I62" i="61" s="1"/>
  <c r="R55" i="5"/>
  <c r="DC72" i="20"/>
  <c r="BU14" i="1"/>
  <c r="Y75" i="20"/>
  <c r="AD75" i="20"/>
  <c r="I162" i="61"/>
  <c r="I142" i="61"/>
  <c r="I144" i="61" s="1"/>
  <c r="BZ303" i="9"/>
  <c r="CO25" i="20"/>
  <c r="CO63" i="20"/>
  <c r="BH312" i="9"/>
  <c r="BM312" i="9" s="1"/>
  <c r="DG14" i="1"/>
  <c r="U51" i="5"/>
  <c r="AV503" i="9"/>
  <c r="AW503" i="9" s="1"/>
  <c r="AW502" i="9"/>
  <c r="CK309" i="9"/>
  <c r="CP309" i="9" s="1"/>
  <c r="X516" i="9"/>
  <c r="AV509" i="9"/>
  <c r="AW509" i="9" s="1"/>
  <c r="B67" i="9"/>
  <c r="B237" i="9"/>
  <c r="B414" i="9" s="1"/>
  <c r="B43" i="30"/>
  <c r="X510" i="9"/>
  <c r="DF72" i="20"/>
  <c r="CF316" i="9"/>
  <c r="CB309" i="9"/>
  <c r="CL309" i="9"/>
  <c r="CJ309" i="9"/>
  <c r="CE316" i="9"/>
  <c r="BZ309" i="9"/>
  <c r="CE309" i="9"/>
  <c r="BJ311" i="9"/>
  <c r="BT311" i="9" s="1"/>
  <c r="BY311" i="9" s="1"/>
  <c r="BK311" i="9"/>
  <c r="BM311" i="9"/>
  <c r="CA309" i="9"/>
  <c r="BK312" i="9"/>
  <c r="BV310" i="9"/>
  <c r="CK310" i="9" s="1"/>
  <c r="BU310" i="9"/>
  <c r="BZ310" i="9" s="1"/>
  <c r="BU324" i="9"/>
  <c r="BZ324" i="9" s="1"/>
  <c r="Z119" i="9"/>
  <c r="AB126" i="9" s="1"/>
  <c r="R126" i="9"/>
  <c r="T125" i="9"/>
  <c r="P168" i="30"/>
  <c r="Q168" i="30" s="1"/>
  <c r="Z644" i="9"/>
  <c r="N75" i="61"/>
  <c r="N170" i="61" s="1"/>
  <c r="N171" i="61"/>
  <c r="N169" i="61" s="1"/>
  <c r="N116" i="61"/>
  <c r="N172" i="61" s="1"/>
  <c r="CK330" i="9"/>
  <c r="CA330" i="9"/>
  <c r="BV324" i="9"/>
  <c r="BV325" i="9" s="1"/>
  <c r="CK325" i="9" s="1"/>
  <c r="I354" i="9"/>
  <c r="T354" i="9" s="1"/>
  <c r="BT331" i="9"/>
  <c r="BY330" i="9"/>
  <c r="CI330" i="9"/>
  <c r="BZ330" i="9"/>
  <c r="CJ330" i="9"/>
  <c r="Z638" i="9"/>
  <c r="D638" i="9"/>
  <c r="F638" i="9"/>
  <c r="T162" i="30" s="1"/>
  <c r="P162" i="30"/>
  <c r="Y10" i="5" s="1"/>
  <c r="BU331" i="9"/>
  <c r="BW331" i="9"/>
  <c r="CB330" i="9"/>
  <c r="CL330" i="9"/>
  <c r="R725" i="9"/>
  <c r="R732" i="9"/>
  <c r="BV331" i="9"/>
  <c r="AN537" i="9"/>
  <c r="Z537" i="9"/>
  <c r="AN531" i="9"/>
  <c r="Z531" i="9"/>
  <c r="CG309" i="9"/>
  <c r="BW310" i="9"/>
  <c r="CL310" i="9" s="1"/>
  <c r="CG316" i="9"/>
  <c r="S59" i="15"/>
  <c r="S13" i="15"/>
  <c r="S26" i="15"/>
  <c r="S15" i="15"/>
  <c r="AM67" i="2"/>
  <c r="S28" i="15"/>
  <c r="S37" i="15"/>
  <c r="J6" i="61"/>
  <c r="S11" i="15"/>
  <c r="DD8" i="20"/>
  <c r="S33" i="15"/>
  <c r="S17" i="15"/>
  <c r="AK7" i="15"/>
  <c r="S20" i="15"/>
  <c r="S31" i="15"/>
  <c r="S8" i="15"/>
  <c r="S67" i="15" s="1"/>
  <c r="T8" i="15"/>
  <c r="T67" i="15" s="1"/>
  <c r="U47" i="5"/>
  <c r="U39" i="5"/>
  <c r="CN315" i="9"/>
  <c r="CN308" i="9"/>
  <c r="DF92" i="20"/>
  <c r="DF87" i="20"/>
  <c r="T63" i="5"/>
  <c r="T61" i="15"/>
  <c r="T22" i="15"/>
  <c r="CO308" i="9"/>
  <c r="CO315" i="9"/>
  <c r="CQ315" i="9"/>
  <c r="CQ308" i="9"/>
  <c r="CP308" i="9"/>
  <c r="CP315" i="9"/>
  <c r="V38" i="5"/>
  <c r="V42" i="5"/>
  <c r="DG86" i="20"/>
  <c r="T48" i="5"/>
  <c r="DE89" i="20"/>
  <c r="AB350" i="9"/>
  <c r="AW350" i="9"/>
  <c r="CD310" i="9"/>
  <c r="BT324" i="9"/>
  <c r="BT325" i="9" s="1"/>
  <c r="BW324" i="9"/>
  <c r="CB324" i="9" s="1"/>
  <c r="AO167" i="30"/>
  <c r="CW76" i="20"/>
  <c r="CV64" i="20"/>
  <c r="CV62" i="20"/>
  <c r="CV61" i="20"/>
  <c r="CV23" i="20"/>
  <c r="L49" i="15"/>
  <c r="K49" i="15"/>
  <c r="BT318" i="9"/>
  <c r="BT319" i="9" s="1"/>
  <c r="CD317" i="9"/>
  <c r="AE169" i="30"/>
  <c r="AY184" i="9" s="1"/>
  <c r="CG41" i="1"/>
  <c r="CF41" i="1"/>
  <c r="CE42" i="1"/>
  <c r="CE46" i="1" s="1"/>
  <c r="DG14" i="20"/>
  <c r="W30" i="15"/>
  <c r="V31" i="15"/>
  <c r="CE45" i="1"/>
  <c r="CF40" i="1"/>
  <c r="CG40" i="1"/>
  <c r="CO283" i="9"/>
  <c r="J168" i="30"/>
  <c r="K168" i="30" s="1"/>
  <c r="W183" i="9"/>
  <c r="D183" i="9" s="1"/>
  <c r="AB510" i="9"/>
  <c r="BV318" i="9"/>
  <c r="BV319" i="9" s="1"/>
  <c r="CA319" i="9" s="1"/>
  <c r="CA317" i="9"/>
  <c r="DF55" i="20"/>
  <c r="DG76" i="20" s="1"/>
  <c r="DF60" i="20"/>
  <c r="DF19" i="20"/>
  <c r="DF74" i="20"/>
  <c r="CI317" i="9"/>
  <c r="CN317" i="9" s="1"/>
  <c r="BY317" i="9"/>
  <c r="M36" i="61"/>
  <c r="DG68" i="20"/>
  <c r="CK323" i="9"/>
  <c r="CP323" i="9" s="1"/>
  <c r="CA323" i="9"/>
  <c r="CF330" i="9"/>
  <c r="CO322" i="9"/>
  <c r="CO329" i="9"/>
  <c r="DE19" i="20"/>
  <c r="DE60" i="20"/>
  <c r="DE55" i="20"/>
  <c r="L68" i="61"/>
  <c r="L154" i="61" s="1"/>
  <c r="L52" i="61"/>
  <c r="M77" i="61" s="1"/>
  <c r="CQ322" i="9"/>
  <c r="CQ329" i="9"/>
  <c r="BM94" i="20"/>
  <c r="BK94" i="20"/>
  <c r="BL94" i="20"/>
  <c r="BN94" i="20"/>
  <c r="CP329" i="9"/>
  <c r="CP322" i="9"/>
  <c r="CB323" i="9"/>
  <c r="CL323" i="9"/>
  <c r="CG330" i="9"/>
  <c r="K153" i="61"/>
  <c r="K134" i="61"/>
  <c r="T51" i="15"/>
  <c r="T46" i="15"/>
  <c r="AO70" i="2"/>
  <c r="AL10" i="3" s="1"/>
  <c r="T48" i="15"/>
  <c r="L109" i="61"/>
  <c r="L156" i="61" s="1"/>
  <c r="L93" i="61"/>
  <c r="M118" i="61" s="1"/>
  <c r="CN322" i="9"/>
  <c r="CN329" i="9"/>
  <c r="K109" i="61"/>
  <c r="K93" i="61"/>
  <c r="U48" i="15"/>
  <c r="V49" i="15" s="1"/>
  <c r="U46" i="15"/>
  <c r="AQ70" i="2"/>
  <c r="AN10" i="3" s="1"/>
  <c r="U51" i="15"/>
  <c r="K16" i="61"/>
  <c r="K26" i="61"/>
  <c r="K31" i="61"/>
  <c r="BZ323" i="9"/>
  <c r="CE330" i="9"/>
  <c r="CJ323" i="9"/>
  <c r="CO330" i="9" s="1"/>
  <c r="R270" i="9"/>
  <c r="T270" i="9" s="1"/>
  <c r="L26" i="61"/>
  <c r="L31" i="61"/>
  <c r="L38" i="61"/>
  <c r="L16" i="61"/>
  <c r="CI323" i="9"/>
  <c r="BY323" i="9"/>
  <c r="CD330" i="9"/>
  <c r="K68" i="61"/>
  <c r="K52" i="61"/>
  <c r="BF94" i="20"/>
  <c r="BI94" i="20"/>
  <c r="BH94" i="20"/>
  <c r="BG94" i="20"/>
  <c r="CK317" i="9"/>
  <c r="AG161" i="30"/>
  <c r="K161" i="30"/>
  <c r="W177" i="9"/>
  <c r="D176" i="9"/>
  <c r="Z176" i="9"/>
  <c r="AN176" i="9"/>
  <c r="AV176" i="9"/>
  <c r="J162" i="30"/>
  <c r="Y9" i="5" s="1"/>
  <c r="F531" i="9"/>
  <c r="D531" i="9"/>
  <c r="AR16" i="9"/>
  <c r="AR23" i="9"/>
  <c r="BU311" i="9"/>
  <c r="R596" i="9"/>
  <c r="T596" i="9" s="1"/>
  <c r="P232" i="9"/>
  <c r="K233" i="9"/>
  <c r="R231" i="9"/>
  <c r="AG44" i="9"/>
  <c r="AI51" i="9" s="1"/>
  <c r="AK51" i="9" s="1"/>
  <c r="Z263" i="9"/>
  <c r="AB262" i="9"/>
  <c r="AB269" i="9"/>
  <c r="Y62" i="15"/>
  <c r="Y32" i="5"/>
  <c r="Z15" i="5"/>
  <c r="DJ80" i="20"/>
  <c r="DJ93" i="20" s="1"/>
  <c r="Y18" i="15"/>
  <c r="AB268" i="9"/>
  <c r="AB261" i="9"/>
  <c r="AI23" i="9"/>
  <c r="AK23" i="9" s="1"/>
  <c r="AI30" i="9"/>
  <c r="AK30" i="9" s="1"/>
  <c r="AT21" i="9"/>
  <c r="AT28" i="9"/>
  <c r="AT22" i="9"/>
  <c r="AT29" i="9"/>
  <c r="BU318" i="9"/>
  <c r="BZ317" i="9"/>
  <c r="CJ317" i="9"/>
  <c r="BZ277" i="9"/>
  <c r="CJ277" i="9"/>
  <c r="CP316" i="9"/>
  <c r="BW319" i="9"/>
  <c r="CB318" i="9"/>
  <c r="CL318" i="9"/>
  <c r="AV153" i="9"/>
  <c r="AW153" i="9" s="1"/>
  <c r="G153" i="9"/>
  <c r="Z589" i="9"/>
  <c r="AB589" i="9" s="1"/>
  <c r="CN316" i="9"/>
  <c r="AB337" i="9"/>
  <c r="X344" i="9"/>
  <c r="AV337" i="9"/>
  <c r="AW337" i="9" s="1"/>
  <c r="X160" i="9"/>
  <c r="CB317" i="9"/>
  <c r="CL317" i="9"/>
  <c r="X521" i="9"/>
  <c r="AV514" i="9"/>
  <c r="AW514" i="9" s="1"/>
  <c r="AR514" i="9"/>
  <c r="AB514" i="9"/>
  <c r="CQ316" i="9"/>
  <c r="CQ323" i="9"/>
  <c r="O112" i="61"/>
  <c r="O165" i="61" s="1"/>
  <c r="O101" i="61"/>
  <c r="O103" i="61" s="1"/>
  <c r="BZ25" i="20"/>
  <c r="BZ63" i="20"/>
  <c r="G142" i="61"/>
  <c r="G144" i="61" s="1"/>
  <c r="G175" i="61" s="1"/>
  <c r="G162" i="61"/>
  <c r="CU64" i="20"/>
  <c r="CU76" i="20"/>
  <c r="CV76" i="20"/>
  <c r="AW338" i="9"/>
  <c r="Z575" i="9"/>
  <c r="AB575" i="9" s="1"/>
  <c r="AB581" i="9"/>
  <c r="CD287" i="9"/>
  <c r="CI287" i="9"/>
  <c r="BY287" i="9"/>
  <c r="CD294" i="9"/>
  <c r="AI521" i="9"/>
  <c r="AK521" i="9" s="1"/>
  <c r="AP521" i="9"/>
  <c r="AT521" i="9" s="1"/>
  <c r="AN629" i="9"/>
  <c r="AV629" i="9"/>
  <c r="AW629" i="9" s="1"/>
  <c r="AB629" i="9"/>
  <c r="X636" i="9"/>
  <c r="X643" i="9" s="1"/>
  <c r="H71" i="61"/>
  <c r="H60" i="61"/>
  <c r="H62" i="61" s="1"/>
  <c r="DG64" i="20"/>
  <c r="DG61" i="20"/>
  <c r="DG23" i="20"/>
  <c r="DG62" i="20"/>
  <c r="R440" i="9"/>
  <c r="T440" i="9" s="1"/>
  <c r="AB628" i="9"/>
  <c r="M21" i="61"/>
  <c r="M32" i="61"/>
  <c r="M164" i="61" s="1"/>
  <c r="M162" i="61" s="1"/>
  <c r="AB592" i="9"/>
  <c r="DG39" i="20"/>
  <c r="DG40" i="20" s="1"/>
  <c r="DH44" i="20"/>
  <c r="R90" i="9"/>
  <c r="T90" i="9" s="1"/>
  <c r="Z83" i="9"/>
  <c r="R83" i="9"/>
  <c r="T83" i="9" s="1"/>
  <c r="AB439" i="9"/>
  <c r="G21" i="61"/>
  <c r="G23" i="61" s="1"/>
  <c r="G39" i="61" s="1"/>
  <c r="G32" i="61"/>
  <c r="CJ297" i="9"/>
  <c r="BZ297" i="9"/>
  <c r="BU298" i="9"/>
  <c r="H142" i="61"/>
  <c r="H144" i="61" s="1"/>
  <c r="H162" i="61"/>
  <c r="AV522" i="9"/>
  <c r="X529" i="9"/>
  <c r="X536" i="9" s="1"/>
  <c r="AF41" i="10"/>
  <c r="AF48" i="10"/>
  <c r="AB523" i="9"/>
  <c r="H101" i="61"/>
  <c r="H103" i="61" s="1"/>
  <c r="H112" i="61"/>
  <c r="AW5" i="5"/>
  <c r="L5" i="5"/>
  <c r="W14" i="5"/>
  <c r="W7" i="15"/>
  <c r="P28" i="5"/>
  <c r="K460" i="9"/>
  <c r="BJ288" i="9"/>
  <c r="BT288" i="9" s="1"/>
  <c r="BK288" i="9"/>
  <c r="BU288" i="9" s="1"/>
  <c r="AS18" i="5"/>
  <c r="AR22" i="5"/>
  <c r="H79" i="61"/>
  <c r="I79" i="61"/>
  <c r="AW628" i="9"/>
  <c r="M96" i="61"/>
  <c r="M111" i="61"/>
  <c r="M106" i="61"/>
  <c r="AB515" i="9"/>
  <c r="BZ284" i="9"/>
  <c r="CJ284" i="9"/>
  <c r="CE284" i="9"/>
  <c r="CU62" i="20"/>
  <c r="CU23" i="20"/>
  <c r="CU61" i="20"/>
  <c r="BH291" i="9"/>
  <c r="BK290" i="9"/>
  <c r="BJ290" i="9"/>
  <c r="AB443" i="9"/>
  <c r="M55" i="61"/>
  <c r="M70" i="61"/>
  <c r="M65" i="61"/>
  <c r="AT86" i="9"/>
  <c r="AT79" i="9"/>
  <c r="O71" i="61"/>
  <c r="O163" i="61" s="1"/>
  <c r="O60" i="61"/>
  <c r="O62" i="61" s="1"/>
  <c r="U104" i="1"/>
  <c r="Q104" i="1"/>
  <c r="AR515" i="9"/>
  <c r="DI64" i="20"/>
  <c r="DF83" i="20"/>
  <c r="V29" i="5"/>
  <c r="K609" i="9"/>
  <c r="P453" i="9"/>
  <c r="P454" i="9" s="1"/>
  <c r="K457" i="9"/>
  <c r="P458" i="9" s="1"/>
  <c r="DA25" i="20"/>
  <c r="DA75" i="20" s="1"/>
  <c r="DA63" i="20"/>
  <c r="CA63" i="20"/>
  <c r="C29" i="62" s="1"/>
  <c r="CA25" i="20"/>
  <c r="C20" i="62" s="1"/>
  <c r="F36" i="62" s="1"/>
  <c r="H40" i="61"/>
  <c r="I40" i="61"/>
  <c r="H32" i="61"/>
  <c r="H21" i="61"/>
  <c r="H23" i="61" s="1"/>
  <c r="Z595" i="9"/>
  <c r="AB595" i="9" s="1"/>
  <c r="R595" i="9"/>
  <c r="T595" i="9" s="1"/>
  <c r="D49" i="15"/>
  <c r="CO75" i="20"/>
  <c r="Z446" i="9"/>
  <c r="AB446" i="9" s="1"/>
  <c r="R446" i="9"/>
  <c r="T446" i="9" s="1"/>
  <c r="U106" i="1"/>
  <c r="Q106" i="1"/>
  <c r="AR510" i="9"/>
  <c r="L6" i="23"/>
  <c r="Z7" i="11"/>
  <c r="DB63" i="20"/>
  <c r="DB25" i="20"/>
  <c r="DI23" i="20"/>
  <c r="DI61" i="20"/>
  <c r="DI62" i="20"/>
  <c r="AR42" i="9"/>
  <c r="AI49" i="9"/>
  <c r="AK49" i="9" s="1"/>
  <c r="AI42" i="9"/>
  <c r="AK42" i="9" s="1"/>
  <c r="CQ190" i="1"/>
  <c r="CQ131" i="1"/>
  <c r="CQ142" i="1" s="1"/>
  <c r="K141" i="9"/>
  <c r="P606" i="9"/>
  <c r="Z606" i="9" s="1"/>
  <c r="P602" i="9"/>
  <c r="P603" i="9" s="1"/>
  <c r="AB444" i="9"/>
  <c r="AB437" i="9"/>
  <c r="AV635" i="9"/>
  <c r="AN635" i="9"/>
  <c r="BZ83" i="20"/>
  <c r="AP16" i="3"/>
  <c r="AP33" i="3" s="1"/>
  <c r="AP45" i="3" s="1"/>
  <c r="BN83" i="20"/>
  <c r="Z89" i="10"/>
  <c r="Z82" i="10"/>
  <c r="AK160" i="30"/>
  <c r="AS160" i="30"/>
  <c r="AO160" i="30"/>
  <c r="H49" i="3"/>
  <c r="H46" i="3"/>
  <c r="J44" i="3" s="1"/>
  <c r="J46" i="3" s="1"/>
  <c r="L44" i="3" s="1"/>
  <c r="L46" i="3" s="1"/>
  <c r="H176" i="61"/>
  <c r="I176" i="61"/>
  <c r="AR43" i="9"/>
  <c r="AI50" i="9"/>
  <c r="AK50" i="9" s="1"/>
  <c r="AI43" i="9"/>
  <c r="AK43" i="9" s="1"/>
  <c r="T93" i="20"/>
  <c r="V83" i="10"/>
  <c r="X83" i="10" s="1"/>
  <c r="P84" i="9"/>
  <c r="H120" i="61"/>
  <c r="I120" i="61"/>
  <c r="G101" i="61"/>
  <c r="G103" i="61" s="1"/>
  <c r="G112" i="61"/>
  <c r="AB431" i="9"/>
  <c r="Z433" i="9"/>
  <c r="AB433" i="9" s="1"/>
  <c r="G161" i="9"/>
  <c r="AV161" i="9"/>
  <c r="AW161" i="9" s="1"/>
  <c r="G60" i="61"/>
  <c r="G62" i="61" s="1"/>
  <c r="G71" i="61"/>
  <c r="CX75" i="20"/>
  <c r="CY75" i="20"/>
  <c r="P447" i="9"/>
  <c r="R447" i="9" s="1"/>
  <c r="T447" i="9" s="1"/>
  <c r="AB580" i="9"/>
  <c r="AB573" i="9"/>
  <c r="AF8" i="3"/>
  <c r="AK6" i="2"/>
  <c r="AT48" i="9"/>
  <c r="AT41" i="9"/>
  <c r="W55" i="15"/>
  <c r="W56" i="15"/>
  <c r="M24" i="61"/>
  <c r="W57" i="15"/>
  <c r="DG26" i="20"/>
  <c r="V55" i="15"/>
  <c r="AW17" i="5"/>
  <c r="T175" i="9"/>
  <c r="Z77" i="9"/>
  <c r="AW515" i="9"/>
  <c r="Z438" i="9"/>
  <c r="R445" i="9"/>
  <c r="T445" i="9" s="1"/>
  <c r="R438" i="9"/>
  <c r="T438" i="9" s="1"/>
  <c r="X14" i="5"/>
  <c r="X66" i="5"/>
  <c r="O21" i="61"/>
  <c r="O23" i="61" s="1"/>
  <c r="O32" i="61"/>
  <c r="O164" i="61" s="1"/>
  <c r="O162" i="61" s="1"/>
  <c r="CB83" i="20"/>
  <c r="AT16" i="3"/>
  <c r="AT33" i="3" s="1"/>
  <c r="AT45" i="3" s="1"/>
  <c r="AT49" i="3" s="1"/>
  <c r="AV345" i="9"/>
  <c r="X168" i="9"/>
  <c r="X352" i="9"/>
  <c r="X359" i="9" s="1"/>
  <c r="CR75" i="20"/>
  <c r="BZ287" i="9"/>
  <c r="CE287" i="9"/>
  <c r="CJ287" i="9"/>
  <c r="CE294" i="9"/>
  <c r="BJ289" i="9"/>
  <c r="BK289" i="9"/>
  <c r="AG522" i="9"/>
  <c r="AE523" i="9"/>
  <c r="B48" i="15"/>
  <c r="C49" i="15" s="1"/>
  <c r="B46" i="15"/>
  <c r="AF59" i="3"/>
  <c r="AD56" i="3"/>
  <c r="AD57" i="3" s="1"/>
  <c r="R599" i="9"/>
  <c r="T599" i="9" s="1"/>
  <c r="AT93" i="9"/>
  <c r="AT100" i="9"/>
  <c r="AT331" i="9"/>
  <c r="Z450" i="9"/>
  <c r="R450" i="9"/>
  <c r="T450" i="9" s="1"/>
  <c r="CY258" i="1" l="1"/>
  <c r="CY259" i="1" s="1"/>
  <c r="AA54" i="15"/>
  <c r="AB54" i="15" s="1"/>
  <c r="AC54" i="15" s="1"/>
  <c r="AD54" i="15" s="1"/>
  <c r="M155" i="71"/>
  <c r="M171" i="71" s="1"/>
  <c r="M23" i="71" s="1"/>
  <c r="M12" i="71" s="1"/>
  <c r="M13" i="71" s="1"/>
  <c r="K24" i="71"/>
  <c r="L21" i="71" s="1"/>
  <c r="L24" i="71" s="1"/>
  <c r="J37" i="71"/>
  <c r="J39" i="71" s="1"/>
  <c r="J35" i="71"/>
  <c r="K30" i="71"/>
  <c r="K15" i="71" s="1"/>
  <c r="K38" i="71" s="1"/>
  <c r="CJ26" i="20" a="1"/>
  <c r="CZ123" i="1"/>
  <c r="CJ28" i="20" s="1" a="1"/>
  <c r="CO309" i="9"/>
  <c r="BT284" i="9"/>
  <c r="CD283" i="9"/>
  <c r="CI283" i="9"/>
  <c r="CN283" i="9" s="1"/>
  <c r="BY283" i="9"/>
  <c r="CQ309" i="9"/>
  <c r="AT589" i="9"/>
  <c r="AT596" i="9"/>
  <c r="CP310" i="9"/>
  <c r="CJ303" i="9"/>
  <c r="CO303" i="9" s="1"/>
  <c r="BU304" i="9"/>
  <c r="CE304" i="9" s="1"/>
  <c r="CN309" i="9"/>
  <c r="CE317" i="9"/>
  <c r="D181" i="10"/>
  <c r="G119" i="61"/>
  <c r="CB75" i="20"/>
  <c r="AT75" i="20"/>
  <c r="P75" i="20"/>
  <c r="U75" i="20"/>
  <c r="AL75" i="20"/>
  <c r="S75" i="20"/>
  <c r="X75" i="20"/>
  <c r="BN75" i="20"/>
  <c r="BS75" i="20"/>
  <c r="BF75" i="20"/>
  <c r="BA75" i="20"/>
  <c r="O75" i="20"/>
  <c r="G78" i="61"/>
  <c r="AW109" i="2"/>
  <c r="AW115" i="2"/>
  <c r="R277" i="9"/>
  <c r="T277" i="9" s="1"/>
  <c r="R284" i="9"/>
  <c r="T284" i="9" s="1"/>
  <c r="Z277" i="9"/>
  <c r="AB277" i="9" s="1"/>
  <c r="AB273" i="9"/>
  <c r="AB280" i="9"/>
  <c r="AB274" i="9"/>
  <c r="AB281" i="9"/>
  <c r="CA325" i="9"/>
  <c r="CZ12" i="1"/>
  <c r="CO316" i="9"/>
  <c r="CQ310" i="9"/>
  <c r="CQ330" i="9"/>
  <c r="Y33" i="5"/>
  <c r="BY310" i="9"/>
  <c r="CE331" i="9"/>
  <c r="CK324" i="9"/>
  <c r="CP324" i="9" s="1"/>
  <c r="CF325" i="9"/>
  <c r="BV326" i="9"/>
  <c r="CK326" i="9" s="1"/>
  <c r="BJ312" i="9"/>
  <c r="BL312" i="9"/>
  <c r="CA324" i="9"/>
  <c r="R774" i="9"/>
  <c r="BW311" i="9"/>
  <c r="CG318" i="9" s="1"/>
  <c r="R767" i="9"/>
  <c r="R33" i="9"/>
  <c r="T33" i="9" s="1"/>
  <c r="R26" i="9"/>
  <c r="T26" i="9" s="1"/>
  <c r="Z26" i="9"/>
  <c r="Z20" i="9"/>
  <c r="AB20" i="9" s="1"/>
  <c r="R20" i="9"/>
  <c r="T20" i="9" s="1"/>
  <c r="Z301" i="9"/>
  <c r="AB301" i="9" s="1"/>
  <c r="R301" i="9"/>
  <c r="T301" i="9" s="1"/>
  <c r="K28" i="9"/>
  <c r="P27" i="9"/>
  <c r="V26" i="10"/>
  <c r="X26" i="10" s="1"/>
  <c r="P21" i="9"/>
  <c r="V20" i="10"/>
  <c r="X20" i="10" s="1"/>
  <c r="Z20" i="10" s="1"/>
  <c r="P22" i="9"/>
  <c r="P36" i="9"/>
  <c r="V35" i="10"/>
  <c r="X35" i="10" s="1"/>
  <c r="Z35" i="10" s="1"/>
  <c r="K40" i="9"/>
  <c r="AB294" i="9"/>
  <c r="AB287" i="9"/>
  <c r="Z33" i="9"/>
  <c r="T27" i="5"/>
  <c r="DD81" i="20"/>
  <c r="K311" i="9"/>
  <c r="Z32" i="10"/>
  <c r="Z25" i="10"/>
  <c r="R288" i="9"/>
  <c r="T288" i="9" s="1"/>
  <c r="Z288" i="9"/>
  <c r="R295" i="9"/>
  <c r="T295" i="9" s="1"/>
  <c r="F44" i="5"/>
  <c r="F45" i="5" s="1"/>
  <c r="K43" i="9"/>
  <c r="G15" i="5"/>
  <c r="G26" i="5" s="1"/>
  <c r="AR26" i="5"/>
  <c r="F32" i="5"/>
  <c r="Z297" i="9"/>
  <c r="Z298" i="9" s="1"/>
  <c r="P298" i="9"/>
  <c r="AB19" i="9"/>
  <c r="K305" i="9"/>
  <c r="P304" i="9"/>
  <c r="P308" i="9"/>
  <c r="P289" i="9"/>
  <c r="P290" i="9"/>
  <c r="E35" i="5"/>
  <c r="E36" i="5" s="1"/>
  <c r="E33" i="5"/>
  <c r="DJ71" i="20"/>
  <c r="T175" i="30"/>
  <c r="CY32" i="1"/>
  <c r="CY22" i="1"/>
  <c r="CZ62" i="1"/>
  <c r="CA304" i="9"/>
  <c r="CK304" i="9"/>
  <c r="BV305" i="9"/>
  <c r="CN310" i="9"/>
  <c r="CL304" i="9"/>
  <c r="BW305" i="9"/>
  <c r="CB304" i="9"/>
  <c r="CC63" i="20"/>
  <c r="CC25" i="20"/>
  <c r="CD304" i="9"/>
  <c r="BY304" i="9"/>
  <c r="BT305" i="9"/>
  <c r="CI304" i="9"/>
  <c r="CN304" i="9" s="1"/>
  <c r="CP75" i="20"/>
  <c r="BK305" i="9"/>
  <c r="BJ305" i="9"/>
  <c r="BL305" i="9"/>
  <c r="BM305" i="9"/>
  <c r="CS63" i="20"/>
  <c r="CS25" i="20"/>
  <c r="R51" i="5"/>
  <c r="BZ304" i="9"/>
  <c r="CJ304" i="9"/>
  <c r="CO304" i="9" s="1"/>
  <c r="AT127" i="9"/>
  <c r="AR128" i="9"/>
  <c r="AT134" i="9"/>
  <c r="CK319" i="9"/>
  <c r="CN330" i="9"/>
  <c r="DF68" i="20"/>
  <c r="L36" i="61"/>
  <c r="X517" i="9"/>
  <c r="AV516" i="9"/>
  <c r="AW516" i="9" s="1"/>
  <c r="X523" i="9"/>
  <c r="X524" i="9" s="1"/>
  <c r="AB582" i="9"/>
  <c r="I176" i="9"/>
  <c r="T176" i="9" s="1"/>
  <c r="AV510" i="9"/>
  <c r="AW510" i="9" s="1"/>
  <c r="U54" i="5"/>
  <c r="B74" i="9"/>
  <c r="B50" i="30"/>
  <c r="B244" i="9"/>
  <c r="B421" i="9" s="1"/>
  <c r="CE310" i="9"/>
  <c r="CJ310" i="9"/>
  <c r="CA318" i="9"/>
  <c r="CE324" i="9"/>
  <c r="CG310" i="9"/>
  <c r="CF331" i="9"/>
  <c r="CG317" i="9"/>
  <c r="AT23" i="9"/>
  <c r="BU325" i="9"/>
  <c r="BZ325" i="9" s="1"/>
  <c r="CJ324" i="9"/>
  <c r="CO324" i="9" s="1"/>
  <c r="CK318" i="9"/>
  <c r="CP325" i="9" s="1"/>
  <c r="CB310" i="9"/>
  <c r="CF324" i="9"/>
  <c r="CF310" i="9"/>
  <c r="CF317" i="9"/>
  <c r="BV311" i="9"/>
  <c r="CA310" i="9"/>
  <c r="CG324" i="9"/>
  <c r="CD331" i="9"/>
  <c r="CK331" i="9"/>
  <c r="CP331" i="9" s="1"/>
  <c r="CA331" i="9"/>
  <c r="Q162" i="30"/>
  <c r="T126" i="9"/>
  <c r="CB331" i="9"/>
  <c r="CL331" i="9"/>
  <c r="CP330" i="9"/>
  <c r="BZ331" i="9"/>
  <c r="CJ331" i="9"/>
  <c r="I638" i="9"/>
  <c r="T638" i="9" s="1"/>
  <c r="BY331" i="9"/>
  <c r="CI331" i="9"/>
  <c r="CO284" i="9"/>
  <c r="CO323" i="9"/>
  <c r="U49" i="15"/>
  <c r="BW325" i="9"/>
  <c r="CG325" i="9" s="1"/>
  <c r="CG331" i="9"/>
  <c r="CL324" i="9"/>
  <c r="CD318" i="9"/>
  <c r="CD325" i="9"/>
  <c r="R602" i="9"/>
  <c r="T602" i="9" s="1"/>
  <c r="X602" i="9" s="1"/>
  <c r="Z602" i="9"/>
  <c r="CN323" i="9"/>
  <c r="CP317" i="9"/>
  <c r="DF89" i="20"/>
  <c r="U48" i="5"/>
  <c r="DD12" i="20"/>
  <c r="DD59" i="20"/>
  <c r="DD67" i="20"/>
  <c r="DE67" i="20"/>
  <c r="V39" i="5"/>
  <c r="V47" i="5"/>
  <c r="AM72" i="2"/>
  <c r="AM73" i="2"/>
  <c r="DH86" i="20"/>
  <c r="W42" i="5"/>
  <c r="W38" i="5"/>
  <c r="J10" i="61"/>
  <c r="J45" i="61"/>
  <c r="J30" i="61"/>
  <c r="J35" i="61"/>
  <c r="J127" i="61"/>
  <c r="J86" i="61"/>
  <c r="K35" i="61"/>
  <c r="DG92" i="20"/>
  <c r="DG87" i="20"/>
  <c r="U22" i="15"/>
  <c r="U61" i="15"/>
  <c r="U63" i="5"/>
  <c r="S65" i="5"/>
  <c r="S39" i="15"/>
  <c r="S34" i="15"/>
  <c r="AK33" i="15"/>
  <c r="CI311" i="9"/>
  <c r="R603" i="9"/>
  <c r="T603" i="9" s="1"/>
  <c r="Z603" i="9"/>
  <c r="CD311" i="9"/>
  <c r="BT326" i="9"/>
  <c r="BY326" i="9" s="1"/>
  <c r="CI324" i="9"/>
  <c r="CN324" i="9" s="1"/>
  <c r="BU289" i="9"/>
  <c r="BU290" i="9" s="1"/>
  <c r="BU291" i="9" s="1"/>
  <c r="BY324" i="9"/>
  <c r="CD324" i="9"/>
  <c r="BT312" i="9"/>
  <c r="CD319" i="9" s="1"/>
  <c r="L40" i="61"/>
  <c r="CV63" i="20"/>
  <c r="CV25" i="20"/>
  <c r="CW75" i="20" s="1"/>
  <c r="U52" i="15"/>
  <c r="BY318" i="9"/>
  <c r="CI318" i="9"/>
  <c r="BY319" i="9"/>
  <c r="CI319" i="9"/>
  <c r="CF46" i="1"/>
  <c r="CG46" i="1"/>
  <c r="CG45" i="1"/>
  <c r="CF45" i="1"/>
  <c r="CG42" i="1"/>
  <c r="CF42" i="1"/>
  <c r="CE43" i="1"/>
  <c r="CI40" i="1" s="1"/>
  <c r="X30" i="15"/>
  <c r="DH14" i="20"/>
  <c r="Z183" i="9"/>
  <c r="AB183" i="9" s="1"/>
  <c r="AV183" i="9"/>
  <c r="AN183" i="9"/>
  <c r="V168" i="30"/>
  <c r="AW168" i="30" s="1"/>
  <c r="AG168" i="30"/>
  <c r="AT30" i="9"/>
  <c r="CI326" i="9"/>
  <c r="L21" i="61"/>
  <c r="L23" i="61" s="1"/>
  <c r="L32" i="61"/>
  <c r="L164" i="61" s="1"/>
  <c r="L162" i="61" s="1"/>
  <c r="K21" i="61"/>
  <c r="K23" i="61" s="1"/>
  <c r="K32" i="61"/>
  <c r="K137" i="61"/>
  <c r="K161" i="61"/>
  <c r="K150" i="61"/>
  <c r="DF64" i="20"/>
  <c r="DF76" i="20"/>
  <c r="BM83" i="20"/>
  <c r="AN16" i="3"/>
  <c r="AN33" i="3" s="1"/>
  <c r="AN45" i="3" s="1"/>
  <c r="BU83" i="20"/>
  <c r="BL83" i="20"/>
  <c r="AL16" i="3"/>
  <c r="AL33" i="3" s="1"/>
  <c r="AL45" i="3" s="1"/>
  <c r="L70" i="61"/>
  <c r="L77" i="61"/>
  <c r="L65" i="61"/>
  <c r="L55" i="61"/>
  <c r="DE23" i="20"/>
  <c r="DE61" i="20"/>
  <c r="DE62" i="20"/>
  <c r="V52" i="15"/>
  <c r="AN643" i="9"/>
  <c r="AV643" i="9"/>
  <c r="K65" i="61"/>
  <c r="K70" i="61"/>
  <c r="K55" i="61"/>
  <c r="K111" i="61"/>
  <c r="K96" i="61"/>
  <c r="K106" i="61"/>
  <c r="L106" i="61"/>
  <c r="L118" i="61"/>
  <c r="L111" i="61"/>
  <c r="L96" i="61"/>
  <c r="DE64" i="20"/>
  <c r="M116" i="61"/>
  <c r="M172" i="61" s="1"/>
  <c r="M171" i="61"/>
  <c r="M169" i="61" s="1"/>
  <c r="M75" i="61"/>
  <c r="M170" i="61" s="1"/>
  <c r="M177" i="61"/>
  <c r="M121" i="61"/>
  <c r="M80" i="61"/>
  <c r="M81" i="61" s="1"/>
  <c r="M179" i="61" s="1"/>
  <c r="DF62" i="20"/>
  <c r="DF61" i="20"/>
  <c r="DF23" i="20"/>
  <c r="M40" i="61"/>
  <c r="BY325" i="9"/>
  <c r="CI325" i="9"/>
  <c r="AV177" i="9"/>
  <c r="Z177" i="9"/>
  <c r="AN177" i="9"/>
  <c r="D177" i="9"/>
  <c r="F161" i="30"/>
  <c r="L161" i="30"/>
  <c r="AG162" i="30"/>
  <c r="AH161" i="30"/>
  <c r="R161" i="30"/>
  <c r="I531" i="9"/>
  <c r="T531" i="9" s="1"/>
  <c r="AV536" i="9"/>
  <c r="N162" i="30"/>
  <c r="N175" i="30" s="1"/>
  <c r="AB176" i="9"/>
  <c r="AW161" i="30"/>
  <c r="AV168" i="30"/>
  <c r="AU168" i="30" s="1"/>
  <c r="K162" i="30"/>
  <c r="BW312" i="9"/>
  <c r="CG319" i="9" s="1"/>
  <c r="CB311" i="9"/>
  <c r="CL311" i="9"/>
  <c r="CG311" i="9"/>
  <c r="R454" i="9"/>
  <c r="T454" i="9" s="1"/>
  <c r="AB517" i="9"/>
  <c r="BZ311" i="9"/>
  <c r="CJ311" i="9"/>
  <c r="BU312" i="9"/>
  <c r="CE311" i="9"/>
  <c r="P233" i="9"/>
  <c r="K234" i="9"/>
  <c r="R239" i="9"/>
  <c r="R232" i="9"/>
  <c r="AI44" i="9"/>
  <c r="AK44" i="9" s="1"/>
  <c r="CJ318" i="9"/>
  <c r="BU319" i="9"/>
  <c r="BZ318" i="9"/>
  <c r="CE318" i="9"/>
  <c r="CO317" i="9"/>
  <c r="C13" i="76"/>
  <c r="AV11" i="3"/>
  <c r="Y58" i="15" s="1"/>
  <c r="Z26" i="5"/>
  <c r="Z18" i="15" s="1"/>
  <c r="AB263" i="9"/>
  <c r="AB270" i="9"/>
  <c r="BT289" i="9"/>
  <c r="CD296" i="9" s="1"/>
  <c r="CQ324" i="9"/>
  <c r="CQ317" i="9"/>
  <c r="AV160" i="9"/>
  <c r="AW160" i="9" s="1"/>
  <c r="G160" i="9"/>
  <c r="AR521" i="9"/>
  <c r="AV521" i="9"/>
  <c r="AW521" i="9" s="1"/>
  <c r="AB521" i="9"/>
  <c r="X528" i="9"/>
  <c r="CL319" i="9"/>
  <c r="CB319" i="9"/>
  <c r="AB344" i="9"/>
  <c r="X351" i="9"/>
  <c r="AV344" i="9"/>
  <c r="AW344" i="9" s="1"/>
  <c r="X167" i="9"/>
  <c r="CA75" i="20"/>
  <c r="C36" i="62" s="1"/>
  <c r="R453" i="9"/>
  <c r="T453" i="9" s="1"/>
  <c r="Z453" i="9"/>
  <c r="AB453" i="9" s="1"/>
  <c r="AR517" i="9"/>
  <c r="CU63" i="20"/>
  <c r="CU25" i="20"/>
  <c r="AT18" i="5"/>
  <c r="AS22" i="5"/>
  <c r="K464" i="9"/>
  <c r="P464" i="9" s="1"/>
  <c r="P460" i="9"/>
  <c r="W11" i="15"/>
  <c r="W28" i="15"/>
  <c r="AU67" i="2"/>
  <c r="W8" i="15"/>
  <c r="W67" i="15" s="1"/>
  <c r="W26" i="15"/>
  <c r="DH8" i="20"/>
  <c r="W37" i="15"/>
  <c r="W13" i="15"/>
  <c r="N6" i="61"/>
  <c r="W15" i="15"/>
  <c r="W31" i="15"/>
  <c r="W33" i="15"/>
  <c r="W17" i="15"/>
  <c r="X8" i="15"/>
  <c r="X67" i="15" s="1"/>
  <c r="W20" i="15"/>
  <c r="AB530" i="9"/>
  <c r="AB522" i="9"/>
  <c r="CJ298" i="9"/>
  <c r="BZ298" i="9"/>
  <c r="AB636" i="9"/>
  <c r="AN636" i="9"/>
  <c r="AV636" i="9"/>
  <c r="AW636" i="9" s="1"/>
  <c r="BZ75" i="20"/>
  <c r="AB599" i="9"/>
  <c r="AI522" i="9"/>
  <c r="AK522" i="9" s="1"/>
  <c r="AP522" i="9"/>
  <c r="AT522" i="9" s="1"/>
  <c r="AV352" i="9"/>
  <c r="AW345" i="9"/>
  <c r="DH28" i="20"/>
  <c r="X57" i="15"/>
  <c r="DI28" i="20" s="1"/>
  <c r="AT50" i="9"/>
  <c r="AT43" i="9"/>
  <c r="AW635" i="9"/>
  <c r="AT42" i="9"/>
  <c r="AT49" i="9"/>
  <c r="AR44" i="9"/>
  <c r="DI25" i="20"/>
  <c r="DI63" i="20"/>
  <c r="P457" i="9"/>
  <c r="P613" i="9"/>
  <c r="Z613" i="9" s="1"/>
  <c r="P609" i="9"/>
  <c r="K148" i="9"/>
  <c r="M71" i="61"/>
  <c r="M163" i="61" s="1"/>
  <c r="M60" i="61"/>
  <c r="BJ291" i="9"/>
  <c r="BK291" i="9"/>
  <c r="M101" i="61"/>
  <c r="M112" i="61"/>
  <c r="M165" i="61" s="1"/>
  <c r="Q28" i="5"/>
  <c r="K467" i="9"/>
  <c r="M5" i="5"/>
  <c r="AX5" i="5"/>
  <c r="AV529" i="9"/>
  <c r="H175" i="61"/>
  <c r="I175" i="61"/>
  <c r="Z596" i="9"/>
  <c r="AB596" i="9" s="1"/>
  <c r="DG25" i="20"/>
  <c r="DG63" i="20"/>
  <c r="AG523" i="9"/>
  <c r="AR523" i="9" s="1"/>
  <c r="AE527" i="9"/>
  <c r="CO287" i="9"/>
  <c r="CO294" i="9"/>
  <c r="G168" i="9"/>
  <c r="AV168" i="9"/>
  <c r="AB438" i="9"/>
  <c r="AB445" i="9"/>
  <c r="AX17" i="5"/>
  <c r="Z90" i="10"/>
  <c r="Z83" i="10"/>
  <c r="L47" i="3"/>
  <c r="N44" i="3"/>
  <c r="N46" i="3" s="1"/>
  <c r="CQ230" i="1"/>
  <c r="CQ187" i="1"/>
  <c r="CQ132" i="1" s="1"/>
  <c r="CQ143" i="1" s="1"/>
  <c r="AB450" i="9"/>
  <c r="M147" i="61"/>
  <c r="M145" i="61" s="1"/>
  <c r="M63" i="61"/>
  <c r="AP49" i="3"/>
  <c r="AP65" i="3"/>
  <c r="AB635" i="9"/>
  <c r="Z440" i="9"/>
  <c r="AB440" i="9" s="1"/>
  <c r="DB75" i="20"/>
  <c r="DC75" i="20"/>
  <c r="DG83" i="20"/>
  <c r="K616" i="9"/>
  <c r="CE288" i="9"/>
  <c r="CJ288" i="9"/>
  <c r="BZ288" i="9"/>
  <c r="CE295" i="9"/>
  <c r="H119" i="61"/>
  <c r="I119" i="61"/>
  <c r="AW522" i="9"/>
  <c r="H78" i="61"/>
  <c r="I78" i="61"/>
  <c r="CN287" i="9"/>
  <c r="CN294" i="9"/>
  <c r="AH59" i="3"/>
  <c r="AF56" i="3"/>
  <c r="AF57" i="3" s="1"/>
  <c r="CU16" i="1"/>
  <c r="CV62" i="1"/>
  <c r="CV12" i="1"/>
  <c r="CR12" i="11" s="1"/>
  <c r="D174" i="10"/>
  <c r="V140" i="10"/>
  <c r="X140" i="10" s="1"/>
  <c r="BI93" i="20"/>
  <c r="P145" i="9"/>
  <c r="P141" i="9"/>
  <c r="AB345" i="9"/>
  <c r="DH27" i="20"/>
  <c r="X56" i="15"/>
  <c r="DI27" i="20" s="1"/>
  <c r="AM6" i="2"/>
  <c r="AH8" i="3"/>
  <c r="R91" i="9"/>
  <c r="T91" i="9" s="1"/>
  <c r="R84" i="9"/>
  <c r="T84" i="9" s="1"/>
  <c r="Z84" i="9"/>
  <c r="R606" i="9"/>
  <c r="T606" i="9" s="1"/>
  <c r="N6" i="23"/>
  <c r="AD7" i="11"/>
  <c r="H39" i="61"/>
  <c r="I39" i="61"/>
  <c r="Z458" i="9"/>
  <c r="AB458" i="9" s="1"/>
  <c r="R458" i="9"/>
  <c r="T458" i="9" s="1"/>
  <c r="Z447" i="9"/>
  <c r="BY288" i="9"/>
  <c r="CI288" i="9"/>
  <c r="CD288" i="9"/>
  <c r="CD295" i="9"/>
  <c r="AR522" i="9"/>
  <c r="AB83" i="9"/>
  <c r="AB90" i="9"/>
  <c r="M23" i="61"/>
  <c r="CJ27" i="20" l="1" a="1"/>
  <c r="CM27" i="20" s="1"/>
  <c r="CZ258" i="1"/>
  <c r="CJ28" i="20"/>
  <c r="CK28" i="20"/>
  <c r="CM28" i="20"/>
  <c r="CL28" i="20"/>
  <c r="N155" i="71"/>
  <c r="N171" i="71" s="1"/>
  <c r="N23" i="71" s="1"/>
  <c r="N12" i="71" s="1"/>
  <c r="N13" i="71" s="1"/>
  <c r="M21" i="71"/>
  <c r="M24" i="71" s="1"/>
  <c r="K16" i="71"/>
  <c r="K33" i="71"/>
  <c r="R24" i="61"/>
  <c r="DL26" i="20"/>
  <c r="CL26" i="20"/>
  <c r="CM26" i="20"/>
  <c r="CJ26" i="20"/>
  <c r="CK26" i="20"/>
  <c r="CJ27" i="20"/>
  <c r="CL27" i="20"/>
  <c r="CK27" i="20"/>
  <c r="CO310" i="9"/>
  <c r="BY284" i="9"/>
  <c r="CD284" i="9"/>
  <c r="CI284" i="9"/>
  <c r="CN284" i="9" s="1"/>
  <c r="BU305" i="9"/>
  <c r="CE305" i="9" s="1"/>
  <c r="F181" i="10"/>
  <c r="L174" i="10"/>
  <c r="L181" i="10"/>
  <c r="L168" i="30"/>
  <c r="AR168" i="30"/>
  <c r="AB284" i="9"/>
  <c r="CA326" i="9"/>
  <c r="CD326" i="9"/>
  <c r="CQ331" i="9"/>
  <c r="CF326" i="9"/>
  <c r="CP326" i="9"/>
  <c r="CE325" i="9"/>
  <c r="DA32" i="1"/>
  <c r="BW326" i="9"/>
  <c r="CG326" i="9" s="1"/>
  <c r="AV517" i="9"/>
  <c r="AW517" i="9" s="1"/>
  <c r="CO311" i="9"/>
  <c r="CL325" i="9"/>
  <c r="CQ325" i="9" s="1"/>
  <c r="CO331" i="9"/>
  <c r="R290" i="9"/>
  <c r="T290" i="9" s="1"/>
  <c r="Z290" i="9"/>
  <c r="R297" i="9"/>
  <c r="T297" i="9" s="1"/>
  <c r="V42" i="10"/>
  <c r="X42" i="10" s="1"/>
  <c r="Z42" i="10" s="1"/>
  <c r="K47" i="9"/>
  <c r="P37" i="9"/>
  <c r="Z36" i="9"/>
  <c r="Z37" i="9" s="1"/>
  <c r="Z33" i="10"/>
  <c r="Z26" i="10"/>
  <c r="AB33" i="9"/>
  <c r="AB26" i="9"/>
  <c r="Z289" i="9"/>
  <c r="R289" i="9"/>
  <c r="T289" i="9" s="1"/>
  <c r="P291" i="9"/>
  <c r="R296" i="9"/>
  <c r="T296" i="9" s="1"/>
  <c r="F35" i="5"/>
  <c r="F36" i="5" s="1"/>
  <c r="F33" i="5"/>
  <c r="U27" i="5"/>
  <c r="DE81" i="20"/>
  <c r="Z22" i="9"/>
  <c r="AB22" i="9" s="1"/>
  <c r="R22" i="9"/>
  <c r="T22" i="9" s="1"/>
  <c r="R34" i="9"/>
  <c r="T34" i="9" s="1"/>
  <c r="R27" i="9"/>
  <c r="T27" i="9" s="1"/>
  <c r="Z27" i="9"/>
  <c r="Z308" i="9"/>
  <c r="AB308" i="9" s="1"/>
  <c r="R308" i="9"/>
  <c r="T308" i="9" s="1"/>
  <c r="P40" i="9"/>
  <c r="K41" i="9"/>
  <c r="V39" i="10"/>
  <c r="X39" i="10" s="1"/>
  <c r="Z39" i="10" s="1"/>
  <c r="P28" i="9"/>
  <c r="V27" i="10"/>
  <c r="X27" i="10" s="1"/>
  <c r="P29" i="9"/>
  <c r="R304" i="9"/>
  <c r="T304" i="9" s="1"/>
  <c r="P305" i="9"/>
  <c r="R305" i="9" s="1"/>
  <c r="T305" i="9" s="1"/>
  <c r="Z304" i="9"/>
  <c r="AS26" i="5"/>
  <c r="G32" i="5"/>
  <c r="G44" i="5"/>
  <c r="G45" i="5" s="1"/>
  <c r="K50" i="9"/>
  <c r="H15" i="5"/>
  <c r="H26" i="5" s="1"/>
  <c r="AB288" i="9"/>
  <c r="AB295" i="9"/>
  <c r="K312" i="9"/>
  <c r="P315" i="9"/>
  <c r="P311" i="9"/>
  <c r="Z21" i="9"/>
  <c r="R21" i="9"/>
  <c r="T21" i="9" s="1"/>
  <c r="P23" i="9"/>
  <c r="F183" i="9"/>
  <c r="I183" i="9" s="1"/>
  <c r="T183" i="9" s="1"/>
  <c r="DA13" i="1"/>
  <c r="CM68" i="20" s="1"/>
  <c r="CM72" i="20" s="1"/>
  <c r="CY52" i="1"/>
  <c r="R54" i="5"/>
  <c r="R63" i="5"/>
  <c r="DC68" i="20"/>
  <c r="I36" i="61"/>
  <c r="CC75" i="20"/>
  <c r="CA305" i="9"/>
  <c r="CK305" i="9"/>
  <c r="CQ311" i="9"/>
  <c r="CN311" i="9"/>
  <c r="BZ305" i="9"/>
  <c r="CT75" i="20"/>
  <c r="CS75" i="20"/>
  <c r="CL305" i="9"/>
  <c r="CB305" i="9"/>
  <c r="AT135" i="9"/>
  <c r="AT128" i="9"/>
  <c r="CD305" i="9"/>
  <c r="BY305" i="9"/>
  <c r="CI305" i="9"/>
  <c r="CN305" i="9" s="1"/>
  <c r="BU326" i="9"/>
  <c r="BZ326" i="9" s="1"/>
  <c r="CN331" i="9"/>
  <c r="B57" i="30"/>
  <c r="B81" i="9"/>
  <c r="B251" i="9"/>
  <c r="B428" i="9" s="1"/>
  <c r="L171" i="61"/>
  <c r="L169" i="61" s="1"/>
  <c r="L121" i="61"/>
  <c r="L177" i="61"/>
  <c r="L116" i="61"/>
  <c r="L172" i="61" s="1"/>
  <c r="L75" i="61"/>
  <c r="L170" i="61" s="1"/>
  <c r="L80" i="61"/>
  <c r="L81" i="61" s="1"/>
  <c r="L179" i="61" s="1"/>
  <c r="CJ325" i="9"/>
  <c r="X530" i="9"/>
  <c r="AV523" i="9"/>
  <c r="AW523" i="9" s="1"/>
  <c r="CB325" i="9"/>
  <c r="M39" i="61"/>
  <c r="CJ289" i="9"/>
  <c r="CO289" i="9" s="1"/>
  <c r="AV524" i="9"/>
  <c r="AW524" i="9" s="1"/>
  <c r="CK311" i="9"/>
  <c r="CF318" i="9"/>
  <c r="BV312" i="9"/>
  <c r="CA311" i="9"/>
  <c r="CF311" i="9"/>
  <c r="CE296" i="9"/>
  <c r="BZ289" i="9"/>
  <c r="CN326" i="9"/>
  <c r="R609" i="9"/>
  <c r="T609" i="9" s="1"/>
  <c r="Z609" i="9"/>
  <c r="CI312" i="9"/>
  <c r="CN319" i="9" s="1"/>
  <c r="J168" i="61"/>
  <c r="J131" i="61"/>
  <c r="J157" i="61"/>
  <c r="K168" i="61"/>
  <c r="J13" i="61"/>
  <c r="J29" i="61"/>
  <c r="X38" i="5"/>
  <c r="X44" i="5"/>
  <c r="DI88" i="20" s="1"/>
  <c r="X42" i="5"/>
  <c r="DI86" i="20"/>
  <c r="J177" i="61"/>
  <c r="J178" i="61" s="1"/>
  <c r="J80" i="61"/>
  <c r="J81" i="61" s="1"/>
  <c r="J121" i="61"/>
  <c r="J122" i="61" s="1"/>
  <c r="W39" i="5"/>
  <c r="W47" i="5"/>
  <c r="V48" i="5"/>
  <c r="DG89" i="20"/>
  <c r="S45" i="15"/>
  <c r="S40" i="15"/>
  <c r="S43" i="15"/>
  <c r="DD94" i="20" s="1"/>
  <c r="K80" i="61"/>
  <c r="K81" i="61" s="1"/>
  <c r="K121" i="61"/>
  <c r="K122" i="61" s="1"/>
  <c r="K177" i="61"/>
  <c r="K178" i="61" s="1"/>
  <c r="V22" i="15"/>
  <c r="V61" i="15"/>
  <c r="V63" i="5"/>
  <c r="S66" i="5"/>
  <c r="J90" i="61"/>
  <c r="J115" i="61"/>
  <c r="J110" i="61"/>
  <c r="K115" i="61"/>
  <c r="J49" i="61"/>
  <c r="J74" i="61"/>
  <c r="J69" i="61"/>
  <c r="K74" i="61"/>
  <c r="DH92" i="20"/>
  <c r="DH87" i="20"/>
  <c r="DD16" i="20"/>
  <c r="DD58" i="20"/>
  <c r="CN318" i="9"/>
  <c r="CE289" i="9"/>
  <c r="P610" i="9"/>
  <c r="BY312" i="9"/>
  <c r="CN325" i="9"/>
  <c r="CD312" i="9"/>
  <c r="CQ318" i="9"/>
  <c r="L120" i="61"/>
  <c r="Z454" i="9"/>
  <c r="AB454" i="9" s="1"/>
  <c r="AB524" i="9"/>
  <c r="CJ40" i="1"/>
  <c r="CK40" i="1"/>
  <c r="CI41" i="1"/>
  <c r="CI42" i="1" s="1"/>
  <c r="DI14" i="20"/>
  <c r="Y30" i="15"/>
  <c r="AG30" i="15" s="1"/>
  <c r="DL14" i="20" s="1"/>
  <c r="X31" i="15"/>
  <c r="X51" i="15"/>
  <c r="CG43" i="1"/>
  <c r="CF43" i="1"/>
  <c r="CE44" i="1"/>
  <c r="AH168" i="30"/>
  <c r="AW183" i="9"/>
  <c r="F168" i="30"/>
  <c r="R168" i="30"/>
  <c r="L101" i="61"/>
  <c r="L103" i="61" s="1"/>
  <c r="L112" i="61"/>
  <c r="L165" i="61" s="1"/>
  <c r="CL326" i="9"/>
  <c r="K71" i="61"/>
  <c r="K60" i="61"/>
  <c r="K62" i="61" s="1"/>
  <c r="L71" i="61"/>
  <c r="L163" i="61" s="1"/>
  <c r="L60" i="61"/>
  <c r="L62" i="61" s="1"/>
  <c r="DF25" i="20"/>
  <c r="DG75" i="20" s="1"/>
  <c r="DF63" i="20"/>
  <c r="M122" i="61"/>
  <c r="M181" i="61" s="1"/>
  <c r="M180" i="61"/>
  <c r="M178" i="61" s="1"/>
  <c r="M168" i="61" s="1"/>
  <c r="AB643" i="9"/>
  <c r="L79" i="61"/>
  <c r="AN49" i="3"/>
  <c r="AN65" i="3"/>
  <c r="K142" i="61"/>
  <c r="K144" i="61" s="1"/>
  <c r="K162" i="61"/>
  <c r="L39" i="61"/>
  <c r="K101" i="61"/>
  <c r="K103" i="61" s="1"/>
  <c r="K112" i="61"/>
  <c r="AL49" i="3"/>
  <c r="AL65" i="3"/>
  <c r="M120" i="61"/>
  <c r="AG524" i="9"/>
  <c r="AI524" i="9" s="1"/>
  <c r="AK524" i="9" s="1"/>
  <c r="AW643" i="9"/>
  <c r="DE63" i="20"/>
  <c r="DE25" i="20"/>
  <c r="M79" i="61"/>
  <c r="DJ70" i="20"/>
  <c r="AW536" i="9"/>
  <c r="AK161" i="30"/>
  <c r="AO161" i="30"/>
  <c r="AR162" i="30"/>
  <c r="AO162" i="30" s="1"/>
  <c r="AS161" i="30"/>
  <c r="AB177" i="9"/>
  <c r="AB536" i="9"/>
  <c r="AB537" i="9"/>
  <c r="AH162" i="30"/>
  <c r="Y7" i="5"/>
  <c r="R162" i="30"/>
  <c r="L162" i="30"/>
  <c r="CL312" i="9"/>
  <c r="CB312" i="9"/>
  <c r="CG312" i="9"/>
  <c r="BZ312" i="9"/>
  <c r="CE312" i="9"/>
  <c r="CJ312" i="9"/>
  <c r="AB359" i="9"/>
  <c r="AV359" i="9"/>
  <c r="P238" i="9"/>
  <c r="P234" i="9"/>
  <c r="P235" i="9" s="1"/>
  <c r="R235" i="9" s="1"/>
  <c r="R233" i="9"/>
  <c r="R240" i="9"/>
  <c r="BY289" i="9"/>
  <c r="DK80" i="20"/>
  <c r="DK93" i="20" s="1"/>
  <c r="AA15" i="5"/>
  <c r="Z62" i="15"/>
  <c r="Z32" i="5"/>
  <c r="Z33" i="5" s="1"/>
  <c r="CU269" i="1"/>
  <c r="DJ15" i="20"/>
  <c r="P12" i="61" s="1"/>
  <c r="CO318" i="9"/>
  <c r="CO325" i="9"/>
  <c r="CU52" i="1"/>
  <c r="CJ319" i="9"/>
  <c r="CE319" i="9"/>
  <c r="BZ319" i="9"/>
  <c r="D13" i="76"/>
  <c r="AX11" i="3"/>
  <c r="Z58" i="15" s="1"/>
  <c r="BT290" i="9"/>
  <c r="BT291" i="9" s="1"/>
  <c r="CI291" i="9" s="1"/>
  <c r="CD289" i="9"/>
  <c r="CI289" i="9"/>
  <c r="CN289" i="9" s="1"/>
  <c r="AB528" i="9"/>
  <c r="AV528" i="9"/>
  <c r="AW528" i="9" s="1"/>
  <c r="AV351" i="9"/>
  <c r="CQ326" i="9"/>
  <c r="AB447" i="9"/>
  <c r="G167" i="9"/>
  <c r="AV167" i="9"/>
  <c r="X609" i="9"/>
  <c r="AV602" i="9"/>
  <c r="X603" i="9"/>
  <c r="G603" i="9" s="1"/>
  <c r="S127" i="30" s="1"/>
  <c r="CN288" i="9"/>
  <c r="CN295" i="9"/>
  <c r="P6" i="23"/>
  <c r="AH7" i="11"/>
  <c r="AB606" i="9"/>
  <c r="AB84" i="9"/>
  <c r="AB91" i="9"/>
  <c r="AJ8" i="3"/>
  <c r="AO6" i="2"/>
  <c r="Z145" i="9"/>
  <c r="P616" i="9"/>
  <c r="P620" i="9"/>
  <c r="Z620" i="9" s="1"/>
  <c r="AE620" i="9"/>
  <c r="P44" i="3"/>
  <c r="P46" i="3" s="1"/>
  <c r="N47" i="3"/>
  <c r="AW168" i="9"/>
  <c r="AW175" i="9"/>
  <c r="AE528" i="9"/>
  <c r="AG527" i="9"/>
  <c r="P471" i="9"/>
  <c r="R613" i="9"/>
  <c r="T613" i="9" s="1"/>
  <c r="AT44" i="9"/>
  <c r="AT51" i="9"/>
  <c r="W34" i="15"/>
  <c r="W39" i="15"/>
  <c r="W65" i="5"/>
  <c r="W66" i="5" s="1"/>
  <c r="CU26" i="1"/>
  <c r="F174" i="10"/>
  <c r="CO296" i="9"/>
  <c r="CQ231" i="1"/>
  <c r="CQ188" i="1"/>
  <c r="CQ133" i="1" s="1"/>
  <c r="CQ144" i="1" s="1"/>
  <c r="AP523" i="9"/>
  <c r="AI523" i="9"/>
  <c r="AK523" i="9" s="1"/>
  <c r="AB529" i="9"/>
  <c r="K474" i="9"/>
  <c r="R28" i="5"/>
  <c r="Z457" i="9"/>
  <c r="P461" i="9"/>
  <c r="R461" i="9" s="1"/>
  <c r="T461" i="9" s="1"/>
  <c r="R457" i="9"/>
  <c r="T457" i="9" s="1"/>
  <c r="AW352" i="9"/>
  <c r="R460" i="9"/>
  <c r="T460" i="9" s="1"/>
  <c r="Z460" i="9"/>
  <c r="AB460" i="9" s="1"/>
  <c r="BZ290" i="9"/>
  <c r="CE290" i="9"/>
  <c r="CJ290" i="9"/>
  <c r="CE297" i="9"/>
  <c r="CE291" i="9"/>
  <c r="CJ291" i="9"/>
  <c r="CO291" i="9" s="1"/>
  <c r="BZ291" i="9"/>
  <c r="CV16" i="1"/>
  <c r="CV66" i="1"/>
  <c r="AW529" i="9"/>
  <c r="M62" i="61"/>
  <c r="BN93" i="20"/>
  <c r="V147" i="10"/>
  <c r="X147" i="10" s="1"/>
  <c r="Z147" i="10" s="1"/>
  <c r="P152" i="9"/>
  <c r="P148" i="9"/>
  <c r="P149" i="9" s="1"/>
  <c r="AB352" i="9"/>
  <c r="CE298" i="9"/>
  <c r="AU73" i="2"/>
  <c r="AU72" i="2"/>
  <c r="K465" i="9"/>
  <c r="K110" i="9"/>
  <c r="AU18" i="5"/>
  <c r="AT22" i="5"/>
  <c r="CU75" i="20"/>
  <c r="CV75" i="20"/>
  <c r="AR524" i="9"/>
  <c r="Z141" i="9"/>
  <c r="CW16" i="1"/>
  <c r="CU36" i="1"/>
  <c r="CW32" i="1"/>
  <c r="DB32" i="1" s="1"/>
  <c r="DC32" i="1"/>
  <c r="AH56" i="3"/>
  <c r="AH57" i="3" s="1"/>
  <c r="AJ59" i="3"/>
  <c r="CO288" i="9"/>
  <c r="CO295" i="9"/>
  <c r="M146" i="61"/>
  <c r="M104" i="61"/>
  <c r="M148" i="61" s="1"/>
  <c r="AY17" i="5"/>
  <c r="AY5" i="5"/>
  <c r="N5" i="5"/>
  <c r="N45" i="61"/>
  <c r="N30" i="61"/>
  <c r="N159" i="61" s="1"/>
  <c r="N157" i="61" s="1"/>
  <c r="N10" i="61"/>
  <c r="N86" i="61"/>
  <c r="N35" i="61"/>
  <c r="O35" i="61"/>
  <c r="DH12" i="20"/>
  <c r="DH67" i="20"/>
  <c r="DH59" i="20"/>
  <c r="DI67" i="20"/>
  <c r="Z464" i="9"/>
  <c r="R464" i="9"/>
  <c r="T464" i="9" s="1"/>
  <c r="P92" i="61" l="1"/>
  <c r="P106" i="61" s="1"/>
  <c r="P51" i="61"/>
  <c r="P65" i="61" s="1"/>
  <c r="O155" i="71"/>
  <c r="O171" i="71" s="1"/>
  <c r="O23" i="71" s="1"/>
  <c r="O12" i="71" s="1"/>
  <c r="O13" i="71" s="1"/>
  <c r="L29" i="71"/>
  <c r="K35" i="71"/>
  <c r="K37" i="71"/>
  <c r="K39" i="71" s="1"/>
  <c r="N21" i="71"/>
  <c r="N24" i="71" s="1"/>
  <c r="S24" i="61"/>
  <c r="AB53" i="15"/>
  <c r="DM26" i="20"/>
  <c r="AB55" i="15"/>
  <c r="R147" i="61"/>
  <c r="R145" i="61" s="1"/>
  <c r="R63" i="61"/>
  <c r="CJ305" i="9"/>
  <c r="CO305" i="9" s="1"/>
  <c r="M103" i="61"/>
  <c r="M119" i="61" s="1"/>
  <c r="CE326" i="9"/>
  <c r="CJ326" i="9"/>
  <c r="CB326" i="9"/>
  <c r="R23" i="9"/>
  <c r="T23" i="9" s="1"/>
  <c r="P312" i="9"/>
  <c r="R312" i="9" s="1"/>
  <c r="T312" i="9" s="1"/>
  <c r="Z311" i="9"/>
  <c r="R318" i="9"/>
  <c r="T318" i="9" s="1"/>
  <c r="X318" i="9" s="1"/>
  <c r="R311" i="9"/>
  <c r="T311" i="9" s="1"/>
  <c r="G33" i="5"/>
  <c r="G35" i="5"/>
  <c r="G36" i="5" s="1"/>
  <c r="Z315" i="9"/>
  <c r="R322" i="9"/>
  <c r="T322" i="9" s="1"/>
  <c r="P319" i="9"/>
  <c r="R315" i="9"/>
  <c r="T315" i="9" s="1"/>
  <c r="I15" i="5"/>
  <c r="I26" i="5" s="1"/>
  <c r="H32" i="5"/>
  <c r="AT26" i="5"/>
  <c r="H44" i="5"/>
  <c r="H45" i="5" s="1"/>
  <c r="K57" i="9"/>
  <c r="R36" i="9"/>
  <c r="T36" i="9" s="1"/>
  <c r="Z29" i="9"/>
  <c r="R29" i="9"/>
  <c r="T29" i="9" s="1"/>
  <c r="P41" i="9"/>
  <c r="K42" i="9"/>
  <c r="V40" i="10"/>
  <c r="X40" i="10" s="1"/>
  <c r="Z40" i="10" s="1"/>
  <c r="V27" i="5"/>
  <c r="DF81" i="20"/>
  <c r="R291" i="9"/>
  <c r="T291" i="9" s="1"/>
  <c r="R298" i="9"/>
  <c r="T298" i="9" s="1"/>
  <c r="V49" i="10"/>
  <c r="X49" i="10" s="1"/>
  <c r="Z49" i="10" s="1"/>
  <c r="K54" i="9"/>
  <c r="AB304" i="9"/>
  <c r="Z305" i="9"/>
  <c r="AB305" i="9" s="1"/>
  <c r="Z34" i="10"/>
  <c r="Z27" i="10"/>
  <c r="Z40" i="9"/>
  <c r="AB40" i="9" s="1"/>
  <c r="R40" i="9"/>
  <c r="T40" i="9" s="1"/>
  <c r="AB34" i="9"/>
  <c r="AB27" i="9"/>
  <c r="AB290" i="9"/>
  <c r="AB297" i="9"/>
  <c r="AB21" i="9"/>
  <c r="Z23" i="9"/>
  <c r="AB23" i="9" s="1"/>
  <c r="R35" i="9"/>
  <c r="T35" i="9" s="1"/>
  <c r="Z28" i="9"/>
  <c r="R28" i="9"/>
  <c r="T28" i="9" s="1"/>
  <c r="P30" i="9"/>
  <c r="AB296" i="9"/>
  <c r="Z291" i="9"/>
  <c r="AB289" i="9"/>
  <c r="P47" i="9"/>
  <c r="K48" i="9"/>
  <c r="V46" i="10"/>
  <c r="X46" i="10" s="1"/>
  <c r="Z46" i="10" s="1"/>
  <c r="DK15" i="20"/>
  <c r="Q12" i="61" s="1"/>
  <c r="Q92" i="61" s="1"/>
  <c r="CY269" i="1"/>
  <c r="CY268" i="1" s="1"/>
  <c r="CJ15" i="20" s="1" a="1"/>
  <c r="AS168" i="30"/>
  <c r="CY13" i="1"/>
  <c r="CY72" i="1"/>
  <c r="CZ52" i="1"/>
  <c r="I169" i="61"/>
  <c r="I80" i="61"/>
  <c r="I81" i="61" s="1"/>
  <c r="I116" i="61"/>
  <c r="I177" i="61"/>
  <c r="I178" i="61" s="1"/>
  <c r="I75" i="61"/>
  <c r="I121" i="61"/>
  <c r="I122" i="61" s="1"/>
  <c r="CV52" i="1"/>
  <c r="DA52" i="1"/>
  <c r="CQ312" i="9"/>
  <c r="M78" i="61"/>
  <c r="B258" i="9"/>
  <c r="B435" i="9" s="1"/>
  <c r="B542" i="9" s="1"/>
  <c r="B64" i="30"/>
  <c r="B88" i="9"/>
  <c r="L122" i="61"/>
  <c r="L181" i="61" s="1"/>
  <c r="L180" i="61"/>
  <c r="L178" i="61" s="1"/>
  <c r="L168" i="61" s="1"/>
  <c r="L127" i="61" s="1"/>
  <c r="M127" i="61" s="1"/>
  <c r="CN312" i="9"/>
  <c r="X537" i="9"/>
  <c r="AV537" i="9" s="1"/>
  <c r="AV530" i="9"/>
  <c r="X531" i="9"/>
  <c r="CF312" i="9"/>
  <c r="CA312" i="9"/>
  <c r="CF319" i="9"/>
  <c r="CK312" i="9"/>
  <c r="CP311" i="9"/>
  <c r="CP318" i="9"/>
  <c r="L78" i="61"/>
  <c r="P617" i="9"/>
  <c r="Z616" i="9"/>
  <c r="AP524" i="9"/>
  <c r="AT524" i="9" s="1"/>
  <c r="AT523" i="9"/>
  <c r="R610" i="9"/>
  <c r="T610" i="9" s="1"/>
  <c r="Z610" i="9"/>
  <c r="BC94" i="20"/>
  <c r="BB94" i="20"/>
  <c r="BA94" i="20"/>
  <c r="BD94" i="20"/>
  <c r="W48" i="5"/>
  <c r="DH89" i="20"/>
  <c r="Y42" i="5"/>
  <c r="DJ86" i="20"/>
  <c r="Y44" i="5"/>
  <c r="Y38" i="5"/>
  <c r="J68" i="61"/>
  <c r="J52" i="61"/>
  <c r="J109" i="61"/>
  <c r="J93" i="61"/>
  <c r="W22" i="15"/>
  <c r="W61" i="15"/>
  <c r="W63" i="5"/>
  <c r="J153" i="61"/>
  <c r="J134" i="61"/>
  <c r="J31" i="61"/>
  <c r="J38" i="61"/>
  <c r="J26" i="61"/>
  <c r="J16" i="61"/>
  <c r="K38" i="61"/>
  <c r="DD60" i="20"/>
  <c r="DD55" i="20"/>
  <c r="DD19" i="20"/>
  <c r="DD74" i="20"/>
  <c r="DE74" i="20"/>
  <c r="S46" i="15"/>
  <c r="AM70" i="2"/>
  <c r="AJ10" i="3" s="1"/>
  <c r="S51" i="15"/>
  <c r="S48" i="15"/>
  <c r="DI92" i="20"/>
  <c r="DI87" i="20"/>
  <c r="X47" i="5"/>
  <c r="X39" i="5"/>
  <c r="CN296" i="9"/>
  <c r="AB351" i="9"/>
  <c r="AW351" i="9"/>
  <c r="CD297" i="9"/>
  <c r="DJ14" i="20"/>
  <c r="Z30" i="15"/>
  <c r="AA30" i="15" s="1"/>
  <c r="AB30" i="15" s="1"/>
  <c r="AC30" i="15" s="1"/>
  <c r="AD30" i="15" s="1"/>
  <c r="CI46" i="1"/>
  <c r="CK42" i="1"/>
  <c r="CJ42" i="1"/>
  <c r="CI45" i="1"/>
  <c r="CK41" i="1"/>
  <c r="CJ41" i="1"/>
  <c r="CF44" i="1"/>
  <c r="CG44" i="1"/>
  <c r="CI43" i="1"/>
  <c r="CM40" i="1" s="1"/>
  <c r="CD290" i="9"/>
  <c r="AK168" i="30"/>
  <c r="AO168" i="30"/>
  <c r="CQ319" i="9"/>
  <c r="DF75" i="20"/>
  <c r="L119" i="61"/>
  <c r="AB531" i="9"/>
  <c r="AS162" i="30"/>
  <c r="AK162" i="30"/>
  <c r="Y35" i="5"/>
  <c r="Y36" i="5" s="1"/>
  <c r="Y13" i="5"/>
  <c r="CU19" i="1"/>
  <c r="CV63" i="1"/>
  <c r="CE8" i="20" a="1"/>
  <c r="CV13" i="1"/>
  <c r="CR13" i="11" s="1"/>
  <c r="J7" i="77" s="1" a="1"/>
  <c r="D175" i="10"/>
  <c r="CU14" i="1"/>
  <c r="CD291" i="9"/>
  <c r="CW52" i="1"/>
  <c r="CU72" i="1"/>
  <c r="CU92" i="1" s="1"/>
  <c r="CU56" i="1"/>
  <c r="CD298" i="9"/>
  <c r="AW359" i="9"/>
  <c r="BY290" i="9"/>
  <c r="BY291" i="9"/>
  <c r="CI290" i="9"/>
  <c r="CN297" i="9" s="1"/>
  <c r="R241" i="9"/>
  <c r="R234" i="9"/>
  <c r="R245" i="9"/>
  <c r="T245" i="9" s="1"/>
  <c r="Z238" i="9"/>
  <c r="P242" i="9"/>
  <c r="R238" i="9"/>
  <c r="CO319" i="9"/>
  <c r="CO326" i="9"/>
  <c r="AY24" i="2"/>
  <c r="AY23" i="2" s="1"/>
  <c r="AY96" i="2"/>
  <c r="AY103" i="2" s="1"/>
  <c r="BA25" i="2"/>
  <c r="P133" i="61"/>
  <c r="CV269" i="1"/>
  <c r="CU268" i="1"/>
  <c r="AA26" i="5"/>
  <c r="AW167" i="9"/>
  <c r="AW174" i="9"/>
  <c r="Z149" i="9"/>
  <c r="AB464" i="9"/>
  <c r="Z471" i="9"/>
  <c r="R471" i="9"/>
  <c r="T471" i="9" s="1"/>
  <c r="X325" i="9"/>
  <c r="AV318" i="9"/>
  <c r="X141" i="9"/>
  <c r="X319" i="9"/>
  <c r="AE529" i="9"/>
  <c r="AG528" i="9"/>
  <c r="AL7" i="11"/>
  <c r="R6" i="23"/>
  <c r="AR602" i="9"/>
  <c r="N80" i="61"/>
  <c r="N81" i="61" s="1"/>
  <c r="N179" i="61" s="1"/>
  <c r="N121" i="61"/>
  <c r="N177" i="61"/>
  <c r="AZ5" i="5"/>
  <c r="O5" i="5"/>
  <c r="P5" i="5" s="1"/>
  <c r="Q5" i="5" s="1"/>
  <c r="R5" i="5" s="1"/>
  <c r="S5" i="5" s="1"/>
  <c r="T5" i="5" s="1"/>
  <c r="U5" i="5" s="1"/>
  <c r="V5" i="5" s="1"/>
  <c r="W5" i="5" s="1"/>
  <c r="X5" i="5" s="1"/>
  <c r="Y5" i="5" s="1"/>
  <c r="Z5" i="5" s="1"/>
  <c r="AA5" i="5" s="1"/>
  <c r="AB5" i="5" s="1"/>
  <c r="AC5" i="5" s="1"/>
  <c r="AD5" i="5" s="1"/>
  <c r="N115" i="61"/>
  <c r="N90" i="61"/>
  <c r="O115" i="61"/>
  <c r="N110" i="61"/>
  <c r="N160" i="61" s="1"/>
  <c r="AJ56" i="3"/>
  <c r="AJ57" i="3" s="1"/>
  <c r="AL59" i="3"/>
  <c r="P465" i="9"/>
  <c r="K466" i="9"/>
  <c r="K111" i="9"/>
  <c r="Z152" i="9"/>
  <c r="AB152" i="9" s="1"/>
  <c r="R152" i="9"/>
  <c r="T152" i="9" s="1"/>
  <c r="CO290" i="9"/>
  <c r="CO297" i="9"/>
  <c r="T173" i="10"/>
  <c r="CO298" i="9"/>
  <c r="AG620" i="9"/>
  <c r="AE621" i="9"/>
  <c r="AB602" i="9"/>
  <c r="AB603" i="9"/>
  <c r="AL93" i="20"/>
  <c r="V109" i="10"/>
  <c r="X109" i="10" s="1"/>
  <c r="DH58" i="20"/>
  <c r="DH16" i="20"/>
  <c r="N13" i="61"/>
  <c r="N29" i="61"/>
  <c r="N155" i="61" s="1"/>
  <c r="N153" i="61" s="1"/>
  <c r="CW36" i="1"/>
  <c r="CV36" i="1"/>
  <c r="CV26" i="1"/>
  <c r="K481" i="9"/>
  <c r="S28" i="5"/>
  <c r="DC82" i="20"/>
  <c r="CQ232" i="1"/>
  <c r="CQ189" i="1"/>
  <c r="CQ134" i="1" s="1"/>
  <c r="CQ145" i="1" s="1"/>
  <c r="W40" i="15"/>
  <c r="W43" i="15"/>
  <c r="DH94" i="20" s="1"/>
  <c r="W45" i="15"/>
  <c r="P47" i="3"/>
  <c r="R44" i="3"/>
  <c r="R46" i="3" s="1"/>
  <c r="R620" i="9"/>
  <c r="T620" i="9" s="1"/>
  <c r="R627" i="9"/>
  <c r="T627" i="9" s="1"/>
  <c r="P624" i="9"/>
  <c r="Z624" i="9" s="1"/>
  <c r="AQ6" i="2"/>
  <c r="AL8" i="3"/>
  <c r="AW602" i="9"/>
  <c r="AV603" i="9"/>
  <c r="AW603" i="9" s="1"/>
  <c r="N69" i="61"/>
  <c r="N158" i="61" s="1"/>
  <c r="N74" i="61"/>
  <c r="N49" i="61"/>
  <c r="O74" i="61"/>
  <c r="Z148" i="9"/>
  <c r="AB148" i="9" s="1"/>
  <c r="R148" i="9"/>
  <c r="T148" i="9" s="1"/>
  <c r="O121" i="61"/>
  <c r="O80" i="61"/>
  <c r="O81" i="61" s="1"/>
  <c r="O179" i="61" s="1"/>
  <c r="O177" i="61"/>
  <c r="AZ17" i="5"/>
  <c r="AV18" i="5"/>
  <c r="AU22" i="5"/>
  <c r="CN291" i="9"/>
  <c r="CN298" i="9"/>
  <c r="AB457" i="9"/>
  <c r="Z461" i="9"/>
  <c r="AB461" i="9" s="1"/>
  <c r="P474" i="9"/>
  <c r="P478" i="9"/>
  <c r="K475" i="9"/>
  <c r="AB613" i="9"/>
  <c r="AI527" i="9"/>
  <c r="AK527" i="9" s="1"/>
  <c r="AR527" i="9"/>
  <c r="AP527" i="9"/>
  <c r="AT527" i="9" s="1"/>
  <c r="R616" i="9"/>
  <c r="T616" i="9" s="1"/>
  <c r="R623" i="9"/>
  <c r="T623" i="9" s="1"/>
  <c r="CV56" i="1"/>
  <c r="CW56" i="1"/>
  <c r="AN609" i="9"/>
  <c r="X616" i="9"/>
  <c r="AV609" i="9"/>
  <c r="X610" i="9"/>
  <c r="G610" i="9" s="1"/>
  <c r="S134" i="30" s="1"/>
  <c r="P155" i="71" l="1"/>
  <c r="Q155" i="71" s="1"/>
  <c r="O21" i="71"/>
  <c r="O24" i="71" s="1"/>
  <c r="L30" i="71"/>
  <c r="L15" i="71" s="1"/>
  <c r="J7" i="77"/>
  <c r="J8" i="77" s="1"/>
  <c r="J11" i="77" s="1"/>
  <c r="J13" i="77" s="1"/>
  <c r="K7" i="77"/>
  <c r="K8" i="77" s="1"/>
  <c r="K11" i="77" s="1"/>
  <c r="K13" i="77" s="1"/>
  <c r="L7" i="77"/>
  <c r="L8" i="77" s="1"/>
  <c r="L11" i="77" s="1"/>
  <c r="L13" i="77" s="1"/>
  <c r="R146" i="61"/>
  <c r="R104" i="61"/>
  <c r="R148" i="61" s="1"/>
  <c r="DN26" i="20"/>
  <c r="T24" i="61"/>
  <c r="AC55" i="15"/>
  <c r="AC53" i="15"/>
  <c r="S63" i="61"/>
  <c r="S147" i="61"/>
  <c r="S145" i="61" s="1"/>
  <c r="CO312" i="9"/>
  <c r="Y14" i="5"/>
  <c r="AG13" i="5"/>
  <c r="AA18" i="15"/>
  <c r="E13" i="76" s="1"/>
  <c r="AA62" i="15"/>
  <c r="Y39" i="5"/>
  <c r="Y61" i="15" s="1"/>
  <c r="AG38" i="5"/>
  <c r="AK38" i="5"/>
  <c r="CM15" i="20"/>
  <c r="CJ15" i="20"/>
  <c r="CK15" i="20"/>
  <c r="CL15" i="20"/>
  <c r="CZ13" i="1"/>
  <c r="D182" i="10"/>
  <c r="L182" i="10" s="1"/>
  <c r="L175" i="10"/>
  <c r="AI30" i="15"/>
  <c r="DN14" i="20" s="1"/>
  <c r="Q133" i="61"/>
  <c r="R47" i="9"/>
  <c r="T47" i="9" s="1"/>
  <c r="Z47" i="9"/>
  <c r="AB47" i="9" s="1"/>
  <c r="R30" i="9"/>
  <c r="T30" i="9" s="1"/>
  <c r="R37" i="9"/>
  <c r="T37" i="9" s="1"/>
  <c r="K55" i="9"/>
  <c r="V53" i="10"/>
  <c r="X53" i="10" s="1"/>
  <c r="Z53" i="10" s="1"/>
  <c r="P54" i="9"/>
  <c r="AB311" i="9"/>
  <c r="Z312" i="9"/>
  <c r="AB312" i="9" s="1"/>
  <c r="K332" i="9"/>
  <c r="DG81" i="20"/>
  <c r="V41" i="10"/>
  <c r="X41" i="10" s="1"/>
  <c r="Z41" i="10" s="1"/>
  <c r="P42" i="9"/>
  <c r="P43" i="9"/>
  <c r="AB29" i="9"/>
  <c r="AB36" i="9"/>
  <c r="Z319" i="9"/>
  <c r="R319" i="9"/>
  <c r="T319" i="9" s="1"/>
  <c r="R326" i="9"/>
  <c r="T326" i="9" s="1"/>
  <c r="AB291" i="9"/>
  <c r="AB298" i="9"/>
  <c r="Z41" i="9"/>
  <c r="R41" i="9"/>
  <c r="T41" i="9" s="1"/>
  <c r="H35" i="5"/>
  <c r="H36" i="5" s="1"/>
  <c r="H33" i="5"/>
  <c r="V47" i="10"/>
  <c r="X47" i="10" s="1"/>
  <c r="Z47" i="10" s="1"/>
  <c r="P48" i="9"/>
  <c r="K49" i="9"/>
  <c r="Z30" i="9"/>
  <c r="AB35" i="9"/>
  <c r="AB28" i="9"/>
  <c r="V56" i="10"/>
  <c r="X56" i="10" s="1"/>
  <c r="Z56" i="10" s="1"/>
  <c r="K61" i="9"/>
  <c r="I44" i="5"/>
  <c r="I45" i="5" s="1"/>
  <c r="J15" i="5"/>
  <c r="J26" i="5" s="1"/>
  <c r="I32" i="5"/>
  <c r="K64" i="9"/>
  <c r="AU26" i="5"/>
  <c r="AB315" i="9"/>
  <c r="AB322" i="9"/>
  <c r="CZ268" i="1"/>
  <c r="AW537" i="9"/>
  <c r="CZ269" i="1"/>
  <c r="Q51" i="61"/>
  <c r="Y47" i="5"/>
  <c r="CY23" i="1"/>
  <c r="CY33" i="1"/>
  <c r="CZ63" i="1"/>
  <c r="CY82" i="1"/>
  <c r="CZ72" i="1"/>
  <c r="CI44" i="1"/>
  <c r="CK44" i="1" s="1"/>
  <c r="CU76" i="1"/>
  <c r="DA72" i="1"/>
  <c r="M132" i="61"/>
  <c r="M131" i="61"/>
  <c r="B71" i="30"/>
  <c r="B95" i="9"/>
  <c r="B265" i="9"/>
  <c r="B442" i="9" s="1"/>
  <c r="B549" i="9" s="1"/>
  <c r="AW530" i="9"/>
  <c r="AV531" i="9"/>
  <c r="AW531" i="9" s="1"/>
  <c r="L132" i="61"/>
  <c r="L173" i="61" s="1"/>
  <c r="L131" i="61"/>
  <c r="L129" i="61" s="1"/>
  <c r="CP312" i="9"/>
  <c r="CP319" i="9"/>
  <c r="R617" i="9"/>
  <c r="T617" i="9" s="1"/>
  <c r="Z617" i="9"/>
  <c r="J21" i="61"/>
  <c r="J23" i="61" s="1"/>
  <c r="J32" i="61"/>
  <c r="DD23" i="20"/>
  <c r="DD62" i="20"/>
  <c r="DD61" i="20"/>
  <c r="J40" i="61"/>
  <c r="K40" i="61"/>
  <c r="J65" i="61"/>
  <c r="J77" i="61"/>
  <c r="J70" i="61"/>
  <c r="J55" i="61"/>
  <c r="K77" i="61"/>
  <c r="Y45" i="5"/>
  <c r="DJ88" i="20"/>
  <c r="X61" i="15"/>
  <c r="X22" i="15"/>
  <c r="X63" i="5"/>
  <c r="S49" i="15"/>
  <c r="AK48" i="15"/>
  <c r="T49" i="15"/>
  <c r="J161" i="61"/>
  <c r="J137" i="61"/>
  <c r="J150" i="61"/>
  <c r="J174" i="61"/>
  <c r="K174" i="61"/>
  <c r="DJ92" i="20"/>
  <c r="DJ87" i="20"/>
  <c r="DI89" i="20"/>
  <c r="X48" i="5"/>
  <c r="S52" i="15"/>
  <c r="T52" i="15"/>
  <c r="J106" i="61"/>
  <c r="J96" i="61"/>
  <c r="J118" i="61"/>
  <c r="J111" i="61"/>
  <c r="K118" i="61"/>
  <c r="Z38" i="5"/>
  <c r="Z39" i="5" s="1"/>
  <c r="DK86" i="20"/>
  <c r="AA44" i="5"/>
  <c r="Z42" i="5"/>
  <c r="Z44" i="5"/>
  <c r="BK83" i="20"/>
  <c r="AJ16" i="3"/>
  <c r="AJ33" i="3" s="1"/>
  <c r="AJ45" i="3" s="1"/>
  <c r="DD76" i="20"/>
  <c r="DD64" i="20"/>
  <c r="DE76" i="20"/>
  <c r="CN40" i="1"/>
  <c r="CO40" i="1"/>
  <c r="CM41" i="1"/>
  <c r="CJ43" i="1"/>
  <c r="CK43" i="1"/>
  <c r="CJ45" i="1"/>
  <c r="CK45" i="1"/>
  <c r="CJ46" i="1"/>
  <c r="CK46" i="1"/>
  <c r="CJ44" i="1"/>
  <c r="CN290" i="9"/>
  <c r="CW72" i="1"/>
  <c r="CV72" i="1"/>
  <c r="F175" i="10"/>
  <c r="CE10" i="20" a="1"/>
  <c r="CU24" i="1"/>
  <c r="CE13" i="20" a="1"/>
  <c r="CU34" i="1"/>
  <c r="DC33" i="1"/>
  <c r="CW33" i="1"/>
  <c r="DB33" i="1" s="1"/>
  <c r="D176" i="10"/>
  <c r="CV64" i="1"/>
  <c r="CV14" i="1"/>
  <c r="Y7" i="15"/>
  <c r="CG8" i="20"/>
  <c r="CF8" i="20"/>
  <c r="D4" i="62" s="1"/>
  <c r="CH8" i="20"/>
  <c r="CE8" i="20"/>
  <c r="CU53" i="1"/>
  <c r="Z242" i="9"/>
  <c r="AB249" i="9" s="1"/>
  <c r="AB245" i="9"/>
  <c r="R242" i="9"/>
  <c r="R249" i="9"/>
  <c r="T249" i="9" s="1"/>
  <c r="AY115" i="2"/>
  <c r="AY109" i="2"/>
  <c r="DL80" i="20"/>
  <c r="DL93" i="20" s="1"/>
  <c r="AA32" i="5"/>
  <c r="AB15" i="5"/>
  <c r="BA96" i="2"/>
  <c r="BA103" i="2" s="1"/>
  <c r="BA24" i="2"/>
  <c r="BA23" i="2" s="1"/>
  <c r="CE15" i="20" a="1"/>
  <c r="CV268" i="1"/>
  <c r="CU102" i="1"/>
  <c r="CV92" i="1"/>
  <c r="CU96" i="1"/>
  <c r="AB609" i="9"/>
  <c r="AB610" i="9"/>
  <c r="Z474" i="9"/>
  <c r="Z475" i="9" s="1"/>
  <c r="BA17" i="5"/>
  <c r="O180" i="61"/>
  <c r="O178" i="61" s="1"/>
  <c r="O168" i="61" s="1"/>
  <c r="O122" i="61"/>
  <c r="O181" i="61" s="1"/>
  <c r="AB620" i="9"/>
  <c r="AB627" i="9"/>
  <c r="DD82" i="20"/>
  <c r="T28" i="5"/>
  <c r="DH55" i="20"/>
  <c r="DH60" i="20"/>
  <c r="DH19" i="20"/>
  <c r="DH74" i="20"/>
  <c r="DI74" i="20"/>
  <c r="AP620" i="9"/>
  <c r="AT620" i="9" s="1"/>
  <c r="AI620" i="9"/>
  <c r="AK620" i="9" s="1"/>
  <c r="AR620" i="9"/>
  <c r="R472" i="9"/>
  <c r="T472" i="9" s="1"/>
  <c r="R465" i="9"/>
  <c r="T465" i="9" s="1"/>
  <c r="Z465" i="9"/>
  <c r="AN59" i="3"/>
  <c r="AL56" i="3"/>
  <c r="AL57" i="3" s="1"/>
  <c r="N109" i="61"/>
  <c r="N156" i="61" s="1"/>
  <c r="N93" i="61"/>
  <c r="AI528" i="9"/>
  <c r="AK528" i="9" s="1"/>
  <c r="AP528" i="9"/>
  <c r="AT528" i="9" s="1"/>
  <c r="AR528" i="9"/>
  <c r="AV141" i="9"/>
  <c r="X142" i="9"/>
  <c r="X332" i="9"/>
  <c r="X148" i="9"/>
  <c r="G148" i="9" s="1"/>
  <c r="AV325" i="9"/>
  <c r="X326" i="9"/>
  <c r="AB471" i="9"/>
  <c r="AW609" i="9"/>
  <c r="AV610" i="9"/>
  <c r="AW610" i="9" s="1"/>
  <c r="AS6" i="2"/>
  <c r="AN8" i="3"/>
  <c r="W46" i="15"/>
  <c r="W48" i="15"/>
  <c r="W51" i="15"/>
  <c r="AU70" i="2"/>
  <c r="AR10" i="3" s="1"/>
  <c r="CQ233" i="1"/>
  <c r="CQ146" i="1"/>
  <c r="CU186" i="1" s="1"/>
  <c r="K482" i="9"/>
  <c r="P481" i="9"/>
  <c r="P482" i="9" s="1"/>
  <c r="P485" i="9"/>
  <c r="Z485" i="9" s="1"/>
  <c r="Z489" i="9" s="1"/>
  <c r="N122" i="61"/>
  <c r="N181" i="61" s="1"/>
  <c r="N180" i="61"/>
  <c r="N178" i="61" s="1"/>
  <c r="N168" i="61" s="1"/>
  <c r="N127" i="61" s="1"/>
  <c r="AR603" i="9"/>
  <c r="AE530" i="9"/>
  <c r="AE534" i="9" s="1"/>
  <c r="AG529" i="9"/>
  <c r="AW318" i="9"/>
  <c r="AV319" i="9"/>
  <c r="AW319" i="9" s="1"/>
  <c r="G141" i="9"/>
  <c r="AV616" i="9"/>
  <c r="X623" i="9"/>
  <c r="AN616" i="9"/>
  <c r="X617" i="9"/>
  <c r="AW18" i="5"/>
  <c r="AV34" i="5"/>
  <c r="AV22" i="5"/>
  <c r="AV33" i="5"/>
  <c r="N68" i="61"/>
  <c r="N154" i="61" s="1"/>
  <c r="N52" i="61"/>
  <c r="R631" i="9"/>
  <c r="T631" i="9" s="1"/>
  <c r="R624" i="9"/>
  <c r="T624" i="9" s="1"/>
  <c r="U9" i="2"/>
  <c r="R47" i="3"/>
  <c r="T44" i="3"/>
  <c r="T46" i="3" s="1"/>
  <c r="BW94" i="20"/>
  <c r="BU94" i="20"/>
  <c r="BX94" i="20"/>
  <c r="BV94" i="20"/>
  <c r="Z109" i="10"/>
  <c r="Z116" i="10"/>
  <c r="V110" i="10"/>
  <c r="X110" i="10" s="1"/>
  <c r="AM93" i="20"/>
  <c r="P111" i="9"/>
  <c r="AB318" i="9"/>
  <c r="AR609" i="9"/>
  <c r="AN610" i="9"/>
  <c r="R478" i="9"/>
  <c r="T478" i="9" s="1"/>
  <c r="Z478" i="9"/>
  <c r="N16" i="61"/>
  <c r="N31" i="61"/>
  <c r="N26" i="61"/>
  <c r="N38" i="61"/>
  <c r="O38" i="61"/>
  <c r="CU86" i="1"/>
  <c r="AG621" i="9"/>
  <c r="AE622" i="9"/>
  <c r="P466" i="9"/>
  <c r="K112" i="9"/>
  <c r="P467" i="9"/>
  <c r="AP7" i="11"/>
  <c r="T6" i="23"/>
  <c r="G319" i="9"/>
  <c r="G127" i="30" s="1"/>
  <c r="AR318" i="9"/>
  <c r="P475" i="9"/>
  <c r="AZ11" i="3" l="1"/>
  <c r="AA58" i="15" s="1"/>
  <c r="P171" i="71"/>
  <c r="P23" i="71" s="1"/>
  <c r="P12" i="71" s="1"/>
  <c r="P13" i="71" s="1"/>
  <c r="I4" i="62"/>
  <c r="H4" i="62"/>
  <c r="L4" i="62"/>
  <c r="J4" i="62"/>
  <c r="L38" i="71"/>
  <c r="L16" i="71"/>
  <c r="L33" i="71"/>
  <c r="P21" i="71"/>
  <c r="R155" i="71"/>
  <c r="Q171" i="71"/>
  <c r="Q23" i="71" s="1"/>
  <c r="Q12" i="71" s="1"/>
  <c r="Q13" i="71" s="1"/>
  <c r="Y22" i="15"/>
  <c r="S104" i="61"/>
  <c r="S148" i="61" s="1"/>
  <c r="S146" i="61"/>
  <c r="T63" i="61"/>
  <c r="T147" i="61"/>
  <c r="T145" i="61" s="1"/>
  <c r="DO26" i="20"/>
  <c r="U24" i="61"/>
  <c r="AD53" i="15"/>
  <c r="AD55" i="15"/>
  <c r="DJ89" i="20"/>
  <c r="AG47" i="5"/>
  <c r="AG7" i="15"/>
  <c r="Y59" i="15"/>
  <c r="F182" i="10"/>
  <c r="CG67" i="20"/>
  <c r="CH67" i="20"/>
  <c r="CE67" i="20"/>
  <c r="L176" i="10"/>
  <c r="Y48" i="5"/>
  <c r="AB319" i="9"/>
  <c r="P44" i="9"/>
  <c r="R42" i="9"/>
  <c r="T42" i="9" s="1"/>
  <c r="Z42" i="9"/>
  <c r="AB42" i="9" s="1"/>
  <c r="P55" i="9"/>
  <c r="K56" i="9"/>
  <c r="V54" i="10"/>
  <c r="X54" i="10" s="1"/>
  <c r="Z54" i="10" s="1"/>
  <c r="F93" i="20"/>
  <c r="V63" i="10"/>
  <c r="X63" i="10" s="1"/>
  <c r="Z63" i="10" s="1"/>
  <c r="K68" i="9"/>
  <c r="P61" i="9"/>
  <c r="K62" i="9"/>
  <c r="V60" i="10"/>
  <c r="X60" i="10" s="1"/>
  <c r="Z60" i="10" s="1"/>
  <c r="C93" i="20"/>
  <c r="AB30" i="9"/>
  <c r="AB37" i="9"/>
  <c r="I35" i="5"/>
  <c r="I36" i="5" s="1"/>
  <c r="I33" i="5"/>
  <c r="P49" i="9"/>
  <c r="P50" i="9"/>
  <c r="V48" i="10"/>
  <c r="X48" i="10" s="1"/>
  <c r="Z48" i="10" s="1"/>
  <c r="AB41" i="9"/>
  <c r="Z54" i="9"/>
  <c r="AB54" i="9" s="1"/>
  <c r="R54" i="9"/>
  <c r="T54" i="9" s="1"/>
  <c r="K71" i="9"/>
  <c r="K15" i="5"/>
  <c r="K26" i="5" s="1"/>
  <c r="AV26" i="5"/>
  <c r="J62" i="15"/>
  <c r="J65" i="15" s="1"/>
  <c r="J44" i="5"/>
  <c r="J45" i="5" s="1"/>
  <c r="J32" i="5"/>
  <c r="Z48" i="9"/>
  <c r="R48" i="9"/>
  <c r="T48" i="9" s="1"/>
  <c r="R43" i="9"/>
  <c r="T43" i="9" s="1"/>
  <c r="Z43" i="9"/>
  <c r="AB43" i="9" s="1"/>
  <c r="K155" i="9"/>
  <c r="P336" i="9"/>
  <c r="P332" i="9"/>
  <c r="AE336" i="9"/>
  <c r="DA33" i="1"/>
  <c r="CY53" i="1"/>
  <c r="DA53" i="1" s="1"/>
  <c r="CY92" i="1"/>
  <c r="CV76" i="1"/>
  <c r="CV96" i="1"/>
  <c r="CV86" i="1"/>
  <c r="CW76" i="1"/>
  <c r="B102" i="9"/>
  <c r="B272" i="9"/>
  <c r="B449" i="9" s="1"/>
  <c r="B556" i="9" s="1"/>
  <c r="B78" i="30"/>
  <c r="M129" i="61"/>
  <c r="M134" i="61"/>
  <c r="L134" i="61"/>
  <c r="M173" i="61"/>
  <c r="Z45" i="5"/>
  <c r="DK88" i="20"/>
  <c r="Z61" i="15"/>
  <c r="Z22" i="15"/>
  <c r="J101" i="61"/>
  <c r="J103" i="61" s="1"/>
  <c r="J112" i="61"/>
  <c r="J142" i="61"/>
  <c r="J144" i="61" s="1"/>
  <c r="J162" i="61"/>
  <c r="J60" i="61"/>
  <c r="J62" i="61" s="1"/>
  <c r="J71" i="61"/>
  <c r="J120" i="61"/>
  <c r="K120" i="61"/>
  <c r="DD25" i="20"/>
  <c r="DD63" i="20"/>
  <c r="AJ49" i="3"/>
  <c r="AJ65" i="3"/>
  <c r="DL86" i="20"/>
  <c r="AA42" i="5"/>
  <c r="AA38" i="5"/>
  <c r="AA39" i="5" s="1"/>
  <c r="DK92" i="20"/>
  <c r="DK87" i="20"/>
  <c r="J176" i="61"/>
  <c r="K176" i="61"/>
  <c r="J79" i="61"/>
  <c r="K79" i="61"/>
  <c r="J39" i="61"/>
  <c r="K39" i="61"/>
  <c r="CM42" i="1"/>
  <c r="CM43" i="1" s="1"/>
  <c r="CN41" i="1"/>
  <c r="CO41" i="1"/>
  <c r="CM45" i="1"/>
  <c r="BC25" i="2"/>
  <c r="BC96" i="2" s="1"/>
  <c r="BC103" i="2" s="1"/>
  <c r="CV53" i="1"/>
  <c r="CW53" i="1"/>
  <c r="CU73" i="1"/>
  <c r="CV83" i="1" s="1"/>
  <c r="CU54" i="1"/>
  <c r="CV24" i="1"/>
  <c r="F176" i="10"/>
  <c r="Y10" i="15"/>
  <c r="AG10" i="15" s="1"/>
  <c r="AE535" i="9"/>
  <c r="AG534" i="9"/>
  <c r="CF67" i="20"/>
  <c r="D32" i="62" s="1"/>
  <c r="DC34" i="1"/>
  <c r="Y24" i="15"/>
  <c r="AG24" i="15" s="1"/>
  <c r="CV34" i="1"/>
  <c r="CW34" i="1"/>
  <c r="DB34" i="1" s="1"/>
  <c r="CG10" i="20"/>
  <c r="CG12" i="20" s="1"/>
  <c r="CE10" i="20"/>
  <c r="CE12" i="20" s="1"/>
  <c r="CH10" i="20"/>
  <c r="CH12" i="20" s="1"/>
  <c r="CF10" i="20"/>
  <c r="D6" i="62" s="1"/>
  <c r="CF13" i="20"/>
  <c r="D9" i="62" s="1"/>
  <c r="CG13" i="20"/>
  <c r="CE13" i="20"/>
  <c r="CH13" i="20"/>
  <c r="P6" i="61"/>
  <c r="P35" i="61" s="1"/>
  <c r="Y31" i="15"/>
  <c r="Y37" i="15"/>
  <c r="C4" i="76"/>
  <c r="C14" i="76" s="1"/>
  <c r="DJ8" i="20"/>
  <c r="Y13" i="15"/>
  <c r="Y8" i="15"/>
  <c r="AY67" i="2"/>
  <c r="Y17" i="15"/>
  <c r="AB26" i="5"/>
  <c r="AA33" i="5"/>
  <c r="CG15" i="20"/>
  <c r="CF15" i="20"/>
  <c r="CE15" i="20"/>
  <c r="CH15" i="20"/>
  <c r="BA115" i="2"/>
  <c r="BA109" i="2"/>
  <c r="AA45" i="5"/>
  <c r="DL88" i="20"/>
  <c r="AN93" i="20"/>
  <c r="P112" i="9"/>
  <c r="V111" i="10"/>
  <c r="X111" i="10" s="1"/>
  <c r="W52" i="15"/>
  <c r="X52" i="15"/>
  <c r="AB325" i="9"/>
  <c r="AB326" i="9"/>
  <c r="G142" i="9"/>
  <c r="R467" i="9"/>
  <c r="T467" i="9" s="1"/>
  <c r="Z467" i="9"/>
  <c r="AB467" i="9" s="1"/>
  <c r="R482" i="9"/>
  <c r="T482" i="9" s="1"/>
  <c r="AR610" i="9"/>
  <c r="Z111" i="9"/>
  <c r="R111" i="9"/>
  <c r="T111" i="9" s="1"/>
  <c r="R118" i="9"/>
  <c r="AB616" i="9"/>
  <c r="AB617" i="9"/>
  <c r="AG530" i="9"/>
  <c r="AG531" i="9" s="1"/>
  <c r="AI531" i="9" s="1"/>
  <c r="AK531" i="9" s="1"/>
  <c r="CU190" i="1"/>
  <c r="CU131" i="1"/>
  <c r="CU142" i="1" s="1"/>
  <c r="CA83" i="20"/>
  <c r="AR16" i="3"/>
  <c r="AR33" i="3" s="1"/>
  <c r="AR45" i="3" s="1"/>
  <c r="AR49" i="3" s="1"/>
  <c r="AV332" i="9"/>
  <c r="X155" i="9"/>
  <c r="G155" i="9" s="1"/>
  <c r="X339" i="9"/>
  <c r="X333" i="9"/>
  <c r="AB472" i="9"/>
  <c r="AB465" i="9"/>
  <c r="DH23" i="20"/>
  <c r="DH61" i="20"/>
  <c r="DH62" i="20"/>
  <c r="DH64" i="20"/>
  <c r="DH76" i="20"/>
  <c r="DI76" i="20"/>
  <c r="U28" i="5"/>
  <c r="DE82" i="20"/>
  <c r="R474" i="9"/>
  <c r="T474" i="9" s="1"/>
  <c r="N32" i="61"/>
  <c r="N164" i="61" s="1"/>
  <c r="N162" i="61" s="1"/>
  <c r="N21" i="61"/>
  <c r="N23" i="61" s="1"/>
  <c r="AW325" i="9"/>
  <c r="AV326" i="9"/>
  <c r="AW326" i="9" s="1"/>
  <c r="R466" i="9"/>
  <c r="T466" i="9" s="1"/>
  <c r="R473" i="9"/>
  <c r="T473" i="9" s="1"/>
  <c r="Z466" i="9"/>
  <c r="AG622" i="9"/>
  <c r="AE623" i="9"/>
  <c r="AB478" i="9"/>
  <c r="Z110" i="10"/>
  <c r="Z117" i="10"/>
  <c r="N70" i="61"/>
  <c r="N55" i="61"/>
  <c r="N65" i="61"/>
  <c r="N77" i="61"/>
  <c r="O77" i="61"/>
  <c r="AX18" i="5"/>
  <c r="AW34" i="5"/>
  <c r="AW22" i="5"/>
  <c r="AW33" i="5"/>
  <c r="X630" i="9"/>
  <c r="AN623" i="9"/>
  <c r="AV623" i="9"/>
  <c r="X624" i="9"/>
  <c r="AI529" i="9"/>
  <c r="AK529" i="9" s="1"/>
  <c r="AP529" i="9"/>
  <c r="AT529" i="9" s="1"/>
  <c r="AR529" i="9"/>
  <c r="N131" i="61"/>
  <c r="N129" i="61" s="1"/>
  <c r="N132" i="61"/>
  <c r="N173" i="61" s="1"/>
  <c r="O127" i="61"/>
  <c r="R488" i="9"/>
  <c r="T488" i="9" s="1"/>
  <c r="R481" i="9"/>
  <c r="T481" i="9" s="1"/>
  <c r="Z481" i="9"/>
  <c r="W49" i="15"/>
  <c r="X49" i="15"/>
  <c r="AU6" i="2"/>
  <c r="AP8" i="3"/>
  <c r="AR325" i="9"/>
  <c r="AN56" i="3"/>
  <c r="AN57" i="3" s="1"/>
  <c r="AP59" i="3"/>
  <c r="AP56" i="3" s="1"/>
  <c r="AP57" i="3" s="1"/>
  <c r="V44" i="3"/>
  <c r="V46" i="3" s="1"/>
  <c r="T47" i="3"/>
  <c r="W9" i="2"/>
  <c r="AR616" i="9"/>
  <c r="AN617" i="9"/>
  <c r="R492" i="9"/>
  <c r="T492" i="9" s="1"/>
  <c r="R485" i="9"/>
  <c r="T485" i="9" s="1"/>
  <c r="P489" i="9"/>
  <c r="AR319" i="9"/>
  <c r="AT7" i="11"/>
  <c r="AX7" i="11" s="1"/>
  <c r="BB7" i="11" s="1"/>
  <c r="BF7" i="11" s="1"/>
  <c r="BJ7" i="11" s="1"/>
  <c r="V6" i="23"/>
  <c r="AP621" i="9"/>
  <c r="AT621" i="9" s="1"/>
  <c r="AI621" i="9"/>
  <c r="AK621" i="9" s="1"/>
  <c r="AR621" i="9"/>
  <c r="N40" i="61"/>
  <c r="O40" i="61"/>
  <c r="U88" i="2"/>
  <c r="U15" i="2"/>
  <c r="U29" i="2" s="1"/>
  <c r="U93" i="2"/>
  <c r="U95" i="2" s="1"/>
  <c r="U122" i="2"/>
  <c r="AW616" i="9"/>
  <c r="AV617" i="9"/>
  <c r="AW617" i="9" s="1"/>
  <c r="G326" i="9"/>
  <c r="G134" i="30" s="1"/>
  <c r="AV148" i="9"/>
  <c r="X149" i="9"/>
  <c r="AW141" i="9"/>
  <c r="AV142" i="9"/>
  <c r="AW142" i="9" s="1"/>
  <c r="N106" i="61"/>
  <c r="N118" i="61"/>
  <c r="N96" i="61"/>
  <c r="N111" i="61"/>
  <c r="O118" i="61"/>
  <c r="P468" i="9"/>
  <c r="R468" i="9" s="1"/>
  <c r="T468" i="9" s="1"/>
  <c r="CV102" i="1"/>
  <c r="CU106" i="1"/>
  <c r="DL15" i="20" l="1"/>
  <c r="R12" i="61" s="1"/>
  <c r="R51" i="61" s="1"/>
  <c r="P24" i="71"/>
  <c r="Q21" i="71" s="1"/>
  <c r="Q24" i="71" s="1"/>
  <c r="H9" i="62"/>
  <c r="I9" i="62"/>
  <c r="J9" i="62"/>
  <c r="H6" i="62"/>
  <c r="I6" i="62"/>
  <c r="J6" i="62"/>
  <c r="S155" i="71"/>
  <c r="R171" i="71"/>
  <c r="R23" i="71" s="1"/>
  <c r="R12" i="71" s="1"/>
  <c r="R13" i="71" s="1"/>
  <c r="M29" i="71"/>
  <c r="L35" i="71"/>
  <c r="L37" i="71"/>
  <c r="L39" i="71" s="1"/>
  <c r="T146" i="61"/>
  <c r="T104" i="61"/>
  <c r="T148" i="61" s="1"/>
  <c r="U147" i="61"/>
  <c r="U145" i="61" s="1"/>
  <c r="U63" i="61"/>
  <c r="AB18" i="15"/>
  <c r="BB11" i="3" s="1"/>
  <c r="AB58" i="15" s="1"/>
  <c r="AB62" i="15"/>
  <c r="AE61" i="15"/>
  <c r="AA61" i="15"/>
  <c r="P51" i="9"/>
  <c r="R51" i="9" s="1"/>
  <c r="T51" i="9" s="1"/>
  <c r="R44" i="9"/>
  <c r="T44" i="9" s="1"/>
  <c r="Z332" i="9"/>
  <c r="AB332" i="9" s="1"/>
  <c r="R332" i="9"/>
  <c r="T332" i="9" s="1"/>
  <c r="P333" i="9"/>
  <c r="R339" i="9"/>
  <c r="T339" i="9" s="1"/>
  <c r="R55" i="9"/>
  <c r="T55" i="9" s="1"/>
  <c r="Z55" i="9"/>
  <c r="Z336" i="9"/>
  <c r="P340" i="9"/>
  <c r="R343" i="9"/>
  <c r="T343" i="9" s="1"/>
  <c r="R336" i="9"/>
  <c r="T336" i="9" s="1"/>
  <c r="J33" i="5"/>
  <c r="J35" i="5"/>
  <c r="J36" i="5" s="1"/>
  <c r="K62" i="15"/>
  <c r="K65" i="15" s="1"/>
  <c r="K78" i="9"/>
  <c r="AW26" i="5"/>
  <c r="L15" i="5"/>
  <c r="K32" i="5"/>
  <c r="K44" i="5"/>
  <c r="K45" i="5" s="1"/>
  <c r="Z50" i="9"/>
  <c r="AB50" i="9" s="1"/>
  <c r="R50" i="9"/>
  <c r="T50" i="9" s="1"/>
  <c r="P62" i="9"/>
  <c r="D93" i="20"/>
  <c r="K63" i="9"/>
  <c r="V61" i="10"/>
  <c r="X61" i="10" s="1"/>
  <c r="Z61" i="10" s="1"/>
  <c r="P159" i="9"/>
  <c r="V154" i="10"/>
  <c r="X154" i="10" s="1"/>
  <c r="BS93" i="20"/>
  <c r="P155" i="9"/>
  <c r="K93" i="20"/>
  <c r="P75" i="9"/>
  <c r="V70" i="10"/>
  <c r="X70" i="10" s="1"/>
  <c r="Z70" i="10" s="1"/>
  <c r="Z44" i="9"/>
  <c r="AB44" i="9" s="1"/>
  <c r="R49" i="9"/>
  <c r="T49" i="9" s="1"/>
  <c r="Z49" i="9"/>
  <c r="AB49" i="9" s="1"/>
  <c r="Z61" i="9"/>
  <c r="AB61" i="9" s="1"/>
  <c r="R61" i="9"/>
  <c r="T61" i="9" s="1"/>
  <c r="AG336" i="9"/>
  <c r="AE337" i="9"/>
  <c r="AE159" i="9"/>
  <c r="AB48" i="9"/>
  <c r="P68" i="9"/>
  <c r="K69" i="9"/>
  <c r="H93" i="20"/>
  <c r="V67" i="10"/>
  <c r="X67" i="10" s="1"/>
  <c r="P57" i="9"/>
  <c r="P56" i="9"/>
  <c r="V55" i="10"/>
  <c r="X55" i="10" s="1"/>
  <c r="Z55" i="10" s="1"/>
  <c r="CZ53" i="1"/>
  <c r="CY73" i="1"/>
  <c r="CY102" i="1"/>
  <c r="CZ92" i="1"/>
  <c r="CV106" i="1"/>
  <c r="CW24" i="1"/>
  <c r="L161" i="61"/>
  <c r="L150" i="61"/>
  <c r="L176" i="61" s="1"/>
  <c r="L137" i="61"/>
  <c r="L139" i="61" s="1"/>
  <c r="L142" i="61" s="1"/>
  <c r="L144" i="61" s="1"/>
  <c r="L175" i="61" s="1"/>
  <c r="L174" i="61"/>
  <c r="M161" i="61"/>
  <c r="M150" i="61"/>
  <c r="M176" i="61" s="1"/>
  <c r="M174" i="61"/>
  <c r="M137" i="61"/>
  <c r="M139" i="61" s="1"/>
  <c r="M142" i="61" s="1"/>
  <c r="M144" i="61" s="1"/>
  <c r="B85" i="30"/>
  <c r="B279" i="9"/>
  <c r="B456" i="9" s="1"/>
  <c r="B563" i="9" s="1"/>
  <c r="B109" i="9"/>
  <c r="BC24" i="2"/>
  <c r="BC23" i="2" s="1"/>
  <c r="Z468" i="9"/>
  <c r="AB475" i="9" s="1"/>
  <c r="DM86" i="20"/>
  <c r="AB38" i="5"/>
  <c r="AB39" i="5" s="1"/>
  <c r="AB61" i="15" s="1"/>
  <c r="AB42" i="5"/>
  <c r="DD75" i="20"/>
  <c r="DE75" i="20"/>
  <c r="J175" i="61"/>
  <c r="K175" i="61"/>
  <c r="J78" i="61"/>
  <c r="K78" i="61"/>
  <c r="J119" i="61"/>
  <c r="K119" i="61"/>
  <c r="DL87" i="20"/>
  <c r="DL92" i="20"/>
  <c r="CM46" i="1"/>
  <c r="CN42" i="1"/>
  <c r="CO42" i="1"/>
  <c r="CN45" i="1"/>
  <c r="CO45" i="1"/>
  <c r="CM44" i="1"/>
  <c r="CQ40" i="1"/>
  <c r="CO43" i="1"/>
  <c r="CN43" i="1"/>
  <c r="Y67" i="15"/>
  <c r="C5" i="76"/>
  <c r="CF73" i="20"/>
  <c r="D34" i="62" s="1"/>
  <c r="CF59" i="20"/>
  <c r="D25" i="62" s="1"/>
  <c r="CF12" i="20"/>
  <c r="D8" i="62" s="1"/>
  <c r="AI534" i="9"/>
  <c r="CV73" i="1"/>
  <c r="CW73" i="1"/>
  <c r="CU74" i="1"/>
  <c r="AW73" i="2"/>
  <c r="AW72" i="2"/>
  <c r="CH73" i="20"/>
  <c r="CH59" i="20"/>
  <c r="CH16" i="20"/>
  <c r="CH58" i="20"/>
  <c r="CH57" i="20" s="1"/>
  <c r="AG535" i="9"/>
  <c r="AE536" i="9"/>
  <c r="CE73" i="20"/>
  <c r="CE59" i="20"/>
  <c r="CE58" i="20"/>
  <c r="CE16" i="20"/>
  <c r="DJ13" i="20"/>
  <c r="Y25" i="15"/>
  <c r="Y27" i="15"/>
  <c r="Y26" i="15"/>
  <c r="P11" i="61"/>
  <c r="AY69" i="2"/>
  <c r="DJ67" i="20"/>
  <c r="CG59" i="20"/>
  <c r="CG73" i="20"/>
  <c r="CG58" i="20"/>
  <c r="CG57" i="20" s="1"/>
  <c r="CG16" i="20"/>
  <c r="Y15" i="15"/>
  <c r="Y20" i="15"/>
  <c r="Y11" i="15"/>
  <c r="AY68" i="2"/>
  <c r="Y33" i="15"/>
  <c r="P8" i="61"/>
  <c r="P10" i="61" s="1"/>
  <c r="DJ10" i="20"/>
  <c r="CV54" i="1"/>
  <c r="CW54" i="1"/>
  <c r="G149" i="9"/>
  <c r="AB44" i="5"/>
  <c r="DM80" i="20"/>
  <c r="DM93" i="20" s="1"/>
  <c r="AC15" i="5"/>
  <c r="AC26" i="5" s="1"/>
  <c r="AB32" i="5"/>
  <c r="BC109" i="2"/>
  <c r="BC115" i="2"/>
  <c r="AR332" i="9"/>
  <c r="R112" i="9"/>
  <c r="T112" i="9" s="1"/>
  <c r="Z112" i="9"/>
  <c r="R119" i="9"/>
  <c r="R489" i="9"/>
  <c r="T489" i="9" s="1"/>
  <c r="R496" i="9"/>
  <c r="T496" i="9" s="1"/>
  <c r="AG623" i="9"/>
  <c r="AE627" i="9"/>
  <c r="N120" i="61"/>
  <c r="O120" i="61"/>
  <c r="AW148" i="9"/>
  <c r="AV149" i="9"/>
  <c r="AW149" i="9" s="1"/>
  <c r="U87" i="2"/>
  <c r="U78" i="2"/>
  <c r="AR617" i="9"/>
  <c r="W93" i="2"/>
  <c r="W95" i="2" s="1"/>
  <c r="W122" i="2"/>
  <c r="W88" i="2"/>
  <c r="W15" i="2"/>
  <c r="W29" i="2" s="1"/>
  <c r="AB623" i="9"/>
  <c r="AB624" i="9"/>
  <c r="N79" i="61"/>
  <c r="O79" i="61"/>
  <c r="AI622" i="9"/>
  <c r="AK622" i="9" s="1"/>
  <c r="AP622" i="9"/>
  <c r="AT622" i="9" s="1"/>
  <c r="AR622" i="9"/>
  <c r="N39" i="61"/>
  <c r="O39" i="61"/>
  <c r="DH63" i="20"/>
  <c r="DH25" i="20"/>
  <c r="AW332" i="9"/>
  <c r="AV333" i="9"/>
  <c r="AW333" i="9" s="1"/>
  <c r="AI530" i="9"/>
  <c r="AK530" i="9" s="1"/>
  <c r="AP530" i="9"/>
  <c r="AR530" i="9"/>
  <c r="T118" i="9"/>
  <c r="AR8" i="3"/>
  <c r="AW6" i="2"/>
  <c r="AN624" i="9"/>
  <c r="AB485" i="9"/>
  <c r="AB492" i="9"/>
  <c r="N134" i="61"/>
  <c r="AV630" i="9"/>
  <c r="X637" i="9"/>
  <c r="X644" i="9" s="1"/>
  <c r="AN630" i="9"/>
  <c r="X631" i="9"/>
  <c r="AY18" i="5"/>
  <c r="AX34" i="5"/>
  <c r="AX22" i="5"/>
  <c r="AX33" i="5"/>
  <c r="N71" i="61"/>
  <c r="N163" i="61" s="1"/>
  <c r="N60" i="61"/>
  <c r="N62" i="61" s="1"/>
  <c r="X162" i="9"/>
  <c r="X346" i="9"/>
  <c r="AV339" i="9"/>
  <c r="X340" i="9"/>
  <c r="R475" i="9"/>
  <c r="T475" i="9" s="1"/>
  <c r="U108" i="2"/>
  <c r="U105" i="2"/>
  <c r="U114" i="2"/>
  <c r="AB474" i="9"/>
  <c r="N101" i="61"/>
  <c r="N103" i="61" s="1"/>
  <c r="N112" i="61"/>
  <c r="N165" i="61" s="1"/>
  <c r="X44" i="3"/>
  <c r="X46" i="3" s="1"/>
  <c r="V47" i="3"/>
  <c r="Y9" i="2"/>
  <c r="AT325" i="9"/>
  <c r="AR326" i="9"/>
  <c r="AT326" i="9" s="1"/>
  <c r="AB481" i="9"/>
  <c r="AB488" i="9"/>
  <c r="O131" i="61"/>
  <c r="O132" i="61"/>
  <c r="O173" i="61" s="1"/>
  <c r="AW623" i="9"/>
  <c r="AV624" i="9"/>
  <c r="AW624" i="9" s="1"/>
  <c r="Z482" i="9"/>
  <c r="AB482" i="9" s="1"/>
  <c r="AB466" i="9"/>
  <c r="AB473" i="9"/>
  <c r="DF82" i="20"/>
  <c r="V28" i="5"/>
  <c r="DG82" i="20" s="1"/>
  <c r="AV155" i="9"/>
  <c r="X156" i="9"/>
  <c r="G156" i="9" s="1"/>
  <c r="CU187" i="1"/>
  <c r="CU132" i="1" s="1"/>
  <c r="CU143" i="1" s="1"/>
  <c r="CU230" i="1"/>
  <c r="AB111" i="9"/>
  <c r="AB118" i="9"/>
  <c r="Z118" i="10"/>
  <c r="Z111" i="10"/>
  <c r="R92" i="61" l="1"/>
  <c r="R133" i="61"/>
  <c r="F13" i="76"/>
  <c r="H8" i="62"/>
  <c r="I8" i="62"/>
  <c r="J8" i="62"/>
  <c r="L8" i="62"/>
  <c r="L9" i="62" s="1"/>
  <c r="I25" i="62"/>
  <c r="H25" i="62"/>
  <c r="J25" i="62"/>
  <c r="R21" i="71"/>
  <c r="R24" i="71" s="1"/>
  <c r="M30" i="71"/>
  <c r="M15" i="71" s="1"/>
  <c r="T155" i="71"/>
  <c r="S171" i="71"/>
  <c r="S23" i="71" s="1"/>
  <c r="S12" i="71" s="1"/>
  <c r="S13" i="71" s="1"/>
  <c r="U104" i="61"/>
  <c r="U148" i="61" s="1"/>
  <c r="U146" i="61"/>
  <c r="AD15" i="5"/>
  <c r="AC62" i="15"/>
  <c r="AB468" i="9"/>
  <c r="Z51" i="9"/>
  <c r="AB51" i="9" s="1"/>
  <c r="P58" i="9"/>
  <c r="R58" i="9" s="1"/>
  <c r="T58" i="9" s="1"/>
  <c r="Z75" i="9"/>
  <c r="R75" i="9"/>
  <c r="T75" i="9" s="1"/>
  <c r="Z161" i="10"/>
  <c r="Z154" i="10"/>
  <c r="R56" i="9"/>
  <c r="T56" i="9" s="1"/>
  <c r="Z56" i="9"/>
  <c r="AB56" i="9" s="1"/>
  <c r="I93" i="20"/>
  <c r="K70" i="9"/>
  <c r="V68" i="10"/>
  <c r="X68" i="10" s="1"/>
  <c r="P69" i="9"/>
  <c r="BU92" i="20"/>
  <c r="AB158" i="10"/>
  <c r="AD158" i="10" s="1"/>
  <c r="AF158" i="10" s="1"/>
  <c r="AG159" i="9"/>
  <c r="R159" i="9"/>
  <c r="T159" i="9" s="1"/>
  <c r="Z159" i="9"/>
  <c r="P163" i="9"/>
  <c r="R166" i="9"/>
  <c r="T166" i="9" s="1"/>
  <c r="R62" i="9"/>
  <c r="T62" i="9" s="1"/>
  <c r="Z62" i="9"/>
  <c r="P82" i="9"/>
  <c r="V77" i="10"/>
  <c r="X77" i="10" s="1"/>
  <c r="Z77" i="10" s="1"/>
  <c r="P93" i="20"/>
  <c r="P78" i="9"/>
  <c r="AB55" i="9"/>
  <c r="R333" i="9"/>
  <c r="T333" i="9" s="1"/>
  <c r="Z333" i="9"/>
  <c r="AB333" i="9" s="1"/>
  <c r="R57" i="9"/>
  <c r="T57" i="9" s="1"/>
  <c r="Z57" i="9"/>
  <c r="AB57" i="9" s="1"/>
  <c r="Z68" i="9"/>
  <c r="AB68" i="9" s="1"/>
  <c r="R68" i="9"/>
  <c r="T68" i="9" s="1"/>
  <c r="AG337" i="9"/>
  <c r="AE160" i="9"/>
  <c r="AE338" i="9"/>
  <c r="Z155" i="9"/>
  <c r="R155" i="9"/>
  <c r="T155" i="9" s="1"/>
  <c r="R162" i="9"/>
  <c r="T162" i="9" s="1"/>
  <c r="P156" i="9"/>
  <c r="K33" i="5"/>
  <c r="K35" i="5"/>
  <c r="K36" i="5" s="1"/>
  <c r="Z340" i="9"/>
  <c r="R347" i="9"/>
  <c r="T347" i="9" s="1"/>
  <c r="R340" i="9"/>
  <c r="T340" i="9" s="1"/>
  <c r="Z74" i="10"/>
  <c r="Z67" i="10"/>
  <c r="AI336" i="9"/>
  <c r="AK336" i="9" s="1"/>
  <c r="AR336" i="9"/>
  <c r="AT336" i="9" s="1"/>
  <c r="AP336" i="9"/>
  <c r="P64" i="9"/>
  <c r="V62" i="10"/>
  <c r="X62" i="10" s="1"/>
  <c r="Z62" i="10" s="1"/>
  <c r="P63" i="9"/>
  <c r="E93" i="20"/>
  <c r="L26" i="5"/>
  <c r="L19" i="15" s="1"/>
  <c r="AB336" i="9"/>
  <c r="AB343" i="9"/>
  <c r="CZ73" i="1"/>
  <c r="CY83" i="1"/>
  <c r="DA73" i="1"/>
  <c r="CZ102" i="1"/>
  <c r="M175" i="61"/>
  <c r="B286" i="9"/>
  <c r="B463" i="9" s="1"/>
  <c r="B570" i="9" s="1"/>
  <c r="B713" i="9" s="1"/>
  <c r="B116" i="9"/>
  <c r="B92" i="30"/>
  <c r="AP531" i="9"/>
  <c r="AT531" i="9" s="1"/>
  <c r="AT530" i="9"/>
  <c r="DM92" i="20"/>
  <c r="DM87" i="20"/>
  <c r="AC38" i="5"/>
  <c r="AD39" i="5" s="1"/>
  <c r="AD61" i="15" s="1"/>
  <c r="AC42" i="5"/>
  <c r="DN86" i="20"/>
  <c r="DO87" i="20" s="1"/>
  <c r="CS40" i="1"/>
  <c r="CR40" i="1"/>
  <c r="CQ41" i="1"/>
  <c r="CQ45" i="1" s="1"/>
  <c r="CO44" i="1"/>
  <c r="CN44" i="1"/>
  <c r="CO46" i="1"/>
  <c r="CN46" i="1"/>
  <c r="AN644" i="9"/>
  <c r="AV644" i="9"/>
  <c r="C6" i="76"/>
  <c r="Y39" i="15"/>
  <c r="Y34" i="15"/>
  <c r="Y65" i="5"/>
  <c r="CH55" i="20"/>
  <c r="CH60" i="20"/>
  <c r="CH74" i="20"/>
  <c r="CH19" i="20"/>
  <c r="CU93" i="1"/>
  <c r="CE21" i="20" a="1"/>
  <c r="CU84" i="1"/>
  <c r="CG55" i="20"/>
  <c r="CG74" i="20"/>
  <c r="CG19" i="20"/>
  <c r="CG60" i="20"/>
  <c r="AW76" i="2"/>
  <c r="AW75" i="2"/>
  <c r="AE537" i="9"/>
  <c r="AG537" i="9" s="1"/>
  <c r="AG536" i="9"/>
  <c r="BA72" i="2"/>
  <c r="BC72" i="2" s="1"/>
  <c r="BE72" i="2" s="1"/>
  <c r="BG72" i="2" s="1"/>
  <c r="BI72" i="2" s="1"/>
  <c r="AV23" i="3"/>
  <c r="DJ12" i="20"/>
  <c r="P30" i="61"/>
  <c r="P37" i="61"/>
  <c r="DJ59" i="20"/>
  <c r="DJ73" i="20"/>
  <c r="AI535" i="9"/>
  <c r="BA73" i="2"/>
  <c r="P13" i="61"/>
  <c r="P29" i="61"/>
  <c r="CE55" i="20"/>
  <c r="CE74" i="20"/>
  <c r="CE60" i="20"/>
  <c r="CE19" i="20"/>
  <c r="CW74" i="1"/>
  <c r="CV74" i="1"/>
  <c r="CF58" i="20"/>
  <c r="D24" i="62" s="1"/>
  <c r="CF16" i="20"/>
  <c r="D11" i="62" s="1"/>
  <c r="AC18" i="15"/>
  <c r="DN80" i="20"/>
  <c r="DN93" i="20" s="1"/>
  <c r="AC32" i="5"/>
  <c r="AC44" i="5"/>
  <c r="DM15" i="20"/>
  <c r="S12" i="61" s="1"/>
  <c r="BE25" i="2"/>
  <c r="DM88" i="20"/>
  <c r="AB45" i="5"/>
  <c r="O134" i="61"/>
  <c r="O174" i="61" s="1"/>
  <c r="AB33" i="5"/>
  <c r="AW155" i="9"/>
  <c r="AV156" i="9"/>
  <c r="AW156" i="9" s="1"/>
  <c r="AA9" i="2"/>
  <c r="X47" i="3"/>
  <c r="Z44" i="3"/>
  <c r="Z46" i="3" s="1"/>
  <c r="N119" i="61"/>
  <c r="O119" i="61"/>
  <c r="AW630" i="9"/>
  <c r="AV631" i="9"/>
  <c r="AW631" i="9" s="1"/>
  <c r="N174" i="61"/>
  <c r="N161" i="61"/>
  <c r="N150" i="61"/>
  <c r="N176" i="61" s="1"/>
  <c r="N137" i="61"/>
  <c r="AB489" i="9"/>
  <c r="AB496" i="9"/>
  <c r="AY6" i="2"/>
  <c r="AT8" i="3"/>
  <c r="DH75" i="20"/>
  <c r="DI75" i="20"/>
  <c r="W87" i="2"/>
  <c r="W78" i="2"/>
  <c r="AE628" i="9"/>
  <c r="AG627" i="9"/>
  <c r="AN631" i="9"/>
  <c r="AP623" i="9"/>
  <c r="AI623" i="9"/>
  <c r="AK623" i="9" s="1"/>
  <c r="AG624" i="9"/>
  <c r="AI624" i="9" s="1"/>
  <c r="AK624" i="9" s="1"/>
  <c r="AT332" i="9"/>
  <c r="AR333" i="9"/>
  <c r="AT333" i="9" s="1"/>
  <c r="AB339" i="9"/>
  <c r="AB340" i="9"/>
  <c r="Y93" i="2"/>
  <c r="Y95" i="2" s="1"/>
  <c r="Y15" i="2"/>
  <c r="Y29" i="2" s="1"/>
  <c r="Y88" i="2"/>
  <c r="Y122" i="2"/>
  <c r="AV346" i="9"/>
  <c r="X169" i="9"/>
  <c r="X353" i="9"/>
  <c r="X354" i="9" s="1"/>
  <c r="X347" i="9"/>
  <c r="N78" i="61"/>
  <c r="O78" i="61"/>
  <c r="AN637" i="9"/>
  <c r="AV637" i="9"/>
  <c r="X638" i="9"/>
  <c r="AR531" i="9"/>
  <c r="T119" i="9"/>
  <c r="CU188" i="1"/>
  <c r="CU133" i="1" s="1"/>
  <c r="CU144" i="1" s="1"/>
  <c r="CU231" i="1"/>
  <c r="AW339" i="9"/>
  <c r="AV340" i="9"/>
  <c r="AW340" i="9" s="1"/>
  <c r="O129" i="61"/>
  <c r="U117" i="2"/>
  <c r="U111" i="2"/>
  <c r="U106" i="2"/>
  <c r="U118" i="2" s="1"/>
  <c r="AV162" i="9"/>
  <c r="G162" i="9"/>
  <c r="X163" i="9"/>
  <c r="G163" i="9" s="1"/>
  <c r="AZ18" i="5"/>
  <c r="AY34" i="5"/>
  <c r="AY33" i="5"/>
  <c r="AY22" i="5"/>
  <c r="AB630" i="9"/>
  <c r="AB631" i="9"/>
  <c r="AR623" i="9"/>
  <c r="W114" i="2"/>
  <c r="W108" i="2"/>
  <c r="W105" i="2"/>
  <c r="AB112" i="9"/>
  <c r="AB119" i="9"/>
  <c r="J11" i="62" l="1"/>
  <c r="D14" i="62"/>
  <c r="I11" i="62"/>
  <c r="L11" i="62"/>
  <c r="L13" i="62" s="1"/>
  <c r="H11" i="62"/>
  <c r="J24" i="62"/>
  <c r="H24" i="62"/>
  <c r="I24" i="62"/>
  <c r="M33" i="71"/>
  <c r="S21" i="71"/>
  <c r="S24" i="71" s="1"/>
  <c r="U155" i="71"/>
  <c r="T171" i="71"/>
  <c r="T23" i="71" s="1"/>
  <c r="T12" i="71" s="1"/>
  <c r="T13" i="71" s="1"/>
  <c r="M38" i="71"/>
  <c r="M16" i="71"/>
  <c r="AD26" i="5"/>
  <c r="AD18" i="15" s="1"/>
  <c r="BF11" i="3" s="1"/>
  <c r="AG39" i="15"/>
  <c r="Y66" i="5"/>
  <c r="AG65" i="5"/>
  <c r="CQ42" i="1"/>
  <c r="CQ43" i="1" s="1"/>
  <c r="CS43" i="1" s="1"/>
  <c r="O137" i="61"/>
  <c r="O161" i="61"/>
  <c r="Z63" i="9"/>
  <c r="AB63" i="9" s="1"/>
  <c r="R63" i="9"/>
  <c r="T63" i="9" s="1"/>
  <c r="AB162" i="9"/>
  <c r="AB155" i="9"/>
  <c r="Z58" i="9"/>
  <c r="AB58" i="9" s="1"/>
  <c r="AB62" i="9"/>
  <c r="AB166" i="9"/>
  <c r="AB159" i="9"/>
  <c r="AG538" i="9"/>
  <c r="AI538" i="9" s="1"/>
  <c r="R156" i="9"/>
  <c r="T156" i="9" s="1"/>
  <c r="Z156" i="9"/>
  <c r="AB156" i="9" s="1"/>
  <c r="AG338" i="9"/>
  <c r="AE339" i="9"/>
  <c r="AE161" i="9"/>
  <c r="R82" i="9"/>
  <c r="T82" i="9" s="1"/>
  <c r="Z82" i="9"/>
  <c r="AB82" i="9" s="1"/>
  <c r="R69" i="9"/>
  <c r="T69" i="9" s="1"/>
  <c r="R76" i="9"/>
  <c r="T76" i="9" s="1"/>
  <c r="Z69" i="9"/>
  <c r="L44" i="5"/>
  <c r="L45" i="5" s="1"/>
  <c r="AX26" i="5"/>
  <c r="M15" i="5"/>
  <c r="L32" i="5"/>
  <c r="L62" i="15"/>
  <c r="L65" i="15" s="1"/>
  <c r="K85" i="9"/>
  <c r="Z64" i="9"/>
  <c r="AB64" i="9" s="1"/>
  <c r="R64" i="9"/>
  <c r="T64" i="9" s="1"/>
  <c r="AG160" i="9"/>
  <c r="AB159" i="10"/>
  <c r="AD159" i="10" s="1"/>
  <c r="AF159" i="10" s="1"/>
  <c r="BV92" i="20"/>
  <c r="P79" i="9"/>
  <c r="Z78" i="9"/>
  <c r="P65" i="9"/>
  <c r="AP159" i="9"/>
  <c r="AT159" i="9" s="1"/>
  <c r="AI159" i="9"/>
  <c r="AK159" i="9" s="1"/>
  <c r="AR159" i="9"/>
  <c r="Z68" i="10"/>
  <c r="Z75" i="10"/>
  <c r="AP337" i="9"/>
  <c r="AI337" i="9"/>
  <c r="AK337" i="9" s="1"/>
  <c r="AR337" i="9"/>
  <c r="AT337" i="9" s="1"/>
  <c r="Z163" i="9"/>
  <c r="R163" i="9"/>
  <c r="T163" i="9" s="1"/>
  <c r="R170" i="9"/>
  <c r="T170" i="9" s="1"/>
  <c r="P70" i="9"/>
  <c r="P71" i="9"/>
  <c r="J93" i="20"/>
  <c r="V69" i="10"/>
  <c r="X69" i="10" s="1"/>
  <c r="AB75" i="9"/>
  <c r="CY93" i="1"/>
  <c r="CZ93" i="1" s="1"/>
  <c r="B99" i="30"/>
  <c r="B123" i="9"/>
  <c r="B293" i="9"/>
  <c r="B470" i="9" s="1"/>
  <c r="B577" i="9" s="1"/>
  <c r="B720" i="9" s="1"/>
  <c r="O150" i="61"/>
  <c r="O176" i="61" s="1"/>
  <c r="AP624" i="9"/>
  <c r="AT624" i="9" s="1"/>
  <c r="AT623" i="9"/>
  <c r="AC39" i="5"/>
  <c r="AC61" i="15" s="1"/>
  <c r="DN87" i="20"/>
  <c r="DN92" i="20"/>
  <c r="X360" i="9"/>
  <c r="CR45" i="1"/>
  <c r="CS45" i="1"/>
  <c r="CQ44" i="1"/>
  <c r="CR42" i="1"/>
  <c r="CR41" i="1"/>
  <c r="CS41" i="1"/>
  <c r="CU40" i="1"/>
  <c r="CR43" i="1"/>
  <c r="AW644" i="9"/>
  <c r="AB644" i="9"/>
  <c r="BC73" i="2"/>
  <c r="BA75" i="2"/>
  <c r="CE21" i="20"/>
  <c r="CE62" i="20" s="1"/>
  <c r="CG21" i="20"/>
  <c r="CG62" i="20" s="1"/>
  <c r="CH21" i="20"/>
  <c r="CH62" i="20" s="1"/>
  <c r="CF21" i="20"/>
  <c r="D16" i="62" s="1"/>
  <c r="Y40" i="15"/>
  <c r="CF74" i="20"/>
  <c r="D35" i="62" s="1"/>
  <c r="CF19" i="20"/>
  <c r="CF60" i="20"/>
  <c r="D26" i="62" s="1"/>
  <c r="CF55" i="20"/>
  <c r="P155" i="61"/>
  <c r="P153" i="61" s="1"/>
  <c r="P156" i="61"/>
  <c r="BA76" i="2"/>
  <c r="CG64" i="20"/>
  <c r="CG76" i="20"/>
  <c r="CU94" i="1"/>
  <c r="CV93" i="1"/>
  <c r="CU103" i="1"/>
  <c r="CH76" i="20"/>
  <c r="CH64" i="20"/>
  <c r="C9" i="76"/>
  <c r="C10" i="76" s="1"/>
  <c r="C11" i="76" s="1"/>
  <c r="C7" i="76"/>
  <c r="CE76" i="20"/>
  <c r="CE64" i="20"/>
  <c r="P31" i="61"/>
  <c r="P26" i="61"/>
  <c r="P40" i="61" s="1"/>
  <c r="P16" i="61"/>
  <c r="P38" i="61"/>
  <c r="DJ58" i="20"/>
  <c r="DJ16" i="20"/>
  <c r="AI536" i="9"/>
  <c r="AK536" i="9" s="1"/>
  <c r="AP536" i="9"/>
  <c r="AT536" i="9" s="1"/>
  <c r="AR536" i="9"/>
  <c r="CH61" i="20"/>
  <c r="CE61" i="20"/>
  <c r="AV24" i="3"/>
  <c r="CC81" i="20"/>
  <c r="H175" i="10"/>
  <c r="P160" i="61"/>
  <c r="P159" i="61"/>
  <c r="P157" i="61" s="1"/>
  <c r="AI537" i="9"/>
  <c r="AK537" i="9" s="1"/>
  <c r="AP537" i="9"/>
  <c r="AT537" i="9" s="1"/>
  <c r="AR537" i="9"/>
  <c r="CG61" i="20"/>
  <c r="Y42" i="15"/>
  <c r="AG42" i="15" s="1"/>
  <c r="CV84" i="1"/>
  <c r="AC45" i="5"/>
  <c r="DN88" i="20"/>
  <c r="AC33" i="5"/>
  <c r="BE96" i="2"/>
  <c r="BE103" i="2" s="1"/>
  <c r="BE24" i="2"/>
  <c r="BE23" i="2" s="1"/>
  <c r="S92" i="61"/>
  <c r="S133" i="61"/>
  <c r="S51" i="61"/>
  <c r="G13" i="76"/>
  <c r="BD11" i="3"/>
  <c r="DO15" i="20" s="1"/>
  <c r="U12" i="61" s="1"/>
  <c r="CU189" i="1"/>
  <c r="CU134" i="1" s="1"/>
  <c r="CU145" i="1" s="1"/>
  <c r="CU232" i="1"/>
  <c r="AW637" i="9"/>
  <c r="AV638" i="9"/>
  <c r="AW638" i="9" s="1"/>
  <c r="AV169" i="9"/>
  <c r="G169" i="9"/>
  <c r="X170" i="9"/>
  <c r="G170" i="9" s="1"/>
  <c r="BA6" i="2"/>
  <c r="AV8" i="3"/>
  <c r="AB637" i="9"/>
  <c r="AB638" i="9"/>
  <c r="AB346" i="9"/>
  <c r="AB347" i="9"/>
  <c r="Y105" i="2"/>
  <c r="Y108" i="2"/>
  <c r="Y114" i="2"/>
  <c r="AP627" i="9"/>
  <c r="AT627" i="9" s="1"/>
  <c r="AI627" i="9"/>
  <c r="AK627" i="9" s="1"/>
  <c r="AR627" i="9"/>
  <c r="N139" i="61"/>
  <c r="N142" i="61" s="1"/>
  <c r="N144" i="61" s="1"/>
  <c r="N175" i="61" s="1"/>
  <c r="Z47" i="3"/>
  <c r="AC9" i="2"/>
  <c r="AB44" i="3"/>
  <c r="AB46" i="3" s="1"/>
  <c r="AW162" i="9"/>
  <c r="AV163" i="9"/>
  <c r="AW163" i="9" s="1"/>
  <c r="W111" i="2"/>
  <c r="W117" i="2"/>
  <c r="W106" i="2"/>
  <c r="W118" i="2" s="1"/>
  <c r="AR624" i="9"/>
  <c r="BA18" i="5"/>
  <c r="BA22" i="5" s="1"/>
  <c r="AZ34" i="5"/>
  <c r="AZ22" i="5"/>
  <c r="AZ33" i="5"/>
  <c r="AN638" i="9"/>
  <c r="AW346" i="9"/>
  <c r="AV347" i="9"/>
  <c r="AW347" i="9" s="1"/>
  <c r="O139" i="61"/>
  <c r="O142" i="61" s="1"/>
  <c r="O144" i="61" s="1"/>
  <c r="AE629" i="9"/>
  <c r="AG628" i="9"/>
  <c r="AV353" i="9"/>
  <c r="AV354" i="9" s="1"/>
  <c r="Y87" i="2"/>
  <c r="Y78" i="2"/>
  <c r="AA122" i="2"/>
  <c r="AA93" i="2"/>
  <c r="AA95" i="2" s="1"/>
  <c r="AA15" i="2"/>
  <c r="AA29" i="2" s="1"/>
  <c r="AA88" i="2"/>
  <c r="I26" i="62" l="1"/>
  <c r="H26" i="62"/>
  <c r="J26" i="62"/>
  <c r="I16" i="62"/>
  <c r="H16" i="62"/>
  <c r="H14" i="62"/>
  <c r="I14" i="62"/>
  <c r="D18" i="62"/>
  <c r="T21" i="71"/>
  <c r="T24" i="71" s="1"/>
  <c r="V155" i="71"/>
  <c r="U171" i="71"/>
  <c r="U23" i="71" s="1"/>
  <c r="U12" i="71" s="1"/>
  <c r="U13" i="71" s="1"/>
  <c r="N29" i="71"/>
  <c r="M37" i="71"/>
  <c r="M39" i="71" s="1"/>
  <c r="M35" i="71"/>
  <c r="U51" i="61"/>
  <c r="U133" i="61"/>
  <c r="U92" i="61"/>
  <c r="DO80" i="20"/>
  <c r="DO93" i="20" s="1"/>
  <c r="AD62" i="15"/>
  <c r="AK26" i="5"/>
  <c r="AD32" i="5"/>
  <c r="AD33" i="5" s="1"/>
  <c r="AD44" i="5"/>
  <c r="CQ46" i="1"/>
  <c r="CS46" i="1" s="1"/>
  <c r="DN15" i="20"/>
  <c r="T12" i="61" s="1"/>
  <c r="T51" i="61" s="1"/>
  <c r="AC58" i="15"/>
  <c r="CS42" i="1"/>
  <c r="CE23" i="20"/>
  <c r="CE63" i="20" s="1"/>
  <c r="Z69" i="10"/>
  <c r="Z76" i="10"/>
  <c r="M26" i="5"/>
  <c r="M19" i="15" s="1"/>
  <c r="AB69" i="9"/>
  <c r="AB76" i="9"/>
  <c r="AE162" i="9"/>
  <c r="AG339" i="9"/>
  <c r="AE343" i="9"/>
  <c r="Z65" i="9"/>
  <c r="AB65" i="9" s="1"/>
  <c r="Z79" i="9"/>
  <c r="AR160" i="9"/>
  <c r="AP160" i="9"/>
  <c r="AT160" i="9" s="1"/>
  <c r="AI160" i="9"/>
  <c r="AK160" i="9" s="1"/>
  <c r="U93" i="20"/>
  <c r="P85" i="9"/>
  <c r="V84" i="10"/>
  <c r="X84" i="10" s="1"/>
  <c r="Z84" i="10" s="1"/>
  <c r="P89" i="9"/>
  <c r="AP338" i="9"/>
  <c r="AR338" i="9"/>
  <c r="AI338" i="9"/>
  <c r="AK338" i="9" s="1"/>
  <c r="AG340" i="9"/>
  <c r="AI340" i="9" s="1"/>
  <c r="AK340" i="9" s="1"/>
  <c r="R78" i="9"/>
  <c r="T78" i="9" s="1"/>
  <c r="Z71" i="9"/>
  <c r="AB71" i="9" s="1"/>
  <c r="R71" i="9"/>
  <c r="T71" i="9" s="1"/>
  <c r="AB163" i="9"/>
  <c r="AB170" i="9"/>
  <c r="R70" i="9"/>
  <c r="T70" i="9" s="1"/>
  <c r="R77" i="9"/>
  <c r="T77" i="9" s="1"/>
  <c r="Z70" i="9"/>
  <c r="R65" i="9"/>
  <c r="T65" i="9" s="1"/>
  <c r="L33" i="5"/>
  <c r="L35" i="5"/>
  <c r="L36" i="5" s="1"/>
  <c r="P72" i="9"/>
  <c r="R79" i="9" s="1"/>
  <c r="T79" i="9" s="1"/>
  <c r="BW92" i="20"/>
  <c r="AB160" i="10"/>
  <c r="AD160" i="10" s="1"/>
  <c r="AF160" i="10" s="1"/>
  <c r="AG161" i="9"/>
  <c r="CY103" i="1"/>
  <c r="CZ103" i="1" s="1"/>
  <c r="CV103" i="1"/>
  <c r="B107" i="30"/>
  <c r="B300" i="9"/>
  <c r="B130" i="9"/>
  <c r="CG23" i="20"/>
  <c r="CG63" i="20" s="1"/>
  <c r="AW354" i="9"/>
  <c r="AB360" i="9"/>
  <c r="AV360" i="9"/>
  <c r="AW360" i="9" s="1"/>
  <c r="CH23" i="20"/>
  <c r="CH25" i="20" s="1"/>
  <c r="CS44" i="1"/>
  <c r="CR44" i="1"/>
  <c r="CW40" i="1"/>
  <c r="CU41" i="1"/>
  <c r="CU45" i="1" s="1"/>
  <c r="CV40" i="1"/>
  <c r="AY94" i="2"/>
  <c r="AY38" i="2"/>
  <c r="CF64" i="20"/>
  <c r="CF76" i="20"/>
  <c r="DJ21" i="20"/>
  <c r="P18" i="61"/>
  <c r="P32" i="61" s="1"/>
  <c r="Y43" i="15"/>
  <c r="P158" i="61"/>
  <c r="P154" i="61"/>
  <c r="CU114" i="1"/>
  <c r="CV94" i="1"/>
  <c r="BC76" i="2"/>
  <c r="Y45" i="15"/>
  <c r="AG45" i="15" s="1"/>
  <c r="BE73" i="2"/>
  <c r="X175" i="10"/>
  <c r="T175" i="10"/>
  <c r="N175" i="10"/>
  <c r="DJ60" i="20"/>
  <c r="DJ55" i="20"/>
  <c r="DJ74" i="20"/>
  <c r="DJ19" i="20"/>
  <c r="CF62" i="20"/>
  <c r="D28" i="62" s="1"/>
  <c r="CF23" i="20"/>
  <c r="CF61" i="20"/>
  <c r="D27" i="62" s="1"/>
  <c r="BC75" i="2"/>
  <c r="T92" i="61"/>
  <c r="BG25" i="2"/>
  <c r="BI25" i="2" s="1"/>
  <c r="BE115" i="2"/>
  <c r="BE109" i="2"/>
  <c r="AA86" i="2"/>
  <c r="AA78" i="2"/>
  <c r="AB353" i="9"/>
  <c r="O175" i="61"/>
  <c r="Y117" i="2"/>
  <c r="Y111" i="2"/>
  <c r="Y106" i="2"/>
  <c r="Y118" i="2" s="1"/>
  <c r="AP628" i="9"/>
  <c r="AT628" i="9" s="1"/>
  <c r="AI628" i="9"/>
  <c r="AK628" i="9" s="1"/>
  <c r="AR628" i="9"/>
  <c r="AW169" i="9"/>
  <c r="AW176" i="9"/>
  <c r="AV170" i="9"/>
  <c r="AW353" i="9"/>
  <c r="AG629" i="9"/>
  <c r="AE630" i="9"/>
  <c r="AD44" i="3"/>
  <c r="AD46" i="3" s="1"/>
  <c r="AB47" i="3"/>
  <c r="AE9" i="2"/>
  <c r="CU233" i="1"/>
  <c r="CU146" i="1"/>
  <c r="CY186" i="1" s="1"/>
  <c r="AA114" i="2"/>
  <c r="AA108" i="2"/>
  <c r="AA105" i="2"/>
  <c r="AC88" i="2"/>
  <c r="AC93" i="2"/>
  <c r="AC95" i="2" s="1"/>
  <c r="AC15" i="2"/>
  <c r="AC29" i="2" s="1"/>
  <c r="AC122" i="2"/>
  <c r="BC6" i="2"/>
  <c r="AX8" i="3"/>
  <c r="CY190" i="1" l="1"/>
  <c r="CY131" i="1"/>
  <c r="CY142" i="1" s="1"/>
  <c r="T133" i="61"/>
  <c r="I28" i="62"/>
  <c r="H28" i="62"/>
  <c r="I43" i="62"/>
  <c r="J28" i="62"/>
  <c r="I41" i="62"/>
  <c r="I40" i="62"/>
  <c r="I42" i="62"/>
  <c r="I27" i="62"/>
  <c r="H27" i="62"/>
  <c r="J27" i="62"/>
  <c r="H18" i="62"/>
  <c r="I18" i="62"/>
  <c r="I39" i="62"/>
  <c r="N30" i="71"/>
  <c r="N15" i="71" s="1"/>
  <c r="U21" i="71"/>
  <c r="U24" i="71" s="1"/>
  <c r="W155" i="71"/>
  <c r="W171" i="71" s="1"/>
  <c r="W23" i="71" s="1"/>
  <c r="W12" i="71" s="1"/>
  <c r="W13" i="71" s="1"/>
  <c r="V171" i="71"/>
  <c r="V23" i="71" s="1"/>
  <c r="V12" i="71" s="1"/>
  <c r="V13" i="71" s="1"/>
  <c r="DO88" i="20"/>
  <c r="AD45" i="5"/>
  <c r="CH75" i="20"/>
  <c r="Z175" i="10"/>
  <c r="BI24" i="2"/>
  <c r="BI23" i="2" s="1"/>
  <c r="BI96" i="2"/>
  <c r="BI103" i="2" s="1"/>
  <c r="CR46" i="1"/>
  <c r="CE25" i="20"/>
  <c r="AB70" i="9"/>
  <c r="AB77" i="9"/>
  <c r="Z72" i="9"/>
  <c r="AB72" i="9" s="1"/>
  <c r="AY26" i="5"/>
  <c r="M32" i="5"/>
  <c r="M62" i="15"/>
  <c r="M65" i="15" s="1"/>
  <c r="M44" i="5"/>
  <c r="M45" i="5" s="1"/>
  <c r="N15" i="5"/>
  <c r="K92" i="9"/>
  <c r="Z85" i="9"/>
  <c r="R85" i="9"/>
  <c r="T85" i="9" s="1"/>
  <c r="P86" i="9"/>
  <c r="AE344" i="9"/>
  <c r="AE166" i="9"/>
  <c r="AG343" i="9"/>
  <c r="R72" i="9"/>
  <c r="T72" i="9" s="1"/>
  <c r="AB78" i="9"/>
  <c r="AR339" i="9"/>
  <c r="AT339" i="9" s="1"/>
  <c r="AI339" i="9"/>
  <c r="AK339" i="9" s="1"/>
  <c r="AP339" i="9"/>
  <c r="AP340" i="9" s="1"/>
  <c r="AP161" i="9"/>
  <c r="AT161" i="9" s="1"/>
  <c r="AI161" i="9"/>
  <c r="AK161" i="9" s="1"/>
  <c r="AR161" i="9"/>
  <c r="AT338" i="9"/>
  <c r="Z89" i="9"/>
  <c r="AB89" i="9" s="1"/>
  <c r="R89" i="9"/>
  <c r="T89" i="9" s="1"/>
  <c r="BX92" i="20"/>
  <c r="AB161" i="10"/>
  <c r="AD161" i="10" s="1"/>
  <c r="AF161" i="10" s="1"/>
  <c r="AG162" i="9"/>
  <c r="CG25" i="20"/>
  <c r="B115" i="30"/>
  <c r="B137" i="9"/>
  <c r="B477" i="9"/>
  <c r="B307" i="9"/>
  <c r="CH63" i="20"/>
  <c r="P21" i="61"/>
  <c r="CV45" i="1"/>
  <c r="CW45" i="1"/>
  <c r="CU42" i="1"/>
  <c r="CV41" i="1"/>
  <c r="CW41" i="1"/>
  <c r="BE75" i="2"/>
  <c r="DJ64" i="20"/>
  <c r="DJ76" i="20"/>
  <c r="Y54" i="15"/>
  <c r="CU245" i="1"/>
  <c r="DJ94" i="20"/>
  <c r="AY41" i="2"/>
  <c r="AV27" i="3"/>
  <c r="AV29" i="3" s="1"/>
  <c r="CF25" i="20"/>
  <c r="D20" i="62" s="1"/>
  <c r="CF63" i="20"/>
  <c r="D29" i="62" s="1"/>
  <c r="BG73" i="2"/>
  <c r="BI73" i="2" s="1"/>
  <c r="Y46" i="15"/>
  <c r="AV10" i="3"/>
  <c r="BE76" i="2"/>
  <c r="P164" i="61"/>
  <c r="P162" i="61" s="1"/>
  <c r="P165" i="61"/>
  <c r="P163" i="61"/>
  <c r="DJ62" i="20"/>
  <c r="DJ61" i="20"/>
  <c r="DJ23" i="20"/>
  <c r="CU104" i="1"/>
  <c r="BG24" i="2"/>
  <c r="BG23" i="2" s="1"/>
  <c r="BG96" i="2"/>
  <c r="BG103" i="2" s="1"/>
  <c r="BE6" i="2"/>
  <c r="AZ8" i="3"/>
  <c r="AC86" i="2"/>
  <c r="AC78" i="2"/>
  <c r="AG630" i="9"/>
  <c r="AG631" i="9" s="1"/>
  <c r="AI631" i="9" s="1"/>
  <c r="AK631" i="9" s="1"/>
  <c r="AE634" i="9"/>
  <c r="AE15" i="2"/>
  <c r="AE29" i="2" s="1"/>
  <c r="AE122" i="2"/>
  <c r="AE88" i="2"/>
  <c r="AE93" i="2"/>
  <c r="AE95" i="2" s="1"/>
  <c r="AI629" i="9"/>
  <c r="AK629" i="9" s="1"/>
  <c r="AP629" i="9"/>
  <c r="AT629" i="9" s="1"/>
  <c r="AR629" i="9"/>
  <c r="AC114" i="2"/>
  <c r="AC105" i="2"/>
  <c r="AC108" i="2"/>
  <c r="AA106" i="2"/>
  <c r="AA118" i="2" s="1"/>
  <c r="AA111" i="2"/>
  <c r="AA117" i="2"/>
  <c r="AD47" i="3"/>
  <c r="AG9" i="2"/>
  <c r="AF44" i="3"/>
  <c r="AF46" i="3" s="1"/>
  <c r="AW170" i="9"/>
  <c r="AW177" i="9"/>
  <c r="CY187" i="1" l="1"/>
  <c r="CY132" i="1" s="1"/>
  <c r="CY143" i="1" s="1"/>
  <c r="CY230" i="1"/>
  <c r="H29" i="62"/>
  <c r="I29" i="62"/>
  <c r="J29" i="62"/>
  <c r="J20" i="62"/>
  <c r="I20" i="62"/>
  <c r="H20" i="62"/>
  <c r="I45" i="62"/>
  <c r="N38" i="71"/>
  <c r="N16" i="71"/>
  <c r="V21" i="71"/>
  <c r="V24" i="71" s="1"/>
  <c r="N33" i="71"/>
  <c r="Y48" i="15"/>
  <c r="Y49" i="15" s="1"/>
  <c r="AG54" i="15"/>
  <c r="AI54" i="15"/>
  <c r="CG75" i="20"/>
  <c r="CE75" i="20"/>
  <c r="CM94" i="20"/>
  <c r="CL94" i="20"/>
  <c r="CK94" i="20"/>
  <c r="BI115" i="2"/>
  <c r="BI109" i="2"/>
  <c r="AR340" i="9"/>
  <c r="AT340" i="9" s="1"/>
  <c r="AB79" i="9"/>
  <c r="AG166" i="9"/>
  <c r="AB165" i="10"/>
  <c r="AD165" i="10" s="1"/>
  <c r="AF165" i="10" s="1"/>
  <c r="Z86" i="9"/>
  <c r="AB86" i="9" s="1"/>
  <c r="AB85" i="9"/>
  <c r="N26" i="5"/>
  <c r="N19" i="15" s="1"/>
  <c r="AG163" i="9"/>
  <c r="AI163" i="9" s="1"/>
  <c r="AK163" i="9" s="1"/>
  <c r="AR162" i="9"/>
  <c r="AR163" i="9" s="1"/>
  <c r="AI162" i="9"/>
  <c r="AK162" i="9" s="1"/>
  <c r="AP162" i="9"/>
  <c r="AE345" i="9"/>
  <c r="AE167" i="9"/>
  <c r="AG344" i="9"/>
  <c r="R86" i="9"/>
  <c r="T86" i="9" s="1"/>
  <c r="AR343" i="9"/>
  <c r="AT343" i="9" s="1"/>
  <c r="AP343" i="9"/>
  <c r="AI343" i="9"/>
  <c r="AK343" i="9" s="1"/>
  <c r="V91" i="10"/>
  <c r="X91" i="10" s="1"/>
  <c r="Z91" i="10" s="1"/>
  <c r="Z93" i="20"/>
  <c r="P92" i="9"/>
  <c r="P96" i="9"/>
  <c r="M35" i="5"/>
  <c r="M36" i="5" s="1"/>
  <c r="M33" i="5"/>
  <c r="Y51" i="15"/>
  <c r="Y52" i="15" s="1"/>
  <c r="CV104" i="1"/>
  <c r="B584" i="9"/>
  <c r="B484" i="9"/>
  <c r="B144" i="9"/>
  <c r="B314" i="9"/>
  <c r="B491" i="9" s="1"/>
  <c r="B598" i="9" s="1"/>
  <c r="B741" i="9" s="1"/>
  <c r="B122" i="30"/>
  <c r="CW42" i="1"/>
  <c r="CV42" i="1"/>
  <c r="CU46" i="1"/>
  <c r="CU43" i="1"/>
  <c r="CY40" i="1" s="1"/>
  <c r="CG94" i="20"/>
  <c r="CE94" i="20"/>
  <c r="CH94" i="20"/>
  <c r="CF94" i="20"/>
  <c r="Y56" i="15"/>
  <c r="DJ27" i="20" s="1"/>
  <c r="P24" i="61"/>
  <c r="Y55" i="15"/>
  <c r="DJ26" i="20"/>
  <c r="Y57" i="15"/>
  <c r="DJ28" i="20" s="1"/>
  <c r="BG75" i="2"/>
  <c r="BI75" i="2" s="1"/>
  <c r="BG76" i="2"/>
  <c r="BI76" i="2" s="1"/>
  <c r="AV31" i="3"/>
  <c r="C17" i="76"/>
  <c r="C18" i="76" s="1"/>
  <c r="C21" i="76" s="1"/>
  <c r="DJ63" i="20"/>
  <c r="AV16" i="3"/>
  <c r="CF75" i="20"/>
  <c r="D36" i="62" s="1"/>
  <c r="BG109" i="2"/>
  <c r="BG115" i="2"/>
  <c r="AG15" i="2"/>
  <c r="AG29" i="2" s="1"/>
  <c r="AG88" i="2"/>
  <c r="AG122" i="2"/>
  <c r="AG93" i="2"/>
  <c r="AG95" i="2" s="1"/>
  <c r="AE114" i="2"/>
  <c r="AE108" i="2"/>
  <c r="AE105" i="2"/>
  <c r="AG634" i="9"/>
  <c r="AE635" i="9"/>
  <c r="BB8" i="3"/>
  <c r="BG6" i="2"/>
  <c r="AF65" i="3"/>
  <c r="AI9" i="2"/>
  <c r="AH44" i="3"/>
  <c r="AH46" i="3" s="1"/>
  <c r="AF47" i="3"/>
  <c r="AC111" i="2"/>
  <c r="AC117" i="2"/>
  <c r="AC106" i="2"/>
  <c r="AC118" i="2" s="1"/>
  <c r="AE86" i="2"/>
  <c r="AE78" i="2"/>
  <c r="AI630" i="9"/>
  <c r="AK630" i="9" s="1"/>
  <c r="AP630" i="9"/>
  <c r="AR630" i="9"/>
  <c r="BD8" i="3" l="1"/>
  <c r="BI6" i="2"/>
  <c r="BF8" i="3" s="1"/>
  <c r="CY188" i="1"/>
  <c r="CY133" i="1" s="1"/>
  <c r="CY144" i="1" s="1"/>
  <c r="CY231" i="1"/>
  <c r="I44" i="62"/>
  <c r="I46" i="62" s="1"/>
  <c r="O29" i="71"/>
  <c r="N35" i="71"/>
  <c r="N37" i="71"/>
  <c r="N39" i="71" s="1"/>
  <c r="W21" i="71"/>
  <c r="W24" i="71" s="1"/>
  <c r="AG48" i="15"/>
  <c r="Z96" i="9"/>
  <c r="AB96" i="9" s="1"/>
  <c r="R96" i="9"/>
  <c r="T96" i="9" s="1"/>
  <c r="AG167" i="9"/>
  <c r="AB166" i="10"/>
  <c r="AD166" i="10" s="1"/>
  <c r="AF166" i="10" s="1"/>
  <c r="Z92" i="9"/>
  <c r="R92" i="9"/>
  <c r="T92" i="9" s="1"/>
  <c r="P93" i="9"/>
  <c r="R93" i="9" s="1"/>
  <c r="T93" i="9" s="1"/>
  <c r="AE168" i="9"/>
  <c r="AE346" i="9"/>
  <c r="AG345" i="9"/>
  <c r="AT162" i="9"/>
  <c r="AP163" i="9"/>
  <c r="AT163" i="9" s="1"/>
  <c r="AI344" i="9"/>
  <c r="AK344" i="9" s="1"/>
  <c r="AP344" i="9"/>
  <c r="AR344" i="9"/>
  <c r="AT344" i="9" s="1"/>
  <c r="N44" i="5"/>
  <c r="N45" i="5" s="1"/>
  <c r="N62" i="15"/>
  <c r="N65" i="15" s="1"/>
  <c r="O15" i="5"/>
  <c r="AZ26" i="5"/>
  <c r="K99" i="9"/>
  <c r="N32" i="5"/>
  <c r="AR166" i="9"/>
  <c r="AI166" i="9"/>
  <c r="AK166" i="9" s="1"/>
  <c r="AP166" i="9"/>
  <c r="AT166" i="9" s="1"/>
  <c r="DA40" i="1"/>
  <c r="CY41" i="1"/>
  <c r="CY42" i="1" s="1"/>
  <c r="CY46" i="1" s="1"/>
  <c r="B792" i="9"/>
  <c r="B785" i="9"/>
  <c r="B129" i="30"/>
  <c r="B151" i="9"/>
  <c r="B321" i="9"/>
  <c r="B498" i="9" s="1"/>
  <c r="B605" i="9" s="1"/>
  <c r="B748" i="9" s="1"/>
  <c r="B799" i="9" s="1"/>
  <c r="B727" i="9"/>
  <c r="B734" i="9" s="1"/>
  <c r="B778" i="9" s="1"/>
  <c r="B591" i="9"/>
  <c r="AP631" i="9"/>
  <c r="AT631" i="9" s="1"/>
  <c r="AT630" i="9"/>
  <c r="CU44" i="1"/>
  <c r="CW43" i="1"/>
  <c r="CV43" i="1"/>
  <c r="CW46" i="1"/>
  <c r="CV46" i="1"/>
  <c r="DJ25" i="20"/>
  <c r="P147" i="61"/>
  <c r="P145" i="61" s="1"/>
  <c r="P23" i="61"/>
  <c r="AV33" i="3"/>
  <c r="AV45" i="3" s="1"/>
  <c r="AV49" i="3" s="1"/>
  <c r="AH65" i="3"/>
  <c r="AJ44" i="3"/>
  <c r="AJ46" i="3" s="1"/>
  <c r="AK9" i="2"/>
  <c r="AR631" i="9"/>
  <c r="AG114" i="2"/>
  <c r="AG108" i="2"/>
  <c r="AG105" i="2"/>
  <c r="AG86" i="2"/>
  <c r="AG78" i="2"/>
  <c r="AE636" i="9"/>
  <c r="AG635" i="9"/>
  <c r="AE117" i="2"/>
  <c r="AE106" i="2"/>
  <c r="AE118" i="2" s="1"/>
  <c r="AE111" i="2"/>
  <c r="AI93" i="2"/>
  <c r="AI95" i="2" s="1"/>
  <c r="AI88" i="2"/>
  <c r="AI122" i="2"/>
  <c r="AI15" i="2"/>
  <c r="AI29" i="2" s="1"/>
  <c r="AI634" i="9"/>
  <c r="AK634" i="9" s="1"/>
  <c r="AR634" i="9"/>
  <c r="AP634" i="9"/>
  <c r="AT634" i="9" s="1"/>
  <c r="CY232" i="1" l="1"/>
  <c r="CY189" i="1"/>
  <c r="CY134" i="1" s="1"/>
  <c r="CY145" i="1" s="1"/>
  <c r="O30" i="71"/>
  <c r="O15" i="71" s="1"/>
  <c r="AY52" i="2"/>
  <c r="CC83" i="20"/>
  <c r="CY45" i="1"/>
  <c r="DA45" i="1" s="1"/>
  <c r="P99" i="9"/>
  <c r="P103" i="9"/>
  <c r="V98" i="10"/>
  <c r="X98" i="10" s="1"/>
  <c r="Z98" i="10" s="1"/>
  <c r="AE93" i="20"/>
  <c r="AG168" i="9"/>
  <c r="AB167" i="10"/>
  <c r="AD167" i="10" s="1"/>
  <c r="AP167" i="9"/>
  <c r="AT167" i="9" s="1"/>
  <c r="AR167" i="9"/>
  <c r="AI167" i="9"/>
  <c r="AK167" i="9" s="1"/>
  <c r="O26" i="5"/>
  <c r="O19" i="15" s="1"/>
  <c r="AI345" i="9"/>
  <c r="AK345" i="9" s="1"/>
  <c r="AP345" i="9"/>
  <c r="AR345" i="9"/>
  <c r="AT345" i="9" s="1"/>
  <c r="N33" i="5"/>
  <c r="N35" i="5"/>
  <c r="N36" i="5" s="1"/>
  <c r="AE169" i="9"/>
  <c r="AG346" i="9"/>
  <c r="AE350" i="9"/>
  <c r="AB92" i="9"/>
  <c r="Z93" i="9"/>
  <c r="AB93" i="9" s="1"/>
  <c r="DA46" i="1"/>
  <c r="DA41" i="1"/>
  <c r="DA42" i="1"/>
  <c r="CZ42" i="1"/>
  <c r="CY43" i="1"/>
  <c r="CY44" i="1" s="1"/>
  <c r="B328" i="9"/>
  <c r="B505" i="9" s="1"/>
  <c r="B612" i="9" s="1"/>
  <c r="B755" i="9" s="1"/>
  <c r="B806" i="9" s="1"/>
  <c r="B136" i="30"/>
  <c r="B158" i="9"/>
  <c r="DJ75" i="20"/>
  <c r="CW44" i="1"/>
  <c r="CV44" i="1"/>
  <c r="Z50" i="61"/>
  <c r="P39" i="61"/>
  <c r="P146" i="61"/>
  <c r="AK15" i="2"/>
  <c r="AK29" i="2" s="1"/>
  <c r="AK122" i="2"/>
  <c r="AK88" i="2"/>
  <c r="AK93" i="2"/>
  <c r="AK95" i="2" s="1"/>
  <c r="AE637" i="9"/>
  <c r="AE641" i="9" s="1"/>
  <c r="AG636" i="9"/>
  <c r="AI86" i="2"/>
  <c r="AI78" i="2"/>
  <c r="AI105" i="2"/>
  <c r="AI114" i="2"/>
  <c r="AI108" i="2"/>
  <c r="AG106" i="2"/>
  <c r="AG118" i="2" s="1"/>
  <c r="AG117" i="2"/>
  <c r="AG111" i="2"/>
  <c r="AL44" i="3"/>
  <c r="AL46" i="3" s="1"/>
  <c r="AM9" i="2"/>
  <c r="AI635" i="9"/>
  <c r="AK635" i="9" s="1"/>
  <c r="AP635" i="9"/>
  <c r="AT635" i="9" s="1"/>
  <c r="AR635" i="9"/>
  <c r="CY233" i="1" l="1"/>
  <c r="CY146" i="1"/>
  <c r="O38" i="71"/>
  <c r="O16" i="71"/>
  <c r="O33" i="71"/>
  <c r="AE173" i="9"/>
  <c r="AG350" i="9"/>
  <c r="AE351" i="9"/>
  <c r="AG347" i="9"/>
  <c r="AI347" i="9" s="1"/>
  <c r="AK347" i="9" s="1"/>
  <c r="AP346" i="9"/>
  <c r="AP347" i="9" s="1"/>
  <c r="AI346" i="9"/>
  <c r="AK346" i="9" s="1"/>
  <c r="AR346" i="9"/>
  <c r="O62" i="15"/>
  <c r="O65" i="15" s="1"/>
  <c r="O32" i="5"/>
  <c r="P15" i="5"/>
  <c r="O44" i="5"/>
  <c r="O45" i="5" s="1"/>
  <c r="K106" i="9"/>
  <c r="BA26" i="5"/>
  <c r="AD181" i="10"/>
  <c r="AF167" i="10"/>
  <c r="R103" i="9"/>
  <c r="T103" i="9" s="1"/>
  <c r="Z103" i="9"/>
  <c r="AB103" i="9" s="1"/>
  <c r="AG169" i="9"/>
  <c r="BZ92" i="20" a="1"/>
  <c r="AB168" i="10"/>
  <c r="AD168" i="10" s="1"/>
  <c r="AF168" i="10" s="1"/>
  <c r="AP168" i="9"/>
  <c r="AT168" i="9" s="1"/>
  <c r="AI168" i="9"/>
  <c r="AK168" i="9" s="1"/>
  <c r="AR168" i="9"/>
  <c r="Z99" i="9"/>
  <c r="R99" i="9"/>
  <c r="T99" i="9" s="1"/>
  <c r="P100" i="9"/>
  <c r="R100" i="9" s="1"/>
  <c r="T100" i="9" s="1"/>
  <c r="DA44" i="1"/>
  <c r="DA43" i="1"/>
  <c r="CZ43" i="1"/>
  <c r="B165" i="9"/>
  <c r="B335" i="9"/>
  <c r="B512" i="9" s="1"/>
  <c r="B619" i="9" s="1"/>
  <c r="B762" i="9" s="1"/>
  <c r="B813" i="9" s="1"/>
  <c r="B143" i="30"/>
  <c r="AE642" i="9"/>
  <c r="AG641" i="9"/>
  <c r="P148" i="61"/>
  <c r="AM93" i="2"/>
  <c r="AM95" i="2" s="1"/>
  <c r="AM15" i="2"/>
  <c r="AM29" i="2" s="1"/>
  <c r="AM122" i="2"/>
  <c r="AM88" i="2"/>
  <c r="AI636" i="9"/>
  <c r="AK636" i="9" s="1"/>
  <c r="AP636" i="9"/>
  <c r="AT636" i="9" s="1"/>
  <c r="AR636" i="9"/>
  <c r="AK108" i="2"/>
  <c r="AK114" i="2"/>
  <c r="AK105" i="2"/>
  <c r="AK78" i="2"/>
  <c r="AK86" i="2"/>
  <c r="AO9" i="2"/>
  <c r="AN44" i="3"/>
  <c r="AN46" i="3" s="1"/>
  <c r="AI117" i="2"/>
  <c r="AI111" i="2"/>
  <c r="AI106" i="2"/>
  <c r="AI118" i="2" s="1"/>
  <c r="AG637" i="9"/>
  <c r="AG638" i="9" s="1"/>
  <c r="AI638" i="9" s="1"/>
  <c r="AK638" i="9" s="1"/>
  <c r="P29" i="71" l="1"/>
  <c r="O35" i="71"/>
  <c r="O37" i="71"/>
  <c r="O39" i="71" s="1"/>
  <c r="AB99" i="9"/>
  <c r="Z100" i="9"/>
  <c r="AB100" i="9" s="1"/>
  <c r="P110" i="9"/>
  <c r="AJ93" i="20"/>
  <c r="P106" i="9"/>
  <c r="V105" i="10"/>
  <c r="X105" i="10" s="1"/>
  <c r="Z105" i="10" s="1"/>
  <c r="CA92" i="20"/>
  <c r="BZ92" i="20"/>
  <c r="CC92" i="20"/>
  <c r="CB92" i="20"/>
  <c r="AT346" i="9"/>
  <c r="AR347" i="9"/>
  <c r="AT347" i="9" s="1"/>
  <c r="AE174" i="9"/>
  <c r="AE352" i="9"/>
  <c r="AG351" i="9"/>
  <c r="AG170" i="9"/>
  <c r="AI170" i="9" s="1"/>
  <c r="AK170" i="9" s="1"/>
  <c r="AI169" i="9"/>
  <c r="AK169" i="9" s="1"/>
  <c r="AP169" i="9"/>
  <c r="AR169" i="9"/>
  <c r="AR170" i="9" s="1"/>
  <c r="P26" i="5"/>
  <c r="P19" i="15" s="1"/>
  <c r="AI350" i="9"/>
  <c r="AK350" i="9" s="1"/>
  <c r="AR350" i="9"/>
  <c r="AT350" i="9" s="1"/>
  <c r="AP350" i="9"/>
  <c r="O35" i="5"/>
  <c r="O36" i="5" s="1"/>
  <c r="O33" i="5"/>
  <c r="AG173" i="9"/>
  <c r="AB172" i="10"/>
  <c r="AD172" i="10" s="1"/>
  <c r="B150" i="30"/>
  <c r="B342" i="9"/>
  <c r="B519" i="9" s="1"/>
  <c r="B626" i="9" s="1"/>
  <c r="B769" i="9" s="1"/>
  <c r="B172" i="9"/>
  <c r="AI641" i="9"/>
  <c r="AG642" i="9"/>
  <c r="AE643" i="9"/>
  <c r="AK106" i="2"/>
  <c r="AK118" i="2" s="1"/>
  <c r="AK117" i="2"/>
  <c r="AK111" i="2"/>
  <c r="AQ9" i="2"/>
  <c r="AP44" i="3"/>
  <c r="AP46" i="3" s="1"/>
  <c r="AM78" i="2"/>
  <c r="AM86" i="2"/>
  <c r="AO88" i="2"/>
  <c r="AO15" i="2"/>
  <c r="AO29" i="2" s="1"/>
  <c r="AO93" i="2"/>
  <c r="AO95" i="2" s="1"/>
  <c r="AO122" i="2"/>
  <c r="AM105" i="2"/>
  <c r="AM114" i="2"/>
  <c r="AM108" i="2"/>
  <c r="AI637" i="9"/>
  <c r="AK637" i="9" s="1"/>
  <c r="AP637" i="9"/>
  <c r="AR637" i="9"/>
  <c r="P30" i="71" l="1"/>
  <c r="P15" i="71" s="1"/>
  <c r="AF172" i="10"/>
  <c r="P62" i="15"/>
  <c r="P65" i="15" s="1"/>
  <c r="K113" i="9"/>
  <c r="Q15" i="5"/>
  <c r="P44" i="5"/>
  <c r="P45" i="5" s="1"/>
  <c r="P32" i="5"/>
  <c r="AP173" i="9"/>
  <c r="AT173" i="9" s="1"/>
  <c r="AI173" i="9"/>
  <c r="AK173" i="9" s="1"/>
  <c r="AR173" i="9"/>
  <c r="AR351" i="9"/>
  <c r="AT351" i="9" s="1"/>
  <c r="AP351" i="9"/>
  <c r="AI351" i="9"/>
  <c r="AK351" i="9" s="1"/>
  <c r="R110" i="9"/>
  <c r="T110" i="9" s="1"/>
  <c r="Z110" i="9"/>
  <c r="AB110" i="9" s="1"/>
  <c r="AP170" i="9"/>
  <c r="AT170" i="9" s="1"/>
  <c r="AT169" i="9"/>
  <c r="AE175" i="9"/>
  <c r="AG352" i="9"/>
  <c r="AE353" i="9"/>
  <c r="AG174" i="9"/>
  <c r="AB173" i="10"/>
  <c r="AD173" i="10" s="1"/>
  <c r="P107" i="9"/>
  <c r="R107" i="9" s="1"/>
  <c r="T107" i="9" s="1"/>
  <c r="Z106" i="9"/>
  <c r="R106" i="9"/>
  <c r="T106" i="9" s="1"/>
  <c r="B349" i="9"/>
  <c r="B526" i="9" s="1"/>
  <c r="B633" i="9" s="1"/>
  <c r="B179" i="9"/>
  <c r="B157" i="30"/>
  <c r="AP638" i="9"/>
  <c r="AT638" i="9" s="1"/>
  <c r="AT637" i="9"/>
  <c r="AE644" i="9"/>
  <c r="AG644" i="9" s="1"/>
  <c r="AG643" i="9"/>
  <c r="AI642" i="9"/>
  <c r="AR638" i="9"/>
  <c r="AO114" i="2"/>
  <c r="AO108" i="2"/>
  <c r="AO105" i="2"/>
  <c r="AQ93" i="2"/>
  <c r="AQ95" i="2" s="1"/>
  <c r="AQ15" i="2"/>
  <c r="AQ29" i="2" s="1"/>
  <c r="AQ122" i="2"/>
  <c r="AQ88" i="2"/>
  <c r="AM106" i="2"/>
  <c r="AM118" i="2" s="1"/>
  <c r="AM117" i="2"/>
  <c r="AM111" i="2"/>
  <c r="AO86" i="2"/>
  <c r="AO78" i="2"/>
  <c r="AR44" i="3"/>
  <c r="AR46" i="3" s="1"/>
  <c r="AS9" i="2"/>
  <c r="P38" i="71" l="1"/>
  <c r="P16" i="71"/>
  <c r="P33" i="71"/>
  <c r="AF173" i="10"/>
  <c r="AG175" i="9"/>
  <c r="AB174" i="10"/>
  <c r="AR174" i="9"/>
  <c r="AP174" i="9"/>
  <c r="AT174" i="9" s="1"/>
  <c r="AI174" i="9"/>
  <c r="AK174" i="9" s="1"/>
  <c r="Q26" i="5"/>
  <c r="AB106" i="9"/>
  <c r="Z107" i="9"/>
  <c r="AB107" i="9" s="1"/>
  <c r="AG353" i="9"/>
  <c r="AE357" i="9"/>
  <c r="AE176" i="9"/>
  <c r="V112" i="10"/>
  <c r="X112" i="10" s="1"/>
  <c r="Z112" i="10" s="1"/>
  <c r="P117" i="9"/>
  <c r="P113" i="9"/>
  <c r="AO93" i="20"/>
  <c r="AR352" i="9"/>
  <c r="AI352" i="9"/>
  <c r="AK352" i="9" s="1"/>
  <c r="AP352" i="9"/>
  <c r="P33" i="5"/>
  <c r="P35" i="5"/>
  <c r="P36" i="5" s="1"/>
  <c r="B356" i="9"/>
  <c r="B533" i="9" s="1"/>
  <c r="B640" i="9" s="1"/>
  <c r="B164" i="30"/>
  <c r="AG645" i="9"/>
  <c r="AI645" i="9" s="1"/>
  <c r="AI643" i="9"/>
  <c r="AK643" i="9" s="1"/>
  <c r="AP643" i="9"/>
  <c r="AT643" i="9" s="1"/>
  <c r="AR643" i="9"/>
  <c r="AI644" i="9"/>
  <c r="AK644" i="9" s="1"/>
  <c r="AP644" i="9"/>
  <c r="AT644" i="9" s="1"/>
  <c r="AR644" i="9"/>
  <c r="AS93" i="2"/>
  <c r="AS95" i="2" s="1"/>
  <c r="AS122" i="2"/>
  <c r="AS15" i="2"/>
  <c r="AS29" i="2" s="1"/>
  <c r="AS88" i="2"/>
  <c r="AQ105" i="2"/>
  <c r="AQ108" i="2"/>
  <c r="AQ114" i="2"/>
  <c r="AO106" i="2"/>
  <c r="AO118" i="2" s="1"/>
  <c r="AO117" i="2"/>
  <c r="AO111" i="2"/>
  <c r="AU9" i="2"/>
  <c r="AT44" i="3"/>
  <c r="AT46" i="3" s="1"/>
  <c r="AQ78" i="2"/>
  <c r="AQ86" i="2"/>
  <c r="Q29" i="71" l="1"/>
  <c r="P35" i="71"/>
  <c r="P37" i="71"/>
  <c r="P39" i="71" s="1"/>
  <c r="AB175" i="10"/>
  <c r="AD175" i="10" s="1"/>
  <c r="CE92" i="20" a="1"/>
  <c r="AG176" i="9"/>
  <c r="R113" i="9"/>
  <c r="T113" i="9" s="1"/>
  <c r="Z113" i="9"/>
  <c r="P114" i="9"/>
  <c r="R114" i="9" s="1"/>
  <c r="T114" i="9" s="1"/>
  <c r="AE358" i="9"/>
  <c r="AG357" i="9"/>
  <c r="AI357" i="9" s="1"/>
  <c r="AE180" i="9"/>
  <c r="R15" i="5"/>
  <c r="Q44" i="5"/>
  <c r="Q45" i="5" s="1"/>
  <c r="K120" i="9"/>
  <c r="Q62" i="15"/>
  <c r="Q65" i="15" s="1"/>
  <c r="Q32" i="5"/>
  <c r="Z117" i="9"/>
  <c r="AB117" i="9" s="1"/>
  <c r="R117" i="9"/>
  <c r="AG354" i="9"/>
  <c r="AI354" i="9" s="1"/>
  <c r="AK354" i="9" s="1"/>
  <c r="AR353" i="9"/>
  <c r="AT353" i="9" s="1"/>
  <c r="AI353" i="9"/>
  <c r="AK353" i="9" s="1"/>
  <c r="AP353" i="9"/>
  <c r="AP354" i="9" s="1"/>
  <c r="Q19" i="15"/>
  <c r="N174" i="10"/>
  <c r="P175" i="10"/>
  <c r="P174" i="10"/>
  <c r="J175" i="10"/>
  <c r="X174" i="10"/>
  <c r="J174" i="10"/>
  <c r="T174" i="10"/>
  <c r="AT352" i="9"/>
  <c r="AR354" i="9"/>
  <c r="AT354" i="9" s="1"/>
  <c r="AI175" i="9"/>
  <c r="AK175" i="9" s="1"/>
  <c r="AP175" i="9"/>
  <c r="AT175" i="9" s="1"/>
  <c r="AR175" i="9"/>
  <c r="AS114" i="2"/>
  <c r="AS105" i="2"/>
  <c r="AS108" i="2"/>
  <c r="AV44" i="3"/>
  <c r="AV46" i="3" s="1"/>
  <c r="AY9" i="2" s="1"/>
  <c r="AW9" i="2"/>
  <c r="AU122" i="2"/>
  <c r="AU93" i="2"/>
  <c r="AU95" i="2" s="1"/>
  <c r="AU15" i="2"/>
  <c r="AU29" i="2" s="1"/>
  <c r="AU88" i="2"/>
  <c r="AQ106" i="2"/>
  <c r="AQ118" i="2" s="1"/>
  <c r="AQ117" i="2"/>
  <c r="AQ111" i="2"/>
  <c r="AS78" i="2"/>
  <c r="AS86" i="2"/>
  <c r="Q30" i="71" l="1"/>
  <c r="Q15" i="71" s="1"/>
  <c r="AG180" i="9"/>
  <c r="AI180" i="9" s="1"/>
  <c r="AB179" i="10"/>
  <c r="Z174" i="10"/>
  <c r="AF175" i="10"/>
  <c r="Q33" i="5"/>
  <c r="Q35" i="5"/>
  <c r="Q36" i="5" s="1"/>
  <c r="R174" i="10"/>
  <c r="J176" i="10"/>
  <c r="AH174" i="10"/>
  <c r="AG358" i="9"/>
  <c r="AI358" i="9" s="1"/>
  <c r="AE181" i="9"/>
  <c r="AE359" i="9"/>
  <c r="R26" i="5"/>
  <c r="R19" i="15" s="1"/>
  <c r="AR176" i="9"/>
  <c r="AI176" i="9"/>
  <c r="AK176" i="9" s="1"/>
  <c r="AG177" i="9"/>
  <c r="AI177" i="9" s="1"/>
  <c r="AP176" i="9"/>
  <c r="AR177" i="9"/>
  <c r="AH175" i="10"/>
  <c r="R175" i="10"/>
  <c r="Z114" i="9"/>
  <c r="AB114" i="9" s="1"/>
  <c r="AB113" i="9"/>
  <c r="CH92" i="20"/>
  <c r="CF92" i="20"/>
  <c r="CG92" i="20"/>
  <c r="CE92" i="20"/>
  <c r="T117" i="9"/>
  <c r="AT93" i="20"/>
  <c r="P124" i="9"/>
  <c r="P120" i="9"/>
  <c r="V119" i="10"/>
  <c r="X119" i="10" s="1"/>
  <c r="Z119" i="10" s="1"/>
  <c r="AU105" i="2"/>
  <c r="AU108" i="2"/>
  <c r="AU114" i="2"/>
  <c r="AX44" i="3"/>
  <c r="AU78" i="2"/>
  <c r="AU86" i="2"/>
  <c r="AW88" i="2"/>
  <c r="AW122" i="2"/>
  <c r="AW15" i="2"/>
  <c r="AW29" i="2" s="1"/>
  <c r="AW93" i="2"/>
  <c r="AW95" i="2" s="1"/>
  <c r="AS111" i="2"/>
  <c r="AS106" i="2"/>
  <c r="AS118" i="2" s="1"/>
  <c r="AS117" i="2"/>
  <c r="Q38" i="71" l="1"/>
  <c r="Q16" i="71"/>
  <c r="Q33" i="71"/>
  <c r="AG181" i="9"/>
  <c r="AI181" i="9" s="1"/>
  <c r="AB180" i="10"/>
  <c r="P121" i="9"/>
  <c r="R121" i="9" s="1"/>
  <c r="T121" i="9" s="1"/>
  <c r="Z120" i="9"/>
  <c r="R120" i="9"/>
  <c r="AG359" i="9"/>
  <c r="AE360" i="9"/>
  <c r="AE182" i="9"/>
  <c r="R176" i="10"/>
  <c r="CC80" i="20" s="1"/>
  <c r="AH176" i="10"/>
  <c r="AP177" i="9"/>
  <c r="AT177" i="9" s="1"/>
  <c r="AT176" i="9"/>
  <c r="R44" i="5"/>
  <c r="R32" i="5"/>
  <c r="DC80" i="20"/>
  <c r="DC93" i="20" s="1"/>
  <c r="R62" i="15"/>
  <c r="R65" i="15" s="1"/>
  <c r="S15" i="5"/>
  <c r="K127" i="9"/>
  <c r="Z124" i="9"/>
  <c r="AB124" i="9" s="1"/>
  <c r="R124" i="9"/>
  <c r="AW105" i="2"/>
  <c r="AW114" i="2"/>
  <c r="AW108" i="2"/>
  <c r="AU117" i="2"/>
  <c r="AU111" i="2"/>
  <c r="AU106" i="2"/>
  <c r="AU118" i="2" s="1"/>
  <c r="AW86" i="2"/>
  <c r="AW78" i="2"/>
  <c r="AY88" i="2"/>
  <c r="AY15" i="2"/>
  <c r="AY29" i="2" s="1"/>
  <c r="AY93" i="2"/>
  <c r="AY95" i="2" s="1"/>
  <c r="AY122" i="2"/>
  <c r="R29" i="71" l="1"/>
  <c r="Q37" i="71"/>
  <c r="Q39" i="71" s="1"/>
  <c r="Q35" i="71"/>
  <c r="Q44" i="71"/>
  <c r="AG182" i="9"/>
  <c r="AP182" i="9" s="1"/>
  <c r="AT182" i="9" s="1"/>
  <c r="AB181" i="10"/>
  <c r="H181" i="10" s="1"/>
  <c r="P127" i="9"/>
  <c r="V126" i="10"/>
  <c r="P131" i="9"/>
  <c r="AY93" i="20"/>
  <c r="R33" i="5"/>
  <c r="R35" i="5"/>
  <c r="R36" i="5" s="1"/>
  <c r="AI359" i="9"/>
  <c r="AK359" i="9" s="1"/>
  <c r="AR359" i="9"/>
  <c r="AT359" i="9" s="1"/>
  <c r="AP359" i="9"/>
  <c r="S26" i="5"/>
  <c r="S19" i="15" s="1"/>
  <c r="DC88" i="20"/>
  <c r="R45" i="5"/>
  <c r="T120" i="9"/>
  <c r="T124" i="9"/>
  <c r="AB120" i="9"/>
  <c r="Z121" i="9"/>
  <c r="AB121" i="9" s="1"/>
  <c r="AG360" i="9"/>
  <c r="AE183" i="9"/>
  <c r="CJ92" i="20" s="1" a="1"/>
  <c r="AY105" i="2"/>
  <c r="AY108" i="2"/>
  <c r="AY114" i="2"/>
  <c r="AW117" i="2"/>
  <c r="AW106" i="2"/>
  <c r="AW118" i="2" s="1"/>
  <c r="AW111" i="2"/>
  <c r="AY86" i="2"/>
  <c r="AY78" i="2"/>
  <c r="R30" i="71" l="1"/>
  <c r="R15" i="71" s="1"/>
  <c r="AI182" i="9"/>
  <c r="AK182" i="9" s="1"/>
  <c r="AR182" i="9"/>
  <c r="CM92" i="20"/>
  <c r="CJ92" i="20"/>
  <c r="CK92" i="20"/>
  <c r="CL92" i="20"/>
  <c r="T181" i="10"/>
  <c r="X181" i="10"/>
  <c r="Z181" i="10" s="1"/>
  <c r="N181" i="10"/>
  <c r="AG183" i="9"/>
  <c r="AP183" i="9" s="1"/>
  <c r="AT183" i="9" s="1"/>
  <c r="AB182" i="10"/>
  <c r="AG361" i="9"/>
  <c r="AI361" i="9" s="1"/>
  <c r="AR360" i="9"/>
  <c r="AT360" i="9" s="1"/>
  <c r="AP360" i="9"/>
  <c r="AI360" i="9"/>
  <c r="AK360" i="9" s="1"/>
  <c r="Z131" i="9"/>
  <c r="AB131" i="9" s="1"/>
  <c r="R131" i="9"/>
  <c r="S62" i="15"/>
  <c r="S65" i="15" s="1"/>
  <c r="S32" i="5"/>
  <c r="T15" i="5"/>
  <c r="DD80" i="20"/>
  <c r="DD93" i="20" s="1"/>
  <c r="K134" i="9"/>
  <c r="S44" i="5"/>
  <c r="X126" i="10"/>
  <c r="Z126" i="10" s="1"/>
  <c r="V127" i="10"/>
  <c r="Z127" i="9"/>
  <c r="R127" i="9"/>
  <c r="P128" i="9"/>
  <c r="R128" i="9" s="1"/>
  <c r="T128" i="9" s="1"/>
  <c r="AY106" i="2"/>
  <c r="AY118" i="2" s="1"/>
  <c r="AY117" i="2"/>
  <c r="AY111" i="2"/>
  <c r="R33" i="71" l="1"/>
  <c r="R44" i="71" s="1"/>
  <c r="R38" i="71"/>
  <c r="R16" i="71"/>
  <c r="AR183" i="9"/>
  <c r="AI183" i="9"/>
  <c r="AK183" i="9" s="1"/>
  <c r="AG184" i="9"/>
  <c r="AI184" i="9" s="1"/>
  <c r="Z128" i="9"/>
  <c r="AB128" i="9" s="1"/>
  <c r="AB127" i="9"/>
  <c r="S45" i="5"/>
  <c r="DD88" i="20"/>
  <c r="S33" i="5"/>
  <c r="S35" i="5"/>
  <c r="S36" i="5" s="1"/>
  <c r="P134" i="9"/>
  <c r="V133" i="10"/>
  <c r="X133" i="10" s="1"/>
  <c r="BD93" i="20"/>
  <c r="P138" i="9"/>
  <c r="T131" i="9"/>
  <c r="T127" i="9"/>
  <c r="T26" i="5"/>
  <c r="S29" i="71" l="1"/>
  <c r="R35" i="71"/>
  <c r="R37" i="71"/>
  <c r="R39" i="71" s="1"/>
  <c r="T19" i="15"/>
  <c r="AG26" i="5"/>
  <c r="Z133" i="10"/>
  <c r="Z140" i="10"/>
  <c r="T32" i="5"/>
  <c r="T62" i="15"/>
  <c r="T65" i="15" s="1"/>
  <c r="T44" i="5"/>
  <c r="DE80" i="20"/>
  <c r="DE93" i="20" s="1"/>
  <c r="U15" i="5"/>
  <c r="R134" i="9"/>
  <c r="Z134" i="9"/>
  <c r="R141" i="9"/>
  <c r="T141" i="9" s="1"/>
  <c r="P135" i="9"/>
  <c r="Z138" i="9"/>
  <c r="P142" i="9"/>
  <c r="R138" i="9"/>
  <c r="T138" i="9" s="1"/>
  <c r="R145" i="9"/>
  <c r="T145" i="9" s="1"/>
  <c r="S30" i="71" l="1"/>
  <c r="S15" i="71" s="1"/>
  <c r="AB145" i="9"/>
  <c r="AB138" i="9"/>
  <c r="T134" i="9"/>
  <c r="Z135" i="9"/>
  <c r="AB135" i="9" s="1"/>
  <c r="R135" i="9"/>
  <c r="U26" i="5"/>
  <c r="U19" i="15" s="1"/>
  <c r="T33" i="5"/>
  <c r="T35" i="5"/>
  <c r="T36" i="5" s="1"/>
  <c r="R149" i="9"/>
  <c r="T149" i="9" s="1"/>
  <c r="Z142" i="9"/>
  <c r="R142" i="9"/>
  <c r="T142" i="9" s="1"/>
  <c r="AB134" i="9"/>
  <c r="AB141" i="9"/>
  <c r="T45" i="5"/>
  <c r="DE88" i="20"/>
  <c r="S38" i="71" l="1"/>
  <c r="S16" i="71"/>
  <c r="S33" i="71"/>
  <c r="AB142" i="9"/>
  <c r="AB149" i="9"/>
  <c r="U32" i="5"/>
  <c r="DF80" i="20"/>
  <c r="DF93" i="20" s="1"/>
  <c r="V15" i="5"/>
  <c r="V26" i="5" s="1"/>
  <c r="U62" i="15"/>
  <c r="U65" i="15" s="1"/>
  <c r="U44" i="5"/>
  <c r="T135" i="9"/>
  <c r="T29" i="71" l="1"/>
  <c r="S37" i="71"/>
  <c r="S39" i="71" s="1"/>
  <c r="S35" i="71"/>
  <c r="S44" i="71"/>
  <c r="DF88" i="20"/>
  <c r="U45" i="5"/>
  <c r="U35" i="5"/>
  <c r="U36" i="5" s="1"/>
  <c r="U33" i="5"/>
  <c r="V19" i="15"/>
  <c r="DG80" i="20"/>
  <c r="DG93" i="20" s="1"/>
  <c r="V62" i="15"/>
  <c r="V63" i="15" s="1"/>
  <c r="V32" i="5"/>
  <c r="V44" i="5"/>
  <c r="W15" i="5"/>
  <c r="T30" i="71" l="1"/>
  <c r="T15" i="71" s="1"/>
  <c r="V35" i="5"/>
  <c r="V36" i="5" s="1"/>
  <c r="V33" i="5"/>
  <c r="W26" i="5"/>
  <c r="W19" i="15" s="1"/>
  <c r="V45" i="5"/>
  <c r="DG88" i="20"/>
  <c r="T33" i="71" l="1"/>
  <c r="U29" i="71" s="1"/>
  <c r="T38" i="71"/>
  <c r="T16" i="71"/>
  <c r="DH80" i="20"/>
  <c r="DH93" i="20" s="1"/>
  <c r="W44" i="5"/>
  <c r="W62" i="15"/>
  <c r="W32" i="5"/>
  <c r="T44" i="71" l="1"/>
  <c r="U30" i="71" s="1"/>
  <c r="U15" i="71" s="1"/>
  <c r="T37" i="71"/>
  <c r="T39" i="71" s="1"/>
  <c r="T35" i="71"/>
  <c r="W33" i="5"/>
  <c r="X33" i="5"/>
  <c r="W35" i="5"/>
  <c r="DH88" i="20"/>
  <c r="X45" i="5"/>
  <c r="W45" i="5"/>
  <c r="U38" i="71" l="1"/>
  <c r="U16" i="71"/>
  <c r="U33" i="71"/>
  <c r="U44" i="71" s="1"/>
  <c r="W36" i="5"/>
  <c r="X36" i="5"/>
  <c r="V29" i="71" l="1"/>
  <c r="U35" i="71"/>
  <c r="U37" i="71"/>
  <c r="U39" i="71" s="1"/>
  <c r="V30" i="71" l="1"/>
  <c r="V15" i="71" s="1"/>
  <c r="V38" i="71" l="1"/>
  <c r="V16" i="71"/>
  <c r="V33" i="71"/>
  <c r="W29" i="71" l="1"/>
  <c r="V35" i="71"/>
  <c r="V37" i="71"/>
  <c r="V39" i="71" s="1"/>
  <c r="V44" i="71"/>
  <c r="W30" i="71" l="1"/>
  <c r="W15" i="71" s="1"/>
  <c r="W33" i="71" l="1"/>
  <c r="W44" i="71" s="1"/>
  <c r="W38" i="71"/>
  <c r="W16" i="71"/>
  <c r="W35" i="71" l="1"/>
  <c r="W37" i="71"/>
  <c r="W39" i="71" s="1"/>
  <c r="I357" i="9" l="1"/>
  <c r="AK357" i="9" l="1"/>
  <c r="X357" i="9"/>
  <c r="D357" i="9"/>
  <c r="W357" i="9" s="1"/>
  <c r="I358" i="9"/>
  <c r="AV357" i="9" l="1"/>
  <c r="AW357" i="9" s="1"/>
  <c r="Z357" i="9"/>
  <c r="AB357" i="9" s="1"/>
  <c r="AN357" i="9"/>
  <c r="AR357" i="9" s="1"/>
  <c r="AT357" i="9" s="1"/>
  <c r="D358" i="9"/>
  <c r="W358" i="9" s="1"/>
  <c r="X358" i="9"/>
  <c r="X361" i="9" s="1"/>
  <c r="D165" i="30"/>
  <c r="AP357" i="9"/>
  <c r="AK358" i="9"/>
  <c r="Z358" i="9" l="1"/>
  <c r="AN358" i="9"/>
  <c r="W361" i="9"/>
  <c r="AP358" i="9"/>
  <c r="AP361" i="9" s="1"/>
  <c r="D166" i="30"/>
  <c r="E166" i="30" s="1"/>
  <c r="AV358" i="9"/>
  <c r="E165" i="30"/>
  <c r="Z361" i="9" l="1"/>
  <c r="AN361" i="9"/>
  <c r="AW358" i="9"/>
  <c r="AV361" i="9"/>
  <c r="AW361" i="9" s="1"/>
  <c r="AB358" i="9"/>
  <c r="F361" i="9"/>
  <c r="D361" i="9"/>
  <c r="D169" i="30"/>
  <c r="Z8" i="5" s="1"/>
  <c r="AR358" i="9"/>
  <c r="AT358" i="9" s="1"/>
  <c r="AB361" i="9" l="1"/>
  <c r="AK361" i="9"/>
  <c r="I361" i="9"/>
  <c r="T361" i="9" s="1"/>
  <c r="E169" i="30"/>
  <c r="E162" i="30"/>
  <c r="V162" i="30"/>
  <c r="AW162" i="30" s="1"/>
  <c r="F162" i="30"/>
  <c r="AR361" i="9"/>
  <c r="AT361" i="9" s="1"/>
  <c r="H169" i="30"/>
  <c r="H182" i="30" l="1"/>
  <c r="DK69" i="20"/>
  <c r="DJ69" i="20"/>
  <c r="AV162" i="30"/>
  <c r="Y51" i="5" l="1"/>
  <c r="F177" i="9"/>
  <c r="I177" i="9" s="1"/>
  <c r="T177" i="9" s="1"/>
  <c r="Y55" i="5"/>
  <c r="DJ72" i="20" s="1"/>
  <c r="AK177" i="9" l="1"/>
  <c r="DJ68" i="20"/>
  <c r="Y63" i="5"/>
  <c r="P36" i="61"/>
  <c r="P171" i="61" l="1"/>
  <c r="P169" i="61" s="1"/>
  <c r="P172" i="61"/>
  <c r="P80" i="61"/>
  <c r="P121" i="61"/>
  <c r="P177" i="61"/>
  <c r="P74" i="61" l="1"/>
  <c r="P179" i="61"/>
  <c r="P180" i="61"/>
  <c r="P178" i="61" s="1"/>
  <c r="P168" i="61" s="1"/>
  <c r="P127" i="61" s="1"/>
  <c r="P181" i="61"/>
  <c r="P115" i="61" l="1"/>
  <c r="P131" i="61"/>
  <c r="P132" i="61"/>
  <c r="P173" i="61" l="1"/>
  <c r="P66" i="61"/>
  <c r="P76" i="61"/>
  <c r="P134" i="61"/>
  <c r="P129" i="61"/>
  <c r="P118" i="61" l="1"/>
  <c r="P119" i="61"/>
  <c r="P120" i="61"/>
  <c r="P107" i="61"/>
  <c r="P117" i="61"/>
  <c r="P78" i="61"/>
  <c r="P77" i="61"/>
  <c r="P79" i="61"/>
  <c r="P174" i="61"/>
  <c r="P150" i="61"/>
  <c r="P137" i="61"/>
  <c r="P139" i="61" s="1"/>
  <c r="P142" i="61" s="1"/>
  <c r="P144" i="61" s="1"/>
  <c r="P161" i="61"/>
  <c r="P175" i="61" l="1"/>
  <c r="P176" i="61"/>
  <c r="I534" i="9" l="1"/>
  <c r="D534" i="9" s="1"/>
  <c r="W534" i="9" s="1"/>
  <c r="AN534" i="9" l="1"/>
  <c r="Z534" i="9"/>
  <c r="J165" i="30"/>
  <c r="AP534" i="9"/>
  <c r="AK534" i="9"/>
  <c r="X534" i="9"/>
  <c r="K165" i="30" l="1"/>
  <c r="AT534" i="9"/>
  <c r="AV534" i="9"/>
  <c r="AW534" i="9" l="1"/>
  <c r="AR534" i="9"/>
  <c r="AB534" i="9"/>
  <c r="I535" i="9" l="1"/>
  <c r="D535" i="9" s="1"/>
  <c r="W535" i="9" s="1"/>
  <c r="X535" i="9" l="1"/>
  <c r="X538" i="9" s="1"/>
  <c r="AK535" i="9"/>
  <c r="Z535" i="9"/>
  <c r="AN535" i="9"/>
  <c r="AR535" i="9" s="1"/>
  <c r="J166" i="30"/>
  <c r="AP535" i="9"/>
  <c r="W538" i="9"/>
  <c r="J169" i="30" s="1"/>
  <c r="Z9" i="5" l="1"/>
  <c r="K169" i="30"/>
  <c r="AV535" i="9"/>
  <c r="AW535" i="9" s="1"/>
  <c r="AT535" i="9"/>
  <c r="AP538" i="9"/>
  <c r="AT538" i="9" s="1"/>
  <c r="K166" i="30"/>
  <c r="AN538" i="9"/>
  <c r="Z538" i="9"/>
  <c r="AB538" i="9" s="1"/>
  <c r="D538" i="9"/>
  <c r="F538" i="9"/>
  <c r="N169" i="30" s="1"/>
  <c r="AR538" i="9"/>
  <c r="AB535" i="9"/>
  <c r="N182" i="30" l="1"/>
  <c r="DK70" i="20"/>
  <c r="AV538" i="9"/>
  <c r="AW538" i="9" s="1"/>
  <c r="I538" i="9"/>
  <c r="T538" i="9" l="1"/>
  <c r="AK538" i="9"/>
  <c r="AK641" i="9" l="1"/>
  <c r="AK642" i="9"/>
  <c r="X641" i="9"/>
  <c r="X642" i="9"/>
  <c r="D642" i="9"/>
  <c r="W642" i="9" s="1"/>
  <c r="D641" i="9"/>
  <c r="W641" i="9" s="1"/>
  <c r="AV642" i="9" l="1"/>
  <c r="AW642" i="9" s="1"/>
  <c r="P166" i="30"/>
  <c r="Z642" i="9"/>
  <c r="AB642" i="9" s="1"/>
  <c r="AP642" i="9"/>
  <c r="AT642" i="9" s="1"/>
  <c r="W181" i="9"/>
  <c r="P165" i="30"/>
  <c r="Z641" i="9"/>
  <c r="AB641" i="9" s="1"/>
  <c r="W645" i="9"/>
  <c r="AP641" i="9"/>
  <c r="W180" i="9"/>
  <c r="AN642" i="9"/>
  <c r="AR642" i="9" s="1"/>
  <c r="X645" i="9"/>
  <c r="AV641" i="9"/>
  <c r="AW641" i="9" s="1"/>
  <c r="AN641" i="9"/>
  <c r="F645" i="9" l="1"/>
  <c r="T169" i="30" s="1"/>
  <c r="P169" i="30"/>
  <c r="AV645" i="9"/>
  <c r="AW645" i="9" s="1"/>
  <c r="Z181" i="9"/>
  <c r="AB181" i="9" s="1"/>
  <c r="AV181" i="9"/>
  <c r="AW181" i="9" s="1"/>
  <c r="AP181" i="9"/>
  <c r="AT181" i="9" s="1"/>
  <c r="AN181" i="9"/>
  <c r="AR181" i="9" s="1"/>
  <c r="D181" i="9"/>
  <c r="I181" i="9" s="1"/>
  <c r="Z645" i="9"/>
  <c r="AB645" i="9" s="1"/>
  <c r="D645" i="9"/>
  <c r="AV180" i="9"/>
  <c r="AN180" i="9"/>
  <c r="AR180" i="9" s="1"/>
  <c r="D180" i="9"/>
  <c r="I180" i="9" s="1"/>
  <c r="AP180" i="9"/>
  <c r="Z180" i="9"/>
  <c r="AB180" i="9" s="1"/>
  <c r="W184" i="9"/>
  <c r="AT641" i="9"/>
  <c r="AP645" i="9"/>
  <c r="AT645" i="9" s="1"/>
  <c r="Q165" i="30"/>
  <c r="AG165" i="30"/>
  <c r="R165" i="30" s="1"/>
  <c r="V165" i="30"/>
  <c r="AW165" i="30" s="1"/>
  <c r="Q166" i="30"/>
  <c r="V166" i="30"/>
  <c r="AW166" i="30" s="1"/>
  <c r="AG166" i="30"/>
  <c r="AN645" i="9"/>
  <c r="AR641" i="9"/>
  <c r="AR645" i="9" s="1"/>
  <c r="AV169" i="30" l="1"/>
  <c r="AU169" i="30" s="1"/>
  <c r="DA14" i="1" s="1"/>
  <c r="Z51" i="5" s="1"/>
  <c r="DK71" i="20"/>
  <c r="T182" i="30"/>
  <c r="I645" i="9"/>
  <c r="AK645" i="9" s="1"/>
  <c r="Z10" i="5"/>
  <c r="Q169" i="30"/>
  <c r="V169" i="30"/>
  <c r="AW169" i="30" s="1"/>
  <c r="AR184" i="9"/>
  <c r="L166" i="30"/>
  <c r="AR166" i="30"/>
  <c r="CY11" i="1" s="1"/>
  <c r="F166" i="30"/>
  <c r="AH166" i="30"/>
  <c r="T180" i="9"/>
  <c r="AK180" i="9"/>
  <c r="L165" i="30"/>
  <c r="F165" i="30"/>
  <c r="AH165" i="30"/>
  <c r="AR165" i="30"/>
  <c r="CY10" i="1" s="1"/>
  <c r="D179" i="10" s="1"/>
  <c r="L179" i="10" s="1"/>
  <c r="AG169" i="30"/>
  <c r="Z7" i="5" s="1"/>
  <c r="D184" i="9"/>
  <c r="AN184" i="9"/>
  <c r="Z184" i="9"/>
  <c r="AB184" i="9" s="1"/>
  <c r="T181" i="9"/>
  <c r="AK181" i="9"/>
  <c r="AW180" i="9"/>
  <c r="AV184" i="9"/>
  <c r="AW184" i="9" s="1"/>
  <c r="R166" i="30"/>
  <c r="AT180" i="9"/>
  <c r="AP184" i="9"/>
  <c r="AT184" i="9" s="1"/>
  <c r="T645" i="9" l="1"/>
  <c r="F184" i="9"/>
  <c r="I184" i="9" s="1"/>
  <c r="T184" i="9" s="1"/>
  <c r="Z63" i="5"/>
  <c r="CY31" i="1"/>
  <c r="D180" i="10"/>
  <c r="L180" i="10" s="1"/>
  <c r="CJ8" i="20" a="1"/>
  <c r="Q36" i="61"/>
  <c r="Q171" i="61" s="1"/>
  <c r="Q169" i="61" s="1"/>
  <c r="DK68" i="20"/>
  <c r="Z55" i="5"/>
  <c r="DK72" i="20" s="1"/>
  <c r="Z35" i="5"/>
  <c r="Z36" i="5" s="1"/>
  <c r="AA7" i="5"/>
  <c r="Z47" i="5"/>
  <c r="Z13" i="5"/>
  <c r="CZ60" i="1"/>
  <c r="CY30" i="1"/>
  <c r="CY20" i="1"/>
  <c r="CZ10" i="1"/>
  <c r="CV10" i="11" s="1"/>
  <c r="M7" i="77" s="1"/>
  <c r="M8" i="77" s="1"/>
  <c r="M11" i="77" s="1"/>
  <c r="M13" i="77" s="1"/>
  <c r="CZ11" i="1"/>
  <c r="CY21" i="1"/>
  <c r="CZ61" i="1"/>
  <c r="CY15" i="1"/>
  <c r="CY16" i="1"/>
  <c r="CY14" i="1"/>
  <c r="AK165" i="30"/>
  <c r="AO165" i="30"/>
  <c r="AS165" i="30"/>
  <c r="AR169" i="30"/>
  <c r="AO169" i="30" s="1"/>
  <c r="F169" i="30"/>
  <c r="R169" i="30"/>
  <c r="L169" i="30"/>
  <c r="AH169" i="30"/>
  <c r="AS166" i="30"/>
  <c r="AK166" i="30"/>
  <c r="AO166" i="30"/>
  <c r="CZ40" i="1" l="1"/>
  <c r="F179" i="10"/>
  <c r="F180" i="10"/>
  <c r="CJ10" i="20" a="1"/>
  <c r="CK8" i="20"/>
  <c r="CM8" i="20"/>
  <c r="CL8" i="20"/>
  <c r="CL67" i="20" s="1"/>
  <c r="CJ8" i="20"/>
  <c r="DA31" i="1"/>
  <c r="CJ13" i="20" a="1"/>
  <c r="D183" i="10"/>
  <c r="L183" i="10" s="1"/>
  <c r="Z7" i="15"/>
  <c r="AA47" i="5"/>
  <c r="AA10" i="5"/>
  <c r="AA8" i="5"/>
  <c r="AA35" i="5"/>
  <c r="AA36" i="5" s="1"/>
  <c r="AA13" i="5"/>
  <c r="AB7" i="5"/>
  <c r="Z14" i="5"/>
  <c r="DK89" i="20"/>
  <c r="Z48" i="5"/>
  <c r="CY35" i="1"/>
  <c r="DA35" i="1" s="1"/>
  <c r="DA30" i="1"/>
  <c r="CY36" i="1"/>
  <c r="DA36" i="1" s="1"/>
  <c r="CY34" i="1"/>
  <c r="CY50" i="1"/>
  <c r="CZ64" i="1"/>
  <c r="CZ14" i="1"/>
  <c r="CY51" i="1"/>
  <c r="CY25" i="1"/>
  <c r="CZ45" i="1" s="1"/>
  <c r="CY26" i="1"/>
  <c r="CY24" i="1"/>
  <c r="CZ41" i="1"/>
  <c r="CZ66" i="1"/>
  <c r="CZ16" i="1"/>
  <c r="CZ15" i="1"/>
  <c r="CZ65" i="1"/>
  <c r="DA15" i="1"/>
  <c r="DA16" i="1" s="1"/>
  <c r="AK184" i="9"/>
  <c r="AK169" i="30"/>
  <c r="AS169" i="30"/>
  <c r="CJ13" i="20" l="1"/>
  <c r="CM13" i="20"/>
  <c r="CK13" i="20"/>
  <c r="CL13" i="20"/>
  <c r="CM67" i="20"/>
  <c r="CK67" i="20"/>
  <c r="CK10" i="20"/>
  <c r="CK12" i="20" s="1"/>
  <c r="CJ10" i="20"/>
  <c r="CJ12" i="20" s="1"/>
  <c r="CM10" i="20"/>
  <c r="CM12" i="20" s="1"/>
  <c r="CL10" i="20"/>
  <c r="CL12" i="20" s="1"/>
  <c r="CJ67" i="20"/>
  <c r="AA9" i="5"/>
  <c r="CZ44" i="1"/>
  <c r="F183" i="10"/>
  <c r="Z10" i="15"/>
  <c r="Z11" i="15" s="1"/>
  <c r="Z37" i="15"/>
  <c r="AA37" i="15" s="1"/>
  <c r="AB37" i="15" s="1"/>
  <c r="AC37" i="15" s="1"/>
  <c r="AD37" i="15" s="1"/>
  <c r="Z59" i="15"/>
  <c r="DA34" i="1"/>
  <c r="Z24" i="15"/>
  <c r="Z26" i="15" s="1"/>
  <c r="Z12" i="15"/>
  <c r="Z8" i="15"/>
  <c r="Z67" i="15" s="1"/>
  <c r="Z31" i="15"/>
  <c r="BA67" i="2"/>
  <c r="DK8" i="20"/>
  <c r="DK67" i="20" s="1"/>
  <c r="D4" i="76"/>
  <c r="Q6" i="61"/>
  <c r="Q35" i="61" s="1"/>
  <c r="AB35" i="5"/>
  <c r="AB36" i="5" s="1"/>
  <c r="AB13" i="5"/>
  <c r="AB10" i="5"/>
  <c r="AB8" i="5"/>
  <c r="AB47" i="5"/>
  <c r="AC7" i="5"/>
  <c r="AD7" i="5" s="1"/>
  <c r="AA14" i="5"/>
  <c r="AA7" i="15"/>
  <c r="AA59" i="15" s="1"/>
  <c r="DL89" i="20"/>
  <c r="AA48" i="5"/>
  <c r="CZ35" i="1"/>
  <c r="CZ34" i="1"/>
  <c r="CZ36" i="1"/>
  <c r="CY70" i="1"/>
  <c r="CZ50" i="1"/>
  <c r="DA50" i="1"/>
  <c r="CZ25" i="1"/>
  <c r="DA25" i="1" s="1"/>
  <c r="CY71" i="1"/>
  <c r="DA51" i="1"/>
  <c r="CZ51" i="1"/>
  <c r="CY55" i="1"/>
  <c r="CY56" i="1"/>
  <c r="CY54" i="1"/>
  <c r="CZ24" i="1"/>
  <c r="DA24" i="1" s="1"/>
  <c r="CZ26" i="1"/>
  <c r="CZ46" i="1"/>
  <c r="CM16" i="20" l="1"/>
  <c r="CM58" i="20"/>
  <c r="CK16" i="20"/>
  <c r="CK58" i="20"/>
  <c r="CL16" i="20"/>
  <c r="CL58" i="20"/>
  <c r="CL73" i="20"/>
  <c r="CL59" i="20"/>
  <c r="CJ58" i="20"/>
  <c r="CJ16" i="20"/>
  <c r="CM73" i="20"/>
  <c r="CM59" i="20"/>
  <c r="CK59" i="20"/>
  <c r="CK73" i="20"/>
  <c r="CJ59" i="20"/>
  <c r="CJ73" i="20"/>
  <c r="AD13" i="5"/>
  <c r="AD8" i="5"/>
  <c r="AD35" i="5"/>
  <c r="AD10" i="5"/>
  <c r="AD47" i="5"/>
  <c r="AB9" i="5"/>
  <c r="Z15" i="15"/>
  <c r="AB14" i="5"/>
  <c r="AB7" i="15"/>
  <c r="AB59" i="15" s="1"/>
  <c r="Q121" i="61"/>
  <c r="Q80" i="61"/>
  <c r="Q81" i="61" s="1"/>
  <c r="Q177" i="61"/>
  <c r="BA11" i="2"/>
  <c r="AX23" i="3" s="1"/>
  <c r="BA12" i="2"/>
  <c r="H182" i="10" s="1"/>
  <c r="AA36" i="15"/>
  <c r="AA31" i="15"/>
  <c r="BC67" i="2"/>
  <c r="E4" i="76"/>
  <c r="AA8" i="15"/>
  <c r="AA67" i="15" s="1"/>
  <c r="AA12" i="15"/>
  <c r="R6" i="61"/>
  <c r="R35" i="61" s="1"/>
  <c r="AA24" i="15"/>
  <c r="AL7" i="15"/>
  <c r="DL8" i="20"/>
  <c r="DL67" i="20" s="1"/>
  <c r="AA10" i="15"/>
  <c r="DM89" i="20"/>
  <c r="AB48" i="5"/>
  <c r="Q15" i="61"/>
  <c r="DK18" i="20"/>
  <c r="D14" i="76"/>
  <c r="D5" i="76"/>
  <c r="AC47" i="5"/>
  <c r="AC8" i="5"/>
  <c r="AC10" i="5"/>
  <c r="AC35" i="5"/>
  <c r="AC36" i="5" s="1"/>
  <c r="AC13" i="5"/>
  <c r="Q8" i="61"/>
  <c r="Q10" i="61" s="1"/>
  <c r="DK10" i="20"/>
  <c r="DK12" i="20" s="1"/>
  <c r="BA68" i="2"/>
  <c r="Z33" i="15"/>
  <c r="Q11" i="61"/>
  <c r="Z25" i="15"/>
  <c r="DK13" i="20"/>
  <c r="BA69" i="2"/>
  <c r="Z27" i="15"/>
  <c r="Z14" i="15"/>
  <c r="Z16" i="15"/>
  <c r="Z66" i="15"/>
  <c r="CY80" i="1"/>
  <c r="CY90" i="1" s="1"/>
  <c r="CZ70" i="1"/>
  <c r="DA70" i="1"/>
  <c r="CY81" i="1"/>
  <c r="CZ71" i="1"/>
  <c r="DA71" i="1"/>
  <c r="CY75" i="1"/>
  <c r="CY76" i="1"/>
  <c r="CY74" i="1"/>
  <c r="CZ55" i="1"/>
  <c r="DA55" i="1"/>
  <c r="CZ56" i="1"/>
  <c r="DA56" i="1"/>
  <c r="CZ54" i="1"/>
  <c r="DA54" i="1"/>
  <c r="CJ21" i="20" l="1" a="1"/>
  <c r="CK21" i="20" s="1"/>
  <c r="CK74" i="20"/>
  <c r="CK55" i="20"/>
  <c r="CK60" i="20"/>
  <c r="CK19" i="20"/>
  <c r="CJ74" i="20"/>
  <c r="CJ55" i="20"/>
  <c r="CJ19" i="20"/>
  <c r="CJ60" i="20"/>
  <c r="CL74" i="20"/>
  <c r="CL55" i="20"/>
  <c r="CL19" i="20"/>
  <c r="CL60" i="20"/>
  <c r="CM60" i="20"/>
  <c r="CM74" i="20"/>
  <c r="CM19" i="20"/>
  <c r="CM55" i="20"/>
  <c r="AD9" i="5"/>
  <c r="AC9" i="5"/>
  <c r="AK13" i="5"/>
  <c r="AD7" i="15"/>
  <c r="DO89" i="20"/>
  <c r="AK47" i="5"/>
  <c r="X182" i="10"/>
  <c r="Z182" i="10" s="1"/>
  <c r="T182" i="10"/>
  <c r="AD182" i="10"/>
  <c r="AF182" i="10" s="1"/>
  <c r="N182" i="10"/>
  <c r="J182" i="10"/>
  <c r="P182" i="10"/>
  <c r="AA15" i="15"/>
  <c r="AD36" i="5"/>
  <c r="AD14" i="5"/>
  <c r="AD48" i="5"/>
  <c r="DK16" i="20"/>
  <c r="DK58" i="20"/>
  <c r="BC69" i="2"/>
  <c r="AA27" i="15"/>
  <c r="DL13" i="20"/>
  <c r="AA25" i="15"/>
  <c r="R11" i="61"/>
  <c r="E5" i="76"/>
  <c r="E14" i="76"/>
  <c r="DL18" i="20"/>
  <c r="R15" i="61"/>
  <c r="Q179" i="61"/>
  <c r="Q74" i="61"/>
  <c r="Q45" i="61" s="1"/>
  <c r="Q37" i="61"/>
  <c r="Q30" i="61"/>
  <c r="Q110" i="61" s="1"/>
  <c r="Q13" i="61"/>
  <c r="Q29" i="61"/>
  <c r="Q28" i="61" s="1"/>
  <c r="R8" i="61"/>
  <c r="R10" i="61" s="1"/>
  <c r="DL10" i="20"/>
  <c r="DL12" i="20" s="1"/>
  <c r="BC68" i="2"/>
  <c r="R80" i="61"/>
  <c r="R81" i="61" s="1"/>
  <c r="R121" i="61"/>
  <c r="R177" i="61"/>
  <c r="BC11" i="2"/>
  <c r="AZ23" i="3" s="1"/>
  <c r="BC12" i="2"/>
  <c r="BA34" i="2"/>
  <c r="AX24" i="3"/>
  <c r="Q180" i="61"/>
  <c r="Q178" i="61" s="1"/>
  <c r="Q168" i="61" s="1"/>
  <c r="Q127" i="61" s="1"/>
  <c r="Q122" i="61"/>
  <c r="BA36" i="2"/>
  <c r="BA37" i="2"/>
  <c r="D6" i="76"/>
  <c r="Z65" i="5"/>
  <c r="Z66" i="5" s="1"/>
  <c r="Z39" i="15"/>
  <c r="Z34" i="15"/>
  <c r="AA16" i="15"/>
  <c r="AA66" i="15"/>
  <c r="AA14" i="15"/>
  <c r="S6" i="61"/>
  <c r="S35" i="61" s="1"/>
  <c r="AB10" i="15"/>
  <c r="AB8" i="15"/>
  <c r="AB67" i="15" s="1"/>
  <c r="BE67" i="2"/>
  <c r="AB12" i="15"/>
  <c r="DM8" i="20"/>
  <c r="DM67" i="20" s="1"/>
  <c r="AB31" i="15"/>
  <c r="F4" i="76"/>
  <c r="AB24" i="15"/>
  <c r="AB36" i="15"/>
  <c r="Z17" i="15"/>
  <c r="Z20" i="15"/>
  <c r="DK73" i="20"/>
  <c r="DK59" i="20"/>
  <c r="AC14" i="5"/>
  <c r="AC7" i="15"/>
  <c r="AC48" i="5"/>
  <c r="DN89" i="20"/>
  <c r="Q136" i="61"/>
  <c r="Q54" i="61"/>
  <c r="Q95" i="61"/>
  <c r="AA33" i="15"/>
  <c r="CY100" i="1"/>
  <c r="CZ100" i="1" s="1"/>
  <c r="CZ90" i="1"/>
  <c r="CY85" i="1"/>
  <c r="CZ85" i="1" s="1"/>
  <c r="CY86" i="1"/>
  <c r="CZ86" i="1" s="1"/>
  <c r="CY84" i="1"/>
  <c r="CZ75" i="1"/>
  <c r="DA75" i="1"/>
  <c r="CZ74" i="1"/>
  <c r="DA74" i="1"/>
  <c r="CY91" i="1"/>
  <c r="CZ76" i="1"/>
  <c r="DA76" i="1"/>
  <c r="Q109" i="61" l="1"/>
  <c r="Q156" i="61" s="1"/>
  <c r="Q68" i="61"/>
  <c r="Q154" i="61" s="1"/>
  <c r="CM21" i="20"/>
  <c r="CM23" i="20" s="1"/>
  <c r="CJ21" i="20"/>
  <c r="CJ23" i="20" s="1"/>
  <c r="CL21" i="20"/>
  <c r="CL62" i="20" s="1"/>
  <c r="CK61" i="20"/>
  <c r="CK23" i="20"/>
  <c r="CM61" i="20"/>
  <c r="CL61" i="20"/>
  <c r="CJ61" i="20"/>
  <c r="CM64" i="20"/>
  <c r="CM76" i="20"/>
  <c r="CL64" i="20"/>
  <c r="CL76" i="20"/>
  <c r="CJ64" i="20"/>
  <c r="CJ76" i="20"/>
  <c r="CK64" i="20"/>
  <c r="CK76" i="20"/>
  <c r="CK62" i="20"/>
  <c r="U6" i="61"/>
  <c r="DO8" i="20"/>
  <c r="BI67" i="2"/>
  <c r="AD12" i="15"/>
  <c r="AD16" i="15" s="1"/>
  <c r="AD17" i="15" s="1"/>
  <c r="AI7" i="15"/>
  <c r="AD10" i="15"/>
  <c r="AD59" i="15"/>
  <c r="AD24" i="15"/>
  <c r="AD31" i="15"/>
  <c r="AD36" i="15"/>
  <c r="AD8" i="15"/>
  <c r="AD67" i="15" s="1"/>
  <c r="AC59" i="15"/>
  <c r="AH182" i="10"/>
  <c r="R182" i="10"/>
  <c r="CZ84" i="1"/>
  <c r="Z42" i="15"/>
  <c r="Z43" i="15" s="1"/>
  <c r="BE69" i="2"/>
  <c r="S11" i="61"/>
  <c r="AB27" i="15"/>
  <c r="DM13" i="20"/>
  <c r="AB25" i="15"/>
  <c r="AB14" i="15"/>
  <c r="AB16" i="15"/>
  <c r="AB66" i="15"/>
  <c r="S121" i="61"/>
  <c r="S80" i="61"/>
  <c r="S81" i="61" s="1"/>
  <c r="S177" i="61"/>
  <c r="AA17" i="15"/>
  <c r="AA20" i="15"/>
  <c r="D7" i="76"/>
  <c r="D9" i="76"/>
  <c r="D10" i="76" s="1"/>
  <c r="D11" i="76" s="1"/>
  <c r="Q38" i="61"/>
  <c r="Q31" i="61"/>
  <c r="Q26" i="61"/>
  <c r="Q40" i="61" s="1"/>
  <c r="Q16" i="61"/>
  <c r="T6" i="61"/>
  <c r="AC31" i="15"/>
  <c r="AC24" i="15"/>
  <c r="AC8" i="15"/>
  <c r="AC67" i="15" s="1"/>
  <c r="G4" i="76"/>
  <c r="AC12" i="15"/>
  <c r="BG67" i="2"/>
  <c r="AC36" i="15"/>
  <c r="AC10" i="15"/>
  <c r="DN8" i="20"/>
  <c r="AB33" i="15"/>
  <c r="F14" i="76"/>
  <c r="F5" i="76"/>
  <c r="BE11" i="2"/>
  <c r="BB23" i="3" s="1"/>
  <c r="BE12" i="2"/>
  <c r="BA38" i="2"/>
  <c r="DL16" i="20"/>
  <c r="DL58" i="20"/>
  <c r="Q69" i="61"/>
  <c r="Q158" i="61" s="1"/>
  <c r="Q160" i="61"/>
  <c r="Q159" i="61"/>
  <c r="Q157" i="61" s="1"/>
  <c r="Q132" i="61" s="1"/>
  <c r="Q173" i="61" s="1"/>
  <c r="R54" i="61"/>
  <c r="R136" i="61"/>
  <c r="R95" i="61"/>
  <c r="R37" i="61"/>
  <c r="R30" i="61"/>
  <c r="R69" i="61" s="1"/>
  <c r="BC36" i="2"/>
  <c r="BC37" i="2"/>
  <c r="AA34" i="15"/>
  <c r="AA39" i="15"/>
  <c r="E6" i="76"/>
  <c r="AA65" i="5"/>
  <c r="AA66" i="5" s="1"/>
  <c r="AL33" i="15"/>
  <c r="AB15" i="15"/>
  <c r="Z40" i="15"/>
  <c r="BA94" i="2"/>
  <c r="R180" i="61"/>
  <c r="R178" i="61" s="1"/>
  <c r="R168" i="61" s="1"/>
  <c r="R127" i="61" s="1"/>
  <c r="R122" i="61"/>
  <c r="R13" i="61"/>
  <c r="R29" i="61"/>
  <c r="R68" i="61" s="1"/>
  <c r="DM18" i="20"/>
  <c r="S15" i="61"/>
  <c r="BE68" i="2"/>
  <c r="DM10" i="20"/>
  <c r="DM12" i="20" s="1"/>
  <c r="S8" i="61"/>
  <c r="S10" i="61" s="1"/>
  <c r="Q181" i="61"/>
  <c r="Q115" i="61"/>
  <c r="Q86" i="61" s="1"/>
  <c r="AZ24" i="3"/>
  <c r="BC34" i="2"/>
  <c r="R179" i="61"/>
  <c r="R74" i="61"/>
  <c r="R45" i="61" s="1"/>
  <c r="Q155" i="61"/>
  <c r="Q153" i="61" s="1"/>
  <c r="Q131" i="61" s="1"/>
  <c r="DL73" i="20"/>
  <c r="DL59" i="20"/>
  <c r="DK60" i="20"/>
  <c r="DK74" i="20"/>
  <c r="DK55" i="20"/>
  <c r="DK19" i="20"/>
  <c r="CZ91" i="1"/>
  <c r="CY101" i="1"/>
  <c r="CY95" i="1"/>
  <c r="CZ95" i="1" s="1"/>
  <c r="CY96" i="1"/>
  <c r="CZ96" i="1" s="1"/>
  <c r="CY94" i="1"/>
  <c r="CM62" i="20" l="1"/>
  <c r="CJ62" i="20"/>
  <c r="CL23" i="20"/>
  <c r="CL25" i="20" s="1"/>
  <c r="CL75" i="20" s="1"/>
  <c r="AD33" i="15"/>
  <c r="AD65" i="5" s="1"/>
  <c r="CJ63" i="20"/>
  <c r="CJ25" i="20"/>
  <c r="CJ75" i="20" s="1"/>
  <c r="CM63" i="20"/>
  <c r="CM25" i="20"/>
  <c r="CM75" i="20" s="1"/>
  <c r="CK63" i="20"/>
  <c r="CK25" i="20"/>
  <c r="CK75" i="20" s="1"/>
  <c r="AD20" i="15"/>
  <c r="AD15" i="15"/>
  <c r="BI11" i="2"/>
  <c r="BI12" i="2"/>
  <c r="BI34" i="2" s="1"/>
  <c r="Z45" i="15"/>
  <c r="Z46" i="15" s="1"/>
  <c r="U8" i="61"/>
  <c r="U10" i="61" s="1"/>
  <c r="DO10" i="20"/>
  <c r="DO12" i="20" s="1"/>
  <c r="AI10" i="15"/>
  <c r="BI68" i="2"/>
  <c r="DO18" i="20"/>
  <c r="U15" i="61"/>
  <c r="AI36" i="15"/>
  <c r="AI24" i="15"/>
  <c r="U11" i="61"/>
  <c r="U30" i="61" s="1"/>
  <c r="DO13" i="20"/>
  <c r="DO59" i="20" s="1"/>
  <c r="BI69" i="2"/>
  <c r="T35" i="61"/>
  <c r="T80" i="61" s="1"/>
  <c r="T81" i="61" s="1"/>
  <c r="U35" i="61"/>
  <c r="DN67" i="20"/>
  <c r="DO67" i="20"/>
  <c r="AA43" i="15"/>
  <c r="DL94" i="20" s="1"/>
  <c r="DK94" i="20"/>
  <c r="CJ94" i="20" s="1"/>
  <c r="Q134" i="61"/>
  <c r="Q161" i="61" s="1"/>
  <c r="AD66" i="15"/>
  <c r="AD14" i="15"/>
  <c r="AD27" i="15"/>
  <c r="AD25" i="15"/>
  <c r="Q50" i="61"/>
  <c r="Q76" i="61" s="1"/>
  <c r="BC94" i="2"/>
  <c r="BC38" i="2"/>
  <c r="S13" i="61"/>
  <c r="S29" i="61"/>
  <c r="E7" i="76"/>
  <c r="E9" i="76"/>
  <c r="E10" i="76" s="1"/>
  <c r="E11" i="76" s="1"/>
  <c r="BE34" i="2"/>
  <c r="BB24" i="3"/>
  <c r="AB34" i="15"/>
  <c r="AB39" i="15"/>
  <c r="AB65" i="5"/>
  <c r="AB66" i="5" s="1"/>
  <c r="F6" i="76"/>
  <c r="AC14" i="15"/>
  <c r="AC16" i="15"/>
  <c r="AC66" i="15"/>
  <c r="BG69" i="2"/>
  <c r="DN13" i="20"/>
  <c r="T11" i="61"/>
  <c r="AC27" i="15"/>
  <c r="AC25" i="15"/>
  <c r="Q129" i="61"/>
  <c r="DM59" i="20"/>
  <c r="DM73" i="20"/>
  <c r="DM16" i="20"/>
  <c r="DM58" i="20"/>
  <c r="R155" i="61"/>
  <c r="R153" i="61" s="1"/>
  <c r="R131" i="61" s="1"/>
  <c r="R109" i="61"/>
  <c r="R156" i="61" s="1"/>
  <c r="R154" i="61"/>
  <c r="AA40" i="15"/>
  <c r="R159" i="61"/>
  <c r="R157" i="61" s="1"/>
  <c r="R132" i="61" s="1"/>
  <c r="R173" i="61" s="1"/>
  <c r="R158" i="61"/>
  <c r="R110" i="61"/>
  <c r="R160" i="61" s="1"/>
  <c r="DN10" i="20"/>
  <c r="DN12" i="20" s="1"/>
  <c r="T8" i="61"/>
  <c r="T10" i="61" s="1"/>
  <c r="BG68" i="2"/>
  <c r="H4" i="76"/>
  <c r="G14" i="76"/>
  <c r="G5" i="76"/>
  <c r="AB17" i="15"/>
  <c r="AB20" i="15"/>
  <c r="DK61" i="20"/>
  <c r="Q91" i="61"/>
  <c r="Q90" i="61"/>
  <c r="R26" i="61"/>
  <c r="R40" i="61" s="1"/>
  <c r="R31" i="61"/>
  <c r="R16" i="61"/>
  <c r="R38" i="61"/>
  <c r="DL19" i="20"/>
  <c r="DL74" i="20"/>
  <c r="DL60" i="20"/>
  <c r="DL55" i="20"/>
  <c r="AC33" i="15"/>
  <c r="DN18" i="20"/>
  <c r="T15" i="61"/>
  <c r="S74" i="61"/>
  <c r="S45" i="61" s="1"/>
  <c r="S179" i="61"/>
  <c r="S30" i="61"/>
  <c r="S37" i="61"/>
  <c r="DK76" i="20"/>
  <c r="DK64" i="20"/>
  <c r="Q49" i="61"/>
  <c r="S95" i="61"/>
  <c r="S136" i="61"/>
  <c r="S54" i="61"/>
  <c r="R181" i="61"/>
  <c r="R115" i="61"/>
  <c r="R86" i="61" s="1"/>
  <c r="DK21" i="20"/>
  <c r="DK62" i="20" s="1"/>
  <c r="Q18" i="61"/>
  <c r="Q32" i="61" s="1"/>
  <c r="AX27" i="3"/>
  <c r="AX29" i="3" s="1"/>
  <c r="BA41" i="2"/>
  <c r="AC15" i="15"/>
  <c r="BG11" i="2"/>
  <c r="BG12" i="2"/>
  <c r="S180" i="61"/>
  <c r="S178" i="61" s="1"/>
  <c r="S168" i="61" s="1"/>
  <c r="S127" i="61" s="1"/>
  <c r="S122" i="61"/>
  <c r="BE36" i="2"/>
  <c r="BE37" i="2"/>
  <c r="CY114" i="1"/>
  <c r="CZ94" i="1"/>
  <c r="CZ101" i="1"/>
  <c r="CY105" i="1"/>
  <c r="CZ105" i="1" s="1"/>
  <c r="CY106" i="1"/>
  <c r="CZ106" i="1" s="1"/>
  <c r="CL63" i="20" l="1"/>
  <c r="BF23" i="3"/>
  <c r="AD39" i="15"/>
  <c r="AD40" i="15" s="1"/>
  <c r="AD34" i="15"/>
  <c r="DO73" i="20"/>
  <c r="BA70" i="2"/>
  <c r="AX10" i="3" s="1"/>
  <c r="T121" i="61"/>
  <c r="T180" i="61" s="1"/>
  <c r="T178" i="61" s="1"/>
  <c r="T168" i="61" s="1"/>
  <c r="T127" i="61" s="1"/>
  <c r="BF24" i="3"/>
  <c r="DO58" i="20"/>
  <c r="DO16" i="20"/>
  <c r="U110" i="61"/>
  <c r="U160" i="61" s="1"/>
  <c r="U69" i="61"/>
  <c r="U158" i="61" s="1"/>
  <c r="U159" i="61"/>
  <c r="U157" i="61" s="1"/>
  <c r="AK65" i="5"/>
  <c r="AD66" i="5"/>
  <c r="T177" i="61"/>
  <c r="U29" i="61"/>
  <c r="U13" i="61"/>
  <c r="BI36" i="2"/>
  <c r="BI37" i="2"/>
  <c r="U37" i="61"/>
  <c r="U136" i="61"/>
  <c r="U95" i="61"/>
  <c r="U54" i="61"/>
  <c r="U177" i="61"/>
  <c r="U121" i="61"/>
  <c r="U80" i="61"/>
  <c r="U81" i="61" s="1"/>
  <c r="BD23" i="3"/>
  <c r="AA42" i="15"/>
  <c r="AA45" i="15" s="1"/>
  <c r="AA46" i="15" s="1"/>
  <c r="AB43" i="15"/>
  <c r="DM94" i="20" s="1"/>
  <c r="CY245" i="1"/>
  <c r="Z54" i="15"/>
  <c r="Q174" i="61"/>
  <c r="R49" i="61"/>
  <c r="R47" i="61" s="1"/>
  <c r="Q150" i="61"/>
  <c r="Q176" i="61" s="1"/>
  <c r="Q137" i="61"/>
  <c r="R50" i="61"/>
  <c r="Q66" i="61"/>
  <c r="R134" i="61"/>
  <c r="R174" i="61" s="1"/>
  <c r="R91" i="61"/>
  <c r="R90" i="61"/>
  <c r="BE94" i="2"/>
  <c r="T179" i="61"/>
  <c r="T74" i="61"/>
  <c r="T45" i="61" s="1"/>
  <c r="Q71" i="61"/>
  <c r="Q163" i="61" s="1"/>
  <c r="Q112" i="61"/>
  <c r="Q165" i="61" s="1"/>
  <c r="Q164" i="61"/>
  <c r="Q162" i="61" s="1"/>
  <c r="Q93" i="61"/>
  <c r="I4" i="76"/>
  <c r="H13" i="76"/>
  <c r="H6" i="76"/>
  <c r="H9" i="76" s="1"/>
  <c r="H10" i="76" s="1"/>
  <c r="H11" i="76" s="1"/>
  <c r="DN16" i="20"/>
  <c r="DN58" i="20"/>
  <c r="DN59" i="20"/>
  <c r="DN73" i="20"/>
  <c r="AZ27" i="3"/>
  <c r="AZ29" i="3" s="1"/>
  <c r="BC41" i="2"/>
  <c r="AC34" i="15"/>
  <c r="AC39" i="15"/>
  <c r="G6" i="76"/>
  <c r="AC65" i="5"/>
  <c r="DL61" i="20"/>
  <c r="Q117" i="61"/>
  <c r="Q107" i="61"/>
  <c r="BG36" i="2"/>
  <c r="BG37" i="2"/>
  <c r="F7" i="76"/>
  <c r="F9" i="76"/>
  <c r="F10" i="76" s="1"/>
  <c r="F11" i="76" s="1"/>
  <c r="R129" i="61"/>
  <c r="S181" i="61"/>
  <c r="S115" i="61"/>
  <c r="S86" i="61" s="1"/>
  <c r="T95" i="61"/>
  <c r="T136" i="61"/>
  <c r="T54" i="61"/>
  <c r="DL64" i="20"/>
  <c r="DL76" i="20"/>
  <c r="Q88" i="61"/>
  <c r="DK23" i="20"/>
  <c r="BE38" i="2"/>
  <c r="S155" i="61"/>
  <c r="S153" i="61" s="1"/>
  <c r="S131" i="61" s="1"/>
  <c r="S109" i="61"/>
  <c r="S156" i="61" s="1"/>
  <c r="S68" i="61"/>
  <c r="S154" i="61" s="1"/>
  <c r="BG34" i="2"/>
  <c r="BD24" i="3"/>
  <c r="D17" i="76"/>
  <c r="D18" i="76" s="1"/>
  <c r="D21" i="76" s="1"/>
  <c r="AX31" i="3"/>
  <c r="Q52" i="61"/>
  <c r="Q47" i="61"/>
  <c r="S159" i="61"/>
  <c r="S157" i="61" s="1"/>
  <c r="S132" i="61" s="1"/>
  <c r="S173" i="61" s="1"/>
  <c r="S69" i="61"/>
  <c r="S158" i="61" s="1"/>
  <c r="S110" i="61"/>
  <c r="S160" i="61" s="1"/>
  <c r="T29" i="61"/>
  <c r="T13" i="61"/>
  <c r="DM19" i="20"/>
  <c r="DM74" i="20"/>
  <c r="DM60" i="20"/>
  <c r="DM55" i="20"/>
  <c r="Q21" i="61"/>
  <c r="T37" i="61"/>
  <c r="T30" i="61"/>
  <c r="AC17" i="15"/>
  <c r="AC20" i="15"/>
  <c r="AB40" i="15"/>
  <c r="S38" i="61"/>
  <c r="S16" i="61"/>
  <c r="S26" i="61"/>
  <c r="S40" i="61" s="1"/>
  <c r="S31" i="61"/>
  <c r="CY104" i="1"/>
  <c r="CZ104" i="1" s="1"/>
  <c r="AX16" i="3" l="1"/>
  <c r="AX33" i="3" s="1"/>
  <c r="AX45" i="3" s="1"/>
  <c r="BA48" i="2"/>
  <c r="BA50" i="2" s="1"/>
  <c r="AI39" i="15"/>
  <c r="T122" i="61"/>
  <c r="T181" i="61" s="1"/>
  <c r="U38" i="61"/>
  <c r="BI38" i="2"/>
  <c r="BI41" i="2" s="1"/>
  <c r="BI94" i="2"/>
  <c r="DO74" i="20"/>
  <c r="U26" i="61"/>
  <c r="U31" i="61"/>
  <c r="U16" i="61"/>
  <c r="DO60" i="20"/>
  <c r="DO19" i="20"/>
  <c r="DO55" i="20"/>
  <c r="DO64" i="20" s="1"/>
  <c r="U68" i="61"/>
  <c r="U154" i="61" s="1"/>
  <c r="U109" i="61"/>
  <c r="U156" i="61" s="1"/>
  <c r="U155" i="61"/>
  <c r="U153" i="61" s="1"/>
  <c r="U74" i="61"/>
  <c r="U45" i="61" s="1"/>
  <c r="U179" i="61"/>
  <c r="U180" i="61"/>
  <c r="U178" i="61" s="1"/>
  <c r="U168" i="61" s="1"/>
  <c r="U127" i="61" s="1"/>
  <c r="U122" i="61"/>
  <c r="AB42" i="15"/>
  <c r="DM21" i="20" s="1"/>
  <c r="DM62" i="20" s="1"/>
  <c r="AA48" i="15"/>
  <c r="AL48" i="15" s="1"/>
  <c r="DL21" i="20"/>
  <c r="DL62" i="20" s="1"/>
  <c r="AA51" i="15"/>
  <c r="R18" i="61"/>
  <c r="R32" i="61" s="1"/>
  <c r="R164" i="61" s="1"/>
  <c r="R162" i="61" s="1"/>
  <c r="BC70" i="2"/>
  <c r="AZ10" i="3" s="1"/>
  <c r="AZ16" i="3" s="1"/>
  <c r="AC43" i="15"/>
  <c r="DN94" i="20" s="1"/>
  <c r="C36" i="76"/>
  <c r="C38" i="76" s="1"/>
  <c r="H39" i="76" s="1"/>
  <c r="Q24" i="61"/>
  <c r="Q23" i="61" s="1"/>
  <c r="AA53" i="15"/>
  <c r="DK26" i="20"/>
  <c r="DK25" i="20" s="1"/>
  <c r="AA55" i="15"/>
  <c r="AM56" i="15"/>
  <c r="Z55" i="15"/>
  <c r="Z56" i="15"/>
  <c r="Z57" i="15"/>
  <c r="DK28" i="20" s="1"/>
  <c r="Z51" i="15"/>
  <c r="Z52" i="15" s="1"/>
  <c r="Z48" i="15"/>
  <c r="Z49" i="15" s="1"/>
  <c r="Q139" i="61"/>
  <c r="Q142" i="61" s="1"/>
  <c r="R52" i="61"/>
  <c r="R70" i="61" s="1"/>
  <c r="R66" i="61"/>
  <c r="R76" i="61"/>
  <c r="R137" i="61"/>
  <c r="R93" i="61"/>
  <c r="R96" i="61" s="1"/>
  <c r="R150" i="61"/>
  <c r="R176" i="61" s="1"/>
  <c r="R161" i="61"/>
  <c r="R88" i="61"/>
  <c r="S90" i="61"/>
  <c r="S88" i="61" s="1"/>
  <c r="S91" i="61"/>
  <c r="T159" i="61"/>
  <c r="T157" i="61" s="1"/>
  <c r="T132" i="61" s="1"/>
  <c r="T173" i="61" s="1"/>
  <c r="T110" i="61"/>
  <c r="T160" i="61" s="1"/>
  <c r="T69" i="61"/>
  <c r="T158" i="61" s="1"/>
  <c r="T68" i="61"/>
  <c r="T154" i="61" s="1"/>
  <c r="T155" i="61"/>
  <c r="T153" i="61" s="1"/>
  <c r="T131" i="61" s="1"/>
  <c r="T109" i="61"/>
  <c r="T156" i="61" s="1"/>
  <c r="Q65" i="61"/>
  <c r="Q79" i="61" s="1"/>
  <c r="Q77" i="61"/>
  <c r="Q70" i="61"/>
  <c r="Q55" i="61"/>
  <c r="Q57" i="61" s="1"/>
  <c r="Q60" i="61" s="1"/>
  <c r="BG94" i="2"/>
  <c r="BG38" i="2"/>
  <c r="BF27" i="3" s="1"/>
  <c r="BF29" i="3" s="1"/>
  <c r="BF31" i="3" s="1"/>
  <c r="S134" i="61"/>
  <c r="G9" i="76"/>
  <c r="G10" i="76" s="1"/>
  <c r="G11" i="76" s="1"/>
  <c r="G7" i="76"/>
  <c r="I13" i="76"/>
  <c r="J4" i="76"/>
  <c r="I6" i="76"/>
  <c r="I9" i="76" s="1"/>
  <c r="I10" i="76" s="1"/>
  <c r="I11" i="76" s="1"/>
  <c r="S129" i="61"/>
  <c r="BE41" i="2"/>
  <c r="AC40" i="15"/>
  <c r="E17" i="76"/>
  <c r="E18" i="76" s="1"/>
  <c r="E21" i="76" s="1"/>
  <c r="AZ31" i="3"/>
  <c r="DN74" i="20"/>
  <c r="DN19" i="20"/>
  <c r="DN60" i="20"/>
  <c r="DN55" i="20"/>
  <c r="Q111" i="61"/>
  <c r="Q106" i="61"/>
  <c r="Q120" i="61" s="1"/>
  <c r="Q118" i="61"/>
  <c r="Q96" i="61"/>
  <c r="Q98" i="61" s="1"/>
  <c r="Q101" i="61" s="1"/>
  <c r="DM61" i="20"/>
  <c r="R117" i="61"/>
  <c r="R107" i="61"/>
  <c r="S50" i="61"/>
  <c r="DK63" i="20"/>
  <c r="DM64" i="20"/>
  <c r="DM76" i="20"/>
  <c r="T26" i="61"/>
  <c r="T31" i="61"/>
  <c r="T38" i="61"/>
  <c r="T16" i="61"/>
  <c r="AC66" i="5"/>
  <c r="BB27" i="3"/>
  <c r="BB29" i="3" s="1"/>
  <c r="S49" i="61"/>
  <c r="T115" i="61" l="1"/>
  <c r="T86" i="61" s="1"/>
  <c r="T90" i="61" s="1"/>
  <c r="T88" i="61" s="1"/>
  <c r="BA52" i="2"/>
  <c r="DO76" i="20"/>
  <c r="R77" i="61"/>
  <c r="AZ33" i="3"/>
  <c r="AZ45" i="3" s="1"/>
  <c r="AZ49" i="3" s="1"/>
  <c r="AA49" i="15"/>
  <c r="DO61" i="20"/>
  <c r="U49" i="61"/>
  <c r="U47" i="61" s="1"/>
  <c r="U50" i="61"/>
  <c r="U131" i="61"/>
  <c r="U132" i="61"/>
  <c r="U173" i="61" s="1"/>
  <c r="T40" i="61"/>
  <c r="U40" i="61"/>
  <c r="R65" i="61"/>
  <c r="R79" i="61" s="1"/>
  <c r="U181" i="61"/>
  <c r="U115" i="61"/>
  <c r="BG41" i="2"/>
  <c r="R112" i="61"/>
  <c r="R165" i="61" s="1"/>
  <c r="S18" i="61"/>
  <c r="S32" i="61" s="1"/>
  <c r="S112" i="61" s="1"/>
  <c r="S165" i="61" s="1"/>
  <c r="AB45" i="15"/>
  <c r="AB46" i="15" s="1"/>
  <c r="R21" i="61"/>
  <c r="R23" i="61" s="1"/>
  <c r="R71" i="61"/>
  <c r="R163" i="61" s="1"/>
  <c r="AD43" i="15"/>
  <c r="AC42" i="15"/>
  <c r="AC45" i="15" s="1"/>
  <c r="DL23" i="20"/>
  <c r="DL63" i="20" s="1"/>
  <c r="BC48" i="2"/>
  <c r="BC50" i="2" s="1"/>
  <c r="BC52" i="2" s="1"/>
  <c r="AA57" i="15"/>
  <c r="AB57" i="15" s="1"/>
  <c r="Q39" i="61"/>
  <c r="G24" i="76"/>
  <c r="D24" i="76"/>
  <c r="D25" i="76" s="1"/>
  <c r="H24" i="76"/>
  <c r="E24" i="76"/>
  <c r="E25" i="76" s="1"/>
  <c r="J24" i="76"/>
  <c r="C24" i="76"/>
  <c r="C25" i="76" s="1"/>
  <c r="F24" i="76"/>
  <c r="I24" i="76"/>
  <c r="AA56" i="15"/>
  <c r="DK27" i="20"/>
  <c r="AA52" i="15"/>
  <c r="Q63" i="61"/>
  <c r="Q62" i="61" s="1"/>
  <c r="Q147" i="61"/>
  <c r="Q145" i="61" s="1"/>
  <c r="Q144" i="61" s="1"/>
  <c r="Q175" i="61" s="1"/>
  <c r="R55" i="61"/>
  <c r="R118" i="61"/>
  <c r="R139" i="61"/>
  <c r="R142" i="61" s="1"/>
  <c r="R144" i="61" s="1"/>
  <c r="R111" i="61"/>
  <c r="R106" i="61"/>
  <c r="R120" i="61" s="1"/>
  <c r="DM23" i="20"/>
  <c r="DM25" i="20" s="1"/>
  <c r="BD27" i="3"/>
  <c r="BD29" i="3" s="1"/>
  <c r="BD31" i="3" s="1"/>
  <c r="T134" i="61"/>
  <c r="T137" i="61" s="1"/>
  <c r="T129" i="61"/>
  <c r="S52" i="61"/>
  <c r="S47" i="61"/>
  <c r="BB31" i="3"/>
  <c r="F17" i="76"/>
  <c r="F18" i="76" s="1"/>
  <c r="F21" i="76" s="1"/>
  <c r="DN64" i="20"/>
  <c r="DN76" i="20"/>
  <c r="S117" i="61"/>
  <c r="S107" i="61"/>
  <c r="S76" i="61"/>
  <c r="S66" i="61"/>
  <c r="DN61" i="20"/>
  <c r="S150" i="61"/>
  <c r="S176" i="61" s="1"/>
  <c r="S161" i="61"/>
  <c r="S174" i="61"/>
  <c r="S137" i="61"/>
  <c r="T49" i="61"/>
  <c r="DK75" i="20"/>
  <c r="J6" i="76"/>
  <c r="J9" i="76" s="1"/>
  <c r="J10" i="76" s="1"/>
  <c r="J11" i="76" s="1"/>
  <c r="J13" i="76"/>
  <c r="AX49" i="3"/>
  <c r="AX46" i="3"/>
  <c r="T50" i="61"/>
  <c r="S93" i="61"/>
  <c r="T91" i="61" l="1"/>
  <c r="T107" i="61" s="1"/>
  <c r="U86" i="61"/>
  <c r="U91" i="61" s="1"/>
  <c r="T18" i="61"/>
  <c r="T32" i="61" s="1"/>
  <c r="T71" i="61" s="1"/>
  <c r="T163" i="61" s="1"/>
  <c r="R39" i="61"/>
  <c r="Z26" i="61"/>
  <c r="AA26" i="61" s="1"/>
  <c r="BE70" i="2"/>
  <c r="BB10" i="3" s="1"/>
  <c r="BB16" i="3" s="1"/>
  <c r="BB33" i="3" s="1"/>
  <c r="BB45" i="3" s="1"/>
  <c r="BB49" i="3" s="1"/>
  <c r="AB48" i="15"/>
  <c r="AB49" i="15" s="1"/>
  <c r="U134" i="61"/>
  <c r="U137" i="61" s="1"/>
  <c r="AB51" i="15"/>
  <c r="AB52" i="15" s="1"/>
  <c r="AD42" i="15"/>
  <c r="AD45" i="15" s="1"/>
  <c r="DO94" i="20"/>
  <c r="S71" i="61"/>
  <c r="S163" i="61" s="1"/>
  <c r="S164" i="61"/>
  <c r="S162" i="61" s="1"/>
  <c r="S139" i="61" s="1"/>
  <c r="S142" i="61" s="1"/>
  <c r="S144" i="61" s="1"/>
  <c r="S175" i="61" s="1"/>
  <c r="U66" i="61"/>
  <c r="U76" i="61"/>
  <c r="S21" i="61"/>
  <c r="S23" i="61" s="1"/>
  <c r="S39" i="61" s="1"/>
  <c r="U129" i="61"/>
  <c r="U52" i="61"/>
  <c r="R98" i="61"/>
  <c r="R101" i="61" s="1"/>
  <c r="R103" i="61" s="1"/>
  <c r="Z27" i="61" s="1"/>
  <c r="DN21" i="20"/>
  <c r="DN62" i="20" s="1"/>
  <c r="F25" i="76"/>
  <c r="R57" i="61"/>
  <c r="R60" i="61" s="1"/>
  <c r="R62" i="61" s="1"/>
  <c r="DL28" i="20"/>
  <c r="DL25" i="20"/>
  <c r="DL75" i="20" s="1"/>
  <c r="DM63" i="20"/>
  <c r="R175" i="61"/>
  <c r="Q78" i="61"/>
  <c r="AB56" i="15"/>
  <c r="DL27" i="20"/>
  <c r="Q146" i="61"/>
  <c r="Q104" i="61"/>
  <c r="DM28" i="20"/>
  <c r="AC57" i="15"/>
  <c r="T174" i="61"/>
  <c r="G17" i="76"/>
  <c r="G18" i="76" s="1"/>
  <c r="G21" i="76" s="1"/>
  <c r="G25" i="76" s="1"/>
  <c r="T161" i="61"/>
  <c r="T150" i="61"/>
  <c r="T176" i="61" s="1"/>
  <c r="BA9" i="2"/>
  <c r="AZ44" i="3"/>
  <c r="AZ46" i="3" s="1"/>
  <c r="T52" i="61"/>
  <c r="T47" i="61"/>
  <c r="S65" i="61"/>
  <c r="S79" i="61" s="1"/>
  <c r="S55" i="61"/>
  <c r="S70" i="61"/>
  <c r="S77" i="61"/>
  <c r="S106" i="61"/>
  <c r="S120" i="61" s="1"/>
  <c r="S118" i="61"/>
  <c r="S111" i="61"/>
  <c r="S96" i="61"/>
  <c r="S98" i="61" s="1"/>
  <c r="S101" i="61" s="1"/>
  <c r="S103" i="61" s="1"/>
  <c r="T76" i="61"/>
  <c r="T66" i="61"/>
  <c r="AC48" i="15"/>
  <c r="AC51" i="15"/>
  <c r="AC46" i="15"/>
  <c r="BG70" i="2"/>
  <c r="BD10" i="3" s="1"/>
  <c r="BD16" i="3" s="1"/>
  <c r="BD33" i="3" s="1"/>
  <c r="BD45" i="3" s="1"/>
  <c r="BD49" i="3" s="1"/>
  <c r="T117" i="61" l="1"/>
  <c r="T93" i="61"/>
  <c r="T106" i="61" s="1"/>
  <c r="T120" i="61" s="1"/>
  <c r="U90" i="61"/>
  <c r="U88" i="61" s="1"/>
  <c r="R78" i="61"/>
  <c r="Z25" i="61"/>
  <c r="AA25" i="61" s="1"/>
  <c r="T164" i="61"/>
  <c r="T162" i="61" s="1"/>
  <c r="T139" i="61" s="1"/>
  <c r="T142" i="61" s="1"/>
  <c r="T144" i="61" s="1"/>
  <c r="T175" i="61" s="1"/>
  <c r="T112" i="61"/>
  <c r="T165" i="61" s="1"/>
  <c r="T21" i="61"/>
  <c r="T23" i="61" s="1"/>
  <c r="AA50" i="61" s="1"/>
  <c r="BE48" i="2"/>
  <c r="BE50" i="2" s="1"/>
  <c r="BE52" i="2" s="1"/>
  <c r="U174" i="61"/>
  <c r="U161" i="61"/>
  <c r="U150" i="61"/>
  <c r="U176" i="61" s="1"/>
  <c r="DN23" i="20"/>
  <c r="DN25" i="20" s="1"/>
  <c r="DN75" i="20" s="1"/>
  <c r="AI42" i="15"/>
  <c r="U18" i="61"/>
  <c r="DO21" i="20"/>
  <c r="S57" i="61"/>
  <c r="S60" i="61" s="1"/>
  <c r="S62" i="61" s="1"/>
  <c r="S78" i="61" s="1"/>
  <c r="U70" i="61"/>
  <c r="U77" i="61"/>
  <c r="U55" i="61"/>
  <c r="U65" i="61"/>
  <c r="U107" i="61"/>
  <c r="U117" i="61"/>
  <c r="DM75" i="20"/>
  <c r="AD48" i="15"/>
  <c r="AI48" i="15" s="1"/>
  <c r="BI70" i="2"/>
  <c r="BF10" i="3" s="1"/>
  <c r="BF16" i="3" s="1"/>
  <c r="BF33" i="3" s="1"/>
  <c r="BF45" i="3" s="1"/>
  <c r="AD51" i="15"/>
  <c r="AD52" i="15" s="1"/>
  <c r="AD46" i="15"/>
  <c r="AI45" i="15"/>
  <c r="S119" i="61"/>
  <c r="Q148" i="61"/>
  <c r="Q103" i="61"/>
  <c r="DN28" i="20"/>
  <c r="AD57" i="15"/>
  <c r="DO28" i="20" s="1"/>
  <c r="DM27" i="20"/>
  <c r="AC56" i="15"/>
  <c r="AC52" i="15"/>
  <c r="H17" i="76"/>
  <c r="H18" i="76" s="1"/>
  <c r="H21" i="76" s="1"/>
  <c r="H25" i="76" s="1"/>
  <c r="T111" i="61"/>
  <c r="T55" i="61"/>
  <c r="T57" i="61" s="1"/>
  <c r="T60" i="61" s="1"/>
  <c r="T62" i="61" s="1"/>
  <c r="T65" i="61"/>
  <c r="T79" i="61" s="1"/>
  <c r="T77" i="61"/>
  <c r="T70" i="61"/>
  <c r="AC49" i="15"/>
  <c r="BB44" i="3"/>
  <c r="BB46" i="3" s="1"/>
  <c r="BC9" i="2"/>
  <c r="BA88" i="2"/>
  <c r="BA93" i="2"/>
  <c r="BA95" i="2" s="1"/>
  <c r="BA122" i="2"/>
  <c r="C31" i="76"/>
  <c r="BA15" i="2"/>
  <c r="BA29" i="2" s="1"/>
  <c r="T118" i="61" l="1"/>
  <c r="T96" i="61"/>
  <c r="T98" i="61" s="1"/>
  <c r="T101" i="61" s="1"/>
  <c r="T103" i="61" s="1"/>
  <c r="V110" i="61" s="1"/>
  <c r="U93" i="61"/>
  <c r="U96" i="61" s="1"/>
  <c r="T39" i="61"/>
  <c r="BG48" i="2"/>
  <c r="BG50" i="2" s="1"/>
  <c r="BG52" i="2" s="1"/>
  <c r="T78" i="61"/>
  <c r="DN63" i="20"/>
  <c r="DO62" i="20"/>
  <c r="DO23" i="20"/>
  <c r="U32" i="61"/>
  <c r="U21" i="61"/>
  <c r="U23" i="61" s="1"/>
  <c r="U39" i="61" s="1"/>
  <c r="U79" i="61"/>
  <c r="AD49" i="15"/>
  <c r="BF49" i="3"/>
  <c r="DN27" i="20"/>
  <c r="AD56" i="15"/>
  <c r="DO27" i="20" s="1"/>
  <c r="Q119" i="61"/>
  <c r="AA27" i="61"/>
  <c r="R119" i="61"/>
  <c r="I17" i="76"/>
  <c r="I18" i="76" s="1"/>
  <c r="I21" i="76" s="1"/>
  <c r="I25" i="76" s="1"/>
  <c r="BE9" i="2"/>
  <c r="BD44" i="3"/>
  <c r="BD46" i="3" s="1"/>
  <c r="BF44" i="3" s="1"/>
  <c r="BF46" i="3" s="1"/>
  <c r="BI9" i="2" s="1"/>
  <c r="BI88" i="2" s="1"/>
  <c r="C32" i="76"/>
  <c r="C39" i="76" s="1"/>
  <c r="C45" i="76"/>
  <c r="BA105" i="2"/>
  <c r="BA114" i="2"/>
  <c r="BA108" i="2"/>
  <c r="BC88" i="2"/>
  <c r="BC15" i="2"/>
  <c r="BC29" i="2" s="1"/>
  <c r="BC122" i="2"/>
  <c r="BC93" i="2"/>
  <c r="BC95" i="2" s="1"/>
  <c r="BA86" i="2"/>
  <c r="BA78" i="2"/>
  <c r="U106" i="61" l="1"/>
  <c r="U120" i="61" s="1"/>
  <c r="U118" i="61"/>
  <c r="U111" i="61"/>
  <c r="T119" i="61"/>
  <c r="BI48" i="2"/>
  <c r="BI50" i="2" s="1"/>
  <c r="BI52" i="2" s="1"/>
  <c r="DO25" i="20"/>
  <c r="DO75" i="20" s="1"/>
  <c r="DO63" i="20"/>
  <c r="U112" i="61"/>
  <c r="U71" i="61"/>
  <c r="U164" i="61"/>
  <c r="U162" i="61" s="1"/>
  <c r="U139" i="61" s="1"/>
  <c r="U142" i="61" s="1"/>
  <c r="U144" i="61" s="1"/>
  <c r="U175" i="61" s="1"/>
  <c r="BI122" i="2"/>
  <c r="BI15" i="2"/>
  <c r="BI29" i="2" s="1"/>
  <c r="BI86" i="2" s="1"/>
  <c r="BI93" i="2"/>
  <c r="BI95" i="2" s="1"/>
  <c r="BG9" i="2"/>
  <c r="BG93" i="2" s="1"/>
  <c r="BG95" i="2" s="1"/>
  <c r="J17" i="76"/>
  <c r="J18" i="76" s="1"/>
  <c r="J21" i="76" s="1"/>
  <c r="J25" i="76" s="1"/>
  <c r="C41" i="76" s="1"/>
  <c r="BE122" i="2"/>
  <c r="BE15" i="2"/>
  <c r="BE29" i="2" s="1"/>
  <c r="BE93" i="2"/>
  <c r="BE95" i="2" s="1"/>
  <c r="BE88" i="2"/>
  <c r="BC86" i="2"/>
  <c r="BC78" i="2"/>
  <c r="BC114" i="2"/>
  <c r="BC108" i="2"/>
  <c r="BC105" i="2"/>
  <c r="BA117" i="2"/>
  <c r="BA111" i="2"/>
  <c r="BA106" i="2"/>
  <c r="BA118" i="2" s="1"/>
  <c r="BG88" i="2" l="1"/>
  <c r="U165" i="61"/>
  <c r="U98" i="61"/>
  <c r="U101" i="61" s="1"/>
  <c r="U103" i="61" s="1"/>
  <c r="U119" i="61" s="1"/>
  <c r="U163" i="61"/>
  <c r="U57" i="61"/>
  <c r="U60" i="61" s="1"/>
  <c r="U62" i="61" s="1"/>
  <c r="U78" i="61" s="1"/>
  <c r="BG122" i="2"/>
  <c r="BI78" i="2"/>
  <c r="BG15" i="2"/>
  <c r="BG29" i="2" s="1"/>
  <c r="BG78" i="2" s="1"/>
  <c r="BI114" i="2"/>
  <c r="BI108" i="2"/>
  <c r="BI105" i="2"/>
  <c r="J26" i="76"/>
  <c r="J27" i="76" s="1"/>
  <c r="C42" i="76" s="1"/>
  <c r="C43" i="76" s="1"/>
  <c r="C48" i="76" s="1"/>
  <c r="C49" i="76" s="1"/>
  <c r="BE86" i="2"/>
  <c r="BE78" i="2"/>
  <c r="BC111" i="2"/>
  <c r="BC117" i="2"/>
  <c r="BC106" i="2"/>
  <c r="BC118" i="2" s="1"/>
  <c r="BE108" i="2"/>
  <c r="BE105" i="2"/>
  <c r="BE114" i="2"/>
  <c r="BG114" i="2"/>
  <c r="BG108" i="2"/>
  <c r="BG105" i="2"/>
  <c r="BG86" i="2" l="1"/>
  <c r="BI117" i="2"/>
  <c r="BI111" i="2"/>
  <c r="BI106" i="2"/>
  <c r="BI118" i="2" s="1"/>
  <c r="BE117" i="2"/>
  <c r="BE106" i="2"/>
  <c r="BE118" i="2" s="1"/>
  <c r="BE111" i="2"/>
  <c r="BG111" i="2"/>
  <c r="BG117" i="2"/>
  <c r="BG106" i="2"/>
  <c r="BG118" i="2" s="1"/>
  <c r="AD179" i="10"/>
  <c r="H179" i="10" s="1"/>
  <c r="T179" i="10" l="1"/>
  <c r="X179" i="10"/>
  <c r="Z179" i="10" s="1"/>
  <c r="P179" i="10"/>
  <c r="N179" i="10"/>
  <c r="J179" i="10"/>
  <c r="R179" i="10" l="1"/>
  <c r="AH179" i="10"/>
  <c r="AD180" i="10"/>
  <c r="H180" i="10" s="1"/>
  <c r="P181" i="10" l="1"/>
  <c r="J181" i="10"/>
  <c r="T180" i="10"/>
  <c r="P180" i="10"/>
  <c r="X180" i="10"/>
  <c r="Z180" i="10" s="1"/>
  <c r="N180" i="10"/>
  <c r="J180" i="10"/>
  <c r="J183" i="10" l="1"/>
  <c r="R180" i="10"/>
  <c r="AH180" i="10"/>
  <c r="AH181" i="10"/>
  <c r="R181" i="10"/>
  <c r="R183" i="10" l="1"/>
  <c r="AH183" i="10"/>
</calcChain>
</file>

<file path=xl/comments1.xml><?xml version="1.0" encoding="utf-8"?>
<comments xmlns="http://schemas.openxmlformats.org/spreadsheetml/2006/main">
  <authors>
    <author>solejay</author>
  </authors>
  <commentList>
    <comment ref="I44" authorId="0">
      <text>
        <r>
          <rPr>
            <b/>
            <sz val="8"/>
            <color indexed="81"/>
            <rFont val="Tahoma"/>
            <family val="2"/>
          </rPr>
          <t>solejay:</t>
        </r>
        <r>
          <rPr>
            <sz val="8"/>
            <color indexed="81"/>
            <rFont val="Tahoma"/>
            <family val="2"/>
          </rPr>
          <t xml:space="preserve">
=((C15*D29)-C17)/C22</t>
        </r>
      </text>
    </comment>
  </commentList>
</comments>
</file>

<file path=xl/comments2.xml><?xml version="1.0" encoding="utf-8"?>
<comments xmlns="http://schemas.openxmlformats.org/spreadsheetml/2006/main">
  <authors>
    <author>Roberts, Cynthia (Research)</author>
  </authors>
  <commentList>
    <comment ref="Y25" authorId="0">
      <text>
        <r>
          <rPr>
            <b/>
            <sz val="9"/>
            <color indexed="81"/>
            <rFont val="Tahoma"/>
            <family val="2"/>
          </rPr>
          <t>Roberts, Cynthia (Research):</t>
        </r>
        <r>
          <rPr>
            <sz val="9"/>
            <color indexed="81"/>
            <rFont val="Tahoma"/>
            <family val="2"/>
          </rPr>
          <t xml:space="preserve">
trim from 17</t>
        </r>
      </text>
    </comment>
    <comment ref="Y26" authorId="0">
      <text>
        <r>
          <rPr>
            <b/>
            <sz val="9"/>
            <color indexed="81"/>
            <rFont val="Tahoma"/>
            <family val="2"/>
          </rPr>
          <t>Roberts, Cynthia (Research):</t>
        </r>
        <r>
          <rPr>
            <sz val="9"/>
            <color indexed="81"/>
            <rFont val="Tahoma"/>
            <family val="2"/>
          </rPr>
          <t xml:space="preserve">
cut to 13</t>
        </r>
      </text>
    </comment>
  </commentList>
</comments>
</file>

<file path=xl/comments3.xml><?xml version="1.0" encoding="utf-8"?>
<comments xmlns="http://schemas.openxmlformats.org/spreadsheetml/2006/main">
  <authors>
    <author>nicholjs</author>
    <author>Lehman Brothers</author>
    <author>dliu</author>
    <author>Corinna Freedman</author>
    <author>Kimberly Greenberger</author>
    <author>MB33100</author>
    <author>mm98285</author>
    <author>ns66486</author>
    <author>lr73192</author>
    <author>kimberlg</author>
    <author>sancfa</author>
    <author>lauraro</author>
    <author>casselau</author>
    <author>turleamb</author>
    <author>Turley, Amber (Research)</author>
    <author>Baglione, Gregory  (Research)</author>
    <author>Mains, Spencer (Research)</author>
    <author>Roberts, Cynthia (Research)</author>
    <author>Baglione, Gregory (Research)</author>
    <author>Cassel, Lauren (Research)</author>
  </authors>
  <commentList>
    <comment ref="AU6" authorId="0">
      <text>
        <r>
          <rPr>
            <b/>
            <sz val="8"/>
            <color indexed="81"/>
            <rFont val="Tahoma"/>
            <family val="2"/>
          </rPr>
          <t>nicholjs:</t>
        </r>
        <r>
          <rPr>
            <sz val="8"/>
            <color indexed="81"/>
            <rFont val="Tahoma"/>
            <family val="2"/>
          </rPr>
          <t xml:space="preserve">
including direct sales, company started this method in 1Q10 and provided historicals back to 07 on quarterly basis</t>
        </r>
      </text>
    </comment>
    <comment ref="D54" authorId="1">
      <text>
        <r>
          <rPr>
            <b/>
            <sz val="8"/>
            <color indexed="81"/>
            <rFont val="Tahoma"/>
            <family val="2"/>
          </rPr>
          <t>Lehman Brothers:</t>
        </r>
        <r>
          <rPr>
            <sz val="8"/>
            <color indexed="81"/>
            <rFont val="Tahoma"/>
            <family val="2"/>
          </rPr>
          <t xml:space="preserve">
had 57.3</t>
        </r>
      </text>
    </comment>
    <comment ref="J54" authorId="1">
      <text>
        <r>
          <rPr>
            <b/>
            <sz val="8"/>
            <color indexed="81"/>
            <rFont val="Tahoma"/>
            <family val="2"/>
          </rPr>
          <t>Lehman Brothers:</t>
        </r>
        <r>
          <rPr>
            <sz val="8"/>
            <color indexed="81"/>
            <rFont val="Tahoma"/>
            <family val="2"/>
          </rPr>
          <t xml:space="preserve">
had 45.6</t>
        </r>
      </text>
    </comment>
    <comment ref="Z54" authorId="1">
      <text>
        <r>
          <rPr>
            <b/>
            <sz val="8"/>
            <color indexed="81"/>
            <rFont val="Tahoma"/>
            <family val="2"/>
          </rPr>
          <t>Lehman Brothers:</t>
        </r>
        <r>
          <rPr>
            <sz val="8"/>
            <color indexed="81"/>
            <rFont val="Tahoma"/>
            <family val="2"/>
          </rPr>
          <t xml:space="preserve">
102.9</t>
        </r>
      </text>
    </comment>
    <comment ref="AD54" authorId="1">
      <text>
        <r>
          <rPr>
            <b/>
            <sz val="8"/>
            <color indexed="81"/>
            <rFont val="Tahoma"/>
            <family val="2"/>
          </rPr>
          <t>Lehman Brothers:</t>
        </r>
        <r>
          <rPr>
            <sz val="8"/>
            <color indexed="81"/>
            <rFont val="Tahoma"/>
            <family val="2"/>
          </rPr>
          <t xml:space="preserve">
9.0</t>
        </r>
      </text>
    </comment>
    <comment ref="AJ54" authorId="1">
      <text>
        <r>
          <rPr>
            <b/>
            <sz val="8"/>
            <color indexed="81"/>
            <rFont val="Tahoma"/>
            <family val="2"/>
          </rPr>
          <t>Lehman Brothers:</t>
        </r>
        <r>
          <rPr>
            <sz val="8"/>
            <color indexed="81"/>
            <rFont val="Tahoma"/>
            <family val="2"/>
          </rPr>
          <t xml:space="preserve">
3</t>
        </r>
      </text>
    </comment>
    <comment ref="AR54" authorId="1">
      <text>
        <r>
          <rPr>
            <b/>
            <sz val="8"/>
            <color indexed="81"/>
            <rFont val="Tahoma"/>
            <family val="2"/>
          </rPr>
          <t>Lehman Brothers:</t>
        </r>
        <r>
          <rPr>
            <sz val="8"/>
            <color indexed="81"/>
            <rFont val="Tahoma"/>
            <family val="2"/>
          </rPr>
          <t xml:space="preserve">
114.9</t>
        </r>
      </text>
    </comment>
    <comment ref="D58" authorId="2">
      <text>
        <r>
          <rPr>
            <b/>
            <sz val="8"/>
            <color indexed="81"/>
            <rFont val="Tahoma"/>
            <family val="2"/>
          </rPr>
          <t>dliu:</t>
        </r>
        <r>
          <rPr>
            <sz val="8"/>
            <color indexed="81"/>
            <rFont val="Tahoma"/>
            <family val="2"/>
          </rPr>
          <t xml:space="preserve">
52.3</t>
        </r>
      </text>
    </comment>
    <comment ref="J58" authorId="2">
      <text>
        <r>
          <rPr>
            <b/>
            <sz val="8"/>
            <color indexed="81"/>
            <rFont val="Tahoma"/>
            <family val="2"/>
          </rPr>
          <t>dliu:</t>
        </r>
        <r>
          <rPr>
            <sz val="8"/>
            <color indexed="81"/>
            <rFont val="Tahoma"/>
            <family val="2"/>
          </rPr>
          <t xml:space="preserve">
44.2</t>
        </r>
      </text>
    </comment>
    <comment ref="Z58" authorId="2">
      <text>
        <r>
          <rPr>
            <b/>
            <sz val="8"/>
            <color indexed="81"/>
            <rFont val="Tahoma"/>
            <family val="2"/>
          </rPr>
          <t>dliu:</t>
        </r>
        <r>
          <rPr>
            <sz val="8"/>
            <color indexed="81"/>
            <rFont val="Tahoma"/>
            <family val="2"/>
          </rPr>
          <t xml:space="preserve">
96.5</t>
        </r>
      </text>
    </comment>
    <comment ref="AD58" authorId="2">
      <text>
        <r>
          <rPr>
            <b/>
            <sz val="8"/>
            <color indexed="81"/>
            <rFont val="Tahoma"/>
            <family val="2"/>
          </rPr>
          <t>dliu:</t>
        </r>
        <r>
          <rPr>
            <sz val="8"/>
            <color indexed="81"/>
            <rFont val="Tahoma"/>
            <family val="2"/>
          </rPr>
          <t xml:space="preserve">
7.5</t>
        </r>
      </text>
    </comment>
    <comment ref="AG58" authorId="2">
      <text>
        <r>
          <rPr>
            <b/>
            <sz val="8"/>
            <color indexed="81"/>
            <rFont val="Tahoma"/>
            <family val="2"/>
          </rPr>
          <t>dliu:</t>
        </r>
        <r>
          <rPr>
            <sz val="8"/>
            <color indexed="81"/>
            <rFont val="Tahoma"/>
            <family val="2"/>
          </rPr>
          <t xml:space="preserve">
104.0</t>
        </r>
      </text>
    </comment>
    <comment ref="AJ58" authorId="2">
      <text>
        <r>
          <rPr>
            <b/>
            <sz val="8"/>
            <color indexed="81"/>
            <rFont val="Tahoma"/>
            <family val="2"/>
          </rPr>
          <t>dliu:</t>
        </r>
        <r>
          <rPr>
            <sz val="8"/>
            <color indexed="81"/>
            <rFont val="Tahoma"/>
            <family val="2"/>
          </rPr>
          <t xml:space="preserve">
4.8</t>
        </r>
      </text>
    </comment>
    <comment ref="AR58" authorId="2">
      <text>
        <r>
          <rPr>
            <b/>
            <sz val="8"/>
            <color indexed="81"/>
            <rFont val="Tahoma"/>
            <family val="2"/>
          </rPr>
          <t>dliu:</t>
        </r>
        <r>
          <rPr>
            <sz val="8"/>
            <color indexed="81"/>
            <rFont val="Tahoma"/>
            <family val="2"/>
          </rPr>
          <t xml:space="preserve">
108.8</t>
        </r>
      </text>
    </comment>
    <comment ref="AD59" authorId="2">
      <text>
        <r>
          <rPr>
            <b/>
            <sz val="8"/>
            <color indexed="81"/>
            <rFont val="Tahoma"/>
            <family val="2"/>
          </rPr>
          <t>dliu:</t>
        </r>
        <r>
          <rPr>
            <sz val="8"/>
            <color indexed="81"/>
            <rFont val="Tahoma"/>
            <family val="2"/>
          </rPr>
          <t xml:space="preserve">
7</t>
        </r>
      </text>
    </comment>
    <comment ref="AJ59" authorId="2">
      <text>
        <r>
          <rPr>
            <b/>
            <sz val="8"/>
            <color indexed="81"/>
            <rFont val="Tahoma"/>
            <family val="2"/>
          </rPr>
          <t>dliu:</t>
        </r>
        <r>
          <rPr>
            <sz val="8"/>
            <color indexed="81"/>
            <rFont val="Tahoma"/>
            <family val="2"/>
          </rPr>
          <t xml:space="preserve">
4.9</t>
        </r>
      </text>
    </comment>
    <comment ref="D60" authorId="2">
      <text>
        <r>
          <rPr>
            <b/>
            <sz val="8"/>
            <color indexed="81"/>
            <rFont val="Tahoma"/>
            <family val="2"/>
          </rPr>
          <t>dliu:</t>
        </r>
        <r>
          <rPr>
            <sz val="8"/>
            <color indexed="81"/>
            <rFont val="Tahoma"/>
            <family val="2"/>
          </rPr>
          <t xml:space="preserve">
73.9</t>
        </r>
      </text>
    </comment>
    <comment ref="J60" authorId="2">
      <text>
        <r>
          <rPr>
            <b/>
            <sz val="8"/>
            <color indexed="81"/>
            <rFont val="Tahoma"/>
            <family val="2"/>
          </rPr>
          <t>dliu:</t>
        </r>
        <r>
          <rPr>
            <sz val="8"/>
            <color indexed="81"/>
            <rFont val="Tahoma"/>
            <family val="2"/>
          </rPr>
          <t xml:space="preserve">
53.4</t>
        </r>
      </text>
    </comment>
    <comment ref="AD60" authorId="2">
      <text>
        <r>
          <rPr>
            <b/>
            <sz val="8"/>
            <color indexed="81"/>
            <rFont val="Tahoma"/>
            <family val="2"/>
          </rPr>
          <t>dliu:</t>
        </r>
        <r>
          <rPr>
            <sz val="8"/>
            <color indexed="81"/>
            <rFont val="Tahoma"/>
            <family val="2"/>
          </rPr>
          <t xml:space="preserve">
12.69</t>
        </r>
      </text>
    </comment>
    <comment ref="AJ60" authorId="2">
      <text>
        <r>
          <rPr>
            <b/>
            <sz val="8"/>
            <color indexed="81"/>
            <rFont val="Tahoma"/>
            <family val="2"/>
          </rPr>
          <t>dliu:</t>
        </r>
        <r>
          <rPr>
            <sz val="8"/>
            <color indexed="81"/>
            <rFont val="Tahoma"/>
            <family val="2"/>
          </rPr>
          <t xml:space="preserve">
5.486</t>
        </r>
      </text>
    </comment>
    <comment ref="AR60" authorId="2">
      <text>
        <r>
          <rPr>
            <b/>
            <sz val="8"/>
            <color indexed="81"/>
            <rFont val="Tahoma"/>
            <family val="2"/>
          </rPr>
          <t>dliu:</t>
        </r>
        <r>
          <rPr>
            <sz val="8"/>
            <color indexed="81"/>
            <rFont val="Tahoma"/>
            <family val="2"/>
          </rPr>
          <t xml:space="preserve">
142.331</t>
        </r>
      </text>
    </comment>
    <comment ref="D61" authorId="2">
      <text>
        <r>
          <rPr>
            <b/>
            <sz val="8"/>
            <color indexed="81"/>
            <rFont val="Tahoma"/>
            <family val="2"/>
          </rPr>
          <t>dliu:</t>
        </r>
        <r>
          <rPr>
            <sz val="8"/>
            <color indexed="81"/>
            <rFont val="Tahoma"/>
            <family val="2"/>
          </rPr>
          <t xml:space="preserve">
79.3</t>
        </r>
      </text>
    </comment>
    <comment ref="J61" authorId="2">
      <text>
        <r>
          <rPr>
            <b/>
            <sz val="8"/>
            <color indexed="81"/>
            <rFont val="Tahoma"/>
            <family val="2"/>
          </rPr>
          <t>dliu:</t>
        </r>
        <r>
          <rPr>
            <sz val="8"/>
            <color indexed="81"/>
            <rFont val="Tahoma"/>
            <family val="2"/>
          </rPr>
          <t xml:space="preserve">
70.1</t>
        </r>
      </text>
    </comment>
    <comment ref="AD61" authorId="2">
      <text>
        <r>
          <rPr>
            <b/>
            <sz val="8"/>
            <color indexed="81"/>
            <rFont val="Tahoma"/>
            <family val="2"/>
          </rPr>
          <t>dliu:</t>
        </r>
        <r>
          <rPr>
            <sz val="8"/>
            <color indexed="81"/>
            <rFont val="Tahoma"/>
            <family val="2"/>
          </rPr>
          <t xml:space="preserve">
11.5</t>
        </r>
      </text>
    </comment>
    <comment ref="AJ61" authorId="1">
      <text>
        <r>
          <rPr>
            <b/>
            <sz val="8"/>
            <color indexed="81"/>
            <rFont val="Tahoma"/>
            <family val="2"/>
          </rPr>
          <t>Lehman Brothers:</t>
        </r>
        <r>
          <rPr>
            <sz val="8"/>
            <color indexed="81"/>
            <rFont val="Tahoma"/>
            <family val="2"/>
          </rPr>
          <t xml:space="preserve">
includes sales from 2 FP stores, assumed open for entire 4Q. (scrap that) 3.3</t>
        </r>
      </text>
    </comment>
    <comment ref="AR61" authorId="2">
      <text>
        <r>
          <rPr>
            <b/>
            <sz val="8"/>
            <color indexed="81"/>
            <rFont val="Tahoma"/>
            <family val="2"/>
          </rPr>
          <t>dliu:</t>
        </r>
        <r>
          <rPr>
            <sz val="8"/>
            <color indexed="81"/>
            <rFont val="Tahoma"/>
            <family val="2"/>
          </rPr>
          <t xml:space="preserve">
164.2</t>
        </r>
      </text>
    </comment>
    <comment ref="D65" authorId="2">
      <text>
        <r>
          <rPr>
            <b/>
            <sz val="8"/>
            <color indexed="81"/>
            <rFont val="Tahoma"/>
            <family val="2"/>
          </rPr>
          <t>dliu:</t>
        </r>
        <r>
          <rPr>
            <sz val="8"/>
            <color indexed="81"/>
            <rFont val="Tahoma"/>
            <family val="2"/>
          </rPr>
          <t xml:space="preserve">
72.9</t>
        </r>
      </text>
    </comment>
    <comment ref="J65" authorId="2">
      <text>
        <r>
          <rPr>
            <b/>
            <sz val="8"/>
            <color indexed="81"/>
            <rFont val="Tahoma"/>
            <family val="2"/>
          </rPr>
          <t>dliu:</t>
        </r>
        <r>
          <rPr>
            <sz val="8"/>
            <color indexed="81"/>
            <rFont val="Tahoma"/>
            <family val="2"/>
          </rPr>
          <t xml:space="preserve">
60.9</t>
        </r>
      </text>
    </comment>
    <comment ref="Z65" authorId="2">
      <text>
        <r>
          <rPr>
            <b/>
            <sz val="8"/>
            <color indexed="81"/>
            <rFont val="Tahoma"/>
            <family val="2"/>
          </rPr>
          <t>dliu:</t>
        </r>
        <r>
          <rPr>
            <sz val="8"/>
            <color indexed="81"/>
            <rFont val="Tahoma"/>
            <family val="2"/>
          </rPr>
          <t xml:space="preserve">
133.8</t>
        </r>
      </text>
    </comment>
    <comment ref="AD65" authorId="2">
      <text>
        <r>
          <rPr>
            <b/>
            <sz val="8"/>
            <color indexed="81"/>
            <rFont val="Tahoma"/>
            <family val="2"/>
          </rPr>
          <t>dliu:</t>
        </r>
        <r>
          <rPr>
            <sz val="8"/>
            <color indexed="81"/>
            <rFont val="Tahoma"/>
            <family val="2"/>
          </rPr>
          <t xml:space="preserve">
13.5</t>
        </r>
      </text>
    </comment>
    <comment ref="AJ65" authorId="2">
      <text>
        <r>
          <rPr>
            <b/>
            <sz val="8"/>
            <color indexed="81"/>
            <rFont val="Tahoma"/>
            <family val="2"/>
          </rPr>
          <t>dliu:</t>
        </r>
        <r>
          <rPr>
            <sz val="8"/>
            <color indexed="81"/>
            <rFont val="Tahoma"/>
            <family val="2"/>
          </rPr>
          <t xml:space="preserve">
4.9</t>
        </r>
      </text>
    </comment>
    <comment ref="AR65" authorId="2">
      <text>
        <r>
          <rPr>
            <b/>
            <sz val="8"/>
            <color indexed="81"/>
            <rFont val="Tahoma"/>
            <family val="2"/>
          </rPr>
          <t>dliu:</t>
        </r>
        <r>
          <rPr>
            <sz val="8"/>
            <color indexed="81"/>
            <rFont val="Tahoma"/>
            <family val="2"/>
          </rPr>
          <t xml:space="preserve">
152.2</t>
        </r>
      </text>
    </comment>
    <comment ref="D66" authorId="3">
      <text>
        <r>
          <rPr>
            <b/>
            <sz val="8"/>
            <color indexed="81"/>
            <rFont val="Tahoma"/>
            <family val="2"/>
          </rPr>
          <t>Corinna Freedman:</t>
        </r>
        <r>
          <rPr>
            <sz val="8"/>
            <color indexed="81"/>
            <rFont val="Tahoma"/>
            <family val="2"/>
          </rPr>
          <t xml:space="preserve">
84.7</t>
        </r>
      </text>
    </comment>
    <comment ref="J66" authorId="3">
      <text>
        <r>
          <rPr>
            <b/>
            <sz val="8"/>
            <color indexed="81"/>
            <rFont val="Tahoma"/>
            <family val="2"/>
          </rPr>
          <t>Corinna Freedman:</t>
        </r>
        <r>
          <rPr>
            <sz val="8"/>
            <color indexed="81"/>
            <rFont val="Tahoma"/>
            <family val="2"/>
          </rPr>
          <t xml:space="preserve">
69.1</t>
        </r>
      </text>
    </comment>
    <comment ref="Z66" authorId="3">
      <text>
        <r>
          <rPr>
            <b/>
            <sz val="8"/>
            <color indexed="81"/>
            <rFont val="Tahoma"/>
            <family val="2"/>
          </rPr>
          <t>Corinna Freedman:</t>
        </r>
        <r>
          <rPr>
            <sz val="8"/>
            <color indexed="81"/>
            <rFont val="Tahoma"/>
            <family val="2"/>
          </rPr>
          <t xml:space="preserve">
153.8</t>
        </r>
      </text>
    </comment>
    <comment ref="AD66" authorId="3">
      <text>
        <r>
          <rPr>
            <b/>
            <sz val="8"/>
            <color indexed="81"/>
            <rFont val="Tahoma"/>
            <family val="2"/>
          </rPr>
          <t>Corinna Freedman:</t>
        </r>
        <r>
          <rPr>
            <sz val="8"/>
            <color indexed="81"/>
            <rFont val="Tahoma"/>
            <family val="2"/>
          </rPr>
          <t xml:space="preserve">
18</t>
        </r>
      </text>
    </comment>
    <comment ref="AJ66" authorId="3">
      <text>
        <r>
          <rPr>
            <b/>
            <sz val="8"/>
            <color indexed="81"/>
            <rFont val="Tahoma"/>
            <family val="2"/>
          </rPr>
          <t>Corinna Freedman:</t>
        </r>
        <r>
          <rPr>
            <sz val="8"/>
            <color indexed="81"/>
            <rFont val="Tahoma"/>
            <family val="2"/>
          </rPr>
          <t xml:space="preserve">
6</t>
        </r>
      </text>
    </comment>
    <comment ref="AR66" authorId="3">
      <text>
        <r>
          <rPr>
            <b/>
            <sz val="8"/>
            <color indexed="81"/>
            <rFont val="Tahoma"/>
            <family val="2"/>
          </rPr>
          <t>Corinna Freedman:</t>
        </r>
        <r>
          <rPr>
            <sz val="8"/>
            <color indexed="81"/>
            <rFont val="Tahoma"/>
            <family val="2"/>
          </rPr>
          <t xml:space="preserve">
177.8</t>
        </r>
      </text>
    </comment>
    <comment ref="D67" authorId="3">
      <text>
        <r>
          <rPr>
            <b/>
            <sz val="8"/>
            <color indexed="81"/>
            <rFont val="Tahoma"/>
            <family val="2"/>
          </rPr>
          <t>Corinna Freedman:</t>
        </r>
        <r>
          <rPr>
            <sz val="8"/>
            <color indexed="81"/>
            <rFont val="Tahoma"/>
            <family val="2"/>
          </rPr>
          <t xml:space="preserve">
103.1m prev est</t>
        </r>
      </text>
    </comment>
    <comment ref="J67" authorId="3">
      <text>
        <r>
          <rPr>
            <b/>
            <sz val="8"/>
            <color indexed="81"/>
            <rFont val="Tahoma"/>
            <family val="2"/>
          </rPr>
          <t>Corinna Freedman:</t>
        </r>
        <r>
          <rPr>
            <sz val="8"/>
            <color indexed="81"/>
            <rFont val="Tahoma"/>
            <family val="2"/>
          </rPr>
          <t xml:space="preserve">
78m prev est</t>
        </r>
      </text>
    </comment>
    <comment ref="AD67" authorId="3">
      <text>
        <r>
          <rPr>
            <b/>
            <sz val="8"/>
            <color indexed="81"/>
            <rFont val="Tahoma"/>
            <family val="2"/>
          </rPr>
          <t>Corinna Freedman:</t>
        </r>
        <r>
          <rPr>
            <sz val="8"/>
            <color indexed="81"/>
            <rFont val="Tahoma"/>
            <family val="2"/>
          </rPr>
          <t xml:space="preserve">
23m prev est</t>
        </r>
      </text>
    </comment>
    <comment ref="AJ67" authorId="3">
      <text>
        <r>
          <rPr>
            <b/>
            <sz val="8"/>
            <color indexed="81"/>
            <rFont val="Tahoma"/>
            <family val="2"/>
          </rPr>
          <t>Corinna Freedman:</t>
        </r>
        <r>
          <rPr>
            <sz val="8"/>
            <color indexed="81"/>
            <rFont val="Tahoma"/>
            <family val="2"/>
          </rPr>
          <t xml:space="preserve">
7m prev est</t>
        </r>
      </text>
    </comment>
    <comment ref="D68" authorId="3">
      <text>
        <r>
          <rPr>
            <b/>
            <sz val="8"/>
            <color indexed="81"/>
            <rFont val="Tahoma"/>
            <family val="2"/>
          </rPr>
          <t>Corinna Freedman:</t>
        </r>
        <r>
          <rPr>
            <sz val="8"/>
            <color indexed="81"/>
            <rFont val="Tahoma"/>
            <family val="2"/>
          </rPr>
          <t xml:space="preserve">
112.1</t>
        </r>
      </text>
    </comment>
    <comment ref="J68" authorId="3">
      <text>
        <r>
          <rPr>
            <b/>
            <sz val="8"/>
            <color indexed="81"/>
            <rFont val="Tahoma"/>
            <family val="2"/>
          </rPr>
          <t>Corinna Freedman:</t>
        </r>
        <r>
          <rPr>
            <sz val="8"/>
            <color indexed="81"/>
            <rFont val="Tahoma"/>
            <family val="2"/>
          </rPr>
          <t xml:space="preserve">
98.7</t>
        </r>
      </text>
    </comment>
    <comment ref="AD68" authorId="3">
      <text>
        <r>
          <rPr>
            <b/>
            <sz val="8"/>
            <color indexed="81"/>
            <rFont val="Tahoma"/>
            <family val="2"/>
          </rPr>
          <t>Corinna Freedman:</t>
        </r>
        <r>
          <rPr>
            <sz val="8"/>
            <color indexed="81"/>
            <rFont val="Tahoma"/>
            <family val="2"/>
          </rPr>
          <t xml:space="preserve">
30</t>
        </r>
      </text>
    </comment>
    <comment ref="D73" authorId="3">
      <text>
        <r>
          <rPr>
            <b/>
            <sz val="8"/>
            <color indexed="81"/>
            <rFont val="Tahoma"/>
            <family val="2"/>
          </rPr>
          <t>Corinna Freedman:</t>
        </r>
        <r>
          <rPr>
            <sz val="8"/>
            <color indexed="81"/>
            <rFont val="Tahoma"/>
            <family val="2"/>
          </rPr>
          <t xml:space="preserve">
117.9</t>
        </r>
      </text>
    </comment>
    <comment ref="J73" authorId="3">
      <text>
        <r>
          <rPr>
            <b/>
            <sz val="8"/>
            <color indexed="81"/>
            <rFont val="Tahoma"/>
            <family val="2"/>
          </rPr>
          <t>Corinna Freedman:</t>
        </r>
        <r>
          <rPr>
            <sz val="8"/>
            <color indexed="81"/>
            <rFont val="Tahoma"/>
            <family val="2"/>
          </rPr>
          <t xml:space="preserve">
93.6</t>
        </r>
      </text>
    </comment>
    <comment ref="D74" authorId="3">
      <text>
        <r>
          <rPr>
            <b/>
            <sz val="8"/>
            <color indexed="81"/>
            <rFont val="Tahoma"/>
            <family val="2"/>
          </rPr>
          <t>Corinna Freedman:</t>
        </r>
        <r>
          <rPr>
            <sz val="8"/>
            <color indexed="81"/>
            <rFont val="Tahoma"/>
            <family val="2"/>
          </rPr>
          <t xml:space="preserve">
137.6</t>
        </r>
      </text>
    </comment>
    <comment ref="AD74" authorId="4">
      <text>
        <r>
          <rPr>
            <b/>
            <sz val="8"/>
            <color indexed="81"/>
            <rFont val="Tahoma"/>
            <family val="2"/>
          </rPr>
          <t>Kimberly Greenberger:</t>
        </r>
        <r>
          <rPr>
            <sz val="8"/>
            <color indexed="81"/>
            <rFont val="Tahoma"/>
            <family val="2"/>
          </rPr>
          <t xml:space="preserve">
UO cat distrib down 11%
Anth cat up 26%
Total cat circ 3Q05 +11%</t>
        </r>
      </text>
    </comment>
    <comment ref="AE74" authorId="4">
      <text>
        <r>
          <rPr>
            <b/>
            <sz val="8"/>
            <color indexed="81"/>
            <rFont val="Tahoma"/>
            <family val="2"/>
          </rPr>
          <t>Kimberly Greenberger:</t>
        </r>
        <r>
          <rPr>
            <sz val="8"/>
            <color indexed="81"/>
            <rFont val="Tahoma"/>
            <family val="2"/>
          </rPr>
          <t xml:space="preserve">
UO cat distrib down 11%
Anth cat up 26%
Total cat circ 3Q05 +11%</t>
        </r>
      </text>
    </comment>
    <comment ref="D75" authorId="5">
      <text>
        <r>
          <rPr>
            <b/>
            <sz val="8"/>
            <color indexed="81"/>
            <rFont val="Tahoma"/>
            <family val="2"/>
          </rPr>
          <t>MB33100:</t>
        </r>
        <r>
          <rPr>
            <sz val="8"/>
            <color indexed="81"/>
            <rFont val="Tahoma"/>
            <family val="2"/>
          </rPr>
          <t xml:space="preserve">
148.5</t>
        </r>
      </text>
    </comment>
    <comment ref="J75" authorId="5">
      <text>
        <r>
          <rPr>
            <b/>
            <sz val="8"/>
            <color indexed="81"/>
            <rFont val="Tahoma"/>
            <family val="2"/>
          </rPr>
          <t>MB33100:</t>
        </r>
        <r>
          <rPr>
            <sz val="8"/>
            <color indexed="81"/>
            <rFont val="Tahoma"/>
            <family val="2"/>
          </rPr>
          <t xml:space="preserve">
120.5</t>
        </r>
      </text>
    </comment>
    <comment ref="AD75" authorId="4">
      <text>
        <r>
          <rPr>
            <b/>
            <sz val="8"/>
            <color indexed="81"/>
            <rFont val="Tahoma"/>
            <family val="2"/>
          </rPr>
          <t>Kimberly Greenberger:</t>
        </r>
        <r>
          <rPr>
            <sz val="8"/>
            <color indexed="81"/>
            <rFont val="Tahoma"/>
            <family val="2"/>
          </rPr>
          <t xml:space="preserve">
11/10/05 Previous est was 40% direct sales growth before 3Q05 actual released. Reduced to 35% growth after 3Q decelerated to 33%. Now $45.1m vs. $46.8m prior. May need to increase given catalog circ acceleration from 3Q</t>
        </r>
      </text>
    </comment>
    <comment ref="AE75" authorId="4">
      <text>
        <r>
          <rPr>
            <b/>
            <sz val="8"/>
            <color indexed="81"/>
            <rFont val="Tahoma"/>
            <family val="2"/>
          </rPr>
          <t>Kimberly Greenberger:</t>
        </r>
        <r>
          <rPr>
            <sz val="8"/>
            <color indexed="81"/>
            <rFont val="Tahoma"/>
            <family val="2"/>
          </rPr>
          <t xml:space="preserve">
expect 4Q catalog circulation:
+25% UO
+11% Anth
+17-18% total company</t>
        </r>
      </text>
    </comment>
    <comment ref="D79" authorId="5">
      <text>
        <r>
          <rPr>
            <b/>
            <sz val="8"/>
            <color indexed="81"/>
            <rFont val="Tahoma"/>
            <family val="2"/>
          </rPr>
          <t>MB33100:</t>
        </r>
        <r>
          <rPr>
            <sz val="8"/>
            <color indexed="81"/>
            <rFont val="Tahoma"/>
            <family val="2"/>
          </rPr>
          <t xml:space="preserve">
119.2</t>
        </r>
      </text>
    </comment>
    <comment ref="J79" authorId="5">
      <text>
        <r>
          <rPr>
            <b/>
            <sz val="8"/>
            <color indexed="81"/>
            <rFont val="Tahoma"/>
            <family val="2"/>
          </rPr>
          <t>MB33100:</t>
        </r>
        <r>
          <rPr>
            <sz val="8"/>
            <color indexed="81"/>
            <rFont val="Tahoma"/>
            <family val="2"/>
          </rPr>
          <t xml:space="preserve">
100.4
</t>
        </r>
      </text>
    </comment>
    <comment ref="D80" authorId="5">
      <text>
        <r>
          <rPr>
            <b/>
            <sz val="8"/>
            <color indexed="81"/>
            <rFont val="Tahoma"/>
            <family val="2"/>
          </rPr>
          <t>MB33100:</t>
        </r>
        <r>
          <rPr>
            <sz val="8"/>
            <color indexed="81"/>
            <rFont val="Tahoma"/>
            <family val="2"/>
          </rPr>
          <t xml:space="preserve">
138</t>
        </r>
      </text>
    </comment>
    <comment ref="J80" authorId="5">
      <text>
        <r>
          <rPr>
            <b/>
            <sz val="8"/>
            <color indexed="81"/>
            <rFont val="Tahoma"/>
            <family val="2"/>
          </rPr>
          <t>MB33100:</t>
        </r>
        <r>
          <rPr>
            <sz val="8"/>
            <color indexed="81"/>
            <rFont val="Tahoma"/>
            <family val="2"/>
          </rPr>
          <t xml:space="preserve">
110.5
</t>
        </r>
      </text>
    </comment>
    <comment ref="AD80" authorId="5">
      <text>
        <r>
          <rPr>
            <b/>
            <sz val="8"/>
            <color indexed="81"/>
            <rFont val="Tahoma"/>
            <family val="2"/>
          </rPr>
          <t>MB33100:</t>
        </r>
        <r>
          <rPr>
            <sz val="8"/>
            <color indexed="81"/>
            <rFont val="Tahoma"/>
            <family val="2"/>
          </rPr>
          <t xml:space="preserve">
33.9</t>
        </r>
      </text>
    </comment>
    <comment ref="AJ80" authorId="5">
      <text>
        <r>
          <rPr>
            <b/>
            <sz val="8"/>
            <color indexed="81"/>
            <rFont val="Tahoma"/>
            <family val="2"/>
          </rPr>
          <t>MB33100:</t>
        </r>
        <r>
          <rPr>
            <sz val="8"/>
            <color indexed="81"/>
            <rFont val="Tahoma"/>
            <family val="2"/>
          </rPr>
          <t xml:space="preserve">
20.1</t>
        </r>
      </text>
    </comment>
    <comment ref="D81" authorId="5">
      <text>
        <r>
          <rPr>
            <b/>
            <sz val="8"/>
            <color indexed="81"/>
            <rFont val="Tahoma"/>
            <family val="2"/>
          </rPr>
          <t>MB33100:</t>
        </r>
        <r>
          <rPr>
            <sz val="8"/>
            <color indexed="81"/>
            <rFont val="Tahoma"/>
            <family val="2"/>
          </rPr>
          <t xml:space="preserve">
145.4</t>
        </r>
      </text>
    </comment>
    <comment ref="J81" authorId="5">
      <text>
        <r>
          <rPr>
            <b/>
            <sz val="8"/>
            <color indexed="81"/>
            <rFont val="Tahoma"/>
            <family val="2"/>
          </rPr>
          <t>MB33100:</t>
        </r>
        <r>
          <rPr>
            <sz val="8"/>
            <color indexed="81"/>
            <rFont val="Tahoma"/>
            <family val="2"/>
          </rPr>
          <t xml:space="preserve">
112.0</t>
        </r>
      </text>
    </comment>
    <comment ref="AD81" authorId="5">
      <text>
        <r>
          <rPr>
            <b/>
            <sz val="8"/>
            <color indexed="81"/>
            <rFont val="Tahoma"/>
            <family val="2"/>
          </rPr>
          <t>MB33100:</t>
        </r>
        <r>
          <rPr>
            <sz val="8"/>
            <color indexed="81"/>
            <rFont val="Tahoma"/>
            <family val="2"/>
          </rPr>
          <t xml:space="preserve">
35.2</t>
        </r>
      </text>
    </comment>
    <comment ref="AJ81" authorId="5">
      <text>
        <r>
          <rPr>
            <b/>
            <sz val="8"/>
            <color indexed="81"/>
            <rFont val="Tahoma"/>
            <family val="2"/>
          </rPr>
          <t>MB33100:</t>
        </r>
        <r>
          <rPr>
            <sz val="8"/>
            <color indexed="81"/>
            <rFont val="Tahoma"/>
            <family val="2"/>
          </rPr>
          <t xml:space="preserve">
31.3</t>
        </r>
      </text>
    </comment>
    <comment ref="D82" authorId="5">
      <text>
        <r>
          <rPr>
            <b/>
            <sz val="8"/>
            <color indexed="81"/>
            <rFont val="Tahoma"/>
            <family val="2"/>
          </rPr>
          <t>MB33100:</t>
        </r>
        <r>
          <rPr>
            <sz val="8"/>
            <color indexed="81"/>
            <rFont val="Tahoma"/>
            <family val="2"/>
          </rPr>
          <t xml:space="preserve">
159.6</t>
        </r>
      </text>
    </comment>
    <comment ref="J82" authorId="5">
      <text>
        <r>
          <rPr>
            <b/>
            <sz val="8"/>
            <color indexed="81"/>
            <rFont val="Tahoma"/>
            <family val="2"/>
          </rPr>
          <t>MB33100:</t>
        </r>
        <r>
          <rPr>
            <sz val="8"/>
            <color indexed="81"/>
            <rFont val="Tahoma"/>
            <family val="2"/>
          </rPr>
          <t xml:space="preserve">
125.4</t>
        </r>
      </text>
    </comment>
    <comment ref="AD82" authorId="5">
      <text>
        <r>
          <rPr>
            <b/>
            <sz val="8"/>
            <color indexed="81"/>
            <rFont val="Tahoma"/>
            <family val="2"/>
          </rPr>
          <t>MB33100:</t>
        </r>
        <r>
          <rPr>
            <sz val="8"/>
            <color indexed="81"/>
            <rFont val="Tahoma"/>
            <family val="2"/>
          </rPr>
          <t xml:space="preserve">
51.2</t>
        </r>
      </text>
    </comment>
    <comment ref="AJ82" authorId="5">
      <text>
        <r>
          <rPr>
            <b/>
            <sz val="8"/>
            <color indexed="81"/>
            <rFont val="Tahoma"/>
            <family val="2"/>
          </rPr>
          <t>MB33100:</t>
        </r>
        <r>
          <rPr>
            <sz val="8"/>
            <color indexed="81"/>
            <rFont val="Tahoma"/>
            <family val="2"/>
          </rPr>
          <t xml:space="preserve">
19.9</t>
        </r>
      </text>
    </comment>
    <comment ref="AD83" authorId="6">
      <text>
        <r>
          <rPr>
            <b/>
            <sz val="8"/>
            <color indexed="81"/>
            <rFont val="Tahoma"/>
            <family val="2"/>
          </rPr>
          <t>mm98285:</t>
        </r>
        <r>
          <rPr>
            <sz val="8"/>
            <color indexed="81"/>
            <rFont val="Tahoma"/>
            <family val="2"/>
          </rPr>
          <t xml:space="preserve">
$71.5mm U.O.
$72.5mm Anthro
$8mm F.P.</t>
        </r>
      </text>
    </comment>
    <comment ref="D86" authorId="6">
      <text>
        <r>
          <rPr>
            <b/>
            <sz val="8"/>
            <color indexed="81"/>
            <rFont val="Tahoma"/>
            <family val="2"/>
          </rPr>
          <t>mm98285:</t>
        </r>
        <r>
          <rPr>
            <sz val="8"/>
            <color indexed="81"/>
            <rFont val="Tahoma"/>
            <family val="2"/>
          </rPr>
          <t xml:space="preserve">
132.0</t>
        </r>
      </text>
    </comment>
    <comment ref="J86" authorId="6">
      <text>
        <r>
          <rPr>
            <b/>
            <sz val="8"/>
            <color indexed="81"/>
            <rFont val="Tahoma"/>
            <family val="2"/>
          </rPr>
          <t>mm98285:</t>
        </r>
        <r>
          <rPr>
            <sz val="8"/>
            <color indexed="81"/>
            <rFont val="Tahoma"/>
            <family val="2"/>
          </rPr>
          <t xml:space="preserve">
118.9</t>
        </r>
      </text>
    </comment>
    <comment ref="AD86" authorId="6">
      <text>
        <r>
          <rPr>
            <b/>
            <sz val="8"/>
            <color indexed="81"/>
            <rFont val="Tahoma"/>
            <family val="2"/>
          </rPr>
          <t>mm98285:</t>
        </r>
        <r>
          <rPr>
            <sz val="8"/>
            <color indexed="81"/>
            <rFont val="Tahoma"/>
            <family val="2"/>
          </rPr>
          <t xml:space="preserve">
40.2</t>
        </r>
      </text>
    </comment>
    <comment ref="AJ86" authorId="6">
      <text>
        <r>
          <rPr>
            <b/>
            <sz val="8"/>
            <color indexed="81"/>
            <rFont val="Tahoma"/>
            <family val="2"/>
          </rPr>
          <t>mm98285:</t>
        </r>
        <r>
          <rPr>
            <sz val="8"/>
            <color indexed="81"/>
            <rFont val="Tahoma"/>
            <family val="2"/>
          </rPr>
          <t xml:space="preserve">
26.3</t>
        </r>
      </text>
    </comment>
    <comment ref="AR86" authorId="6">
      <text>
        <r>
          <rPr>
            <b/>
            <sz val="8"/>
            <color indexed="81"/>
            <rFont val="Tahoma"/>
            <family val="2"/>
          </rPr>
          <t>mm98285:</t>
        </r>
        <r>
          <rPr>
            <sz val="8"/>
            <color indexed="81"/>
            <rFont val="Tahoma"/>
            <family val="2"/>
          </rPr>
          <t xml:space="preserve">
317.3</t>
        </r>
      </text>
    </comment>
    <comment ref="D87" authorId="6">
      <text>
        <r>
          <rPr>
            <b/>
            <sz val="8"/>
            <color indexed="81"/>
            <rFont val="Tahoma"/>
            <family val="2"/>
          </rPr>
          <t>mm98285:</t>
        </r>
        <r>
          <rPr>
            <sz val="8"/>
            <color indexed="81"/>
            <rFont val="Tahoma"/>
            <family val="2"/>
          </rPr>
          <t xml:space="preserve">
North America: 34.9% and European: 5.9% of sales in 1H07
138.4 est</t>
        </r>
      </text>
    </comment>
    <comment ref="J87" authorId="6">
      <text>
        <r>
          <rPr>
            <b/>
            <sz val="8"/>
            <color indexed="81"/>
            <rFont val="Tahoma"/>
            <family val="2"/>
          </rPr>
          <t>mm98285:</t>
        </r>
        <r>
          <rPr>
            <sz val="8"/>
            <color indexed="81"/>
            <rFont val="Tahoma"/>
            <family val="2"/>
          </rPr>
          <t xml:space="preserve">
140.1 est</t>
        </r>
      </text>
    </comment>
    <comment ref="AD87" authorId="6">
      <text>
        <r>
          <rPr>
            <b/>
            <sz val="8"/>
            <color indexed="81"/>
            <rFont val="Tahoma"/>
            <family val="2"/>
          </rPr>
          <t>mm98285:</t>
        </r>
        <r>
          <rPr>
            <sz val="8"/>
            <color indexed="81"/>
            <rFont val="Tahoma"/>
            <family val="2"/>
          </rPr>
          <t xml:space="preserve">
39.4 est (25% growth)</t>
        </r>
      </text>
    </comment>
    <comment ref="AJ87" authorId="6">
      <text>
        <r>
          <rPr>
            <b/>
            <sz val="8"/>
            <color indexed="81"/>
            <rFont val="Tahoma"/>
            <family val="2"/>
          </rPr>
          <t>mm98285:</t>
        </r>
        <r>
          <rPr>
            <sz val="8"/>
            <color indexed="81"/>
            <rFont val="Tahoma"/>
            <family val="2"/>
          </rPr>
          <t xml:space="preserve">
24.8 est (20% growth)</t>
        </r>
      </text>
    </comment>
    <comment ref="AR87" authorId="6">
      <text>
        <r>
          <rPr>
            <b/>
            <sz val="8"/>
            <color indexed="81"/>
            <rFont val="Tahoma"/>
            <family val="2"/>
          </rPr>
          <t>mm98285:</t>
        </r>
        <r>
          <rPr>
            <sz val="8"/>
            <color indexed="81"/>
            <rFont val="Tahoma"/>
            <family val="2"/>
          </rPr>
          <t xml:space="preserve">
342.7 est</t>
        </r>
      </text>
    </comment>
    <comment ref="D88" authorId="6">
      <text>
        <r>
          <rPr>
            <b/>
            <sz val="8"/>
            <color indexed="81"/>
            <rFont val="Tahoma"/>
            <family val="2"/>
          </rPr>
          <t>mm98285:</t>
        </r>
        <r>
          <rPr>
            <sz val="8"/>
            <color indexed="81"/>
            <rFont val="Tahoma"/>
            <family val="2"/>
          </rPr>
          <t xml:space="preserve">
$164.7 est</t>
        </r>
      </text>
    </comment>
    <comment ref="J88" authorId="6">
      <text>
        <r>
          <rPr>
            <b/>
            <sz val="8"/>
            <color indexed="81"/>
            <rFont val="Tahoma"/>
            <family val="2"/>
          </rPr>
          <t>mm98285:</t>
        </r>
        <r>
          <rPr>
            <sz val="8"/>
            <color indexed="81"/>
            <rFont val="Tahoma"/>
            <family val="2"/>
          </rPr>
          <t xml:space="preserve">
$137.9 est</t>
        </r>
      </text>
    </comment>
    <comment ref="AD88" authorId="6">
      <text>
        <r>
          <rPr>
            <b/>
            <sz val="8"/>
            <color indexed="81"/>
            <rFont val="Tahoma"/>
            <family val="2"/>
          </rPr>
          <t>mm98285:</t>
        </r>
        <r>
          <rPr>
            <sz val="8"/>
            <color indexed="81"/>
            <rFont val="Tahoma"/>
            <family val="2"/>
          </rPr>
          <t xml:space="preserve">
$48.7 est</t>
        </r>
      </text>
    </comment>
    <comment ref="AJ88" authorId="6">
      <text>
        <r>
          <rPr>
            <b/>
            <sz val="8"/>
            <color indexed="81"/>
            <rFont val="Tahoma"/>
            <family val="2"/>
          </rPr>
          <t>mm98285:</t>
        </r>
        <r>
          <rPr>
            <sz val="8"/>
            <color indexed="81"/>
            <rFont val="Tahoma"/>
            <family val="2"/>
          </rPr>
          <t xml:space="preserve">
$28.4</t>
        </r>
      </text>
    </comment>
    <comment ref="D89" authorId="6">
      <text>
        <r>
          <rPr>
            <b/>
            <sz val="8"/>
            <color indexed="81"/>
            <rFont val="Tahoma"/>
            <family val="2"/>
          </rPr>
          <t>mm98285:</t>
        </r>
        <r>
          <rPr>
            <sz val="8"/>
            <color indexed="81"/>
            <rFont val="Tahoma"/>
            <family val="2"/>
          </rPr>
          <t xml:space="preserve">
$191.4mm est</t>
        </r>
      </text>
    </comment>
    <comment ref="J89" authorId="6">
      <text>
        <r>
          <rPr>
            <b/>
            <sz val="8"/>
            <color indexed="81"/>
            <rFont val="Tahoma"/>
            <family val="2"/>
          </rPr>
          <t>mm98285:</t>
        </r>
        <r>
          <rPr>
            <sz val="8"/>
            <color indexed="81"/>
            <rFont val="Tahoma"/>
            <family val="2"/>
          </rPr>
          <t xml:space="preserve">
$164.0 est</t>
        </r>
      </text>
    </comment>
    <comment ref="AD89" authorId="6">
      <text>
        <r>
          <rPr>
            <b/>
            <sz val="8"/>
            <color indexed="81"/>
            <rFont val="Tahoma"/>
            <family val="2"/>
          </rPr>
          <t>mm98285:</t>
        </r>
        <r>
          <rPr>
            <sz val="8"/>
            <color indexed="81"/>
            <rFont val="Tahoma"/>
            <family val="2"/>
          </rPr>
          <t xml:space="preserve">
$71.1 est.</t>
        </r>
      </text>
    </comment>
    <comment ref="AE89" authorId="6">
      <text>
        <r>
          <rPr>
            <b/>
            <sz val="8"/>
            <color indexed="81"/>
            <rFont val="Tahoma"/>
            <family val="2"/>
          </rPr>
          <t>mm98285:</t>
        </r>
        <r>
          <rPr>
            <sz val="8"/>
            <color indexed="81"/>
            <rFont val="Tahoma"/>
            <family val="2"/>
          </rPr>
          <t xml:space="preserve">
35% est.
DTC +39% for Nov./Dec.</t>
        </r>
      </text>
    </comment>
    <comment ref="AJ89" authorId="6">
      <text>
        <r>
          <rPr>
            <b/>
            <sz val="8"/>
            <color indexed="81"/>
            <rFont val="Tahoma"/>
            <family val="2"/>
          </rPr>
          <t>mm98285:</t>
        </r>
        <r>
          <rPr>
            <sz val="8"/>
            <color indexed="81"/>
            <rFont val="Tahoma"/>
            <family val="2"/>
          </rPr>
          <t xml:space="preserve">
$29.6 est</t>
        </r>
      </text>
    </comment>
    <comment ref="AL89" authorId="6">
      <text>
        <r>
          <rPr>
            <b/>
            <sz val="8"/>
            <color indexed="81"/>
            <rFont val="Tahoma"/>
            <family val="2"/>
          </rPr>
          <t>mm98285:</t>
        </r>
        <r>
          <rPr>
            <sz val="8"/>
            <color indexed="81"/>
            <rFont val="Tahoma"/>
            <family val="2"/>
          </rPr>
          <t xml:space="preserve">
40% est
FP wholesale +46% for Nov/Dec</t>
        </r>
      </text>
    </comment>
    <comment ref="D90" authorId="6">
      <text>
        <r>
          <rPr>
            <b/>
            <sz val="8"/>
            <color indexed="81"/>
            <rFont val="Tahoma"/>
            <family val="2"/>
          </rPr>
          <t>mm98285:</t>
        </r>
        <r>
          <rPr>
            <sz val="8"/>
            <color indexed="81"/>
            <rFont val="Tahoma"/>
            <family val="2"/>
          </rPr>
          <t xml:space="preserve">
3/08: 6.4% of total sales from U.O. Europe or ~$96.5mm</t>
        </r>
      </text>
    </comment>
    <comment ref="D94" authorId="6">
      <text>
        <r>
          <rPr>
            <b/>
            <sz val="8"/>
            <color indexed="81"/>
            <rFont val="Tahoma"/>
            <family val="2"/>
          </rPr>
          <t>mm98285:</t>
        </r>
        <r>
          <rPr>
            <sz val="8"/>
            <color indexed="81"/>
            <rFont val="Tahoma"/>
            <family val="2"/>
          </rPr>
          <t xml:space="preserve">
North America: 35.0% and European: 6.2% of sales in 1H08
175.4</t>
        </r>
      </text>
    </comment>
    <comment ref="J94" authorId="6">
      <text>
        <r>
          <rPr>
            <b/>
            <sz val="8"/>
            <color indexed="81"/>
            <rFont val="Tahoma"/>
            <family val="2"/>
          </rPr>
          <t>mm98285:</t>
        </r>
        <r>
          <rPr>
            <sz val="8"/>
            <color indexed="81"/>
            <rFont val="Tahoma"/>
            <family val="2"/>
          </rPr>
          <t xml:space="preserve">
163.2</t>
        </r>
      </text>
    </comment>
    <comment ref="AE94" authorId="6">
      <text>
        <r>
          <rPr>
            <b/>
            <sz val="8"/>
            <color indexed="81"/>
            <rFont val="Tahoma"/>
            <family val="2"/>
          </rPr>
          <t>mm98285:</t>
        </r>
        <r>
          <rPr>
            <sz val="8"/>
            <color indexed="81"/>
            <rFont val="Tahoma"/>
            <family val="2"/>
          </rPr>
          <t xml:space="preserve">
25%</t>
        </r>
      </text>
    </comment>
    <comment ref="AJ94" authorId="6">
      <text>
        <r>
          <rPr>
            <b/>
            <sz val="8"/>
            <color indexed="81"/>
            <rFont val="Tahoma"/>
            <family val="2"/>
          </rPr>
          <t>mm98285:</t>
        </r>
        <r>
          <rPr>
            <sz val="8"/>
            <color indexed="81"/>
            <rFont val="Tahoma"/>
            <family val="2"/>
          </rPr>
          <t xml:space="preserve">
$32.4</t>
        </r>
      </text>
    </comment>
    <comment ref="AL94" authorId="6">
      <text>
        <r>
          <rPr>
            <b/>
            <sz val="8"/>
            <color indexed="81"/>
            <rFont val="Tahoma"/>
            <family val="2"/>
          </rPr>
          <t>mm98285:</t>
        </r>
        <r>
          <rPr>
            <sz val="8"/>
            <color indexed="81"/>
            <rFont val="Tahoma"/>
            <family val="2"/>
          </rPr>
          <t xml:space="preserve">
18%</t>
        </r>
      </text>
    </comment>
    <comment ref="AJ95" authorId="6">
      <text>
        <r>
          <rPr>
            <b/>
            <sz val="8"/>
            <color indexed="81"/>
            <rFont val="Tahoma"/>
            <family val="2"/>
          </rPr>
          <t>mm98285:</t>
        </r>
        <r>
          <rPr>
            <sz val="8"/>
            <color indexed="81"/>
            <rFont val="Tahoma"/>
            <family val="2"/>
          </rPr>
          <t xml:space="preserve">
$1.4mm Liefsdottir</t>
        </r>
      </text>
    </comment>
    <comment ref="AR95" authorId="6">
      <text>
        <r>
          <rPr>
            <b/>
            <sz val="8"/>
            <color indexed="81"/>
            <rFont val="Tahoma"/>
            <family val="2"/>
          </rPr>
          <t>mm98285:</t>
        </r>
        <r>
          <rPr>
            <sz val="8"/>
            <color indexed="81"/>
            <rFont val="Tahoma"/>
            <family val="2"/>
          </rPr>
          <t xml:space="preserve">
10Q: $44.28M sales through foreign operations</t>
        </r>
      </text>
    </comment>
    <comment ref="AE96" authorId="6">
      <text>
        <r>
          <rPr>
            <b/>
            <sz val="8"/>
            <color indexed="81"/>
            <rFont val="Tahoma"/>
            <family val="2"/>
          </rPr>
          <t>mm98285:</t>
        </r>
        <r>
          <rPr>
            <sz val="8"/>
            <color indexed="81"/>
            <rFont val="Tahoma"/>
            <family val="2"/>
          </rPr>
          <t xml:space="preserve">
+25% for Nov/Dec</t>
        </r>
      </text>
    </comment>
    <comment ref="AJ96" authorId="6">
      <text>
        <r>
          <rPr>
            <b/>
            <sz val="8"/>
            <color indexed="81"/>
            <rFont val="Tahoma"/>
            <family val="2"/>
          </rPr>
          <t>mm98285:</t>
        </r>
        <r>
          <rPr>
            <sz val="8"/>
            <color indexed="81"/>
            <rFont val="Tahoma"/>
            <family val="2"/>
          </rPr>
          <t xml:space="preserve">
Leifsdottir $1M in 4Q</t>
        </r>
      </text>
    </comment>
    <comment ref="W97" authorId="6">
      <text>
        <r>
          <rPr>
            <b/>
            <sz val="8"/>
            <color indexed="81"/>
            <rFont val="Tahoma"/>
            <family val="2"/>
          </rPr>
          <t>mm98285:</t>
        </r>
        <r>
          <rPr>
            <sz val="8"/>
            <color indexed="81"/>
            <rFont val="Tahoma"/>
            <family val="2"/>
          </rPr>
          <t xml:space="preserve">
7/30/08: Styers location sales are planned at ~$10mm in the first year (up from $6mm LY) </t>
        </r>
      </text>
    </comment>
    <comment ref="AJ97" authorId="6">
      <text>
        <r>
          <rPr>
            <b/>
            <sz val="8"/>
            <color indexed="81"/>
            <rFont val="Tahoma"/>
            <family val="2"/>
          </rPr>
          <t>mm98285:</t>
        </r>
        <r>
          <rPr>
            <sz val="8"/>
            <color indexed="81"/>
            <rFont val="Tahoma"/>
            <family val="2"/>
          </rPr>
          <t xml:space="preserve">
3/09: FP wholesale $107mm (+13% vs. LY); Leifsdottir $3mm</t>
        </r>
      </text>
    </comment>
    <comment ref="AE100" authorId="6">
      <text>
        <r>
          <rPr>
            <b/>
            <sz val="8"/>
            <color indexed="81"/>
            <rFont val="Tahoma"/>
            <family val="2"/>
          </rPr>
          <t>mm98285:</t>
        </r>
        <r>
          <rPr>
            <sz val="8"/>
            <color indexed="81"/>
            <rFont val="Tahoma"/>
            <family val="2"/>
          </rPr>
          <t xml:space="preserve">
+12% est. 
</t>
        </r>
      </text>
    </comment>
    <comment ref="AL100" authorId="6">
      <text>
        <r>
          <rPr>
            <b/>
            <sz val="8"/>
            <color indexed="81"/>
            <rFont val="Tahoma"/>
            <family val="2"/>
          </rPr>
          <t>mm98285:</t>
        </r>
        <r>
          <rPr>
            <sz val="8"/>
            <color indexed="81"/>
            <rFont val="Tahoma"/>
            <family val="2"/>
          </rPr>
          <t xml:space="preserve">
-15% est. </t>
        </r>
      </text>
    </comment>
    <comment ref="AU100" authorId="0">
      <text>
        <r>
          <rPr>
            <b/>
            <sz val="8"/>
            <color indexed="81"/>
            <rFont val="Tahoma"/>
            <family val="2"/>
          </rPr>
          <t>nicholjs:</t>
        </r>
        <r>
          <rPr>
            <sz val="8"/>
            <color indexed="81"/>
            <rFont val="Tahoma"/>
            <family val="2"/>
          </rPr>
          <t xml:space="preserve">
retail segment comp inventory -5%</t>
        </r>
      </text>
    </comment>
    <comment ref="AJ101" authorId="6">
      <text>
        <r>
          <rPr>
            <b/>
            <sz val="8"/>
            <color indexed="81"/>
            <rFont val="Tahoma"/>
            <family val="2"/>
          </rPr>
          <t>mm98285:</t>
        </r>
        <r>
          <rPr>
            <sz val="8"/>
            <color indexed="81"/>
            <rFont val="Tahoma"/>
            <family val="2"/>
          </rPr>
          <t xml:space="preserve">
F.P. wholesale is 5.2% of total sales or $23.9M</t>
        </r>
      </text>
    </comment>
    <comment ref="AU101" authorId="0">
      <text>
        <r>
          <rPr>
            <b/>
            <sz val="8"/>
            <color indexed="81"/>
            <rFont val="Tahoma"/>
            <family val="2"/>
          </rPr>
          <t>nicholjs:</t>
        </r>
        <r>
          <rPr>
            <sz val="8"/>
            <color indexed="81"/>
            <rFont val="Tahoma"/>
            <family val="2"/>
          </rPr>
          <t xml:space="preserve">
retail segment comp inventory -3%</t>
        </r>
      </text>
    </comment>
    <comment ref="AE102" authorId="6">
      <text>
        <r>
          <rPr>
            <b/>
            <sz val="8"/>
            <color indexed="81"/>
            <rFont val="Tahoma"/>
            <family val="2"/>
          </rPr>
          <t>mm98285:</t>
        </r>
        <r>
          <rPr>
            <sz val="8"/>
            <color indexed="81"/>
            <rFont val="Tahoma"/>
            <family val="2"/>
          </rPr>
          <t xml:space="preserve">
+15% est.</t>
        </r>
      </text>
    </comment>
    <comment ref="AJ102" authorId="6">
      <text>
        <r>
          <rPr>
            <b/>
            <sz val="8"/>
            <color indexed="81"/>
            <rFont val="Tahoma"/>
            <family val="2"/>
          </rPr>
          <t>mm98285:</t>
        </r>
        <r>
          <rPr>
            <sz val="8"/>
            <color indexed="81"/>
            <rFont val="Tahoma"/>
            <family val="2"/>
          </rPr>
          <t xml:space="preserve">
FP wholesales: 5.5% of total sales or ~$27.8M so Leifs ~$2.7M</t>
        </r>
      </text>
    </comment>
    <comment ref="AL102" authorId="6">
      <text>
        <r>
          <rPr>
            <b/>
            <sz val="8"/>
            <color indexed="81"/>
            <rFont val="Tahoma"/>
            <family val="2"/>
          </rPr>
          <t>mm98285:</t>
        </r>
        <r>
          <rPr>
            <sz val="8"/>
            <color indexed="81"/>
            <rFont val="Tahoma"/>
            <family val="2"/>
          </rPr>
          <t xml:space="preserve">
-2% est.</t>
        </r>
      </text>
    </comment>
    <comment ref="AR102" authorId="6">
      <text>
        <r>
          <rPr>
            <b/>
            <sz val="8"/>
            <color indexed="81"/>
            <rFont val="Tahoma"/>
            <family val="2"/>
          </rPr>
          <t>mm98285:</t>
        </r>
        <r>
          <rPr>
            <sz val="8"/>
            <color indexed="81"/>
            <rFont val="Tahoma"/>
            <family val="2"/>
          </rPr>
          <t xml:space="preserve">
10Q: $48.237M sales through foreign operations</t>
        </r>
      </text>
    </comment>
    <comment ref="AU102" authorId="0">
      <text>
        <r>
          <rPr>
            <b/>
            <sz val="8"/>
            <color indexed="81"/>
            <rFont val="Tahoma"/>
            <family val="2"/>
          </rPr>
          <t>nicholjs:</t>
        </r>
        <r>
          <rPr>
            <sz val="8"/>
            <color indexed="81"/>
            <rFont val="Tahoma"/>
            <family val="2"/>
          </rPr>
          <t xml:space="preserve">
retail segment comp inventory -12%</t>
        </r>
      </text>
    </comment>
    <comment ref="AJ103" authorId="6">
      <text>
        <r>
          <rPr>
            <b/>
            <sz val="8"/>
            <color indexed="81"/>
            <rFont val="Tahoma"/>
            <family val="2"/>
          </rPr>
          <t>mm98285:</t>
        </r>
        <r>
          <rPr>
            <sz val="8"/>
            <color indexed="81"/>
            <rFont val="Tahoma"/>
            <family val="2"/>
          </rPr>
          <t xml:space="preserve">
3/10: FP's wholesale rev -5% to $21.9M with sales to specialty stores +7%, to department stores -2% and to clearance outlets -28%. The brand's avg. unit selling price +17%, while unit sales -19% driven primarily by the reduction in closeout sales. 
Leifsdottir's Wholesale rev +77% to $1.6M </t>
        </r>
      </text>
    </comment>
    <comment ref="AU103" authorId="0">
      <text>
        <r>
          <rPr>
            <b/>
            <sz val="8"/>
            <color indexed="81"/>
            <rFont val="Tahoma"/>
            <family val="2"/>
          </rPr>
          <t>nicholjs:</t>
        </r>
        <r>
          <rPr>
            <sz val="8"/>
            <color indexed="81"/>
            <rFont val="Tahoma"/>
            <family val="2"/>
          </rPr>
          <t xml:space="preserve">
retail segment comp inventory flat</t>
        </r>
      </text>
    </comment>
    <comment ref="D104" authorId="7">
      <text>
        <r>
          <rPr>
            <b/>
            <sz val="8"/>
            <color indexed="81"/>
            <rFont val="Tahoma"/>
            <family val="2"/>
          </rPr>
          <t>ns66486:</t>
        </r>
        <r>
          <rPr>
            <sz val="8"/>
            <color indexed="81"/>
            <rFont val="Tahoma"/>
            <family val="2"/>
          </rPr>
          <t xml:space="preserve">
10K:  UO North America 33.7% of total net sales or ~653mm, UO Europe 5.5% of total net sales or ~107mm</t>
        </r>
      </text>
    </comment>
    <comment ref="J104" authorId="7">
      <text>
        <r>
          <rPr>
            <b/>
            <sz val="8"/>
            <color indexed="81"/>
            <rFont val="Tahoma"/>
            <family val="2"/>
          </rPr>
          <t>ns66486:</t>
        </r>
        <r>
          <rPr>
            <sz val="8"/>
            <color indexed="81"/>
            <rFont val="Tahoma"/>
            <family val="2"/>
          </rPr>
          <t xml:space="preserve">
10K: Anthro North America accounted for 36.1% of total net sales or ~  , Europe accounted for 0.3%</t>
        </r>
      </text>
    </comment>
    <comment ref="P104" authorId="7">
      <text>
        <r>
          <rPr>
            <b/>
            <sz val="8"/>
            <color indexed="81"/>
            <rFont val="Tahoma"/>
            <family val="2"/>
          </rPr>
          <t>ns66486:</t>
        </r>
        <r>
          <rPr>
            <sz val="8"/>
            <color indexed="81"/>
            <rFont val="Tahoma"/>
            <family val="2"/>
          </rPr>
          <t xml:space="preserve">
10K:  all US</t>
        </r>
      </text>
    </comment>
    <comment ref="AD104" authorId="7">
      <text>
        <r>
          <rPr>
            <b/>
            <sz val="8"/>
            <color indexed="81"/>
            <rFont val="Tahoma"/>
            <family val="2"/>
          </rPr>
          <t>ns66486:</t>
        </r>
        <r>
          <rPr>
            <sz val="8"/>
            <color indexed="81"/>
            <rFont val="Tahoma"/>
            <family val="2"/>
          </rPr>
          <t xml:space="preserve">
10K: circulated 17.4mm Anthro catalogs; plan to increase to 18.4mm in 2010; circulated 12.1mm UO catalogs; plan to increase to 13.2 in 2010; circulated 7.4mm FP catalogs, plan to increase to 8.2mm in 2010
plan to increase spending on web marketing for UO, Anthro and FP in 2010</t>
        </r>
      </text>
    </comment>
    <comment ref="AJ104" authorId="7">
      <text>
        <r>
          <rPr>
            <b/>
            <sz val="8"/>
            <color indexed="81"/>
            <rFont val="Tahoma"/>
            <family val="2"/>
          </rPr>
          <t>ns66486:</t>
        </r>
        <r>
          <rPr>
            <sz val="8"/>
            <color indexed="81"/>
            <rFont val="Tahoma"/>
            <family val="2"/>
          </rPr>
          <t xml:space="preserve">
10K: FP sells to 1,400 better dept and specialty stores, makes up 4.9% of total net sales (approx $95mm); Leifsdottir accounts for less than 1% of total net sales (approx $9mm)
For FY, decline in wholesale sales was due to a $11mm or 10.6% decline at FP wholesale partially offset by an increase of $5mm or 185% at Leifsdottir.</t>
        </r>
      </text>
    </comment>
    <comment ref="D108" authorId="8">
      <text>
        <r>
          <rPr>
            <b/>
            <sz val="8"/>
            <color indexed="81"/>
            <rFont val="Tahoma"/>
            <family val="2"/>
          </rPr>
          <t>lr73192:</t>
        </r>
        <r>
          <rPr>
            <sz val="8"/>
            <color indexed="81"/>
            <rFont val="Tahoma"/>
            <family val="2"/>
          </rPr>
          <t xml:space="preserve">
5.5.10: $178.6</t>
        </r>
      </text>
    </comment>
    <comment ref="J108" authorId="8">
      <text>
        <r>
          <rPr>
            <b/>
            <sz val="8"/>
            <color indexed="81"/>
            <rFont val="Tahoma"/>
            <family val="2"/>
          </rPr>
          <t>lr73192:</t>
        </r>
        <r>
          <rPr>
            <sz val="8"/>
            <color indexed="81"/>
            <rFont val="Tahoma"/>
            <family val="2"/>
          </rPr>
          <t xml:space="preserve">
5.5.10: $181.4</t>
        </r>
      </text>
    </comment>
    <comment ref="P108" authorId="8">
      <text>
        <r>
          <rPr>
            <b/>
            <sz val="8"/>
            <color indexed="81"/>
            <rFont val="Tahoma"/>
            <family val="2"/>
          </rPr>
          <t>lr73192:</t>
        </r>
        <r>
          <rPr>
            <sz val="8"/>
            <color indexed="81"/>
            <rFont val="Tahoma"/>
            <family val="2"/>
          </rPr>
          <t xml:space="preserve">
5.5.10: $8.5</t>
        </r>
      </text>
    </comment>
    <comment ref="AD108" authorId="8">
      <text>
        <r>
          <rPr>
            <b/>
            <sz val="8"/>
            <color indexed="81"/>
            <rFont val="Tahoma"/>
            <family val="2"/>
          </rPr>
          <t>lr73192:</t>
        </r>
        <r>
          <rPr>
            <sz val="8"/>
            <color indexed="81"/>
            <rFont val="Tahoma"/>
            <family val="2"/>
          </rPr>
          <t xml:space="preserve">
5.5.10: $85.1</t>
        </r>
      </text>
    </comment>
    <comment ref="AJ108" authorId="0">
      <text>
        <r>
          <rPr>
            <b/>
            <sz val="8"/>
            <color indexed="81"/>
            <rFont val="Tahoma"/>
            <family val="2"/>
          </rPr>
          <t>nicholjs:</t>
        </r>
        <r>
          <rPr>
            <sz val="8"/>
            <color indexed="81"/>
            <rFont val="Tahoma"/>
            <family val="2"/>
          </rPr>
          <t xml:space="preserve">
10Q: FP wholesale 4.7% of net sales or ~$22.5mm (so Leifsdottir  about ~$2.7mm)
</t>
        </r>
      </text>
    </comment>
    <comment ref="AL108" authorId="8">
      <text>
        <r>
          <rPr>
            <b/>
            <sz val="8"/>
            <color indexed="81"/>
            <rFont val="Tahoma"/>
            <family val="2"/>
          </rPr>
          <t>lr73192:</t>
        </r>
        <r>
          <rPr>
            <sz val="8"/>
            <color indexed="81"/>
            <rFont val="Tahoma"/>
            <family val="2"/>
          </rPr>
          <t xml:space="preserve">
5.5.10: +1.0</t>
        </r>
      </text>
    </comment>
    <comment ref="D109" authorId="0">
      <text>
        <r>
          <rPr>
            <b/>
            <sz val="8"/>
            <color indexed="81"/>
            <rFont val="Tahoma"/>
            <family val="2"/>
          </rPr>
          <t>nicholjs:</t>
        </r>
        <r>
          <rPr>
            <sz val="8"/>
            <color indexed="81"/>
            <rFont val="Tahoma"/>
            <family val="2"/>
          </rPr>
          <t xml:space="preserve">
17% of UO '09 sales were DTC, making same assumption for '10
10Q: UO NA and European store net sales accounted for 31.4% and 5.0% of consolidated net sales, respectively, for first six months ended July 31</t>
        </r>
      </text>
    </comment>
    <comment ref="J109" authorId="0">
      <text>
        <r>
          <rPr>
            <b/>
            <sz val="8"/>
            <color indexed="81"/>
            <rFont val="Tahoma"/>
            <family val="2"/>
          </rPr>
          <t>nicholjs:</t>
        </r>
        <r>
          <rPr>
            <sz val="8"/>
            <color indexed="81"/>
            <rFont val="Tahoma"/>
            <family val="2"/>
          </rPr>
          <t xml:space="preserve">
10Q: Anthro NA store net sales 37.1% and European &lt;1% of consolidated net sales for six months ended July 31 (this is a plug as total retail operations sales of $522,225 is given in 10Q)</t>
        </r>
      </text>
    </comment>
    <comment ref="P109" authorId="0">
      <text>
        <r>
          <rPr>
            <b/>
            <sz val="8"/>
            <color indexed="81"/>
            <rFont val="Tahoma"/>
            <family val="2"/>
          </rPr>
          <t>nicholjs:</t>
        </r>
        <r>
          <rPr>
            <sz val="8"/>
            <color indexed="81"/>
            <rFont val="Tahoma"/>
            <family val="2"/>
          </rPr>
          <t xml:space="preserve">
10Q: Free People store net sales accounted for 2.1% of consolidated net sales for six months ended July 31</t>
        </r>
      </text>
    </comment>
    <comment ref="AE109" authorId="0">
      <text>
        <r>
          <rPr>
            <sz val="8"/>
            <color indexed="81"/>
            <rFont val="Tahoma"/>
            <family val="2"/>
          </rPr>
          <t>results driven by a +28% increase in website traffic to nearly 25mm visits</t>
        </r>
        <r>
          <rPr>
            <b/>
            <sz val="8"/>
            <color indexed="81"/>
            <rFont val="Tahoma"/>
            <family val="2"/>
          </rPr>
          <t xml:space="preserve">
nicholjs:</t>
        </r>
        <r>
          <rPr>
            <sz val="8"/>
            <color indexed="81"/>
            <rFont val="Tahoma"/>
            <family val="2"/>
          </rPr>
          <t xml:space="preserve">
we est +25%
</t>
        </r>
      </text>
    </comment>
    <comment ref="AG109" authorId="0">
      <text>
        <r>
          <rPr>
            <b/>
            <sz val="8"/>
            <color indexed="81"/>
            <rFont val="Tahoma"/>
            <family val="2"/>
          </rPr>
          <t>nicholjs:</t>
        </r>
        <r>
          <rPr>
            <sz val="8"/>
            <color indexed="81"/>
            <rFont val="Tahoma"/>
            <family val="2"/>
          </rPr>
          <t xml:space="preserve">
$522.225 reported</t>
        </r>
      </text>
    </comment>
    <comment ref="AJ109" authorId="0">
      <text>
        <r>
          <rPr>
            <b/>
            <sz val="8"/>
            <color indexed="81"/>
            <rFont val="Tahoma"/>
            <family val="2"/>
          </rPr>
          <t>nicholjs:</t>
        </r>
        <r>
          <rPr>
            <sz val="8"/>
            <color indexed="81"/>
            <rFont val="Tahoma"/>
            <family val="2"/>
          </rPr>
          <t xml:space="preserve">
10Q: FP wholesale 4.7% of net sales or ~$27mm (so Leifsdottir about ~$2.9mm)
</t>
        </r>
      </text>
    </comment>
    <comment ref="AL109" authorId="0">
      <text>
        <r>
          <rPr>
            <sz val="8"/>
            <color indexed="81"/>
            <rFont val="Tahoma"/>
            <family val="2"/>
          </rPr>
          <t>increase driven by a +29% increase to specialty stores and +7% increase to dept stores</t>
        </r>
        <r>
          <rPr>
            <b/>
            <sz val="8"/>
            <color indexed="81"/>
            <rFont val="Tahoma"/>
            <family val="2"/>
          </rPr>
          <t xml:space="preserve">
nicholjs:</t>
        </r>
        <r>
          <rPr>
            <sz val="8"/>
            <color indexed="81"/>
            <rFont val="Tahoma"/>
            <family val="2"/>
          </rPr>
          <t xml:space="preserve">
we est. +10%
</t>
        </r>
      </text>
    </comment>
    <comment ref="D110" authorId="0">
      <text>
        <r>
          <rPr>
            <b/>
            <sz val="8"/>
            <color indexed="81"/>
            <rFont val="Tahoma"/>
            <family val="2"/>
          </rPr>
          <t>nicholjs:</t>
        </r>
        <r>
          <rPr>
            <sz val="8"/>
            <color indexed="81"/>
            <rFont val="Tahoma"/>
            <family val="2"/>
          </rPr>
          <t xml:space="preserve">
Urban Outfitters' North American and European store net sales accounted for approximately 32.1% and 5.0% of consolidated net sales, respectively, for the nine months ended October 31, 2010,</t>
        </r>
      </text>
    </comment>
    <comment ref="J110" authorId="0">
      <text>
        <r>
          <rPr>
            <b/>
            <sz val="8"/>
            <color indexed="81"/>
            <rFont val="Tahoma"/>
            <family val="2"/>
          </rPr>
          <t>nicholjs:</t>
        </r>
        <r>
          <rPr>
            <sz val="8"/>
            <color indexed="81"/>
            <rFont val="Tahoma"/>
            <family val="2"/>
          </rPr>
          <t xml:space="preserve">
Anthropologie's North American store net sales accounted for approximately 36.0% of consolidated net sales for the nine months ended October 31, 2010. Anthropologie's
European stores accounted for less than 1% of total consolidated net sales for the nine months ended October 31, 2010.</t>
        </r>
      </text>
    </comment>
    <comment ref="P110" authorId="0">
      <text>
        <r>
          <rPr>
            <b/>
            <sz val="8"/>
            <color indexed="81"/>
            <rFont val="Tahoma"/>
            <family val="2"/>
          </rPr>
          <t>nicholjs:</t>
        </r>
        <r>
          <rPr>
            <sz val="8"/>
            <color indexed="81"/>
            <rFont val="Tahoma"/>
            <family val="2"/>
          </rPr>
          <t xml:space="preserve">
Free People's store net sales accounted for 2.2% of consolidated net sales for the nine months ended October 31, 2010</t>
        </r>
      </text>
    </comment>
    <comment ref="AJ110" authorId="0">
      <text>
        <r>
          <rPr>
            <b/>
            <sz val="8"/>
            <color indexed="81"/>
            <rFont val="Tahoma"/>
            <family val="2"/>
          </rPr>
          <t>nicholjs:</t>
        </r>
        <r>
          <rPr>
            <sz val="8"/>
            <color indexed="81"/>
            <rFont val="Tahoma"/>
            <family val="2"/>
          </rPr>
          <t xml:space="preserve">
10Q: FP wholesale 5.1% of consolidated net sales for nine months ended Oct 31.  estimate $32.4M, so Leifsdottir ~$2.1MM
Wholesale net sales increased vs. LY driven by higher unit volume, primarily to department store customers, and an increase in average
unit selling price to all customers.</t>
        </r>
      </text>
    </comment>
    <comment ref="BB110" authorId="0">
      <text>
        <r>
          <rPr>
            <b/>
            <sz val="8"/>
            <color indexed="81"/>
            <rFont val="Tahoma"/>
            <family val="2"/>
          </rPr>
          <t>nicholjs:</t>
        </r>
        <r>
          <rPr>
            <sz val="8"/>
            <color indexed="81"/>
            <rFont val="Tahoma"/>
            <family val="2"/>
          </rPr>
          <t xml:space="preserve">
Leifsdottir lost money this yr vs. making money LY, hiccup</t>
        </r>
      </text>
    </comment>
    <comment ref="AE111" authorId="0">
      <text>
        <r>
          <rPr>
            <b/>
            <sz val="8"/>
            <color indexed="81"/>
            <rFont val="Tahoma"/>
            <family val="2"/>
          </rPr>
          <t>nicholjs:</t>
        </r>
        <r>
          <rPr>
            <sz val="8"/>
            <color indexed="81"/>
            <rFont val="Tahoma"/>
            <family val="2"/>
          </rPr>
          <t xml:space="preserve">
+29% largely driven by increase in website traffic to over 35 million visitors
1/6/2011: rose +28% for the Holiday period</t>
        </r>
      </text>
    </comment>
    <comment ref="AJ111" authorId="0">
      <text>
        <r>
          <rPr>
            <b/>
            <sz val="8"/>
            <color indexed="81"/>
            <rFont val="Tahoma"/>
            <family val="2"/>
          </rPr>
          <t>nicholjs:</t>
        </r>
        <r>
          <rPr>
            <sz val="8"/>
            <color indexed="81"/>
            <rFont val="Tahoma"/>
            <family val="2"/>
          </rPr>
          <t xml:space="preserve">
driven by a 32% increase at Free People and an 18% increase at Leifsdottir.  Both specialty and department stores contributed to the rev increase.
So Leifsdottir $1.9mm and FP ~$28.8mm
</t>
        </r>
      </text>
    </comment>
    <comment ref="AL111" authorId="0">
      <text>
        <r>
          <rPr>
            <b/>
            <sz val="8"/>
            <color indexed="81"/>
            <rFont val="Tahoma"/>
            <family val="2"/>
          </rPr>
          <t>nicholjs:</t>
        </r>
        <r>
          <rPr>
            <sz val="8"/>
            <color indexed="81"/>
            <rFont val="Tahoma"/>
            <family val="2"/>
          </rPr>
          <t xml:space="preserve">
1/6/2011: rose +32% for the Holiday period</t>
        </r>
      </text>
    </comment>
    <comment ref="D112" authorId="0">
      <text>
        <r>
          <rPr>
            <b/>
            <sz val="8"/>
            <color indexed="81"/>
            <rFont val="Tahoma"/>
            <family val="2"/>
          </rPr>
          <t>nicholjs:</t>
        </r>
        <r>
          <rPr>
            <sz val="8"/>
            <color indexed="81"/>
            <rFont val="Tahoma"/>
            <family val="2"/>
          </rPr>
          <t xml:space="preserve">
North American and European store sales accounted for approximately 31.8% and 5.3% of consolidated net sales, respectively, for fiscal 2011.</t>
        </r>
      </text>
    </comment>
    <comment ref="J112" authorId="0">
      <text>
        <r>
          <rPr>
            <b/>
            <sz val="8"/>
            <color indexed="81"/>
            <rFont val="Tahoma"/>
            <family val="2"/>
          </rPr>
          <t>nicholjs:</t>
        </r>
        <r>
          <rPr>
            <sz val="8"/>
            <color indexed="81"/>
            <rFont val="Tahoma"/>
            <family val="2"/>
          </rPr>
          <t xml:space="preserve">
Anthropologie's North American and European store sales accounted for approximately 35.1% and 0.8% of consolidated net sales, respectively, for fiscal 2011.</t>
        </r>
      </text>
    </comment>
    <comment ref="P112" authorId="0">
      <text>
        <r>
          <rPr>
            <b/>
            <sz val="8"/>
            <color indexed="81"/>
            <rFont val="Tahoma"/>
            <family val="2"/>
          </rPr>
          <t>nicholjs:</t>
        </r>
        <r>
          <rPr>
            <sz val="8"/>
            <color indexed="81"/>
            <rFont val="Tahoma"/>
            <family val="2"/>
          </rPr>
          <t xml:space="preserve">
Free People retail store sales accounted for approximately 2.3% of our consolidated net sales for fiscal 2011</t>
        </r>
      </text>
    </comment>
    <comment ref="W112" authorId="0">
      <text>
        <r>
          <rPr>
            <b/>
            <sz val="8"/>
            <color indexed="81"/>
            <rFont val="Tahoma"/>
            <family val="2"/>
          </rPr>
          <t>nicholjs:</t>
        </r>
        <r>
          <rPr>
            <sz val="8"/>
            <color indexed="81"/>
            <rFont val="Tahoma"/>
            <family val="2"/>
          </rPr>
          <t xml:space="preserve">
assume Leifsdottir ~$9mm
</t>
        </r>
      </text>
    </comment>
    <comment ref="AD112" authorId="0">
      <text>
        <r>
          <rPr>
            <b/>
            <sz val="8"/>
            <color indexed="81"/>
            <rFont val="Tahoma"/>
            <family val="2"/>
          </rPr>
          <t>nicholjs:</t>
        </r>
        <r>
          <rPr>
            <sz val="8"/>
            <color indexed="81"/>
            <rFont val="Tahoma"/>
            <family val="2"/>
          </rPr>
          <t xml:space="preserve">
Circulated 17.6mm Anthro catalogs in 2010 and plan to increase circulation to ~23.2mm catalogs in 2011.  European catalog launched in Sept 2010 and circulated 126,000 catalogs in Europe during 2010.  Plan to circulate 595,000 catalogs during 2011.  European website launched in March 2010 offering similar yet broader selection of merchandise as found in stores.  Fulfillment is currently provded by a third-party DC located in the UK.  During 2Q11, anticipate opening self-owned and operated fulfillment and DC in Rushden, England.
Circulated 14.2mm UO catalogs and plan to increase circulation to ~15.4mm in 2011.  European catalog was launched in Nov 2010 and circulated ~200,000 catalogs during 2010.  Plan to circulate ~800,000 catalogs during 2011.  Urban Outfitters also operates three web sites targeting  European customers, offering a similar yet broader selection of merchandise as found in the stores. Fulfillment is currently provided by a third-party distribution center located in the United Kingdom. Expect to be operational at our fulfillment and distribution centers in Rushden, England during the second quarter of fiscal 2012.
Circulated ~7.6mm catalogs and plan to expand to ~8.8mm in 2011.
BHLDN launched its website on Feb 14, 2011.  Retail store planned in 2011.  
* Plan to increase spending on investments in web marketing in 2011 for all brands.</t>
        </r>
      </text>
    </comment>
    <comment ref="AJ112" authorId="0">
      <text>
        <r>
          <rPr>
            <b/>
            <sz val="8"/>
            <color indexed="81"/>
            <rFont val="Tahoma"/>
            <family val="2"/>
          </rPr>
          <t>nicholjs:</t>
        </r>
        <r>
          <rPr>
            <sz val="8"/>
            <color indexed="81"/>
            <rFont val="Tahoma"/>
            <family val="2"/>
          </rPr>
          <t xml:space="preserve">
During 2010, FP sold worldwide through ~1,400 better dept and specialty stores
FP wholesale = 4.9% of net sales or ~$111.4mm.  Leifsdottir less than 1% of net sales.  Assume = ~$9mm.
The increase in Free People wholesale net sales was driven by increases in transactions and average unit sale prices. Leifsdottir's wholesale net sales increase was a result of an increase in the number of transactions that more than offset a decrease in average unit sale prices.</t>
        </r>
      </text>
    </comment>
    <comment ref="D116" authorId="0">
      <text>
        <r>
          <rPr>
            <b/>
            <sz val="8"/>
            <color indexed="81"/>
            <rFont val="Tahoma"/>
            <family val="2"/>
          </rPr>
          <t>nicholjs:</t>
        </r>
        <r>
          <rPr>
            <sz val="8"/>
            <color indexed="81"/>
            <rFont val="Tahoma"/>
            <family val="2"/>
          </rPr>
          <t xml:space="preserve">
Urban Outfitters’ North American and European store net sales accounted for approximately 31.3% and 5.3% of consolidated net sales, respectively, for the three months ended April 30, 2011</t>
        </r>
      </text>
    </comment>
    <comment ref="G116" authorId="0">
      <text>
        <r>
          <rPr>
            <b/>
            <sz val="8"/>
            <color indexed="81"/>
            <rFont val="Tahoma"/>
            <family val="2"/>
          </rPr>
          <t>nicholjs:</t>
        </r>
        <r>
          <rPr>
            <sz val="8"/>
            <color indexed="81"/>
            <rFont val="Tahoma"/>
            <family val="2"/>
          </rPr>
          <t xml:space="preserve">
decrease in transactions, lower average unit sales prices</t>
        </r>
      </text>
    </comment>
    <comment ref="J116" authorId="0">
      <text>
        <r>
          <rPr>
            <b/>
            <sz val="8"/>
            <color indexed="81"/>
            <rFont val="Tahoma"/>
            <family val="2"/>
          </rPr>
          <t>nicholjs:</t>
        </r>
        <r>
          <rPr>
            <sz val="8"/>
            <color indexed="81"/>
            <rFont val="Tahoma"/>
            <family val="2"/>
          </rPr>
          <t xml:space="preserve">
nthropologie’s North American store net sales accounted for approximately 34.3% of consolidated net sales for the three months ended April 30, 2011.  Anthropologie’s European stores accounted for less than 1% of total consolidated net sales for each of the three months ended April 30, 2011 and April 30, 2010 (assuming 0.8%)</t>
        </r>
      </text>
    </comment>
    <comment ref="M116" authorId="0">
      <text>
        <r>
          <rPr>
            <b/>
            <sz val="8"/>
            <color indexed="81"/>
            <rFont val="Tahoma"/>
            <family val="2"/>
          </rPr>
          <t>nicholjs:</t>
        </r>
        <r>
          <rPr>
            <sz val="8"/>
            <color indexed="81"/>
            <rFont val="Tahoma"/>
            <family val="2"/>
          </rPr>
          <t xml:space="preserve">
decrease in transactions, lower average unit sales prices</t>
        </r>
      </text>
    </comment>
    <comment ref="P116" authorId="0">
      <text>
        <r>
          <rPr>
            <b/>
            <sz val="8"/>
            <color indexed="81"/>
            <rFont val="Tahoma"/>
            <family val="2"/>
          </rPr>
          <t>nicholjs:</t>
        </r>
        <r>
          <rPr>
            <sz val="8"/>
            <color indexed="81"/>
            <rFont val="Tahoma"/>
            <family val="2"/>
          </rPr>
          <t xml:space="preserve">
Free People’s retail store net sales accounted for 2.5% of consolidated net sales for the three months ended April 30, 2011</t>
        </r>
      </text>
    </comment>
    <comment ref="S116" authorId="9">
      <text>
        <r>
          <rPr>
            <b/>
            <sz val="8"/>
            <color indexed="81"/>
            <rFont val="Tahoma"/>
            <family val="2"/>
          </rPr>
          <t>kimberlg:</t>
        </r>
        <r>
          <rPr>
            <sz val="8"/>
            <color indexed="81"/>
            <rFont val="Tahoma"/>
            <family val="2"/>
          </rPr>
          <t xml:space="preserve">
increase in transactions and higher average unit sales prices
+HSD stores comp</t>
        </r>
      </text>
    </comment>
    <comment ref="W116" authorId="0">
      <text>
        <r>
          <rPr>
            <b/>
            <sz val="8"/>
            <color indexed="81"/>
            <rFont val="Tahoma"/>
            <family val="2"/>
          </rPr>
          <t>nicholjs:</t>
        </r>
        <r>
          <rPr>
            <sz val="8"/>
            <color indexed="81"/>
            <rFont val="Tahoma"/>
            <family val="2"/>
          </rPr>
          <t xml:space="preserve">
estimate Leifsdottir is $4.7, Terrain is $2.3, so BHLDN = $1.4mm (yes)</t>
        </r>
      </text>
    </comment>
    <comment ref="AD116" authorId="10">
      <text>
        <r>
          <rPr>
            <b/>
            <sz val="8"/>
            <color indexed="81"/>
            <rFont val="Tahoma"/>
            <family val="2"/>
          </rPr>
          <t>sancfa:</t>
        </r>
        <r>
          <rPr>
            <sz val="8"/>
            <color indexed="81"/>
            <rFont val="Tahoma"/>
            <family val="2"/>
          </rPr>
          <t xml:space="preserve">
Direct to consumer revenue increased 19% to $102 million. The penetration of direct to consumer net sales to total company net sales increased 150 basis points to 20% with results largely driven by a 24% increase in website traffic to over 31 million visits.</t>
        </r>
      </text>
    </comment>
    <comment ref="AE116" authorId="0">
      <text>
        <r>
          <rPr>
            <b/>
            <sz val="8"/>
            <color indexed="81"/>
            <rFont val="Tahoma"/>
            <family val="2"/>
          </rPr>
          <t>nicholjs:</t>
        </r>
        <r>
          <rPr>
            <sz val="8"/>
            <color indexed="81"/>
            <rFont val="Tahoma"/>
            <family val="2"/>
          </rPr>
          <t xml:space="preserve">
24% increase in traffic (to 31mm visitors) combined with an increase in average order value, which more than offset decline in conversion rate</t>
        </r>
      </text>
    </comment>
    <comment ref="AJ116" authorId="0">
      <text>
        <r>
          <rPr>
            <b/>
            <sz val="8"/>
            <color indexed="81"/>
            <rFont val="Tahoma"/>
            <family val="2"/>
          </rPr>
          <t>nicholjs:</t>
        </r>
        <r>
          <rPr>
            <sz val="8"/>
            <color indexed="81"/>
            <rFont val="Tahoma"/>
            <family val="2"/>
          </rPr>
          <t xml:space="preserve">
10Q: FP wholesale sales 5.0% of consolidated net sales, or $26.2mm (implies Leifsdottir +63% to $4.4mm)
Per Oona, Leifsdottir $4.7mm</t>
        </r>
      </text>
    </comment>
    <comment ref="AW116" authorId="0">
      <text>
        <r>
          <rPr>
            <b/>
            <sz val="8"/>
            <color indexed="81"/>
            <rFont val="Tahoma"/>
            <family val="2"/>
          </rPr>
          <t>nicholjs:</t>
        </r>
        <r>
          <rPr>
            <sz val="8"/>
            <color indexed="81"/>
            <rFont val="Tahoma"/>
            <family val="2"/>
          </rPr>
          <t xml:space="preserve">
4/2011: use 4-5% spread in 1Q</t>
        </r>
      </text>
    </comment>
    <comment ref="BB116" authorId="0">
      <text>
        <r>
          <rPr>
            <b/>
            <sz val="8"/>
            <color indexed="81"/>
            <rFont val="Tahoma"/>
            <family val="2"/>
          </rPr>
          <t>nicholjs:</t>
        </r>
        <r>
          <rPr>
            <sz val="8"/>
            <color indexed="81"/>
            <rFont val="Tahoma"/>
            <family val="2"/>
          </rPr>
          <t xml:space="preserve">
adding back $2.1 and $0.7 related to Leifsdottir closure</t>
        </r>
      </text>
    </comment>
    <comment ref="D117" authorId="0">
      <text>
        <r>
          <rPr>
            <b/>
            <sz val="8"/>
            <color indexed="81"/>
            <rFont val="Tahoma"/>
            <family val="2"/>
          </rPr>
          <t>nicholjs:</t>
        </r>
        <r>
          <rPr>
            <sz val="8"/>
            <color indexed="81"/>
            <rFont val="Tahoma"/>
            <family val="2"/>
          </rPr>
          <t xml:space="preserve">
10Q: UO NA and European store net sales accounted for 31.2% and 5.4% of consolidated net sales, respectively, for first six months ended July 31</t>
        </r>
      </text>
    </comment>
    <comment ref="J117" authorId="0">
      <text>
        <r>
          <rPr>
            <b/>
            <sz val="8"/>
            <color indexed="81"/>
            <rFont val="Tahoma"/>
            <family val="2"/>
          </rPr>
          <t>nicholjs:</t>
        </r>
        <r>
          <rPr>
            <sz val="8"/>
            <color indexed="81"/>
            <rFont val="Tahoma"/>
            <family val="2"/>
          </rPr>
          <t xml:space="preserve">
10Q: Anthropologie’s North American store net sales accounted for approximately 34.9% of consolidated net sales for the 6 months ended July 31.  Anthropologie’s European stores accounted for less than 1% of total consolidated net sales for each of the six months ended July 31 and July 31 (assuming about 0.8%)</t>
        </r>
      </text>
    </comment>
    <comment ref="P117" authorId="0">
      <text>
        <r>
          <rPr>
            <b/>
            <sz val="8"/>
            <color indexed="81"/>
            <rFont val="Tahoma"/>
            <family val="2"/>
          </rPr>
          <t>nicholjs:</t>
        </r>
        <r>
          <rPr>
            <sz val="8"/>
            <color indexed="81"/>
            <rFont val="Tahoma"/>
            <family val="2"/>
          </rPr>
          <t xml:space="preserve">
10Q: Free People store net sales accounted for 2.6% of consolidated net sales for six months ended July 31</t>
        </r>
      </text>
    </comment>
    <comment ref="W117" authorId="0">
      <text>
        <r>
          <rPr>
            <b/>
            <sz val="8"/>
            <color indexed="81"/>
            <rFont val="Tahoma"/>
            <family val="2"/>
          </rPr>
          <t>nicholjs:</t>
        </r>
        <r>
          <rPr>
            <sz val="8"/>
            <color indexed="81"/>
            <rFont val="Tahoma"/>
            <family val="2"/>
          </rPr>
          <t xml:space="preserve">
estimate Leifsdottir $0.3mm, Terrain $3.6mm, so BHLDN = $1.8mm (yes)</t>
        </r>
      </text>
    </comment>
    <comment ref="AE117" authorId="0">
      <text>
        <r>
          <rPr>
            <b/>
            <sz val="8"/>
            <color indexed="81"/>
            <rFont val="Tahoma"/>
            <family val="2"/>
          </rPr>
          <t>nicholjs:</t>
        </r>
        <r>
          <rPr>
            <sz val="8"/>
            <color indexed="81"/>
            <rFont val="Tahoma"/>
            <family val="2"/>
          </rPr>
          <t xml:space="preserve">
rose +15% on a comparable basis. 31% increase in website traffic to more than 32 million visitors combined with increase in average order value, which more than offset decline in conversion rate.
6/8/2011: high teens good place to be
5/17: could be ~15%
5/16/2011: "19% could be a tad heavy"</t>
        </r>
      </text>
    </comment>
    <comment ref="AG117" authorId="0">
      <text>
        <r>
          <rPr>
            <b/>
            <sz val="8"/>
            <color indexed="81"/>
            <rFont val="Tahoma"/>
            <family val="2"/>
          </rPr>
          <t>nicholjs:</t>
        </r>
        <r>
          <rPr>
            <sz val="8"/>
            <color indexed="81"/>
            <rFont val="Tahoma"/>
            <family val="2"/>
          </rPr>
          <t xml:space="preserve">
$522.225 reported</t>
        </r>
      </text>
    </comment>
    <comment ref="AJ117" authorId="0">
      <text>
        <r>
          <rPr>
            <b/>
            <sz val="8"/>
            <color indexed="81"/>
            <rFont val="Tahoma"/>
            <family val="2"/>
          </rPr>
          <t>nicholjs:</t>
        </r>
        <r>
          <rPr>
            <sz val="8"/>
            <color indexed="81"/>
            <rFont val="Tahoma"/>
            <family val="2"/>
          </rPr>
          <t xml:space="preserve">
10Q: FP 5.1% of new sales for 6 months, or $31.6mm in 2Q (or ~16% increase). Implies Leifsdottir about $0.3mm.
*  FP increase driven by increase in transactions partially offset by a decrease in average unit selling price
16% increase at Free People, offset by the reduction in Leifsdottir sales as a result of the decision to exit the channel in May of this year</t>
        </r>
      </text>
    </comment>
    <comment ref="D118" authorId="0">
      <text>
        <r>
          <rPr>
            <b/>
            <sz val="8"/>
            <color indexed="81"/>
            <rFont val="Tahoma"/>
            <family val="2"/>
          </rPr>
          <t>nicholjs:</t>
        </r>
        <r>
          <rPr>
            <sz val="8"/>
            <color indexed="81"/>
            <rFont val="Tahoma"/>
            <family val="2"/>
          </rPr>
          <t xml:space="preserve">
10Q: UO NA and European store net sales accounted for 31.9% and 5.5% of consolidated net sales, respectively, for first 9 months ended Oct 31</t>
        </r>
      </text>
    </comment>
    <comment ref="H118" authorId="11">
      <text>
        <r>
          <rPr>
            <b/>
            <sz val="8"/>
            <color indexed="81"/>
            <rFont val="Tahoma"/>
            <family val="2"/>
          </rPr>
          <t>lauraro:</t>
        </r>
        <r>
          <rPr>
            <sz val="8"/>
            <color indexed="81"/>
            <rFont val="Tahoma"/>
            <family val="2"/>
          </rPr>
          <t xml:space="preserve">
11/7: Comparable retail segment net sales were flat at Urban Outfitters</t>
        </r>
      </text>
    </comment>
    <comment ref="J118" authorId="0">
      <text>
        <r>
          <rPr>
            <b/>
            <sz val="8"/>
            <color indexed="81"/>
            <rFont val="Tahoma"/>
            <family val="2"/>
          </rPr>
          <t>nicholjs:</t>
        </r>
        <r>
          <rPr>
            <sz val="8"/>
            <color indexed="81"/>
            <rFont val="Tahoma"/>
            <family val="2"/>
          </rPr>
          <t xml:space="preserve">
10Q: Anthropologie’s North American store net sales accounted for approximately 33.4% of consolidated net sales for the 9 months ended October 31.  Anthropologie’s European stores accounted for less than 1% of total consolidated net sales for each of the 9 months ended July 31 and July 31 2010 (assuming about 0.8%)</t>
        </r>
      </text>
    </comment>
    <comment ref="N118" authorId="11">
      <text>
        <r>
          <rPr>
            <b/>
            <sz val="8"/>
            <color indexed="81"/>
            <rFont val="Tahoma"/>
            <family val="2"/>
          </rPr>
          <t>lauraro:</t>
        </r>
        <r>
          <rPr>
            <sz val="8"/>
            <color indexed="81"/>
            <rFont val="Tahoma"/>
            <family val="2"/>
          </rPr>
          <t xml:space="preserve">
Comparable retail segment net sales decreased 7% at Anthropologie</t>
        </r>
      </text>
    </comment>
    <comment ref="P118" authorId="0">
      <text>
        <r>
          <rPr>
            <b/>
            <sz val="8"/>
            <color indexed="81"/>
            <rFont val="Tahoma"/>
            <family val="2"/>
          </rPr>
          <t>nicholjs:</t>
        </r>
        <r>
          <rPr>
            <sz val="8"/>
            <color indexed="81"/>
            <rFont val="Tahoma"/>
            <family val="2"/>
          </rPr>
          <t xml:space="preserve">
10Q: Free People store net sales accounted for 2.7% of consolidated net sales for 9 months ended Oct 31</t>
        </r>
      </text>
    </comment>
    <comment ref="T118" authorId="11">
      <text>
        <r>
          <rPr>
            <b/>
            <sz val="8"/>
            <color indexed="81"/>
            <rFont val="Tahoma"/>
            <family val="2"/>
          </rPr>
          <t>lauraro:</t>
        </r>
        <r>
          <rPr>
            <sz val="8"/>
            <color indexed="81"/>
            <rFont val="Tahoma"/>
            <family val="2"/>
          </rPr>
          <t xml:space="preserve">
Comparable retail segment net sales at Free People increased 14%</t>
        </r>
      </text>
    </comment>
    <comment ref="AE118" authorId="0">
      <text>
        <r>
          <rPr>
            <b/>
            <sz val="8"/>
            <color indexed="81"/>
            <rFont val="Tahoma"/>
            <family val="2"/>
          </rPr>
          <t xml:space="preserve">10Q </t>
        </r>
        <r>
          <rPr>
            <sz val="8"/>
            <color indexed="81"/>
            <rFont val="Tahoma"/>
            <family val="2"/>
          </rPr>
          <t>DTC driven by increased traffic and increased avg order value more than offset a decline in conversion rate
19.4% of total sales in first 9 months of year</t>
        </r>
        <r>
          <rPr>
            <b/>
            <sz val="8"/>
            <color indexed="81"/>
            <rFont val="Tahoma"/>
            <family val="2"/>
          </rPr>
          <t xml:space="preserve">
11/7: </t>
        </r>
        <r>
          <rPr>
            <sz val="8"/>
            <color indexed="81"/>
            <rFont val="Tahoma"/>
            <family val="2"/>
          </rPr>
          <t>Direct-to- consumer comparable net sales increased 15%.</t>
        </r>
        <r>
          <rPr>
            <b/>
            <sz val="8"/>
            <color indexed="81"/>
            <rFont val="Tahoma"/>
            <family val="2"/>
          </rPr>
          <t xml:space="preserve">
nicholjs:</t>
        </r>
        <r>
          <rPr>
            <sz val="8"/>
            <color indexed="81"/>
            <rFont val="Tahoma"/>
            <family val="2"/>
          </rPr>
          <t xml:space="preserve">
9/6/2011: +19% okay</t>
        </r>
      </text>
    </comment>
    <comment ref="AL118" authorId="11">
      <text>
        <r>
          <rPr>
            <b/>
            <sz val="8"/>
            <color indexed="81"/>
            <rFont val="Tahoma"/>
            <family val="2"/>
          </rPr>
          <t>lauraro:</t>
        </r>
        <r>
          <rPr>
            <sz val="8"/>
            <color indexed="81"/>
            <rFont val="Tahoma"/>
            <family val="2"/>
          </rPr>
          <t xml:space="preserve">
</t>
        </r>
        <r>
          <rPr>
            <b/>
            <sz val="8"/>
            <color indexed="81"/>
            <rFont val="Tahoma"/>
            <family val="2"/>
          </rPr>
          <t>10Q</t>
        </r>
        <r>
          <rPr>
            <sz val="8"/>
            <color indexed="81"/>
            <rFont val="Tahoma"/>
            <family val="2"/>
          </rPr>
          <t xml:space="preserve">: increased transactions and slightly higher AUR
</t>
        </r>
        <r>
          <rPr>
            <b/>
            <sz val="8"/>
            <color indexed="81"/>
            <rFont val="Tahoma"/>
            <family val="2"/>
          </rPr>
          <t>11/7</t>
        </r>
        <r>
          <rPr>
            <sz val="8"/>
            <color indexed="81"/>
            <rFont val="Tahoma"/>
            <family val="2"/>
          </rPr>
          <t>: wholesale segment net sales rose 13%</t>
        </r>
      </text>
    </comment>
    <comment ref="AU118" authorId="11">
      <text>
        <r>
          <rPr>
            <b/>
            <sz val="8"/>
            <color indexed="81"/>
            <rFont val="Tahoma"/>
            <family val="2"/>
          </rPr>
          <t>lauraro:</t>
        </r>
        <r>
          <rPr>
            <sz val="8"/>
            <color indexed="81"/>
            <rFont val="Tahoma"/>
            <family val="2"/>
          </rPr>
          <t xml:space="preserve">
</t>
        </r>
        <r>
          <rPr>
            <b/>
            <sz val="8"/>
            <color indexed="81"/>
            <rFont val="Tahoma"/>
            <family val="2"/>
          </rPr>
          <t xml:space="preserve">11/7/11: </t>
        </r>
        <r>
          <rPr>
            <sz val="8"/>
            <color indexed="81"/>
            <rFont val="Tahoma"/>
            <family val="2"/>
          </rPr>
          <t>-3%</t>
        </r>
      </text>
    </comment>
    <comment ref="AE119" authorId="11">
      <text>
        <r>
          <rPr>
            <b/>
            <sz val="8"/>
            <color indexed="81"/>
            <rFont val="Tahoma"/>
            <family val="2"/>
          </rPr>
          <t>lauraro:</t>
        </r>
        <r>
          <rPr>
            <sz val="8"/>
            <color indexed="81"/>
            <rFont val="Tahoma"/>
            <family val="2"/>
          </rPr>
          <t xml:space="preserve">
DTC comp sales increased 14%</t>
        </r>
      </text>
    </comment>
    <comment ref="D120" authorId="11">
      <text>
        <r>
          <rPr>
            <b/>
            <sz val="8"/>
            <color indexed="81"/>
            <rFont val="Tahoma"/>
            <family val="2"/>
          </rPr>
          <t>lauraro:</t>
        </r>
        <r>
          <rPr>
            <sz val="8"/>
            <color indexed="81"/>
            <rFont val="Tahoma"/>
            <family val="2"/>
          </rPr>
          <t xml:space="preserve">
Urban Outfitters’ North American and European store sales accounted for approximately 31.4% and 5.9% of consolidated net sales, respectively, for fiscal 2012</t>
        </r>
      </text>
    </comment>
    <comment ref="J120" authorId="11">
      <text>
        <r>
          <rPr>
            <b/>
            <sz val="8"/>
            <color indexed="81"/>
            <rFont val="Tahoma"/>
            <family val="2"/>
          </rPr>
          <t>lauraro:</t>
        </r>
        <r>
          <rPr>
            <sz val="8"/>
            <color indexed="81"/>
            <rFont val="Tahoma"/>
            <family val="2"/>
          </rPr>
          <t xml:space="preserve">
Anthropologie’s North American and European store sales accounted for approximately 32.8% and 0.9% of consolidated net sales, respectively, for fiscal 2012.</t>
        </r>
      </text>
    </comment>
    <comment ref="P120" authorId="11">
      <text>
        <r>
          <rPr>
            <b/>
            <sz val="8"/>
            <color indexed="81"/>
            <rFont val="Tahoma"/>
            <family val="2"/>
          </rPr>
          <t>lauraro:</t>
        </r>
        <r>
          <rPr>
            <sz val="8"/>
            <color indexed="81"/>
            <rFont val="Tahoma"/>
            <family val="2"/>
          </rPr>
          <t xml:space="preserve">
Free People retail store sales accounted for approximately 2.7% of our consolidated net sales for fiscal 2012.</t>
        </r>
      </text>
    </comment>
    <comment ref="AE120" authorId="11">
      <text>
        <r>
          <rPr>
            <b/>
            <sz val="8"/>
            <color indexed="81"/>
            <rFont val="Tahoma"/>
            <family val="2"/>
          </rPr>
          <t>lauraro:</t>
        </r>
        <r>
          <rPr>
            <sz val="8"/>
            <color indexed="81"/>
            <rFont val="Tahoma"/>
            <family val="2"/>
          </rPr>
          <t xml:space="preserve">
DTC comps +14% for the year</t>
        </r>
      </text>
    </comment>
    <comment ref="BA120" authorId="0">
      <text>
        <r>
          <rPr>
            <b/>
            <sz val="8"/>
            <color indexed="81"/>
            <rFont val="Tahoma"/>
            <family val="2"/>
          </rPr>
          <t>nicholjs:</t>
        </r>
        <r>
          <rPr>
            <sz val="8"/>
            <color indexed="81"/>
            <rFont val="Tahoma"/>
            <family val="2"/>
          </rPr>
          <t xml:space="preserve">
adding back $2.1 and $0.7 related to Leifsdottir closure</t>
        </r>
      </text>
    </comment>
    <comment ref="D123" authorId="11">
      <text>
        <r>
          <rPr>
            <b/>
            <sz val="8"/>
            <color indexed="81"/>
            <rFont val="Tahoma"/>
            <family val="2"/>
          </rPr>
          <t>lauraro:</t>
        </r>
        <r>
          <rPr>
            <sz val="8"/>
            <color indexed="81"/>
            <rFont val="Tahoma"/>
            <family val="2"/>
          </rPr>
          <t xml:space="preserve">
Urban Outfitters' North American and European store net sales accounted for approximately 31.6% and 6.0% of consolidated net sales</t>
        </r>
      </text>
    </comment>
    <comment ref="J123" authorId="11">
      <text>
        <r>
          <rPr>
            <b/>
            <sz val="8"/>
            <color indexed="81"/>
            <rFont val="Tahoma"/>
            <family val="2"/>
          </rPr>
          <t>lauraro:</t>
        </r>
        <r>
          <rPr>
            <sz val="8"/>
            <color indexed="81"/>
            <rFont val="Tahoma"/>
            <family val="2"/>
          </rPr>
          <t xml:space="preserve">
Anthropologie's North American store net sales accounted for
approximately 32.0% of consolidated net sales for the three months ended April 30, 2012. Anthropologie's European store net sales accounted for less than 1.0% of consolidated net sales for the three months ended April 30, 2012.</t>
        </r>
      </text>
    </comment>
    <comment ref="P123" authorId="11">
      <text>
        <r>
          <rPr>
            <b/>
            <sz val="8"/>
            <color indexed="81"/>
            <rFont val="Tahoma"/>
            <family val="2"/>
          </rPr>
          <t>lauraro:</t>
        </r>
        <r>
          <rPr>
            <sz val="8"/>
            <color indexed="81"/>
            <rFont val="Tahoma"/>
            <family val="2"/>
          </rPr>
          <t xml:space="preserve">
Free People's retail store net sales accounted for approximately 2.8% of consolidated net sales
for the three months ended April 30, 2012</t>
        </r>
      </text>
    </comment>
    <comment ref="W123" authorId="11">
      <text>
        <r>
          <rPr>
            <b/>
            <sz val="8"/>
            <color indexed="81"/>
            <rFont val="Tahoma"/>
            <family val="2"/>
          </rPr>
          <t>lauraro:</t>
        </r>
        <r>
          <rPr>
            <sz val="8"/>
            <color indexed="81"/>
            <rFont val="Tahoma"/>
            <family val="2"/>
          </rPr>
          <t xml:space="preserve">
Terrain and BHLDN</t>
        </r>
      </text>
    </comment>
    <comment ref="AE123" authorId="11">
      <text>
        <r>
          <rPr>
            <b/>
            <sz val="8"/>
            <color indexed="81"/>
            <rFont val="Tahoma"/>
            <family val="2"/>
          </rPr>
          <t xml:space="preserve">lauraro:
</t>
        </r>
        <r>
          <rPr>
            <sz val="8"/>
            <color indexed="81"/>
            <rFont val="Tahoma"/>
            <family val="2"/>
          </rPr>
          <t xml:space="preserve">
Store/Retail seg comp spread narrowed 250-300bps
we est +12%</t>
        </r>
      </text>
    </comment>
    <comment ref="AL123" authorId="11">
      <text>
        <r>
          <rPr>
            <b/>
            <sz val="8"/>
            <color indexed="81"/>
            <rFont val="Tahoma"/>
            <family val="2"/>
          </rPr>
          <t>lauraro:</t>
        </r>
        <r>
          <rPr>
            <sz val="8"/>
            <color indexed="81"/>
            <rFont val="Tahoma"/>
            <family val="2"/>
          </rPr>
          <t xml:space="preserve">
5/21/12: +19% FP, offset by loss of Leifsdottir</t>
        </r>
      </text>
    </comment>
    <comment ref="D124" authorId="12">
      <text>
        <r>
          <rPr>
            <sz val="8"/>
            <color indexed="81"/>
            <rFont val="Tahoma"/>
            <family val="2"/>
          </rPr>
          <t xml:space="preserve">"Urban Outfitters’ North American and European store net sales accounted for approximately 31.0% and 6.3% of consolidated net sales, respectively, for the six months ended July 31, 2012, compared to 31.2% and 5.4%, respectively, for the comparable period in fiscal 2012." estimate; requires input from KG/IR - actual reported numbers below </t>
        </r>
      </text>
    </comment>
    <comment ref="H124" authorId="12">
      <text>
        <r>
          <rPr>
            <b/>
            <sz val="8"/>
            <color indexed="81"/>
            <rFont val="Tahoma"/>
            <family val="2"/>
          </rPr>
          <t>casselau:</t>
        </r>
        <r>
          <rPr>
            <sz val="8"/>
            <color indexed="81"/>
            <rFont val="Tahoma"/>
            <family val="2"/>
          </rPr>
          <t xml:space="preserve">
in NA all business categories delivered comp sales growth, except women's accessories, which was -LSD. Men's
apparel and accessories were our strongest categories during the Q</t>
        </r>
      </text>
    </comment>
    <comment ref="J124" authorId="12">
      <text>
        <r>
          <rPr>
            <sz val="8"/>
            <color indexed="81"/>
            <rFont val="Tahoma"/>
            <family val="2"/>
          </rPr>
          <t>Anthropologie’s North American store net sales accounted for approximately 32.0% of consolidated net sales for the six months ended July 31, 2012, compared to 34.9% for the comparable period in fiscal 2012. Anthropologie’s European store net sales accounted for less than 1.0% of consolidated net sales for the six months ended July 31, 2012 and 2011, respectively." estimate; "we think we have a long way to go before we reach the heights that Anthro has reached before, but we are making solid progress both in the US and abroad"</t>
        </r>
      </text>
    </comment>
    <comment ref="N124" authorId="12">
      <text>
        <r>
          <rPr>
            <b/>
            <sz val="8"/>
            <color indexed="81"/>
            <rFont val="Tahoma"/>
            <family val="2"/>
          </rPr>
          <t>casselau:</t>
        </r>
        <r>
          <rPr>
            <sz val="8"/>
            <color indexed="81"/>
            <rFont val="Tahoma"/>
            <family val="2"/>
          </rPr>
          <t xml:space="preserve">
produced positive regular price comparable sales</t>
        </r>
      </text>
    </comment>
    <comment ref="P124" authorId="12">
      <text>
        <r>
          <rPr>
            <sz val="8"/>
            <color indexed="81"/>
            <rFont val="Tahoma"/>
            <family val="2"/>
          </rPr>
          <t xml:space="preserve">Free People’s retail store net sales accounted for approximately 3.0% of consolidated net sales for the six months ended July 31, 2012, compared to 2.6% for the comparable period in fiscal 2012. 
estimate; requires input from KG/IR - actual reported numbers below </t>
        </r>
      </text>
    </comment>
    <comment ref="W124" authorId="12">
      <text>
        <r>
          <rPr>
            <b/>
            <sz val="8"/>
            <color indexed="81"/>
            <rFont val="Tahoma"/>
            <family val="2"/>
          </rPr>
          <t>casselau:</t>
        </r>
        <r>
          <rPr>
            <sz val="8"/>
            <color indexed="81"/>
            <rFont val="Tahoma"/>
            <family val="2"/>
          </rPr>
          <t xml:space="preserve">
terrain and BHLDN</t>
        </r>
      </text>
    </comment>
    <comment ref="AD124" authorId="12">
      <text>
        <r>
          <rPr>
            <b/>
            <sz val="8"/>
            <color indexed="81"/>
            <rFont val="Tahoma"/>
            <family val="2"/>
          </rPr>
          <t>casselau:</t>
        </r>
        <r>
          <rPr>
            <sz val="8"/>
            <color indexed="81"/>
            <rFont val="Tahoma"/>
            <family val="2"/>
          </rPr>
          <t xml:space="preserve">
8/10/12: largely driven by a 31% increase in website traffic to over 42M customer visits; 75% y/y increase in web-exclusive product available onlne; launch of a number of tech improvements geared to support the web channel
10Q: Direct-to-consumer net sales for all brands combined increased 1.5% to approximately 20.5% of consolidated net sales for the six months ended July 31, 2012, from 19.0% for the comparable period in fiscal 2012. 
</t>
        </r>
      </text>
    </comment>
    <comment ref="AJ124" authorId="12">
      <text>
        <r>
          <rPr>
            <b/>
            <sz val="8"/>
            <color indexed="81"/>
            <rFont val="Tahoma"/>
            <family val="2"/>
          </rPr>
          <t>casselau:</t>
        </r>
        <r>
          <rPr>
            <sz val="8"/>
            <color indexed="81"/>
            <rFont val="Tahoma"/>
            <family val="2"/>
          </rPr>
          <t xml:space="preserve">
driven by 18% increase in Free People wholesale, partially offset by the transition to Leifsdottir to be Anthropologie brand
</t>
        </r>
      </text>
    </comment>
    <comment ref="AU124" authorId="12">
      <text>
        <r>
          <rPr>
            <b/>
            <sz val="8"/>
            <color indexed="81"/>
            <rFont val="Tahoma"/>
            <family val="2"/>
          </rPr>
          <t>casselau:</t>
        </r>
        <r>
          <rPr>
            <sz val="8"/>
            <color indexed="81"/>
            <rFont val="Tahoma"/>
            <family val="2"/>
          </rPr>
          <t xml:space="preserve">
8/20/12: May was our strongest month followed by July and then June; June and July being relatively comparable; May was the easiest comparison so it doesn’t imply a deceleration through the quarter</t>
        </r>
      </text>
    </comment>
    <comment ref="AD125" authorId="12">
      <text>
        <r>
          <rPr>
            <b/>
            <sz val="8"/>
            <color indexed="81"/>
            <rFont val="Tahoma"/>
            <family val="2"/>
          </rPr>
          <t>casselau:</t>
        </r>
        <r>
          <rPr>
            <sz val="8"/>
            <color indexed="81"/>
            <rFont val="Tahoma"/>
            <family val="2"/>
          </rPr>
          <t xml:space="preserve">
11/20: sept had highest sales volume of any month in 8yr history - until octoer surpassed; total intl orders +66%, with Australia +155%</t>
        </r>
      </text>
    </comment>
    <comment ref="AE125" authorId="12">
      <text>
        <r>
          <rPr>
            <b/>
            <sz val="8"/>
            <color indexed="81"/>
            <rFont val="Tahoma"/>
            <family val="2"/>
          </rPr>
          <t>casselau:</t>
        </r>
        <r>
          <rPr>
            <sz val="8"/>
            <color indexed="81"/>
            <rFont val="Tahoma"/>
            <family val="2"/>
          </rPr>
          <t xml:space="preserve">
11/20: result of reallocating and increasing our marketing budget was a 32% increase in total web traffic; a 200% jump in sales coming from mobile
devices; a 50% increase in sales coming from social media sites; and a 36% growth in total direct-to-consumer sales.</t>
        </r>
      </text>
    </comment>
    <comment ref="AJ125" authorId="12">
      <text>
        <r>
          <rPr>
            <b/>
            <sz val="8"/>
            <color indexed="81"/>
            <rFont val="Tahoma"/>
            <family val="2"/>
          </rPr>
          <t>casselau:</t>
        </r>
        <r>
          <rPr>
            <sz val="8"/>
            <color indexed="81"/>
            <rFont val="Tahoma"/>
            <family val="2"/>
          </rPr>
          <t xml:space="preserve">
11/20: free people +9%; a number of FP wholesale accounts supporting +20% sell-throughs on a weekly basis </t>
        </r>
      </text>
    </comment>
    <comment ref="H126" authorId="12">
      <text>
        <r>
          <rPr>
            <b/>
            <sz val="8"/>
            <color indexed="81"/>
            <rFont val="Tahoma"/>
            <family val="2"/>
          </rPr>
          <t>casselau:</t>
        </r>
        <r>
          <rPr>
            <sz val="8"/>
            <color indexed="81"/>
            <rFont val="Tahoma"/>
            <family val="2"/>
          </rPr>
          <t xml:space="preserve">
1/10/13: holiday +10%</t>
        </r>
      </text>
    </comment>
    <comment ref="M126" authorId="12">
      <text>
        <r>
          <rPr>
            <b/>
            <sz val="8"/>
            <color indexed="81"/>
            <rFont val="Tahoma"/>
            <family val="2"/>
          </rPr>
          <t>casselau:</t>
        </r>
        <r>
          <rPr>
            <sz val="8"/>
            <color indexed="81"/>
            <rFont val="Tahoma"/>
            <family val="2"/>
          </rPr>
          <t xml:space="preserve">
1/10/13: holiday sales, we think store -3%</t>
        </r>
      </text>
    </comment>
    <comment ref="N126" authorId="12">
      <text>
        <r>
          <rPr>
            <b/>
            <sz val="8"/>
            <color indexed="81"/>
            <rFont val="Tahoma"/>
            <family val="2"/>
          </rPr>
          <t>casselau:</t>
        </r>
        <r>
          <rPr>
            <sz val="8"/>
            <color indexed="81"/>
            <rFont val="Tahoma"/>
            <family val="2"/>
          </rPr>
          <t xml:space="preserve">
1/10/13: holiday +5%</t>
        </r>
      </text>
    </comment>
    <comment ref="T126" authorId="12">
      <text>
        <r>
          <rPr>
            <b/>
            <sz val="8"/>
            <color indexed="81"/>
            <rFont val="Tahoma"/>
            <family val="2"/>
          </rPr>
          <t>casselau:</t>
        </r>
        <r>
          <rPr>
            <sz val="8"/>
            <color indexed="81"/>
            <rFont val="Tahoma"/>
            <family val="2"/>
          </rPr>
          <t xml:space="preserve">
1/10/13: holiday +33%</t>
        </r>
      </text>
    </comment>
    <comment ref="AE126" authorId="12">
      <text>
        <r>
          <rPr>
            <b/>
            <sz val="8"/>
            <color indexed="81"/>
            <rFont val="Tahoma"/>
            <family val="2"/>
          </rPr>
          <t>casselau:</t>
        </r>
        <r>
          <rPr>
            <sz val="8"/>
            <color indexed="81"/>
            <rFont val="Tahoma"/>
            <family val="2"/>
          </rPr>
          <t xml:space="preserve">
1/10/13: holiday DTC sales +38%</t>
        </r>
      </text>
    </comment>
    <comment ref="AL126" authorId="12">
      <text>
        <r>
          <rPr>
            <b/>
            <sz val="8"/>
            <color indexed="81"/>
            <rFont val="Tahoma"/>
            <family val="2"/>
          </rPr>
          <t>casselau:</t>
        </r>
        <r>
          <rPr>
            <sz val="8"/>
            <color indexed="81"/>
            <rFont val="Tahoma"/>
            <family val="2"/>
          </rPr>
          <t xml:space="preserve">
1/10/13: holiday wholesale sales +21%</t>
        </r>
      </text>
    </comment>
    <comment ref="D130" authorId="13">
      <text>
        <r>
          <rPr>
            <b/>
            <sz val="8"/>
            <color indexed="81"/>
            <rFont val="Tahoma"/>
            <family val="2"/>
          </rPr>
          <t>turleamb:</t>
        </r>
        <r>
          <rPr>
            <sz val="8"/>
            <color indexed="81"/>
            <rFont val="Tahoma"/>
            <family val="2"/>
          </rPr>
          <t xml:space="preserve">
From 1Q management commentary:In North America, by region, store net sales were strongest in the West and weakest in the Midwest. By venue, store net sales were strongest in traditional malls and weakest in college locations. All merchandise categories delivered positive comp net sales.
In Europe, by region, store net sales were strongest in Continental Europe and weakest in London. By venue, store net sales were strongest in traditional malls and weakest in street locations. By Retail segment merchandise category, home and women’s apparel and accessories were the strongest.</t>
        </r>
      </text>
    </comment>
    <comment ref="H130" authorId="12">
      <text>
        <r>
          <rPr>
            <b/>
            <sz val="8"/>
            <color indexed="81"/>
            <rFont val="Tahoma"/>
            <family val="2"/>
          </rPr>
          <t>casselau:</t>
        </r>
        <r>
          <rPr>
            <sz val="8"/>
            <color indexed="81"/>
            <rFont val="Tahoma"/>
            <family val="2"/>
          </rPr>
          <t xml:space="preserve">
4/1/13: 10-K update: ~6-7%</t>
        </r>
      </text>
    </comment>
    <comment ref="J130" authorId="13">
      <text>
        <r>
          <rPr>
            <b/>
            <sz val="8"/>
            <color indexed="81"/>
            <rFont val="Tahoma"/>
            <family val="2"/>
          </rPr>
          <t>turleamb:</t>
        </r>
        <r>
          <rPr>
            <sz val="8"/>
            <color indexed="81"/>
            <rFont val="Tahoma"/>
            <family val="2"/>
          </rPr>
          <t xml:space="preserve">
From 1Q management commentary:  By region store net sales were strongest in the West and weakest in the East. By venue store net sales were strongest in free standing locations and weakest in metro locations. By Retail segment merchandise category, women’s apparel was the strongest.</t>
        </r>
      </text>
    </comment>
    <comment ref="N130" authorId="12">
      <text>
        <r>
          <rPr>
            <b/>
            <sz val="8"/>
            <color indexed="81"/>
            <rFont val="Tahoma"/>
            <family val="2"/>
          </rPr>
          <t>casselau:</t>
        </r>
        <r>
          <rPr>
            <sz val="8"/>
            <color indexed="81"/>
            <rFont val="Tahoma"/>
            <family val="2"/>
          </rPr>
          <t xml:space="preserve">
4/1/13: 10-K update: ~9%</t>
        </r>
      </text>
    </comment>
    <comment ref="P130" authorId="13">
      <text>
        <r>
          <rPr>
            <b/>
            <sz val="8"/>
            <color indexed="81"/>
            <rFont val="Tahoma"/>
            <family val="2"/>
          </rPr>
          <t>turleamb:</t>
        </r>
        <r>
          <rPr>
            <sz val="8"/>
            <color indexed="81"/>
            <rFont val="Tahoma"/>
            <family val="2"/>
          </rPr>
          <t xml:space="preserve">
From 1Q management commentary: By region store net sales were strongest in the West and weakest in the Northeast. By venue store net sales were strongest in lifestyle centers. All merchandise categories delivered significant positive comp net sales.</t>
        </r>
      </text>
    </comment>
    <comment ref="T130" authorId="12">
      <text>
        <r>
          <rPr>
            <b/>
            <sz val="8"/>
            <color indexed="81"/>
            <rFont val="Tahoma"/>
            <family val="2"/>
          </rPr>
          <t>casselau:</t>
        </r>
        <r>
          <rPr>
            <sz val="8"/>
            <color indexed="81"/>
            <rFont val="Tahoma"/>
            <family val="2"/>
          </rPr>
          <t xml:space="preserve">
4/1/13: 10-K update: ~low-to-mid 30's</t>
        </r>
      </text>
    </comment>
    <comment ref="AE130" authorId="9">
      <text>
        <r>
          <rPr>
            <b/>
            <sz val="8"/>
            <color indexed="81"/>
            <rFont val="Tahoma"/>
            <family val="2"/>
          </rPr>
          <t>kimberlg:</t>
        </r>
        <r>
          <rPr>
            <sz val="8"/>
            <color indexed="81"/>
            <rFont val="Tahoma"/>
            <family val="2"/>
          </rPr>
          <t xml:space="preserve">
8/22/13: 1Q13 eComm sales grew about 42% vs. LY, but URBN restated LY eComm sales to deduct in store returns from the number, so we need a lower growth rate to adjust for this. We adjusted lower to account for the store returns which will not hit this base</t>
        </r>
      </text>
    </comment>
    <comment ref="AU130" authorId="12">
      <text>
        <r>
          <rPr>
            <b/>
            <sz val="8"/>
            <color indexed="81"/>
            <rFont val="Tahoma"/>
            <family val="2"/>
          </rPr>
          <t>casselau:</t>
        </r>
        <r>
          <rPr>
            <sz val="8"/>
            <color indexed="81"/>
            <rFont val="Tahoma"/>
            <family val="2"/>
          </rPr>
          <t xml:space="preserve">
4/1/13: 10-K update: ~9%</t>
        </r>
      </text>
    </comment>
    <comment ref="H131" authorId="12">
      <text>
        <r>
          <rPr>
            <b/>
            <sz val="8"/>
            <color indexed="81"/>
            <rFont val="Tahoma"/>
            <family val="2"/>
          </rPr>
          <t>casselau:</t>
        </r>
        <r>
          <rPr>
            <sz val="8"/>
            <color indexed="81"/>
            <rFont val="Tahoma"/>
            <family val="2"/>
          </rPr>
          <t xml:space="preserve">
6/10/13: 10-K update ~6% (in-line with 1Q)
8/22/13 UO choppy business, could see deceleration from 5 to 3% comps</t>
        </r>
      </text>
    </comment>
    <comment ref="N131" authorId="12">
      <text>
        <r>
          <rPr>
            <b/>
            <sz val="8"/>
            <color indexed="81"/>
            <rFont val="Tahoma"/>
            <family val="2"/>
          </rPr>
          <t>casselau:</t>
        </r>
        <r>
          <rPr>
            <sz val="8"/>
            <color indexed="81"/>
            <rFont val="Tahoma"/>
            <family val="2"/>
          </rPr>
          <t xml:space="preserve">
6/10/13: 10-K update ~5% (deceleration from 1Q due to not repeating clearance event)</t>
        </r>
      </text>
    </comment>
    <comment ref="P131" authorId="12">
      <text>
        <r>
          <rPr>
            <sz val="8"/>
            <color indexed="81"/>
            <rFont val="Tahoma"/>
            <family val="2"/>
          </rPr>
          <t xml:space="preserve">Free People’s retail store net sales accounted for approximately 3.0% of consolidated net sales for the six months ended July 31, 2012, compared to 2.6% for the comparable period in fiscal 2012. 
estimate; requires input from KG/IR - actual reported numbers below </t>
        </r>
      </text>
    </comment>
    <comment ref="T131" authorId="12">
      <text>
        <r>
          <rPr>
            <b/>
            <sz val="8"/>
            <color indexed="81"/>
            <rFont val="Tahoma"/>
            <family val="2"/>
          </rPr>
          <t>casselau:</t>
        </r>
        <r>
          <rPr>
            <sz val="8"/>
            <color indexed="81"/>
            <rFont val="Tahoma"/>
            <family val="2"/>
          </rPr>
          <t xml:space="preserve">
6/10/13: 10-K update ~44% (in-line with 1Q)</t>
        </r>
      </text>
    </comment>
    <comment ref="AE131" authorId="9">
      <text>
        <r>
          <rPr>
            <b/>
            <sz val="8"/>
            <color indexed="81"/>
            <rFont val="Tahoma"/>
            <family val="2"/>
          </rPr>
          <t>kimberlg:</t>
        </r>
        <r>
          <rPr>
            <sz val="8"/>
            <color indexed="81"/>
            <rFont val="Tahoma"/>
            <family val="2"/>
          </rPr>
          <t xml:space="preserve">
8/22/13: 2Q eComm grew H30's-40%, 200bps better than 1Q. Remember URBN restated historical eComm sales to charge the eComm with returns to stores, so the base year should be lower!!
We adjusted the growth rate to help account for in store returns which will go against this DTC base</t>
        </r>
      </text>
    </comment>
    <comment ref="AJ131" authorId="13">
      <text>
        <r>
          <rPr>
            <b/>
            <sz val="8"/>
            <color indexed="81"/>
            <rFont val="Tahoma"/>
            <family val="2"/>
          </rPr>
          <t>turleamb:</t>
        </r>
        <r>
          <rPr>
            <sz val="8"/>
            <color indexed="81"/>
            <rFont val="Tahoma"/>
            <family val="2"/>
          </rPr>
          <t xml:space="preserve">
opened showroom in London (July 2013)</t>
        </r>
      </text>
    </comment>
    <comment ref="AU131" authorId="12">
      <text>
        <r>
          <rPr>
            <b/>
            <sz val="8"/>
            <color indexed="81"/>
            <rFont val="Tahoma"/>
            <family val="2"/>
          </rPr>
          <t>casselau:</t>
        </r>
        <r>
          <rPr>
            <sz val="8"/>
            <color indexed="81"/>
            <rFont val="Tahoma"/>
            <family val="2"/>
          </rPr>
          <t xml:space="preserve">
6/10/13: 10-K update ~ (+HSD)
</t>
        </r>
        <r>
          <rPr>
            <b/>
            <sz val="8"/>
            <color indexed="81"/>
            <rFont val="Tahoma"/>
            <family val="2"/>
          </rPr>
          <t>turleamb:</t>
        </r>
        <r>
          <rPr>
            <sz val="8"/>
            <color indexed="81"/>
            <rFont val="Tahoma"/>
            <family val="2"/>
          </rPr>
          <t xml:space="preserve"> 8/19 2Q EPS call: Direct-to-consumer growth resulted from an increase in visitors and improved conversion rate. Positive comp store sales were driven by increased transactions and units per transaction which were partially offset by lower average unit selling prices. 
DTC traffic +16%, conversion +51bps = total # of DTC orders up by 40%</t>
        </r>
      </text>
    </comment>
    <comment ref="W132" authorId="13">
      <text>
        <r>
          <rPr>
            <b/>
            <sz val="8"/>
            <color indexed="81"/>
            <rFont val="Tahoma"/>
            <family val="2"/>
          </rPr>
          <t>turleamb:</t>
        </r>
        <r>
          <rPr>
            <sz val="8"/>
            <color indexed="81"/>
            <rFont val="Tahoma"/>
            <family val="2"/>
          </rPr>
          <t xml:space="preserve">
driven by growth in DTC channels and new and non-comparable stores</t>
        </r>
      </text>
    </comment>
    <comment ref="AE132" authorId="13">
      <text>
        <r>
          <rPr>
            <b/>
            <sz val="8"/>
            <color indexed="81"/>
            <rFont val="Tahoma"/>
            <family val="2"/>
          </rPr>
          <t>turleamb:</t>
        </r>
        <r>
          <rPr>
            <sz val="8"/>
            <color indexed="81"/>
            <rFont val="Tahoma"/>
            <family val="2"/>
          </rPr>
          <t xml:space="preserve">
estimate</t>
        </r>
      </text>
    </comment>
    <comment ref="AJ132" authorId="13">
      <text>
        <r>
          <rPr>
            <b/>
            <sz val="8"/>
            <color indexed="81"/>
            <rFont val="Tahoma"/>
            <family val="2"/>
          </rPr>
          <t>turleamb:</t>
        </r>
        <r>
          <rPr>
            <sz val="8"/>
            <color indexed="81"/>
            <rFont val="Tahoma"/>
            <family val="2"/>
          </rPr>
          <t xml:space="preserve">
opened showroom in Tokyo in Oct '13</t>
        </r>
      </text>
    </comment>
    <comment ref="AL132" authorId="13">
      <text>
        <r>
          <rPr>
            <b/>
            <sz val="8"/>
            <color indexed="81"/>
            <rFont val="Tahoma"/>
            <family val="2"/>
          </rPr>
          <t>turleamb:</t>
        </r>
        <r>
          <rPr>
            <sz val="8"/>
            <color indexed="81"/>
            <rFont val="Tahoma"/>
            <family val="2"/>
          </rPr>
          <t xml:space="preserve">
11/18/13: driven by +DD sales growth at specialty accounts and dept stores</t>
        </r>
      </text>
    </comment>
    <comment ref="H133" authorId="13">
      <text>
        <r>
          <rPr>
            <b/>
            <sz val="8"/>
            <color indexed="81"/>
            <rFont val="Tahoma"/>
            <family val="2"/>
          </rPr>
          <t>turleamb:</t>
        </r>
        <r>
          <rPr>
            <sz val="8"/>
            <color indexed="81"/>
            <rFont val="Tahoma"/>
            <family val="2"/>
          </rPr>
          <t xml:space="preserve">
1/9/14: holiday comp -6%
3/10/14: Negative comp store sales resulted from a reduction
in transactions which were partially offset by increases in units per transaction and average unit selling price</t>
        </r>
      </text>
    </comment>
    <comment ref="N133" authorId="13">
      <text>
        <r>
          <rPr>
            <b/>
            <sz val="8"/>
            <color indexed="81"/>
            <rFont val="Tahoma"/>
            <family val="2"/>
          </rPr>
          <t>turleamb:</t>
        </r>
        <r>
          <rPr>
            <sz val="8"/>
            <color indexed="81"/>
            <rFont val="Tahoma"/>
            <family val="2"/>
          </rPr>
          <t xml:space="preserve">
1/9/14: holiday comp +11%</t>
        </r>
      </text>
    </comment>
    <comment ref="P133" authorId="13">
      <text>
        <r>
          <rPr>
            <b/>
            <sz val="8"/>
            <color indexed="81"/>
            <rFont val="Tahoma"/>
            <family val="2"/>
          </rPr>
          <t>turleamb:</t>
        </r>
        <r>
          <rPr>
            <sz val="8"/>
            <color indexed="81"/>
            <rFont val="Tahoma"/>
            <family val="2"/>
          </rPr>
          <t xml:space="preserve">
3/10/14: stores channel finished the year with their most productive sales per square foot and four-wall profitability on record. The combined
retail channels delivered a powerful comp sales increase of 20%. In all, the Free People brand performance during the quarter was almost flawless.</t>
        </r>
      </text>
    </comment>
    <comment ref="T133" authorId="13">
      <text>
        <r>
          <rPr>
            <b/>
            <sz val="8"/>
            <color indexed="81"/>
            <rFont val="Tahoma"/>
            <family val="2"/>
          </rPr>
          <t>turleamb:</t>
        </r>
        <r>
          <rPr>
            <sz val="8"/>
            <color indexed="81"/>
            <rFont val="Tahoma"/>
            <family val="2"/>
          </rPr>
          <t xml:space="preserve">
1/9/14: holiday comp +21%</t>
        </r>
      </text>
    </comment>
    <comment ref="AD133" authorId="13">
      <text>
        <r>
          <rPr>
            <b/>
            <sz val="8"/>
            <color indexed="81"/>
            <rFont val="Tahoma"/>
            <family val="2"/>
          </rPr>
          <t>turleamb:</t>
        </r>
        <r>
          <rPr>
            <sz val="8"/>
            <color indexed="81"/>
            <rFont val="Tahoma"/>
            <family val="2"/>
          </rPr>
          <t xml:space="preserve">
3/10/14: Direct-to-consumer growth resulted from higher average order value and increased visitors.</t>
        </r>
      </text>
    </comment>
    <comment ref="AE133" authorId="13">
      <text>
        <r>
          <rPr>
            <b/>
            <sz val="8"/>
            <color indexed="81"/>
            <rFont val="Tahoma"/>
            <family val="2"/>
          </rPr>
          <t>turleamb:</t>
        </r>
        <r>
          <rPr>
            <sz val="8"/>
            <color indexed="81"/>
            <rFont val="Tahoma"/>
            <family val="2"/>
          </rPr>
          <t xml:space="preserve">
Direct-to-consumer growth resulted from higher average order value and increased visitors. Negative comp store sales resulted from a reduction in transactions which were partially offset by increases in units per transaction and average unit selling price</t>
        </r>
      </text>
    </comment>
    <comment ref="AJ133" authorId="13">
      <text>
        <r>
          <rPr>
            <b/>
            <sz val="8"/>
            <color indexed="81"/>
            <rFont val="Tahoma"/>
            <family val="2"/>
          </rPr>
          <t>turleamb:</t>
        </r>
        <r>
          <rPr>
            <sz val="8"/>
            <color indexed="81"/>
            <rFont val="Tahoma"/>
            <family val="2"/>
          </rPr>
          <t xml:space="preserve">
3/10/14: Free people wholesale delivered another strong quarter as sales rose 24% to $48 million. These results came from double digit sales growth at specialty stores and Department Stores
signed exclusive distribution agreement in Japan</t>
        </r>
      </text>
    </comment>
    <comment ref="AL133" authorId="13">
      <text>
        <r>
          <rPr>
            <b/>
            <sz val="8"/>
            <color indexed="81"/>
            <rFont val="Tahoma"/>
            <family val="2"/>
          </rPr>
          <t>turleamb:</t>
        </r>
        <r>
          <rPr>
            <sz val="8"/>
            <color indexed="81"/>
            <rFont val="Tahoma"/>
            <family val="2"/>
          </rPr>
          <t xml:space="preserve">
1/9/14: wholesale holiday +21%</t>
        </r>
      </text>
    </comment>
    <comment ref="D134" authorId="13">
      <text>
        <r>
          <rPr>
            <b/>
            <sz val="9"/>
            <color indexed="81"/>
            <rFont val="Tahoma"/>
            <family val="2"/>
          </rPr>
          <t>turleamb:</t>
        </r>
        <r>
          <rPr>
            <sz val="9"/>
            <color indexed="81"/>
            <rFont val="Tahoma"/>
            <family val="2"/>
          </rPr>
          <t xml:space="preserve">
10-K; Urban Outfitters’ North American and European Retail segment net sales accounted for approximately 36.3% and 8.1% of consolidated net sales, respectively, for fiscal 2014.
82% of UO sales are from NA, remaining 18% from Europe</t>
        </r>
      </text>
    </comment>
    <comment ref="J134" authorId="13">
      <text>
        <r>
          <rPr>
            <b/>
            <sz val="9"/>
            <color indexed="81"/>
            <rFont val="Tahoma"/>
            <family val="2"/>
          </rPr>
          <t>turleamb:</t>
        </r>
        <r>
          <rPr>
            <sz val="9"/>
            <color indexed="81"/>
            <rFont val="Tahoma"/>
            <family val="2"/>
          </rPr>
          <t xml:space="preserve">
10-K: Anthropologie’s North American and European Retail segment net sales accounted for approximately 39.8% and 1.2% of consolidated net sales, respectively, for fiscal 2014.</t>
        </r>
      </text>
    </comment>
    <comment ref="AE134" authorId="13">
      <text>
        <r>
          <rPr>
            <b/>
            <sz val="9"/>
            <color indexed="81"/>
            <rFont val="Tahoma"/>
            <family val="2"/>
          </rPr>
          <t>turleamb:</t>
        </r>
        <r>
          <rPr>
            <sz val="9"/>
            <color indexed="81"/>
            <rFont val="Tahoma"/>
            <family val="2"/>
          </rPr>
          <t xml:space="preserve">
10-K: Direct-to-consumer net sales were driven by an increase in website and mobile application traffic, a higher average order value and an improved conversion rate. </t>
        </r>
      </text>
    </comment>
    <comment ref="AL134" authorId="13">
      <text>
        <r>
          <rPr>
            <b/>
            <sz val="9"/>
            <color indexed="81"/>
            <rFont val="Tahoma"/>
            <family val="2"/>
          </rPr>
          <t>turleamb:</t>
        </r>
        <r>
          <rPr>
            <sz val="9"/>
            <color indexed="81"/>
            <rFont val="Tahoma"/>
            <family val="2"/>
          </rPr>
          <t xml:space="preserve">
10-K: The increase in Wholesale segment net sales in fiscal 2014 was due to higher sales to both specialty and department stores driven by increases in transactions.</t>
        </r>
      </text>
    </comment>
    <comment ref="AD137" authorId="13">
      <text>
        <r>
          <rPr>
            <b/>
            <sz val="9"/>
            <color indexed="81"/>
            <rFont val="Tahoma"/>
            <family val="2"/>
          </rPr>
          <t>turleamb:</t>
        </r>
        <r>
          <rPr>
            <sz val="9"/>
            <color indexed="81"/>
            <rFont val="Tahoma"/>
            <family val="2"/>
          </rPr>
          <t xml:space="preserve">
DTC driven by higher avg order value and increase in website/mobile app traffic. </t>
        </r>
      </text>
    </comment>
    <comment ref="AL137" authorId="13">
      <text>
        <r>
          <rPr>
            <b/>
            <sz val="9"/>
            <color indexed="81"/>
            <rFont val="Tahoma"/>
            <family val="2"/>
          </rPr>
          <t>turleamb:</t>
        </r>
        <r>
          <rPr>
            <sz val="9"/>
            <color indexed="81"/>
            <rFont val="Tahoma"/>
            <family val="2"/>
          </rPr>
          <t xml:space="preserve">
5/19/14: driven by +DD increases as specialty accounts and dept stores. ~45% of growth came from expanded product categories and that penetration will likely grow as wholesale shoes ship in early Fall. </t>
        </r>
      </text>
    </comment>
    <comment ref="AR137" authorId="13">
      <text>
        <r>
          <rPr>
            <b/>
            <sz val="9"/>
            <color indexed="81"/>
            <rFont val="Tahoma"/>
            <family val="2"/>
          </rPr>
          <t>turleamb:</t>
        </r>
        <r>
          <rPr>
            <sz val="9"/>
            <color indexed="81"/>
            <rFont val="Tahoma"/>
            <family val="2"/>
          </rPr>
          <t xml:space="preserve">
$600.913 came from US sales and $85.397 came from foreign sales</t>
        </r>
      </text>
    </comment>
    <comment ref="AL138" authorId="14">
      <text>
        <r>
          <rPr>
            <b/>
            <sz val="9"/>
            <color indexed="81"/>
            <rFont val="Tahoma"/>
            <family val="2"/>
          </rPr>
          <t>Turley, Amber (Research):</t>
        </r>
        <r>
          <rPr>
            <sz val="9"/>
            <color indexed="81"/>
            <rFont val="Tahoma"/>
            <family val="2"/>
          </rPr>
          <t xml:space="preserve">
9/9/14 10-Q pg 22: Increase due to increased transactions partially offset by decrease in ASP. </t>
        </r>
      </text>
    </comment>
    <comment ref="H139" authorId="14">
      <text>
        <r>
          <rPr>
            <b/>
            <sz val="9"/>
            <color indexed="81"/>
            <rFont val="Tahoma"/>
            <family val="2"/>
          </rPr>
          <t>Turley, Amber (Research):</t>
        </r>
        <r>
          <rPr>
            <sz val="9"/>
            <color indexed="81"/>
            <rFont val="Tahoma"/>
            <family val="2"/>
          </rPr>
          <t xml:space="preserve">
11/17/14: In North America, by region, store net sales were negative across all regions with California outperforming the overall average. By venue, store net sales were weak across all locations with no one format significantly different from another. By Retail segment merchandise category, home was the strongest while women’s apparel was the weakest.
In Europe, by region, store net sales were strongest in the United Kingdom. By Retail segment merchandise category, home was the strongest and women’s apparel was the weakest.</t>
        </r>
      </text>
    </comment>
    <comment ref="N139" authorId="14">
      <text>
        <r>
          <rPr>
            <b/>
            <sz val="9"/>
            <color indexed="81"/>
            <rFont val="Tahoma"/>
            <family val="2"/>
          </rPr>
          <t>Turley, Amber (Research):</t>
        </r>
        <r>
          <rPr>
            <sz val="9"/>
            <color indexed="81"/>
            <rFont val="Tahoma"/>
            <family val="2"/>
          </rPr>
          <t xml:space="preserve">
11/17/14: By region, store net sales were strongest in the Southeast and weakest in the East. By venue, store net sales were consistent across all locations. By Retail segment merchandise category, women’s apparel was the strongest and accessories was the weakest.</t>
        </r>
      </text>
    </comment>
    <comment ref="T139" authorId="14">
      <text>
        <r>
          <rPr>
            <b/>
            <sz val="9"/>
            <color indexed="81"/>
            <rFont val="Tahoma"/>
            <family val="2"/>
          </rPr>
          <t>Turley, Amber (Research):</t>
        </r>
        <r>
          <rPr>
            <sz val="9"/>
            <color indexed="81"/>
            <rFont val="Tahoma"/>
            <family val="2"/>
          </rPr>
          <t xml:space="preserve">
11/17/14: By region, store net sales were strongest in the West and weakest in the Northeast. By venue, store net sales were strongest in traditional mall locations and weakest in metropolitan locations. All Retail segment merchandise categories delivered positive comparable net sales.</t>
        </r>
      </text>
    </comment>
    <comment ref="W139" authorId="15">
      <text>
        <r>
          <rPr>
            <b/>
            <sz val="9"/>
            <color indexed="81"/>
            <rFont val="Tahoma"/>
            <family val="2"/>
          </rPr>
          <t>Baglione, Gregory  (Research):</t>
        </r>
        <r>
          <rPr>
            <sz val="9"/>
            <color indexed="81"/>
            <rFont val="Tahoma"/>
            <family val="2"/>
          </rPr>
          <t xml:space="preserve">
no longer breakout
</t>
        </r>
      </text>
    </comment>
    <comment ref="AJ139" authorId="14">
      <text>
        <r>
          <rPr>
            <b/>
            <sz val="9"/>
            <color indexed="81"/>
            <rFont val="Tahoma"/>
            <family val="2"/>
          </rPr>
          <t>Turley, Amber (Research):</t>
        </r>
        <r>
          <rPr>
            <sz val="9"/>
            <color indexed="81"/>
            <rFont val="Tahoma"/>
            <family val="2"/>
          </rPr>
          <t xml:space="preserve">
aggressively rolling out shop in shops for FP to hit more markets and also expand categories in existing doors
~1400 dept and specialty stores</t>
        </r>
      </text>
    </comment>
    <comment ref="AL139" authorId="14">
      <text>
        <r>
          <rPr>
            <b/>
            <sz val="9"/>
            <color indexed="81"/>
            <rFont val="Tahoma"/>
            <family val="2"/>
          </rPr>
          <t>Turley, Amber (Research):</t>
        </r>
        <r>
          <rPr>
            <sz val="9"/>
            <color indexed="81"/>
            <rFont val="Tahoma"/>
            <family val="2"/>
          </rPr>
          <t xml:space="preserve">
12/10/14 10-Q: due to increased sales at both department stores and specialty accounts and strong international sales growth. Wholesale sales growth was driven by an increase in units that was partially offset by a decrease in average unit selling price</t>
        </r>
      </text>
    </comment>
    <comment ref="H140" authorId="14">
      <text>
        <r>
          <rPr>
            <b/>
            <sz val="9"/>
            <color indexed="81"/>
            <rFont val="Tahoma"/>
            <family val="2"/>
          </rPr>
          <t>Turley, Amber (Research):</t>
        </r>
        <r>
          <rPr>
            <sz val="9"/>
            <color indexed="81"/>
            <rFont val="Tahoma"/>
            <family val="2"/>
          </rPr>
          <t xml:space="preserve">
1/8/15: holiday comp +1%
12/11/14: 4QTD -LSD (potentially could be flat to slightly positive for full quarter based on easing comparisons -LY was down mid to high teens in Jan). Trends at UO are similar to 3Q so far with eComm outperforming, markdowns are down and eComm is driven by full price sales.</t>
        </r>
      </text>
    </comment>
    <comment ref="N140" authorId="14">
      <text>
        <r>
          <rPr>
            <b/>
            <sz val="9"/>
            <color indexed="81"/>
            <rFont val="Tahoma"/>
            <family val="2"/>
          </rPr>
          <t>Turley, Amber (Research):</t>
        </r>
        <r>
          <rPr>
            <sz val="9"/>
            <color indexed="81"/>
            <rFont val="Tahoma"/>
            <family val="2"/>
          </rPr>
          <t xml:space="preserve">
3/9/15: comp store sales were negative across all regions with all performing fairly consistently. Comp stores underperformed in all venues with lifetsyle centers slightly outperforming the avg. womens apparel strongest, accessories the weakest. 
1/8/15: holiday comp +5%
12/11/14: 4QTD comp  at the high end of +MSD range</t>
        </r>
      </text>
    </comment>
    <comment ref="T140" authorId="14">
      <text>
        <r>
          <rPr>
            <b/>
            <sz val="9"/>
            <color indexed="81"/>
            <rFont val="Tahoma"/>
            <family val="2"/>
          </rPr>
          <t>Turley, Amber (Research):</t>
        </r>
        <r>
          <rPr>
            <sz val="9"/>
            <color indexed="81"/>
            <rFont val="Tahoma"/>
            <family val="2"/>
          </rPr>
          <t xml:space="preserve">
1/8/15: holiday comp +17%
12/11/14: 4QTD comp still running mid teens</t>
        </r>
      </text>
    </comment>
    <comment ref="W140" authorId="15">
      <text>
        <r>
          <rPr>
            <b/>
            <sz val="9"/>
            <color indexed="81"/>
            <rFont val="Tahoma"/>
            <family val="2"/>
          </rPr>
          <t>Baglione, Gregory  (Research):</t>
        </r>
        <r>
          <rPr>
            <sz val="9"/>
            <color indexed="81"/>
            <rFont val="Tahoma"/>
            <family val="2"/>
          </rPr>
          <t xml:space="preserve">
no longer breakout
</t>
        </r>
      </text>
    </comment>
    <comment ref="AL140" authorId="14">
      <text>
        <r>
          <rPr>
            <b/>
            <sz val="9"/>
            <color indexed="81"/>
            <rFont val="Tahoma"/>
            <family val="2"/>
          </rPr>
          <t>Turley, Amber (Research):</t>
        </r>
        <r>
          <rPr>
            <sz val="9"/>
            <color indexed="81"/>
            <rFont val="Tahoma"/>
            <family val="2"/>
          </rPr>
          <t xml:space="preserve">
1/8/15: wholesale holiday +14%</t>
        </r>
      </text>
    </comment>
    <comment ref="D141" authorId="13">
      <text>
        <r>
          <rPr>
            <b/>
            <sz val="8"/>
            <color indexed="81"/>
            <rFont val="Tahoma"/>
            <family val="2"/>
          </rPr>
          <t>turleamb:</t>
        </r>
        <r>
          <rPr>
            <sz val="8"/>
            <color indexed="81"/>
            <rFont val="Tahoma"/>
            <family val="2"/>
          </rPr>
          <t xml:space="preserve">
1/13/14 ICR: Priorities: ensure talent is in place, emphasize trainnig and development, improve procedures &amp; communication, infuse more creativity
See category opportunities in beauty, apartment wares, active, electronics, services</t>
        </r>
      </text>
    </comment>
    <comment ref="J141" authorId="13">
      <text>
        <r>
          <rPr>
            <b/>
            <sz val="8"/>
            <color indexed="81"/>
            <rFont val="Tahoma"/>
            <family val="2"/>
          </rPr>
          <t>turleamb:</t>
        </r>
        <r>
          <rPr>
            <sz val="8"/>
            <color indexed="81"/>
            <rFont val="Tahoma"/>
            <family val="2"/>
          </rPr>
          <t xml:space="preserve">
1/13/14 ICR: See category opportunities in petites, wedding, home, intimates, beauty, jewelry, shoes, accessories, outdoor living, services</t>
        </r>
      </text>
    </comment>
    <comment ref="P141" authorId="13">
      <text>
        <r>
          <rPr>
            <b/>
            <sz val="8"/>
            <color indexed="81"/>
            <rFont val="Tahoma"/>
            <family val="2"/>
          </rPr>
          <t>turleamb:</t>
        </r>
        <r>
          <rPr>
            <sz val="8"/>
            <color indexed="81"/>
            <rFont val="Tahoma"/>
            <family val="2"/>
          </rPr>
          <t xml:space="preserve">
1/13/14 ICR: See category opportunities in shoes, intimates, special occasion dresses, active</t>
        </r>
      </text>
    </comment>
    <comment ref="AD141" authorId="13">
      <text>
        <r>
          <rPr>
            <b/>
            <sz val="8"/>
            <color indexed="81"/>
            <rFont val="Tahoma"/>
            <family val="2"/>
          </rPr>
          <t>turleamb:</t>
        </r>
        <r>
          <rPr>
            <sz val="8"/>
            <color indexed="81"/>
            <rFont val="Tahoma"/>
            <family val="2"/>
          </rPr>
          <t xml:space="preserve">
1/13/14 ICR: Goal is to grow DTC globally and add new categories; Priorities: fast and free shipping, multi-language sites, multi-currency checkout, global assortment through single SKU, country specific marketing</t>
        </r>
      </text>
    </comment>
    <comment ref="AJ141" authorId="13">
      <text>
        <r>
          <rPr>
            <b/>
            <sz val="8"/>
            <color indexed="81"/>
            <rFont val="Tahoma"/>
            <family val="2"/>
          </rPr>
          <t>turleamb:</t>
        </r>
        <r>
          <rPr>
            <sz val="8"/>
            <color indexed="81"/>
            <rFont val="Tahoma"/>
            <family val="2"/>
          </rPr>
          <t xml:space="preserve">
1/13/14 ICR: Plan to launch new shoe category and expand intimates assortment; grow global presence</t>
        </r>
      </text>
    </comment>
    <comment ref="H144" authorId="14">
      <text>
        <r>
          <rPr>
            <b/>
            <sz val="9"/>
            <color indexed="81"/>
            <rFont val="Tahoma"/>
            <family val="2"/>
          </rPr>
          <t>Turley, Amber (Research):</t>
        </r>
        <r>
          <rPr>
            <sz val="9"/>
            <color indexed="81"/>
            <rFont val="Tahoma"/>
            <family val="2"/>
          </rPr>
          <t xml:space="preserve">
4/2/15: 1QTD comp looked relatively similar to 4Q (~4%). Typically Spring break spurs demand at UO leading into Easter. 
1/13/15 at ICR: expect 1-2% UO comp - not enough inventory for hockey stick comp. Still facing an IMU challenge in 1Q
10-K 4/1/15: Running similar to 4Q ~4%. Typically UO sees more strength prior to Easter (spring break purchases), likely up against tougher compares for the rest of the quarter. </t>
        </r>
      </text>
    </comment>
    <comment ref="N144" authorId="14">
      <text>
        <r>
          <rPr>
            <b/>
            <sz val="9"/>
            <color indexed="81"/>
            <rFont val="Tahoma"/>
            <family val="2"/>
          </rPr>
          <t>Turley, Amber (Research):</t>
        </r>
        <r>
          <rPr>
            <sz val="9"/>
            <color indexed="81"/>
            <rFont val="Tahoma"/>
            <family val="2"/>
          </rPr>
          <t xml:space="preserve">
10-K 4/1/15: Running slightly below 4Q but still very healthy (probably `5% in 1QTD). Typically experiences some strength following the Easter holiday. MS note: this could suggest acceleration potentially in April vs. 1QTD. </t>
        </r>
      </text>
    </comment>
    <comment ref="T144" authorId="14">
      <text>
        <r>
          <rPr>
            <b/>
            <sz val="9"/>
            <color indexed="81"/>
            <rFont val="Tahoma"/>
            <family val="2"/>
          </rPr>
          <t>Turley, Amber (Research):</t>
        </r>
        <r>
          <rPr>
            <sz val="9"/>
            <color indexed="81"/>
            <rFont val="Tahoma"/>
            <family val="2"/>
          </rPr>
          <t xml:space="preserve">
10-K 4/1/15: Running very similar to 4Q. Likely high teens comp despite 500 bps tougher compare. </t>
        </r>
      </text>
    </comment>
    <comment ref="H145" authorId="12">
      <text>
        <r>
          <rPr>
            <sz val="9"/>
            <color indexed="81"/>
            <rFont val="Tahoma"/>
            <family val="2"/>
          </rPr>
          <t>8/17/15: 
Y/Y increases in conversion and avg. transaction value.
400+ bps improvement in Y/Y markdown rate more than offset a decrease in IMU and resulted in significant merchandise margin improvement for the brand
NAm group outperformed European counterpart.
per Oona on 6/10/15: UO running similar to Q1’s 4-5% range but with much lower promotional activity. We’re very pleased with the promotional activity this year (very promotional in May LY).</t>
        </r>
      </text>
    </comment>
    <comment ref="N145" authorId="12">
      <text>
        <r>
          <rPr>
            <b/>
            <sz val="9"/>
            <color indexed="81"/>
            <rFont val="Tahoma"/>
            <family val="2"/>
          </rPr>
          <t>casselau:</t>
        </r>
        <r>
          <rPr>
            <sz val="9"/>
            <color indexed="81"/>
            <rFont val="Tahoma"/>
            <family val="2"/>
          </rPr>
          <t xml:space="preserve">
per Oona on 6/10/15: Anthro has picked up from where it was running in 1Q (+1%) albeit at higher promotional levels. </t>
        </r>
      </text>
    </comment>
    <comment ref="T145" authorId="12">
      <text>
        <r>
          <rPr>
            <b/>
            <sz val="9"/>
            <color indexed="81"/>
            <rFont val="Tahoma"/>
            <family val="2"/>
          </rPr>
          <t>casselau:</t>
        </r>
        <r>
          <rPr>
            <sz val="9"/>
            <color indexed="81"/>
            <rFont val="Tahoma"/>
            <family val="2"/>
          </rPr>
          <t xml:space="preserve">
per Oona on 6/10/15: I would continually encourage people to model them at a mid-teens rate. Eventually it’s going to moderate some. But I would say the business is still very strong. </t>
        </r>
      </text>
    </comment>
    <comment ref="AD145" authorId="16">
      <text>
        <r>
          <rPr>
            <b/>
            <sz val="9"/>
            <color indexed="81"/>
            <rFont val="Tahoma"/>
            <family val="2"/>
          </rPr>
          <t>Mains, Spencer (Research):</t>
        </r>
        <r>
          <rPr>
            <sz val="9"/>
            <color indexed="81"/>
            <rFont val="Tahoma"/>
            <family val="2"/>
          </rPr>
          <t xml:space="preserve">
8/17/15: 
Estimate expanded producet accounted for more than 40% of +DD DTC sales growth in the quarter
Domestic growth outperformed total as international DTC experienced a noticable slowdown, believed to be primarily due to currency fluctuations vs USD.</t>
        </r>
      </text>
    </comment>
    <comment ref="AJ145" authorId="12">
      <text>
        <r>
          <rPr>
            <b/>
            <sz val="9"/>
            <color indexed="81"/>
            <rFont val="Tahoma"/>
            <family val="2"/>
          </rPr>
          <t>casselau:</t>
        </r>
        <r>
          <rPr>
            <sz val="9"/>
            <color indexed="81"/>
            <rFont val="Tahoma"/>
            <family val="2"/>
          </rPr>
          <t xml:space="preserve">
8/17/15: DD sales growth at department stores, partially driven by the success of our category expansion namely Intimately Free and Free People Shoes.
5/18/15: due to some fulfillment center transition challenges at our Trenton, South Carolina distribution center, we were unable to process all of our quarter end demand which pushed a little more than $2 million of sales into the month of May.</t>
        </r>
      </text>
    </comment>
    <comment ref="AL145" authorId="16">
      <text>
        <r>
          <rPr>
            <b/>
            <sz val="9"/>
            <color indexed="81"/>
            <rFont val="Tahoma"/>
            <family val="2"/>
          </rPr>
          <t>Mains, Spencer (Research):</t>
        </r>
        <r>
          <rPr>
            <sz val="9"/>
            <color indexed="81"/>
            <rFont val="Tahoma"/>
            <family val="2"/>
          </rPr>
          <t xml:space="preserve">
8/17/15: Expansion categories drove more than 1/3 of total wholesale growth for the quarter.</t>
        </r>
      </text>
    </comment>
    <comment ref="AJ146" authorId="15">
      <text>
        <r>
          <rPr>
            <b/>
            <sz val="9"/>
            <color indexed="81"/>
            <rFont val="Tahoma"/>
            <family val="2"/>
          </rPr>
          <t>Baglione, Gregory  (Research):</t>
        </r>
        <r>
          <rPr>
            <sz val="9"/>
            <color indexed="81"/>
            <rFont val="Tahoma"/>
            <family val="2"/>
          </rPr>
          <t xml:space="preserve">
11/16/15
$9M dollars of shipments delayed in to 4Q. Wholesale growth would have been ~9%. Seeing strong demand in department and strong specialty stores. </t>
        </r>
      </text>
    </comment>
    <comment ref="AL146" authorId="15">
      <text>
        <r>
          <rPr>
            <b/>
            <sz val="9"/>
            <color indexed="81"/>
            <rFont val="Tahoma"/>
            <family val="2"/>
          </rPr>
          <t>Baglione, Gregory  (Research):</t>
        </r>
        <r>
          <rPr>
            <sz val="9"/>
            <color indexed="81"/>
            <rFont val="Tahoma"/>
            <family val="2"/>
          </rPr>
          <t xml:space="preserve">
11/16/15: 3Q wholesale impacted by $9M in delayed orders from DC transition issues. Moving $9M into 4Q</t>
        </r>
      </text>
    </comment>
    <comment ref="H147" authorId="12">
      <text>
        <r>
          <rPr>
            <b/>
            <sz val="9"/>
            <color indexed="81"/>
            <rFont val="Tahoma"/>
            <family val="2"/>
          </rPr>
          <t>casselau:</t>
        </r>
        <r>
          <rPr>
            <sz val="9"/>
            <color indexed="81"/>
            <rFont val="Tahoma"/>
            <family val="2"/>
          </rPr>
          <t xml:space="preserve">
Holiday -2%
2/9/16
-3% comp
3/7/16
But the negative comps were caused solely by fewer markdown sales.</t>
        </r>
      </text>
    </comment>
    <comment ref="N147" authorId="12">
      <text>
        <r>
          <rPr>
            <b/>
            <sz val="9"/>
            <color indexed="81"/>
            <rFont val="Tahoma"/>
            <family val="2"/>
          </rPr>
          <t>casselau:</t>
        </r>
        <r>
          <rPr>
            <sz val="9"/>
            <color indexed="81"/>
            <rFont val="Tahoma"/>
            <family val="2"/>
          </rPr>
          <t xml:space="preserve">
Holiday -2%
2/9/16
-2% comp
3/7/16
All product categories except aapparel posted positive comparable sales.</t>
        </r>
      </text>
    </comment>
    <comment ref="T147" authorId="12">
      <text>
        <r>
          <rPr>
            <b/>
            <sz val="9"/>
            <color indexed="81"/>
            <rFont val="Tahoma"/>
            <family val="2"/>
          </rPr>
          <t>casselau:</t>
        </r>
        <r>
          <rPr>
            <sz val="9"/>
            <color indexed="81"/>
            <rFont val="Tahoma"/>
            <family val="2"/>
          </rPr>
          <t xml:space="preserve">
Holiday +2%
2/9/16
+2% comp</t>
        </r>
      </text>
    </comment>
    <comment ref="AL147" authorId="15">
      <text>
        <r>
          <rPr>
            <b/>
            <sz val="9"/>
            <color indexed="81"/>
            <rFont val="Tahoma"/>
            <family val="2"/>
          </rPr>
          <t>1/7/16: Wholesale segment net sales increased 40% partially due to delayed shipments from the third quarter carrying over into the fourth quarter. 
The Company is now current on all  wholesale segment shipments and does not anticipate any further delays.
Baglione, Gregory  (Research):</t>
        </r>
        <r>
          <rPr>
            <sz val="9"/>
            <color indexed="81"/>
            <rFont val="Tahoma"/>
            <family val="2"/>
          </rPr>
          <t xml:space="preserve">
11/16/15: 3Q wholesale impacted by $9M in delayed orders from DC transition issues. Moving $9M into 4Q (~15%)+5% normal growth
2/9/16
Wholesale benefitted from delayed shipments</t>
        </r>
      </text>
    </comment>
    <comment ref="D151" authorId="17">
      <text>
        <r>
          <rPr>
            <b/>
            <sz val="9"/>
            <color indexed="81"/>
            <rFont val="Tahoma"/>
            <family val="2"/>
          </rPr>
          <t>Roberts, Cynthia (Research):</t>
        </r>
        <r>
          <rPr>
            <sz val="9"/>
            <color indexed="81"/>
            <rFont val="Tahoma"/>
            <family val="2"/>
          </rPr>
          <t xml:space="preserve">
5/16/17: Restated</t>
        </r>
      </text>
    </comment>
    <comment ref="H151" authorId="15">
      <text>
        <r>
          <rPr>
            <b/>
            <sz val="9"/>
            <color indexed="81"/>
            <rFont val="Tahoma"/>
            <family val="2"/>
          </rPr>
          <t>Baglione, Gregory  (Research):</t>
        </r>
        <r>
          <rPr>
            <sz val="9"/>
            <color indexed="81"/>
            <rFont val="Tahoma"/>
            <family val="2"/>
          </rPr>
          <t xml:space="preserve">
Modlel UO -1% as it anniversaries clearance selling LY</t>
        </r>
      </text>
    </comment>
    <comment ref="J151" authorId="17">
      <text>
        <r>
          <rPr>
            <b/>
            <sz val="9"/>
            <color indexed="81"/>
            <rFont val="Tahoma"/>
            <family val="2"/>
          </rPr>
          <t>Roberts, Cynthia (Research):</t>
        </r>
        <r>
          <rPr>
            <sz val="9"/>
            <color indexed="81"/>
            <rFont val="Tahoma"/>
            <family val="2"/>
          </rPr>
          <t xml:space="preserve">
5/16/17: Restated</t>
        </r>
      </text>
    </comment>
    <comment ref="T151" authorId="15">
      <text>
        <r>
          <rPr>
            <b/>
            <sz val="9"/>
            <color indexed="81"/>
            <rFont val="Tahoma"/>
            <family val="2"/>
          </rPr>
          <t>Baglione, Gregory  (Research):</t>
        </r>
        <r>
          <rPr>
            <sz val="9"/>
            <color indexed="81"/>
            <rFont val="Tahoma"/>
            <family val="2"/>
          </rPr>
          <t xml:space="preserve">
3/7/16
FP comps could be flat to -LSD in 1H16
Conversation with management: Expect -LSD FP comps, moving to flat to +LSD in 2H16</t>
        </r>
      </text>
    </comment>
    <comment ref="AJ151" authorId="15">
      <text>
        <r>
          <rPr>
            <b/>
            <sz val="9"/>
            <color indexed="81"/>
            <rFont val="Tahoma"/>
            <family val="2"/>
          </rPr>
          <t>Baglione, Gregory  (Research):</t>
        </r>
        <r>
          <rPr>
            <sz val="9"/>
            <color indexed="81"/>
            <rFont val="Tahoma"/>
            <family val="2"/>
          </rPr>
          <t xml:space="preserve">
5/18/16
Including Other in this line item for time being</t>
        </r>
      </text>
    </comment>
    <comment ref="AL151" authorId="15">
      <text>
        <r>
          <rPr>
            <b/>
            <sz val="9"/>
            <color indexed="81"/>
            <rFont val="Tahoma"/>
            <family val="2"/>
          </rPr>
          <t>Baglione, Gregory  (Research):</t>
        </r>
        <r>
          <rPr>
            <sz val="9"/>
            <color indexed="81"/>
            <rFont val="Tahoma"/>
            <family val="2"/>
          </rPr>
          <t xml:space="preserve">
11/16/15
Assumes slight Wholesale slowdown from 20%+ in prior years
Includes Other**</t>
        </r>
      </text>
    </comment>
    <comment ref="AN151" authorId="15">
      <text>
        <r>
          <rPr>
            <b/>
            <sz val="9"/>
            <color indexed="81"/>
            <rFont val="Tahoma"/>
            <family val="2"/>
          </rPr>
          <t>Baglione, Gregory  (Research):</t>
        </r>
        <r>
          <rPr>
            <sz val="9"/>
            <color indexed="81"/>
            <rFont val="Tahoma"/>
            <family val="2"/>
          </rPr>
          <t xml:space="preserve">
5/16/17: Restated
Started breaing this out in 2016</t>
        </r>
      </text>
    </comment>
    <comment ref="AU151" authorId="15">
      <text>
        <r>
          <rPr>
            <b/>
            <sz val="9"/>
            <color indexed="81"/>
            <rFont val="Tahoma"/>
            <family val="2"/>
          </rPr>
          <t>Baglione, Gregory  (Research):</t>
        </r>
        <r>
          <rPr>
            <sz val="9"/>
            <color indexed="81"/>
            <rFont val="Tahoma"/>
            <family val="2"/>
          </rPr>
          <t xml:space="preserve">
Includes leap year benefit</t>
        </r>
      </text>
    </comment>
    <comment ref="H152" authorId="15">
      <text>
        <r>
          <rPr>
            <b/>
            <sz val="9"/>
            <color indexed="81"/>
            <rFont val="Tahoma"/>
            <family val="2"/>
          </rPr>
          <t>Baglione, Gregory  (Research):</t>
        </r>
        <r>
          <rPr>
            <sz val="9"/>
            <color indexed="81"/>
            <rFont val="Tahoma"/>
            <family val="2"/>
          </rPr>
          <t xml:space="preserve">
6/9/16
Per management expect UO to get to back to 1Q comps, ~2%</t>
        </r>
      </text>
    </comment>
    <comment ref="N152" authorId="15">
      <text>
        <r>
          <rPr>
            <b/>
            <sz val="9"/>
            <color indexed="81"/>
            <rFont val="Tahoma"/>
            <family val="2"/>
          </rPr>
          <t>Baglione, Gregory  (Research):</t>
        </r>
        <r>
          <rPr>
            <sz val="9"/>
            <color indexed="81"/>
            <rFont val="Tahoma"/>
            <family val="2"/>
          </rPr>
          <t xml:space="preserve">
6/9/16
Per management model ~4% comp decline</t>
        </r>
      </text>
    </comment>
    <comment ref="T152" authorId="15">
      <text>
        <r>
          <rPr>
            <b/>
            <sz val="9"/>
            <color indexed="81"/>
            <rFont val="Tahoma"/>
            <family val="2"/>
          </rPr>
          <t>Baglione, Gregory  (Research):</t>
        </r>
        <r>
          <rPr>
            <sz val="9"/>
            <color indexed="81"/>
            <rFont val="Tahoma"/>
            <family val="2"/>
          </rPr>
          <t xml:space="preserve">
3/7/16
FP comps could be flat to -LSD in 1H16
6/9/16
Per management model ~4% comp decline</t>
        </r>
      </text>
    </comment>
    <comment ref="AJ152" authorId="15">
      <text>
        <r>
          <rPr>
            <b/>
            <sz val="9"/>
            <color indexed="81"/>
            <rFont val="Tahoma"/>
            <family val="2"/>
          </rPr>
          <t>Baglione, Gregory  (Research):</t>
        </r>
        <r>
          <rPr>
            <sz val="9"/>
            <color indexed="81"/>
            <rFont val="Tahoma"/>
            <family val="2"/>
          </rPr>
          <t xml:space="preserve">
5/18/16
Including Other in this line item for time being</t>
        </r>
      </text>
    </comment>
    <comment ref="AL152" authorId="15">
      <text>
        <r>
          <rPr>
            <b/>
            <sz val="9"/>
            <color indexed="81"/>
            <rFont val="Tahoma"/>
            <family val="2"/>
          </rPr>
          <t>Baglione, Gregory  (Research):</t>
        </r>
        <r>
          <rPr>
            <sz val="9"/>
            <color indexed="81"/>
            <rFont val="Tahoma"/>
            <family val="2"/>
          </rPr>
          <t xml:space="preserve">
11/16/15
Assumes slight Wholesale slowdown from 20%+ in prior years
5/18/16
Mgmt. expects slower wholesale growth for remainder of the year
Per Mgmt model a MSD-HSD growth rate</t>
        </r>
      </text>
    </comment>
    <comment ref="H153" authorId="15">
      <text>
        <r>
          <rPr>
            <b/>
            <sz val="9"/>
            <color indexed="81"/>
            <rFont val="Tahoma"/>
            <family val="2"/>
          </rPr>
          <t>Baglione, Gregory  (Research):</t>
        </r>
        <r>
          <rPr>
            <sz val="9"/>
            <color indexed="81"/>
            <rFont val="Tahoma"/>
            <family val="2"/>
          </rPr>
          <t xml:space="preserve">
11/7/16
Lowering our comp to +5% vs. prior +6.5% given soft trends observed in the 2H of 3Q.
9/9/16
Per Oona, running ~6%.
MS Note: Updating comp to +6.5% from +5%
</t>
        </r>
      </text>
    </comment>
    <comment ref="N153" authorId="15">
      <text>
        <r>
          <rPr>
            <b/>
            <sz val="9"/>
            <color indexed="81"/>
            <rFont val="Tahoma"/>
            <family val="2"/>
          </rPr>
          <t>Baglione, Gregory  (Research):</t>
        </r>
        <r>
          <rPr>
            <sz val="9"/>
            <color indexed="81"/>
            <rFont val="Tahoma"/>
            <family val="2"/>
          </rPr>
          <t xml:space="preserve">
11/7/16
Lowering our comp to -5% vs. prior -3% given soft trends observed in the 2H of 3Q.
9/9/16
Per Oona anthro running down 5% QTD
MS Note: We are updating 3Q comp to -3% from -2%</t>
        </r>
      </text>
    </comment>
    <comment ref="T153" authorId="15">
      <text>
        <r>
          <rPr>
            <b/>
            <sz val="9"/>
            <color indexed="81"/>
            <rFont val="Tahoma"/>
            <family val="2"/>
          </rPr>
          <t>Baglione, Gregory  (Research):</t>
        </r>
        <r>
          <rPr>
            <sz val="9"/>
            <color indexed="81"/>
            <rFont val="Tahoma"/>
            <family val="2"/>
          </rPr>
          <t xml:space="preserve">
9/9/16
Per Oona, running -3 to 5% as well
MS note: -5% comp unchanged</t>
        </r>
      </text>
    </comment>
    <comment ref="AJ153" authorId="17">
      <text>
        <r>
          <rPr>
            <b/>
            <sz val="9"/>
            <color indexed="81"/>
            <rFont val="Tahoma"/>
            <family val="2"/>
          </rPr>
          <t>Roberts, Cynthia (Research):</t>
        </r>
        <r>
          <rPr>
            <sz val="9"/>
            <color indexed="81"/>
            <rFont val="Tahoma"/>
            <family val="2"/>
          </rPr>
          <t xml:space="preserve">
11/22/16
As noted earlier, the quarter year-on-year sales growth rate benefited from approximately $9 million of shipments moving out of last year's third
quarter into last year's fourth quarter. If you were to adjust last year's number for these shipments, our wholesale segment growth would have
been 13% in this year's third quarter. These results were driven by increased space at select department stores to support our category expansions
like Shoes and FP Movement.</t>
        </r>
      </text>
    </comment>
    <comment ref="AL153" authorId="15">
      <text>
        <r>
          <rPr>
            <b/>
            <sz val="9"/>
            <color indexed="81"/>
            <rFont val="Tahoma"/>
            <family val="2"/>
          </rPr>
          <t>Baglione, Gregory  (Research):</t>
        </r>
        <r>
          <rPr>
            <sz val="9"/>
            <color indexed="81"/>
            <rFont val="Tahoma"/>
            <family val="2"/>
          </rPr>
          <t xml:space="preserve">
11/16/15
Assumes slight Wholesale slowdown from 20%+ in prior years
5/18/16
Mgmt. expects slower wholesale growth for remainder of the year
Per Mgmt model a MSD-HSD growth rate
Modeling stronger growth in 3Q given the late arrival of products LY
8/16/16
3Q15 had a $9M shift out of 3Q into 4Q. Add $9M back to 3Q15 wholesale and growt that revenue base low DD % to reach ~26-27%</t>
        </r>
      </text>
    </comment>
    <comment ref="H154" authorId="15">
      <text>
        <r>
          <rPr>
            <b/>
            <sz val="9"/>
            <color indexed="81"/>
            <rFont val="Tahoma"/>
            <family val="2"/>
          </rPr>
          <t>3/7/17: slightly positive comps in women's apparel; strong improvement in mens, weak sales in womens accessroies and home; mix shift to branded product drove IMU -55 bps and AUR -5%
Baglione, Gregory  (Research):</t>
        </r>
        <r>
          <rPr>
            <sz val="9"/>
            <color indexed="81"/>
            <rFont val="Tahoma"/>
            <family val="2"/>
          </rPr>
          <t xml:space="preserve">
1/9/17: Holiday comp +3.6%
12/12/16
Callback with management-- Our +5% comp estimate is a sound estimate. Saw a strong Weds-Cyber Monday. Since then have seen a lull. Limited visibility into next few weeks. 
11/22/16
Per management model UO and Anthro in-line with 3Q; FP positive</t>
        </r>
      </text>
    </comment>
    <comment ref="N154" authorId="15">
      <text>
        <r>
          <rPr>
            <b/>
            <sz val="9"/>
            <color indexed="81"/>
            <rFont val="Tahoma"/>
            <family val="2"/>
          </rPr>
          <t>3/7/17: 
Baglione, Gregory  (Research):</t>
        </r>
        <r>
          <rPr>
            <sz val="9"/>
            <color indexed="81"/>
            <rFont val="Tahoma"/>
            <family val="2"/>
          </rPr>
          <t xml:space="preserve">
1/9/17: Holiday comp -1%
12/12/16
Callback with management-- Our -3% comp estimate is a sound estimate. Saw a strong Weds-Cyber Monday. Since then have seen a lull. Limited visibility into next few weeks. 
11/22/16
Per management model UO and Anthro in-line with 3Q; FP positive</t>
        </r>
      </text>
    </comment>
    <comment ref="T154" authorId="15">
      <text>
        <r>
          <rPr>
            <b/>
            <sz val="9"/>
            <color indexed="81"/>
            <rFont val="Tahoma"/>
            <family val="2"/>
          </rPr>
          <t>Baglione, Gregory  (Research):</t>
        </r>
        <r>
          <rPr>
            <sz val="9"/>
            <color indexed="81"/>
            <rFont val="Tahoma"/>
            <family val="2"/>
          </rPr>
          <t xml:space="preserve">
1/9/17: Holiday comp +2.9%
12/12/16
Callback with management-- Our +1% comp estimate is a sound estimate. Saw a strong Weds-Cyber Monday. Since then have seen a lull. Limited visibility into next few weeks. 
11/22/16
Per management model UO and Anthro in-line with 3Q; FP positive</t>
        </r>
      </text>
    </comment>
    <comment ref="AG154" authorId="17">
      <text>
        <r>
          <rPr>
            <b/>
            <sz val="9"/>
            <color indexed="81"/>
            <rFont val="Tahoma"/>
            <family val="2"/>
          </rPr>
          <t>Roberts, Cynthia (Research):</t>
        </r>
        <r>
          <rPr>
            <sz val="9"/>
            <color indexed="81"/>
            <rFont val="Tahoma"/>
            <family val="2"/>
          </rPr>
          <t xml:space="preserve">
now includes food &amp; restaurant</t>
        </r>
      </text>
    </comment>
    <comment ref="AL154" authorId="15">
      <text>
        <r>
          <rPr>
            <b/>
            <sz val="9"/>
            <color indexed="81"/>
            <rFont val="Tahoma"/>
            <family val="2"/>
          </rPr>
          <t>3/7/2017: prior year period benefitted from late shipments of third quarter bookings</t>
        </r>
        <r>
          <rPr>
            <sz val="9"/>
            <color indexed="81"/>
            <rFont val="Tahoma"/>
            <family val="2"/>
          </rPr>
          <t xml:space="preserve">
11/22/16
Management noted to model wholesale ~flat. Total 2H wholesale growth ~13%
5/18/16
Mgmt. expects slower wholesale growth for remainder of the year
Per Mgmt model a MSD-HSD growth rate</t>
        </r>
      </text>
    </comment>
    <comment ref="AN154" authorId="18">
      <text>
        <r>
          <rPr>
            <b/>
            <sz val="9"/>
            <color indexed="81"/>
            <rFont val="Tahoma"/>
            <family val="2"/>
          </rPr>
          <t>Baglione, Gregory (Research):</t>
        </r>
        <r>
          <rPr>
            <sz val="9"/>
            <color indexed="81"/>
            <rFont val="Tahoma"/>
            <family val="2"/>
          </rPr>
          <t xml:space="preserve">
11/22/16
Per management model $4M</t>
        </r>
      </text>
    </comment>
    <comment ref="H158" authorId="17">
      <text>
        <r>
          <rPr>
            <b/>
            <sz val="9"/>
            <color indexed="81"/>
            <rFont val="Tahoma"/>
            <family val="2"/>
          </rPr>
          <t>Roberts, Cynthia (Research):</t>
        </r>
        <r>
          <rPr>
            <sz val="9"/>
            <color indexed="81"/>
            <rFont val="Tahoma"/>
            <family val="2"/>
          </rPr>
          <t xml:space="preserve">
4/3/17: per 10-k 1QTD URBN comps -MSD
previous: -1%</t>
        </r>
      </text>
    </comment>
    <comment ref="N158" authorId="17">
      <text>
        <r>
          <rPr>
            <b/>
            <sz val="9"/>
            <color indexed="81"/>
            <rFont val="Tahoma"/>
            <family val="2"/>
          </rPr>
          <t>Roberts, Cynthia (Research):</t>
        </r>
        <r>
          <rPr>
            <sz val="9"/>
            <color indexed="81"/>
            <rFont val="Tahoma"/>
            <family val="2"/>
          </rPr>
          <t xml:space="preserve">
4/3/17: per 10-k 1QTD URBN comps -MSD
previous: -2%</t>
        </r>
      </text>
    </comment>
    <comment ref="T158" authorId="17">
      <text>
        <r>
          <rPr>
            <b/>
            <sz val="9"/>
            <color indexed="81"/>
            <rFont val="Tahoma"/>
            <family val="2"/>
          </rPr>
          <t>Roberts, Cynthia (Research):</t>
        </r>
        <r>
          <rPr>
            <sz val="9"/>
            <color indexed="81"/>
            <rFont val="Tahoma"/>
            <family val="2"/>
          </rPr>
          <t xml:space="preserve">
4/3/17: per 10-k 1QTD URBN comps -MSD
previous: +3%</t>
        </r>
      </text>
    </comment>
    <comment ref="AL158" authorId="17">
      <text>
        <r>
          <rPr>
            <b/>
            <sz val="9"/>
            <color indexed="81"/>
            <rFont val="Tahoma"/>
            <family val="2"/>
          </rPr>
          <t>Roberts, Cynthia (Research):</t>
        </r>
        <r>
          <rPr>
            <sz val="9"/>
            <color indexed="81"/>
            <rFont val="Tahoma"/>
            <family val="2"/>
          </rPr>
          <t xml:space="preserve">
4/3/17: per management DTC decelerated but still positive 
previous: +10</t>
        </r>
      </text>
    </comment>
    <comment ref="H159" authorId="17">
      <text>
        <r>
          <rPr>
            <b/>
            <sz val="9"/>
            <color indexed="81"/>
            <rFont val="Tahoma"/>
            <family val="2"/>
          </rPr>
          <t>Roberts, Cynthia (Research):</t>
        </r>
        <r>
          <rPr>
            <sz val="9"/>
            <color indexed="81"/>
            <rFont val="Tahoma"/>
            <family val="2"/>
          </rPr>
          <t xml:space="preserve">
6/8/17:  QTD comps -HSD per 10-Q; prior -4%</t>
        </r>
      </text>
    </comment>
    <comment ref="N159" authorId="17">
      <text>
        <r>
          <rPr>
            <b/>
            <sz val="9"/>
            <color indexed="81"/>
            <rFont val="Tahoma"/>
            <family val="2"/>
          </rPr>
          <t>Roberts, Cynthia (Research):</t>
        </r>
        <r>
          <rPr>
            <sz val="9"/>
            <color indexed="81"/>
            <rFont val="Tahoma"/>
            <family val="2"/>
          </rPr>
          <t xml:space="preserve">
6/8/17: QTD comps -HSD per 10-Q; prior -2% </t>
        </r>
      </text>
    </comment>
    <comment ref="T159" authorId="17">
      <text>
        <r>
          <rPr>
            <b/>
            <sz val="9"/>
            <color indexed="81"/>
            <rFont val="Tahoma"/>
            <family val="2"/>
          </rPr>
          <t>Roberts, Cynthia (Research):</t>
        </r>
        <r>
          <rPr>
            <sz val="9"/>
            <color indexed="81"/>
            <rFont val="Tahoma"/>
            <family val="2"/>
          </rPr>
          <t xml:space="preserve">
6/8/17: QTD comps -HSD per 10-Q</t>
        </r>
      </text>
    </comment>
    <comment ref="AL159" authorId="17">
      <text>
        <r>
          <rPr>
            <b/>
            <sz val="9"/>
            <color indexed="81"/>
            <rFont val="Tahoma"/>
            <family val="2"/>
          </rPr>
          <t>Roberts, Cynthia (Research):</t>
        </r>
        <r>
          <rPr>
            <sz val="9"/>
            <color indexed="81"/>
            <rFont val="Tahoma"/>
            <family val="2"/>
          </rPr>
          <t xml:space="preserve">
8/15/17: Driven by domestic and international growth in Dept stores,  specialty stores, and DTC; growth in women's apparel, intimates and moving
</t>
        </r>
      </text>
    </comment>
    <comment ref="H161" authorId="17">
      <text>
        <r>
          <rPr>
            <b/>
            <sz val="9"/>
            <color indexed="81"/>
            <rFont val="Tahoma"/>
            <family val="2"/>
          </rPr>
          <t>Roberts, Cynthia (Research):</t>
        </r>
        <r>
          <rPr>
            <sz val="9"/>
            <color indexed="81"/>
            <rFont val="Tahoma"/>
            <family val="2"/>
          </rPr>
          <t xml:space="preserve">
1/8/18: Holiday comp +1%, decel driven by tech &amp; media within Home,  declined  more than anticipated and penetration for this category is double in 4Q
12/11/17: QTD comps  +MSD,
raising comp to +3% vs. prior +2% </t>
        </r>
      </text>
    </comment>
    <comment ref="N161" authorId="17">
      <text>
        <r>
          <rPr>
            <b/>
            <sz val="9"/>
            <color indexed="81"/>
            <rFont val="Tahoma"/>
            <family val="2"/>
          </rPr>
          <t xml:space="preserve">Roberts, Cynthia (Research):
</t>
        </r>
        <r>
          <rPr>
            <sz val="9"/>
            <color indexed="81"/>
            <rFont val="Tahoma"/>
            <family val="2"/>
          </rPr>
          <t xml:space="preserve">1/8/18: Holiday comp +2%
12/11/17: QTD comps  +MSD,
raising comp to +4% vs. prior + 2% </t>
        </r>
      </text>
    </comment>
    <comment ref="T161" authorId="17">
      <text>
        <r>
          <rPr>
            <b/>
            <sz val="9"/>
            <color indexed="81"/>
            <rFont val="Tahoma"/>
            <family val="2"/>
          </rPr>
          <t>Roberts, Cynthia (Research):</t>
        </r>
        <r>
          <rPr>
            <sz val="9"/>
            <color indexed="81"/>
            <rFont val="Tahoma"/>
            <family val="2"/>
          </rPr>
          <t xml:space="preserve">
1/8/18: Holiday comp +5%
12/11/17: QTD comps  +MSD,
raising comp to +7% vs. prior +3% </t>
        </r>
      </text>
    </comment>
    <comment ref="AL162" authorId="19">
      <text>
        <r>
          <rPr>
            <b/>
            <sz val="9"/>
            <color indexed="81"/>
            <rFont val="Tahoma"/>
            <family val="2"/>
          </rPr>
          <t>Cassel, Lauren (Research):</t>
        </r>
        <r>
          <rPr>
            <sz val="9"/>
            <color indexed="81"/>
            <rFont val="Tahoma"/>
            <family val="2"/>
          </rPr>
          <t xml:space="preserve">
8/15/17: +DD growth
3/7/17: guidance ~10% growth</t>
        </r>
      </text>
    </comment>
    <comment ref="W211" authorId="0">
      <text>
        <r>
          <rPr>
            <b/>
            <sz val="8"/>
            <color indexed="81"/>
            <rFont val="Tahoma"/>
            <family val="2"/>
          </rPr>
          <t>nicholjs:</t>
        </r>
        <r>
          <rPr>
            <sz val="8"/>
            <color indexed="81"/>
            <rFont val="Tahoma"/>
            <family val="2"/>
          </rPr>
          <t xml:space="preserve">
Leifsdottir: $3mm</t>
        </r>
      </text>
    </comment>
    <comment ref="D214" authorId="0">
      <text>
        <r>
          <rPr>
            <b/>
            <sz val="8"/>
            <color indexed="81"/>
            <rFont val="Tahoma"/>
            <family val="2"/>
          </rPr>
          <t>nicholjs:</t>
        </r>
        <r>
          <rPr>
            <sz val="8"/>
            <color indexed="81"/>
            <rFont val="Tahoma"/>
            <family val="2"/>
          </rPr>
          <t xml:space="preserve">
est. direct 16% of total</t>
        </r>
      </text>
    </comment>
    <comment ref="J214" authorId="0">
      <text>
        <r>
          <rPr>
            <b/>
            <sz val="8"/>
            <color indexed="81"/>
            <rFont val="Tahoma"/>
            <family val="2"/>
          </rPr>
          <t>nicholjs:</t>
        </r>
        <r>
          <rPr>
            <sz val="8"/>
            <color indexed="81"/>
            <rFont val="Tahoma"/>
            <family val="2"/>
          </rPr>
          <t xml:space="preserve">
est direct 16% of sales</t>
        </r>
      </text>
    </comment>
    <comment ref="AB214" authorId="0">
      <text>
        <r>
          <rPr>
            <b/>
            <sz val="8"/>
            <color indexed="81"/>
            <rFont val="Tahoma"/>
            <family val="2"/>
          </rPr>
          <t>nicholjs:</t>
        </r>
        <r>
          <rPr>
            <sz val="8"/>
            <color indexed="81"/>
            <rFont val="Tahoma"/>
            <family val="2"/>
          </rPr>
          <t xml:space="preserve">
retail segment comp inventory -5%</t>
        </r>
      </text>
    </comment>
    <comment ref="D215" authorId="0">
      <text>
        <r>
          <rPr>
            <b/>
            <sz val="8"/>
            <color indexed="81"/>
            <rFont val="Tahoma"/>
            <family val="2"/>
          </rPr>
          <t>nicholjs:</t>
        </r>
        <r>
          <rPr>
            <sz val="8"/>
            <color indexed="81"/>
            <rFont val="Tahoma"/>
            <family val="2"/>
          </rPr>
          <t xml:space="preserve">
est. direct 16% of total</t>
        </r>
      </text>
    </comment>
    <comment ref="J215" authorId="0">
      <text>
        <r>
          <rPr>
            <b/>
            <sz val="8"/>
            <color indexed="81"/>
            <rFont val="Tahoma"/>
            <family val="2"/>
          </rPr>
          <t>nicholjs:</t>
        </r>
        <r>
          <rPr>
            <sz val="8"/>
            <color indexed="81"/>
            <rFont val="Tahoma"/>
            <family val="2"/>
          </rPr>
          <t xml:space="preserve">
est direct 15% of sales</t>
        </r>
      </text>
    </comment>
    <comment ref="AB215" authorId="0">
      <text>
        <r>
          <rPr>
            <b/>
            <sz val="8"/>
            <color indexed="81"/>
            <rFont val="Tahoma"/>
            <family val="2"/>
          </rPr>
          <t>nicholjs:</t>
        </r>
        <r>
          <rPr>
            <sz val="8"/>
            <color indexed="81"/>
            <rFont val="Tahoma"/>
            <family val="2"/>
          </rPr>
          <t xml:space="preserve">
retail segment comp inventory -3%</t>
        </r>
      </text>
    </comment>
    <comment ref="D216" authorId="0">
      <text>
        <r>
          <rPr>
            <b/>
            <sz val="8"/>
            <color indexed="81"/>
            <rFont val="Tahoma"/>
            <family val="2"/>
          </rPr>
          <t>nicholjs:</t>
        </r>
        <r>
          <rPr>
            <sz val="8"/>
            <color indexed="81"/>
            <rFont val="Tahoma"/>
            <family val="2"/>
          </rPr>
          <t xml:space="preserve">
est. direct 16% of total</t>
        </r>
      </text>
    </comment>
    <comment ref="J216" authorId="0">
      <text>
        <r>
          <rPr>
            <b/>
            <sz val="8"/>
            <color indexed="81"/>
            <rFont val="Tahoma"/>
            <family val="2"/>
          </rPr>
          <t>nicholjs:</t>
        </r>
        <r>
          <rPr>
            <sz val="8"/>
            <color indexed="81"/>
            <rFont val="Tahoma"/>
            <family val="2"/>
          </rPr>
          <t xml:space="preserve">
est direct 16% of sales</t>
        </r>
      </text>
    </comment>
    <comment ref="AB216" authorId="0">
      <text>
        <r>
          <rPr>
            <b/>
            <sz val="8"/>
            <color indexed="81"/>
            <rFont val="Tahoma"/>
            <family val="2"/>
          </rPr>
          <t>nicholjs:</t>
        </r>
        <r>
          <rPr>
            <sz val="8"/>
            <color indexed="81"/>
            <rFont val="Tahoma"/>
            <family val="2"/>
          </rPr>
          <t xml:space="preserve">
retail segment comp inventory -12%</t>
        </r>
      </text>
    </comment>
    <comment ref="D217" authorId="0">
      <text>
        <r>
          <rPr>
            <b/>
            <sz val="8"/>
            <color indexed="81"/>
            <rFont val="Tahoma"/>
            <family val="2"/>
          </rPr>
          <t>nicholjs:</t>
        </r>
        <r>
          <rPr>
            <sz val="8"/>
            <color indexed="81"/>
            <rFont val="Tahoma"/>
            <family val="2"/>
          </rPr>
          <t xml:space="preserve">
est direct 20% of sales</t>
        </r>
      </text>
    </comment>
    <comment ref="J217" authorId="0">
      <text>
        <r>
          <rPr>
            <b/>
            <sz val="8"/>
            <color indexed="81"/>
            <rFont val="Tahoma"/>
            <family val="2"/>
          </rPr>
          <t>nicholjs:</t>
        </r>
        <r>
          <rPr>
            <sz val="8"/>
            <color indexed="81"/>
            <rFont val="Tahoma"/>
            <family val="2"/>
          </rPr>
          <t xml:space="preserve">
est direct 18% of sales</t>
        </r>
      </text>
    </comment>
    <comment ref="AB217" authorId="0">
      <text>
        <r>
          <rPr>
            <b/>
            <sz val="8"/>
            <color indexed="81"/>
            <rFont val="Tahoma"/>
            <family val="2"/>
          </rPr>
          <t>nicholjs:</t>
        </r>
        <r>
          <rPr>
            <sz val="8"/>
            <color indexed="81"/>
            <rFont val="Tahoma"/>
            <family val="2"/>
          </rPr>
          <t xml:space="preserve">
retail segment comp inventory flat</t>
        </r>
      </text>
    </comment>
    <comment ref="E218" authorId="0">
      <text>
        <r>
          <rPr>
            <b/>
            <sz val="8"/>
            <color indexed="81"/>
            <rFont val="Tahoma"/>
            <family val="2"/>
          </rPr>
          <t>nicholjs:</t>
        </r>
        <r>
          <rPr>
            <sz val="8"/>
            <color indexed="81"/>
            <rFont val="Tahoma"/>
            <family val="2"/>
          </rPr>
          <t xml:space="preserve">
we estimate ~17% of UO sales = direct to consumer</t>
        </r>
      </text>
    </comment>
    <comment ref="K218" authorId="0">
      <text>
        <r>
          <rPr>
            <b/>
            <sz val="8"/>
            <color indexed="81"/>
            <rFont val="Tahoma"/>
            <family val="2"/>
          </rPr>
          <t>nicholjs:</t>
        </r>
        <r>
          <rPr>
            <sz val="8"/>
            <color indexed="81"/>
            <rFont val="Tahoma"/>
            <family val="2"/>
          </rPr>
          <t xml:space="preserve">
we estimate 16% of total Anthro sales = direct to consumer</t>
        </r>
      </text>
    </comment>
    <comment ref="Q218" authorId="0">
      <text>
        <r>
          <rPr>
            <b/>
            <sz val="8"/>
            <color indexed="81"/>
            <rFont val="Tahoma"/>
            <family val="2"/>
          </rPr>
          <t>nicholjs:</t>
        </r>
        <r>
          <rPr>
            <sz val="8"/>
            <color indexed="81"/>
            <rFont val="Tahoma"/>
            <family val="2"/>
          </rPr>
          <t xml:space="preserve">
free people e-commerce is about 18% of TOTAL free people brand sales, but is ~43% of the total reported comp including direct (just retail and direct)</t>
        </r>
      </text>
    </comment>
    <comment ref="W218" authorId="0">
      <text>
        <r>
          <rPr>
            <b/>
            <sz val="8"/>
            <color indexed="81"/>
            <rFont val="Tahoma"/>
            <family val="2"/>
          </rPr>
          <t>nicholjs:</t>
        </r>
        <r>
          <rPr>
            <sz val="8"/>
            <color indexed="81"/>
            <rFont val="Tahoma"/>
            <family val="2"/>
          </rPr>
          <t xml:space="preserve">
Leifsdottir: $9mm</t>
        </r>
      </text>
    </comment>
    <comment ref="D220" authorId="0">
      <text>
        <r>
          <rPr>
            <b/>
            <sz val="8"/>
            <color indexed="81"/>
            <rFont val="Tahoma"/>
            <family val="2"/>
          </rPr>
          <t>nicholjs:</t>
        </r>
        <r>
          <rPr>
            <sz val="8"/>
            <color indexed="81"/>
            <rFont val="Tahoma"/>
            <family val="2"/>
          </rPr>
          <t xml:space="preserve">
est. direct 17% of total</t>
        </r>
      </text>
    </comment>
    <comment ref="J220" authorId="0">
      <text>
        <r>
          <rPr>
            <b/>
            <sz val="8"/>
            <color indexed="81"/>
            <rFont val="Tahoma"/>
            <family val="2"/>
          </rPr>
          <t>nicholjs:</t>
        </r>
        <r>
          <rPr>
            <sz val="8"/>
            <color indexed="81"/>
            <rFont val="Tahoma"/>
            <family val="2"/>
          </rPr>
          <t xml:space="preserve">
est. direct 18% of total</t>
        </r>
      </text>
    </comment>
    <comment ref="D221" authorId="0">
      <text>
        <r>
          <rPr>
            <b/>
            <sz val="8"/>
            <color indexed="81"/>
            <rFont val="Tahoma"/>
            <family val="2"/>
          </rPr>
          <t>nicholjs:</t>
        </r>
        <r>
          <rPr>
            <sz val="8"/>
            <color indexed="81"/>
            <rFont val="Tahoma"/>
            <family val="2"/>
          </rPr>
          <t xml:space="preserve">
est. direct 17% of total</t>
        </r>
      </text>
    </comment>
    <comment ref="J221" authorId="0">
      <text>
        <r>
          <rPr>
            <b/>
            <sz val="8"/>
            <color indexed="81"/>
            <rFont val="Tahoma"/>
            <family val="2"/>
          </rPr>
          <t>nicholjs:</t>
        </r>
        <r>
          <rPr>
            <sz val="8"/>
            <color indexed="81"/>
            <rFont val="Tahoma"/>
            <family val="2"/>
          </rPr>
          <t xml:space="preserve">
est. direct 18% of total</t>
        </r>
      </text>
    </comment>
    <comment ref="D222" authorId="0">
      <text>
        <r>
          <rPr>
            <b/>
            <sz val="8"/>
            <color indexed="81"/>
            <rFont val="Tahoma"/>
            <family val="2"/>
          </rPr>
          <t>nicholjs:</t>
        </r>
        <r>
          <rPr>
            <sz val="8"/>
            <color indexed="81"/>
            <rFont val="Tahoma"/>
            <family val="2"/>
          </rPr>
          <t xml:space="preserve">
est. direct 17% of total</t>
        </r>
      </text>
    </comment>
    <comment ref="F222" authorId="9">
      <text>
        <r>
          <rPr>
            <b/>
            <sz val="8"/>
            <color indexed="81"/>
            <rFont val="Tahoma"/>
            <family val="2"/>
          </rPr>
          <t>kimberlg:</t>
        </r>
        <r>
          <rPr>
            <sz val="8"/>
            <color indexed="81"/>
            <rFont val="Tahoma"/>
            <family val="2"/>
          </rPr>
          <t xml:space="preserve">
we think mid 20's%</t>
        </r>
      </text>
    </comment>
    <comment ref="J222" authorId="0">
      <text>
        <r>
          <rPr>
            <b/>
            <sz val="8"/>
            <color indexed="81"/>
            <rFont val="Tahoma"/>
            <family val="2"/>
          </rPr>
          <t>nicholjs:</t>
        </r>
        <r>
          <rPr>
            <sz val="8"/>
            <color indexed="81"/>
            <rFont val="Tahoma"/>
            <family val="2"/>
          </rPr>
          <t xml:space="preserve">
est. direct 20% of total</t>
        </r>
      </text>
    </comment>
    <comment ref="L222" authorId="9">
      <text>
        <r>
          <rPr>
            <b/>
            <sz val="8"/>
            <color indexed="81"/>
            <rFont val="Tahoma"/>
            <family val="2"/>
          </rPr>
          <t>kimberlg:</t>
        </r>
        <r>
          <rPr>
            <sz val="8"/>
            <color indexed="81"/>
            <rFont val="Tahoma"/>
            <family val="2"/>
          </rPr>
          <t xml:space="preserve">
we think high 30's%</t>
        </r>
      </text>
    </comment>
    <comment ref="D223" authorId="0">
      <text>
        <r>
          <rPr>
            <b/>
            <sz val="8"/>
            <color indexed="81"/>
            <rFont val="Tahoma"/>
            <family val="2"/>
          </rPr>
          <t>nicholjs:</t>
        </r>
        <r>
          <rPr>
            <sz val="8"/>
            <color indexed="81"/>
            <rFont val="Tahoma"/>
            <family val="2"/>
          </rPr>
          <t xml:space="preserve">
est direct 23% of sales</t>
        </r>
      </text>
    </comment>
    <comment ref="F223" authorId="0">
      <text>
        <r>
          <rPr>
            <b/>
            <sz val="8"/>
            <color indexed="81"/>
            <rFont val="Tahoma"/>
            <family val="2"/>
          </rPr>
          <t>nicholjs:</t>
        </r>
        <r>
          <rPr>
            <sz val="8"/>
            <color indexed="81"/>
            <rFont val="Tahoma"/>
            <family val="2"/>
          </rPr>
          <t xml:space="preserve">
accelerated and outpaced Anthro</t>
        </r>
      </text>
    </comment>
    <comment ref="J223" authorId="0">
      <text>
        <r>
          <rPr>
            <b/>
            <sz val="8"/>
            <color indexed="81"/>
            <rFont val="Tahoma"/>
            <family val="2"/>
          </rPr>
          <t>nicholjs:</t>
        </r>
        <r>
          <rPr>
            <sz val="8"/>
            <color indexed="81"/>
            <rFont val="Tahoma"/>
            <family val="2"/>
          </rPr>
          <t xml:space="preserve">
est. direct 20% of total</t>
        </r>
      </text>
    </comment>
    <comment ref="L223" authorId="0">
      <text>
        <r>
          <rPr>
            <b/>
            <sz val="8"/>
            <color indexed="81"/>
            <rFont val="Tahoma"/>
            <family val="2"/>
          </rPr>
          <t>nicholjs:</t>
        </r>
        <r>
          <rPr>
            <sz val="8"/>
            <color indexed="81"/>
            <rFont val="Tahoma"/>
            <family val="2"/>
          </rPr>
          <t xml:space="preserve">
low 20's good</t>
        </r>
      </text>
    </comment>
    <comment ref="R223" authorId="0">
      <text>
        <r>
          <rPr>
            <b/>
            <sz val="8"/>
            <color indexed="81"/>
            <rFont val="Tahoma"/>
            <family val="2"/>
          </rPr>
          <t>nicholjs:</t>
        </r>
        <r>
          <rPr>
            <sz val="8"/>
            <color indexed="81"/>
            <rFont val="Tahoma"/>
            <family val="2"/>
          </rPr>
          <t xml:space="preserve">
strongest</t>
        </r>
      </text>
    </comment>
    <comment ref="W224" authorId="0">
      <text>
        <r>
          <rPr>
            <b/>
            <sz val="8"/>
            <color indexed="81"/>
            <rFont val="Tahoma"/>
            <family val="2"/>
          </rPr>
          <t>nicholjs:</t>
        </r>
        <r>
          <rPr>
            <sz val="8"/>
            <color indexed="81"/>
            <rFont val="Tahoma"/>
            <family val="2"/>
          </rPr>
          <t xml:space="preserve">
assume Leifsdottir ~$9mm
</t>
        </r>
      </text>
    </comment>
    <comment ref="D227" authorId="0">
      <text>
        <r>
          <rPr>
            <b/>
            <sz val="8"/>
            <color indexed="81"/>
            <rFont val="Tahoma"/>
            <family val="2"/>
          </rPr>
          <t>nicholjs:</t>
        </r>
        <r>
          <rPr>
            <sz val="8"/>
            <color indexed="81"/>
            <rFont val="Tahoma"/>
            <family val="2"/>
          </rPr>
          <t xml:space="preserve">
est. direct 18.5% of total</t>
        </r>
      </text>
    </comment>
    <comment ref="F227" authorId="0">
      <text>
        <r>
          <rPr>
            <b/>
            <sz val="8"/>
            <color indexed="81"/>
            <rFont val="Tahoma"/>
            <family val="2"/>
          </rPr>
          <t>nicholjs:</t>
        </r>
        <r>
          <rPr>
            <sz val="8"/>
            <color indexed="81"/>
            <rFont val="Tahoma"/>
            <family val="2"/>
          </rPr>
          <t xml:space="preserve">
high teens growth rate</t>
        </r>
      </text>
    </comment>
    <comment ref="J227" authorId="0">
      <text>
        <r>
          <rPr>
            <b/>
            <sz val="8"/>
            <color indexed="81"/>
            <rFont val="Tahoma"/>
            <family val="2"/>
          </rPr>
          <t>nicholjs:</t>
        </r>
        <r>
          <rPr>
            <sz val="8"/>
            <color indexed="81"/>
            <rFont val="Tahoma"/>
            <family val="2"/>
          </rPr>
          <t xml:space="preserve">
est. direct 20% of total</t>
        </r>
      </text>
    </comment>
    <comment ref="L227" authorId="0">
      <text>
        <r>
          <rPr>
            <b/>
            <sz val="8"/>
            <color indexed="81"/>
            <rFont val="Tahoma"/>
            <family val="2"/>
          </rPr>
          <t>nicholjs:</t>
        </r>
        <r>
          <rPr>
            <sz val="8"/>
            <color indexed="81"/>
            <rFont val="Tahoma"/>
            <family val="2"/>
          </rPr>
          <t xml:space="preserve">
~4% growth rate</t>
        </r>
      </text>
    </comment>
    <comment ref="R227" authorId="0">
      <text>
        <r>
          <rPr>
            <b/>
            <sz val="8"/>
            <color indexed="81"/>
            <rFont val="Tahoma"/>
            <family val="2"/>
          </rPr>
          <t>nicholjs:</t>
        </r>
        <r>
          <rPr>
            <sz val="8"/>
            <color indexed="81"/>
            <rFont val="Tahoma"/>
            <family val="2"/>
          </rPr>
          <t xml:space="preserve">
ecomm biz was in excess of 50% (we think mid 50's%)</t>
        </r>
      </text>
    </comment>
    <comment ref="W227" authorId="0">
      <text>
        <r>
          <rPr>
            <b/>
            <sz val="8"/>
            <color indexed="81"/>
            <rFont val="Tahoma"/>
            <family val="2"/>
          </rPr>
          <t>nicholjs:</t>
        </r>
        <r>
          <rPr>
            <sz val="8"/>
            <color indexed="81"/>
            <rFont val="Tahoma"/>
            <family val="2"/>
          </rPr>
          <t xml:space="preserve">
estimate Leifsdottir is $4.7, Terrain is $2.3, so BHLDN = $1.4mm (yes)</t>
        </r>
      </text>
    </comment>
    <comment ref="W228" authorId="0">
      <text>
        <r>
          <rPr>
            <b/>
            <sz val="8"/>
            <color indexed="81"/>
            <rFont val="Tahoma"/>
            <family val="2"/>
          </rPr>
          <t>nicholjs:</t>
        </r>
        <r>
          <rPr>
            <sz val="8"/>
            <color indexed="81"/>
            <rFont val="Tahoma"/>
            <family val="2"/>
          </rPr>
          <t xml:space="preserve">
estimate Leifsdottir $0.3mm, Terrain $3.6mm, so BHLDN = $1.8mm (yes)</t>
        </r>
      </text>
    </comment>
    <comment ref="G229" authorId="11">
      <text>
        <r>
          <rPr>
            <b/>
            <sz val="8"/>
            <color indexed="81"/>
            <rFont val="Tahoma"/>
            <family val="2"/>
          </rPr>
          <t>lauraro:</t>
        </r>
        <r>
          <rPr>
            <sz val="8"/>
            <color indexed="81"/>
            <rFont val="Tahoma"/>
            <family val="2"/>
          </rPr>
          <t xml:space="preserve">
11/7: Comparable retail segment net sales were flat at Urban Outfitters</t>
        </r>
      </text>
    </comment>
    <comment ref="M229" authorId="11">
      <text>
        <r>
          <rPr>
            <b/>
            <sz val="8"/>
            <color indexed="81"/>
            <rFont val="Tahoma"/>
            <family val="2"/>
          </rPr>
          <t>lauraro:</t>
        </r>
        <r>
          <rPr>
            <sz val="8"/>
            <color indexed="81"/>
            <rFont val="Tahoma"/>
            <family val="2"/>
          </rPr>
          <t xml:space="preserve">
Comparable retail segment net sales decreased 7% at Anthropologie</t>
        </r>
      </text>
    </comment>
    <comment ref="S229" authorId="11">
      <text>
        <r>
          <rPr>
            <b/>
            <sz val="8"/>
            <color indexed="81"/>
            <rFont val="Tahoma"/>
            <family val="2"/>
          </rPr>
          <t>lauraro:</t>
        </r>
        <r>
          <rPr>
            <sz val="8"/>
            <color indexed="81"/>
            <rFont val="Tahoma"/>
            <family val="2"/>
          </rPr>
          <t xml:space="preserve">
Comparable retail segment net sales at Free People increased 14%</t>
        </r>
      </text>
    </comment>
    <comment ref="W234" authorId="11">
      <text>
        <r>
          <rPr>
            <b/>
            <sz val="8"/>
            <color indexed="81"/>
            <rFont val="Tahoma"/>
            <family val="2"/>
          </rPr>
          <t>lauraro:</t>
        </r>
        <r>
          <rPr>
            <sz val="8"/>
            <color indexed="81"/>
            <rFont val="Tahoma"/>
            <family val="2"/>
          </rPr>
          <t xml:space="preserve">
Terrain and BHLDN</t>
        </r>
      </text>
    </comment>
    <comment ref="G235" authorId="12">
      <text>
        <r>
          <rPr>
            <b/>
            <sz val="8"/>
            <color indexed="81"/>
            <rFont val="Tahoma"/>
            <family val="2"/>
          </rPr>
          <t>casselau:</t>
        </r>
        <r>
          <rPr>
            <sz val="8"/>
            <color indexed="81"/>
            <rFont val="Tahoma"/>
            <family val="2"/>
          </rPr>
          <t xml:space="preserve">
in NA all business categories delivered comp sales growth, except women's accessories, which was -LSD. Men's
apparel and accessories were our strongest categories during the Q</t>
        </r>
      </text>
    </comment>
    <comment ref="M235" authorId="12">
      <text>
        <r>
          <rPr>
            <b/>
            <sz val="8"/>
            <color indexed="81"/>
            <rFont val="Tahoma"/>
            <family val="2"/>
          </rPr>
          <t>casselau:</t>
        </r>
        <r>
          <rPr>
            <sz val="8"/>
            <color indexed="81"/>
            <rFont val="Tahoma"/>
            <family val="2"/>
          </rPr>
          <t xml:space="preserve">
produced positive regular price comparable sales</t>
        </r>
      </text>
    </comment>
    <comment ref="W235" authorId="12">
      <text>
        <r>
          <rPr>
            <b/>
            <sz val="8"/>
            <color indexed="81"/>
            <rFont val="Tahoma"/>
            <family val="2"/>
          </rPr>
          <t>casselau:</t>
        </r>
        <r>
          <rPr>
            <sz val="8"/>
            <color indexed="81"/>
            <rFont val="Tahoma"/>
            <family val="2"/>
          </rPr>
          <t xml:space="preserve">
terrain and BHLDN</t>
        </r>
      </text>
    </comment>
    <comment ref="AJ235" authorId="12">
      <text>
        <r>
          <rPr>
            <b/>
            <sz val="8"/>
            <color indexed="81"/>
            <rFont val="Tahoma"/>
            <family val="2"/>
          </rPr>
          <t>casselau:</t>
        </r>
        <r>
          <rPr>
            <sz val="8"/>
            <color indexed="81"/>
            <rFont val="Tahoma"/>
            <family val="2"/>
          </rPr>
          <t xml:space="preserve">
intersegment elimiations (-1.461M)</t>
        </r>
      </text>
    </comment>
    <comment ref="AR235" authorId="12">
      <text>
        <r>
          <rPr>
            <b/>
            <sz val="8"/>
            <color indexed="81"/>
            <rFont val="Tahoma"/>
            <family val="2"/>
          </rPr>
          <t xml:space="preserve">casselau:
</t>
        </r>
        <r>
          <rPr>
            <sz val="8"/>
            <color indexed="81"/>
            <rFont val="Tahoma"/>
            <family val="2"/>
          </rPr>
          <t>587.221 domestic; 89.048 foreign</t>
        </r>
      </text>
    </comment>
    <comment ref="G237" authorId="12">
      <text>
        <r>
          <rPr>
            <b/>
            <sz val="8"/>
            <color indexed="81"/>
            <rFont val="Tahoma"/>
            <family val="2"/>
          </rPr>
          <t>casselau:</t>
        </r>
        <r>
          <rPr>
            <sz val="8"/>
            <color indexed="81"/>
            <rFont val="Tahoma"/>
            <family val="2"/>
          </rPr>
          <t xml:space="preserve">
1/10/13: holiday +10%</t>
        </r>
      </text>
    </comment>
    <comment ref="M237" authorId="12">
      <text>
        <r>
          <rPr>
            <b/>
            <sz val="8"/>
            <color indexed="81"/>
            <rFont val="Tahoma"/>
            <family val="2"/>
          </rPr>
          <t>casselau:</t>
        </r>
        <r>
          <rPr>
            <sz val="8"/>
            <color indexed="81"/>
            <rFont val="Tahoma"/>
            <family val="2"/>
          </rPr>
          <t xml:space="preserve">
1/10/13: holiday +5%</t>
        </r>
      </text>
    </comment>
    <comment ref="S237" authorId="12">
      <text>
        <r>
          <rPr>
            <b/>
            <sz val="8"/>
            <color indexed="81"/>
            <rFont val="Tahoma"/>
            <family val="2"/>
          </rPr>
          <t>casselau:</t>
        </r>
        <r>
          <rPr>
            <sz val="8"/>
            <color indexed="81"/>
            <rFont val="Tahoma"/>
            <family val="2"/>
          </rPr>
          <t xml:space="preserve">
1/10/13: holiday +33%</t>
        </r>
      </text>
    </comment>
  </commentList>
</comments>
</file>

<file path=xl/comments4.xml><?xml version="1.0" encoding="utf-8"?>
<comments xmlns="http://schemas.openxmlformats.org/spreadsheetml/2006/main">
  <authors>
    <author>casselau</author>
    <author>Lehman Brothers</author>
    <author>dong2</author>
    <author>kgreenbe</author>
    <author>dliu</author>
    <author>Kimberly Greenberger</author>
    <author>Corinna Freedman</author>
    <author>MB33100</author>
    <author>mm98285</author>
    <author>TI23070</author>
    <author>oc48540</author>
    <author>lr73192</author>
    <author>NS66486</author>
    <author>nicholjs</author>
    <author>lauraro</author>
    <author>turleamb</author>
    <author>Baglione, Gregory  (Research)</author>
    <author>Mains, Spencer (Research)</author>
    <author>kg51925</author>
    <author>Turley, Amber (Research)</author>
    <author>ns66486</author>
    <author>kimberlg</author>
    <author>solejay</author>
    <author>Roberts, Cynthia (Research)</author>
    <author>Cassel, Lauren (Research)</author>
    <author>KG51925</author>
  </authors>
  <commentList>
    <comment ref="W8" authorId="0">
      <text>
        <r>
          <rPr>
            <b/>
            <sz val="8"/>
            <color indexed="81"/>
            <rFont val="Tahoma"/>
            <family val="2"/>
          </rPr>
          <t>Free People excludes wholesale</t>
        </r>
      </text>
    </comment>
    <comment ref="T26" authorId="1">
      <text>
        <r>
          <rPr>
            <b/>
            <sz val="8"/>
            <color indexed="81"/>
            <rFont val="Tahoma"/>
            <family val="2"/>
          </rPr>
          <t>Lehman Brothers:</t>
        </r>
        <r>
          <rPr>
            <sz val="8"/>
            <color indexed="81"/>
            <rFont val="Tahoma"/>
            <family val="2"/>
          </rPr>
          <t xml:space="preserve">
not comparable 96 vs. 95 b/c 96 excludes Wholesale but 95 doesn't (data not available)</t>
        </r>
      </text>
    </comment>
    <comment ref="K29" authorId="2">
      <text>
        <r>
          <rPr>
            <b/>
            <sz val="8"/>
            <color indexed="81"/>
            <rFont val="Tahoma"/>
            <family val="2"/>
          </rPr>
          <t>dong2:</t>
        </r>
        <r>
          <rPr>
            <sz val="8"/>
            <color indexed="81"/>
            <rFont val="Tahoma"/>
            <family val="2"/>
          </rPr>
          <t xml:space="preserve">
opened 2 new URBNs in Canada (Montreal and Toronto)</t>
        </r>
      </text>
    </comment>
    <comment ref="K41" authorId="2">
      <text>
        <r>
          <rPr>
            <b/>
            <sz val="8"/>
            <color indexed="81"/>
            <rFont val="Tahoma"/>
            <family val="2"/>
          </rPr>
          <t>dong2:</t>
        </r>
        <r>
          <rPr>
            <sz val="8"/>
            <color indexed="81"/>
            <rFont val="Tahoma"/>
            <family val="2"/>
          </rPr>
          <t xml:space="preserve">
opened first UK Urban store</t>
        </r>
      </text>
    </comment>
    <comment ref="G68" authorId="2">
      <text>
        <r>
          <rPr>
            <b/>
            <sz val="8"/>
            <color indexed="81"/>
            <rFont val="Tahoma"/>
            <family val="2"/>
          </rPr>
          <t>dong2:</t>
        </r>
        <r>
          <rPr>
            <sz val="8"/>
            <color indexed="81"/>
            <rFont val="Tahoma"/>
            <family val="2"/>
          </rPr>
          <t xml:space="preserve">
3/14/02: co indicated that comp sales to date in 1Q have exceeded the low SD plan, while inventories remain well controlled
5/9: had +5. 18% comp comprised of +12% for Urban and +27% for Anthro.</t>
        </r>
      </text>
    </comment>
    <comment ref="K68" authorId="3">
      <text>
        <r>
          <rPr>
            <b/>
            <sz val="8"/>
            <color indexed="81"/>
            <rFont val="Tahoma"/>
            <family val="2"/>
          </rPr>
          <t>kgreenbe:</t>
        </r>
        <r>
          <rPr>
            <sz val="8"/>
            <color indexed="81"/>
            <rFont val="Tahoma"/>
            <family val="2"/>
          </rPr>
          <t xml:space="preserve">
Farmers Mkt Anthro (L.A.), another in ??</t>
        </r>
      </text>
    </comment>
    <comment ref="T68" authorId="1">
      <text>
        <r>
          <rPr>
            <b/>
            <sz val="8"/>
            <color indexed="81"/>
            <rFont val="Tahoma"/>
            <family val="2"/>
          </rPr>
          <t>Lehman Brothers:</t>
        </r>
        <r>
          <rPr>
            <sz val="8"/>
            <color indexed="81"/>
            <rFont val="Tahoma"/>
            <family val="2"/>
          </rPr>
          <t xml:space="preserve">
had 85%</t>
        </r>
      </text>
    </comment>
    <comment ref="X68" authorId="1">
      <text>
        <r>
          <rPr>
            <b/>
            <sz val="8"/>
            <color indexed="81"/>
            <rFont val="Tahoma"/>
            <family val="2"/>
          </rPr>
          <t>Lehman Brothers:</t>
        </r>
        <r>
          <rPr>
            <sz val="8"/>
            <color indexed="81"/>
            <rFont val="Tahoma"/>
            <family val="2"/>
          </rPr>
          <t xml:space="preserve">
had $85</t>
        </r>
      </text>
    </comment>
    <comment ref="G69" authorId="1">
      <text>
        <r>
          <rPr>
            <b/>
            <sz val="8"/>
            <color indexed="81"/>
            <rFont val="Tahoma"/>
            <family val="2"/>
          </rPr>
          <t>Lehman Brothers:</t>
        </r>
        <r>
          <rPr>
            <sz val="8"/>
            <color indexed="81"/>
            <rFont val="Tahoma"/>
            <family val="2"/>
          </rPr>
          <t xml:space="preserve">
had 3, then +6</t>
        </r>
      </text>
    </comment>
    <comment ref="K69" authorId="3">
      <text>
        <r>
          <rPr>
            <b/>
            <sz val="8"/>
            <color indexed="81"/>
            <rFont val="Tahoma"/>
            <family val="2"/>
          </rPr>
          <t>kgreenbe:</t>
        </r>
        <r>
          <rPr>
            <sz val="8"/>
            <color indexed="81"/>
            <rFont val="Tahoma"/>
            <family val="2"/>
          </rPr>
          <t xml:space="preserve">
Anthro in Westchester
URBN in King of Prussia (first mall store)</t>
        </r>
      </text>
    </comment>
    <comment ref="T69" authorId="1">
      <text>
        <r>
          <rPr>
            <b/>
            <sz val="8"/>
            <color indexed="81"/>
            <rFont val="Tahoma"/>
            <family val="2"/>
          </rPr>
          <t>Lehman Brothers:</t>
        </r>
        <r>
          <rPr>
            <sz val="8"/>
            <color indexed="81"/>
            <rFont val="Tahoma"/>
            <family val="2"/>
          </rPr>
          <t xml:space="preserve">
had 85</t>
        </r>
      </text>
    </comment>
    <comment ref="G70" authorId="1">
      <text>
        <r>
          <rPr>
            <b/>
            <sz val="8"/>
            <color indexed="81"/>
            <rFont val="Tahoma"/>
            <family val="2"/>
          </rPr>
          <t>Lehman Brothers:</t>
        </r>
        <r>
          <rPr>
            <sz val="8"/>
            <color indexed="81"/>
            <rFont val="Tahoma"/>
            <family val="2"/>
          </rPr>
          <t xml:space="preserve">
had 3, then 5. 11/7/02: Urban +8%, Anthro +15%</t>
        </r>
      </text>
    </comment>
    <comment ref="K70" authorId="3">
      <text>
        <r>
          <rPr>
            <b/>
            <sz val="8"/>
            <color indexed="81"/>
            <rFont val="Tahoma"/>
            <family val="2"/>
          </rPr>
          <t>kgreenbe:</t>
        </r>
        <r>
          <rPr>
            <sz val="8"/>
            <color indexed="81"/>
            <rFont val="Tahoma"/>
            <family val="2"/>
          </rPr>
          <t xml:space="preserve">
May 02: 1 URBN in mall, 4 Anthros. 9/25/02 update: see cell 71 right below</t>
        </r>
      </text>
    </comment>
    <comment ref="T70" authorId="1">
      <text>
        <r>
          <rPr>
            <b/>
            <sz val="8"/>
            <color indexed="81"/>
            <rFont val="Tahoma"/>
            <family val="2"/>
          </rPr>
          <t>Lehman Brothers:</t>
        </r>
        <r>
          <rPr>
            <sz val="8"/>
            <color indexed="81"/>
            <rFont val="Tahoma"/>
            <family val="2"/>
          </rPr>
          <t xml:space="preserve">
90</t>
        </r>
      </text>
    </comment>
    <comment ref="G71" authorId="1">
      <text>
        <r>
          <rPr>
            <b/>
            <sz val="8"/>
            <color indexed="81"/>
            <rFont val="Tahoma"/>
            <family val="2"/>
          </rPr>
          <t>Lehman Brothers:</t>
        </r>
        <r>
          <rPr>
            <sz val="8"/>
            <color indexed="81"/>
            <rFont val="Tahoma"/>
            <family val="2"/>
          </rPr>
          <t xml:space="preserve">
11/7/02: raise from 0 to +2 based on co. guidance of +0-3%</t>
        </r>
      </text>
    </comment>
    <comment ref="K71" authorId="3">
      <text>
        <r>
          <rPr>
            <b/>
            <sz val="8"/>
            <color indexed="81"/>
            <rFont val="Tahoma"/>
            <family val="2"/>
          </rPr>
          <t>kgreenbe:</t>
        </r>
        <r>
          <rPr>
            <sz val="8"/>
            <color indexed="81"/>
            <rFont val="Tahoma"/>
            <family val="2"/>
          </rPr>
          <t xml:space="preserve">
May02: 1 FP store, 2 URBN, 2 Anthro
9/25/02: fall openings were planned late Oct/early Nov. Now due to technical glitches moved two Sept/Oct openings to mid-Nov. So now instead of 5 in 3Q and 5 in 4Q, open 10 in 4Q. Anthro: 4 open'g in Nov, 1-2 Jan. FP: 1 in Nov. Urban: 2 in Nov, 1 in Jan.</t>
        </r>
      </text>
    </comment>
    <comment ref="T71" authorId="1">
      <text>
        <r>
          <rPr>
            <b/>
            <sz val="8"/>
            <color indexed="81"/>
            <rFont val="Tahoma"/>
            <family val="2"/>
          </rPr>
          <t>Lehman Brothers:</t>
        </r>
        <r>
          <rPr>
            <sz val="8"/>
            <color indexed="81"/>
            <rFont val="Tahoma"/>
            <family val="2"/>
          </rPr>
          <t xml:space="preserve">
had 80</t>
        </r>
      </text>
    </comment>
    <comment ref="G75" authorId="1">
      <text>
        <r>
          <rPr>
            <b/>
            <sz val="8"/>
            <color indexed="81"/>
            <rFont val="Tahoma"/>
            <family val="2"/>
          </rPr>
          <t>Lehman Brothers:</t>
        </r>
        <r>
          <rPr>
            <sz val="8"/>
            <color indexed="81"/>
            <rFont val="Tahoma"/>
            <family val="2"/>
          </rPr>
          <t xml:space="preserve">
Flat comp Q1. Low SD +ve (+3) Urbn and low SD neg (-5) Anthro. 5/8: had +1</t>
        </r>
      </text>
    </comment>
    <comment ref="K75" authorId="1">
      <text>
        <r>
          <rPr>
            <b/>
            <sz val="8"/>
            <color indexed="81"/>
            <rFont val="Tahoma"/>
            <family val="2"/>
          </rPr>
          <t>Lehman Brothers:</t>
        </r>
        <r>
          <rPr>
            <sz val="8"/>
            <color indexed="81"/>
            <rFont val="Tahoma"/>
            <family val="2"/>
          </rPr>
          <t xml:space="preserve">
1/29/03: 1 A (coral gables), 1 U (houston galleria) in April
3/13: mgmt indicated 2-3 U and 3-4 A in 1H03, for a total of 5-7. We are at low end of 5</t>
        </r>
      </text>
    </comment>
    <comment ref="G76" authorId="4">
      <text>
        <r>
          <rPr>
            <b/>
            <sz val="8"/>
            <color indexed="81"/>
            <rFont val="Tahoma"/>
            <family val="2"/>
          </rPr>
          <t>dliu:</t>
        </r>
        <r>
          <rPr>
            <sz val="8"/>
            <color indexed="81"/>
            <rFont val="Tahoma"/>
            <family val="2"/>
          </rPr>
          <t xml:space="preserve">
5/15: KG said to keep at +1</t>
        </r>
      </text>
    </comment>
    <comment ref="K76" authorId="1">
      <text>
        <r>
          <rPr>
            <b/>
            <sz val="8"/>
            <color indexed="81"/>
            <rFont val="Tahoma"/>
            <family val="2"/>
          </rPr>
          <t>Lehman Brothers:</t>
        </r>
        <r>
          <rPr>
            <sz val="8"/>
            <color indexed="81"/>
            <rFont val="Tahoma"/>
            <family val="2"/>
          </rPr>
          <t xml:space="preserve">
1 U, 2 As</t>
        </r>
      </text>
    </comment>
    <comment ref="G77" authorId="1">
      <text>
        <r>
          <rPr>
            <b/>
            <sz val="8"/>
            <color indexed="81"/>
            <rFont val="Tahoma"/>
            <family val="2"/>
          </rPr>
          <t>Lehman Brothers:</t>
        </r>
        <r>
          <rPr>
            <sz val="8"/>
            <color indexed="81"/>
            <rFont val="Tahoma"/>
            <family val="2"/>
          </rPr>
          <t xml:space="preserve">
mid SD for 2H</t>
        </r>
      </text>
    </comment>
    <comment ref="K77" authorId="1">
      <text>
        <r>
          <rPr>
            <b/>
            <sz val="8"/>
            <color indexed="81"/>
            <rFont val="Tahoma"/>
            <family val="2"/>
          </rPr>
          <t>Lehman Brothers:</t>
        </r>
        <r>
          <rPr>
            <sz val="8"/>
            <color indexed="81"/>
            <rFont val="Tahoma"/>
            <family val="2"/>
          </rPr>
          <t xml:space="preserve">
3 U, 4 A. 1 each in cherry creek in colo. </t>
        </r>
      </text>
    </comment>
    <comment ref="G78" authorId="4">
      <text>
        <r>
          <rPr>
            <b/>
            <sz val="8"/>
            <color indexed="81"/>
            <rFont val="Tahoma"/>
            <family val="2"/>
          </rPr>
          <t>dliu:</t>
        </r>
        <r>
          <rPr>
            <sz val="8"/>
            <color indexed="81"/>
            <rFont val="Tahoma"/>
            <family val="2"/>
          </rPr>
          <t xml:space="preserve">
LY in 4Q there was not enough transition mdse- went right into Spring. Margins were great but didn't have enough to sell. TY- they will have best gift product delivering around Thanksgiving. Also, they made sure transition mdse was wearable in Nov/Dec/Jan - this is mdse in Winter Essentials book. Spring still delivers in late Dec, but will have more product to sell than did LY. 1/8/04: had 13.4%</t>
        </r>
      </text>
    </comment>
    <comment ref="K78" authorId="1">
      <text>
        <r>
          <rPr>
            <b/>
            <sz val="8"/>
            <color indexed="81"/>
            <rFont val="Tahoma"/>
            <family val="2"/>
          </rPr>
          <t>Lehman Brothers:</t>
        </r>
        <r>
          <rPr>
            <sz val="8"/>
            <color indexed="81"/>
            <rFont val="Tahoma"/>
            <family val="2"/>
          </rPr>
          <t xml:space="preserve">
incl 2 FP beginning of Nov</t>
        </r>
      </text>
    </comment>
    <comment ref="G82" authorId="4">
      <text>
        <r>
          <rPr>
            <b/>
            <sz val="8"/>
            <color indexed="81"/>
            <rFont val="Tahoma"/>
            <family val="2"/>
          </rPr>
          <t>dliu:</t>
        </r>
        <r>
          <rPr>
            <sz val="8"/>
            <color indexed="81"/>
            <rFont val="Tahoma"/>
            <family val="2"/>
          </rPr>
          <t xml:space="preserve">
23</t>
        </r>
      </text>
    </comment>
    <comment ref="K82" authorId="5">
      <text>
        <r>
          <rPr>
            <b/>
            <sz val="8"/>
            <color indexed="81"/>
            <rFont val="Tahoma"/>
            <family val="2"/>
          </rPr>
          <t>Kimberly Greenberger:</t>
        </r>
        <r>
          <rPr>
            <sz val="8"/>
            <color indexed="81"/>
            <rFont val="Tahoma"/>
            <family val="2"/>
          </rPr>
          <t xml:space="preserve">
62, 52, 1</t>
        </r>
      </text>
    </comment>
    <comment ref="T82" authorId="4">
      <text>
        <r>
          <rPr>
            <b/>
            <sz val="8"/>
            <color indexed="81"/>
            <rFont val="Tahoma"/>
            <family val="2"/>
          </rPr>
          <t>dliu:</t>
        </r>
        <r>
          <rPr>
            <sz val="8"/>
            <color indexed="81"/>
            <rFont val="Tahoma"/>
            <family val="2"/>
          </rPr>
          <t xml:space="preserve">
91</t>
        </r>
      </text>
    </comment>
    <comment ref="G83" authorId="6">
      <text>
        <r>
          <rPr>
            <b/>
            <sz val="8"/>
            <color indexed="81"/>
            <rFont val="Tahoma"/>
            <family val="2"/>
          </rPr>
          <t>Corinna Freedman:</t>
        </r>
        <r>
          <rPr>
            <sz val="8"/>
            <color indexed="81"/>
            <rFont val="Tahoma"/>
            <family val="2"/>
          </rPr>
          <t xml:space="preserve">
15</t>
        </r>
      </text>
    </comment>
    <comment ref="K83" authorId="5">
      <text>
        <r>
          <rPr>
            <b/>
            <sz val="8"/>
            <color indexed="81"/>
            <rFont val="Tahoma"/>
            <family val="2"/>
          </rPr>
          <t>Kimberly Greenberger:</t>
        </r>
        <r>
          <rPr>
            <sz val="8"/>
            <color indexed="81"/>
            <rFont val="Tahoma"/>
            <family val="2"/>
          </rPr>
          <t xml:space="preserve">
68 UO, 58 A, 1 FP EO2Q</t>
        </r>
      </text>
    </comment>
    <comment ref="G84" authorId="6">
      <text>
        <r>
          <rPr>
            <b/>
            <sz val="8"/>
            <color indexed="81"/>
            <rFont val="Tahoma"/>
            <family val="2"/>
          </rPr>
          <t>Corinna Freedman:</t>
        </r>
        <r>
          <rPr>
            <sz val="8"/>
            <color indexed="81"/>
            <rFont val="Tahoma"/>
            <family val="2"/>
          </rPr>
          <t xml:space="preserve">
15</t>
        </r>
      </text>
    </comment>
    <comment ref="K84" authorId="5">
      <text>
        <r>
          <rPr>
            <b/>
            <sz val="8"/>
            <color indexed="81"/>
            <rFont val="Tahoma"/>
            <family val="2"/>
          </rPr>
          <t>Kimberly Greenberger:</t>
        </r>
        <r>
          <rPr>
            <sz val="8"/>
            <color indexed="81"/>
            <rFont val="Tahoma"/>
            <family val="2"/>
          </rPr>
          <t xml:space="preserve">
+5 UO, +4 A, +1 FP opens in 3Q04</t>
        </r>
      </text>
    </comment>
    <comment ref="AE84" authorId="4">
      <text>
        <r>
          <rPr>
            <b/>
            <sz val="8"/>
            <color indexed="81"/>
            <rFont val="Tahoma"/>
            <family val="2"/>
          </rPr>
          <t>dliu:</t>
        </r>
        <r>
          <rPr>
            <sz val="8"/>
            <color indexed="81"/>
            <rFont val="Tahoma"/>
            <family val="2"/>
          </rPr>
          <t xml:space="preserve">
assume 1 FP store opens in this Q</t>
        </r>
      </text>
    </comment>
    <comment ref="G85" authorId="6">
      <text>
        <r>
          <rPr>
            <b/>
            <sz val="8"/>
            <color indexed="81"/>
            <rFont val="Tahoma"/>
            <family val="2"/>
          </rPr>
          <t>Corinna Freedman:</t>
        </r>
        <r>
          <rPr>
            <sz val="8"/>
            <color indexed="81"/>
            <rFont val="Tahoma"/>
            <family val="2"/>
          </rPr>
          <t xml:space="preserve">
13.8</t>
        </r>
      </text>
    </comment>
    <comment ref="K85" authorId="5">
      <text>
        <r>
          <rPr>
            <b/>
            <sz val="8"/>
            <color indexed="81"/>
            <rFont val="Tahoma"/>
            <family val="2"/>
          </rPr>
          <t>Kimberly Greenberger:</t>
        </r>
        <r>
          <rPr>
            <sz val="8"/>
            <color indexed="81"/>
            <rFont val="Tahoma"/>
            <family val="2"/>
          </rPr>
          <t xml:space="preserve">
+4 UO, +3 A +1 FP</t>
        </r>
      </text>
    </comment>
    <comment ref="G97" authorId="7">
      <text>
        <r>
          <rPr>
            <b/>
            <sz val="8"/>
            <color indexed="81"/>
            <rFont val="Tahoma"/>
            <family val="2"/>
          </rPr>
          <t>MB33100:</t>
        </r>
        <r>
          <rPr>
            <sz val="8"/>
            <color indexed="81"/>
            <rFont val="Tahoma"/>
            <family val="2"/>
          </rPr>
          <t xml:space="preserve">
-1.5</t>
        </r>
      </text>
    </comment>
    <comment ref="G98" authorId="7">
      <text>
        <r>
          <rPr>
            <b/>
            <sz val="8"/>
            <color indexed="81"/>
            <rFont val="Tahoma"/>
            <family val="2"/>
          </rPr>
          <t>MB33100:</t>
        </r>
        <r>
          <rPr>
            <sz val="8"/>
            <color indexed="81"/>
            <rFont val="Tahoma"/>
            <family val="2"/>
          </rPr>
          <t xml:space="preserve">
-10.5</t>
        </r>
      </text>
    </comment>
    <comment ref="G103" authorId="8">
      <text>
        <r>
          <rPr>
            <b/>
            <sz val="8"/>
            <color indexed="81"/>
            <rFont val="Tahoma"/>
            <family val="2"/>
          </rPr>
          <t>mm98285:</t>
        </r>
        <r>
          <rPr>
            <sz val="8"/>
            <color indexed="81"/>
            <rFont val="Tahoma"/>
            <family val="2"/>
          </rPr>
          <t xml:space="preserve">
0</t>
        </r>
      </text>
    </comment>
    <comment ref="T113" authorId="9">
      <text>
        <r>
          <rPr>
            <b/>
            <sz val="8"/>
            <color indexed="81"/>
            <rFont val="Tahoma"/>
            <family val="2"/>
          </rPr>
          <t>TI23070:</t>
        </r>
        <r>
          <rPr>
            <sz val="8"/>
            <color indexed="81"/>
            <rFont val="Tahoma"/>
            <family val="2"/>
          </rPr>
          <t xml:space="preserve">
4Q direct/web sales +20.4%</t>
        </r>
      </text>
    </comment>
    <comment ref="K117" authorId="8">
      <text>
        <r>
          <rPr>
            <b/>
            <sz val="8"/>
            <color indexed="81"/>
            <rFont val="Tahoma"/>
            <family val="2"/>
          </rPr>
          <t>mm98285:</t>
        </r>
        <r>
          <rPr>
            <sz val="8"/>
            <color indexed="81"/>
            <rFont val="Tahoma"/>
            <family val="2"/>
          </rPr>
          <t xml:space="preserve">
3/09: expect 5 openings in 1Q</t>
        </r>
      </text>
    </comment>
    <comment ref="T117" authorId="10">
      <text>
        <r>
          <rPr>
            <b/>
            <sz val="8"/>
            <color indexed="81"/>
            <rFont val="Tahoma"/>
            <family val="2"/>
          </rPr>
          <t>oc48540:</t>
        </r>
        <r>
          <rPr>
            <sz val="8"/>
            <color indexed="81"/>
            <rFont val="Tahoma"/>
            <family val="2"/>
          </rPr>
          <t xml:space="preserve">
Management indicated new stores were ~88% productive in 1Q</t>
        </r>
      </text>
    </comment>
    <comment ref="K118" authorId="8">
      <text>
        <r>
          <rPr>
            <b/>
            <sz val="8"/>
            <color indexed="81"/>
            <rFont val="Tahoma"/>
            <family val="2"/>
          </rPr>
          <t>mm98285:</t>
        </r>
        <r>
          <rPr>
            <sz val="8"/>
            <color indexed="81"/>
            <rFont val="Tahoma"/>
            <family val="2"/>
          </rPr>
          <t xml:space="preserve">
3/09: expect 13 openings in 2Q</t>
        </r>
      </text>
    </comment>
    <comment ref="T118" authorId="10">
      <text>
        <r>
          <rPr>
            <b/>
            <sz val="8"/>
            <color indexed="81"/>
            <rFont val="Tahoma"/>
            <family val="2"/>
          </rPr>
          <t>oc48540:</t>
        </r>
        <r>
          <rPr>
            <sz val="8"/>
            <color indexed="81"/>
            <rFont val="Tahoma"/>
            <family val="2"/>
          </rPr>
          <t xml:space="preserve">
Management indicated new stores were ~86% productive in 1Q</t>
        </r>
      </text>
    </comment>
    <comment ref="K119" authorId="8">
      <text>
        <r>
          <rPr>
            <b/>
            <sz val="8"/>
            <color indexed="81"/>
            <rFont val="Tahoma"/>
            <family val="2"/>
          </rPr>
          <t>mm98285:</t>
        </r>
        <r>
          <rPr>
            <sz val="8"/>
            <color indexed="81"/>
            <rFont val="Tahoma"/>
            <family val="2"/>
          </rPr>
          <t xml:space="preserve">
3/09: expect 19 openings in 3Q</t>
        </r>
      </text>
    </comment>
    <comment ref="K120" authorId="8">
      <text>
        <r>
          <rPr>
            <b/>
            <sz val="8"/>
            <color indexed="81"/>
            <rFont val="Tahoma"/>
            <family val="2"/>
          </rPr>
          <t>mm98285:</t>
        </r>
        <r>
          <rPr>
            <sz val="8"/>
            <color indexed="81"/>
            <rFont val="Tahoma"/>
            <family val="2"/>
          </rPr>
          <t xml:space="preserve">
3/09: expect 5 openings in 4Q</t>
        </r>
      </text>
    </comment>
    <comment ref="D124" authorId="11">
      <text>
        <r>
          <rPr>
            <b/>
            <sz val="8"/>
            <color indexed="81"/>
            <rFont val="Tahoma"/>
            <family val="2"/>
          </rPr>
          <t>lr73192:</t>
        </r>
        <r>
          <rPr>
            <sz val="8"/>
            <color indexed="81"/>
            <rFont val="Tahoma"/>
            <family val="2"/>
          </rPr>
          <t xml:space="preserve">
5.5.10: 23.4%</t>
        </r>
      </text>
    </comment>
    <comment ref="G124" authorId="11">
      <text>
        <r>
          <rPr>
            <b/>
            <sz val="8"/>
            <color indexed="81"/>
            <rFont val="Tahoma"/>
            <family val="2"/>
          </rPr>
          <t>lr73192:</t>
        </r>
        <r>
          <rPr>
            <sz val="8"/>
            <color indexed="81"/>
            <rFont val="Tahoma"/>
            <family val="2"/>
          </rPr>
          <t xml:space="preserve">
5.5.10: 13.8%</t>
        </r>
      </text>
    </comment>
    <comment ref="G125" authorId="12">
      <text>
        <r>
          <rPr>
            <b/>
            <sz val="8"/>
            <color indexed="81"/>
            <rFont val="Tahoma"/>
            <family val="2"/>
          </rPr>
          <t>NS66486:</t>
        </r>
        <r>
          <rPr>
            <sz val="8"/>
            <color indexed="81"/>
            <rFont val="Tahoma"/>
            <family val="2"/>
          </rPr>
          <t xml:space="preserve">
6/8/2010: 10Q indicates comps are "favorable" to last year, we assume total comps including direct +HSD (9% range) and store comps ~+6% on ~25% direct growth</t>
        </r>
      </text>
    </comment>
    <comment ref="K127" authorId="13">
      <text>
        <r>
          <rPr>
            <b/>
            <sz val="8"/>
            <color indexed="81"/>
            <rFont val="Tahoma"/>
            <family val="2"/>
          </rPr>
          <t>nicholjs:</t>
        </r>
        <r>
          <rPr>
            <sz val="8"/>
            <color indexed="81"/>
            <rFont val="Tahoma"/>
            <family val="2"/>
          </rPr>
          <t xml:space="preserve">
11/2010: expect 16 new stores in 4Q</t>
        </r>
      </text>
    </comment>
    <comment ref="K133" authorId="14">
      <text>
        <r>
          <rPr>
            <b/>
            <sz val="8"/>
            <color indexed="81"/>
            <rFont val="Tahoma"/>
            <family val="2"/>
          </rPr>
          <t>lauraro:</t>
        </r>
        <r>
          <rPr>
            <sz val="8"/>
            <color indexed="81"/>
            <rFont val="Tahoma"/>
            <family val="2"/>
          </rPr>
          <t xml:space="preserve">
11/7: During 3Q:
+7 Urban Outfitters stores 
+4 Anthropologie stores 
+4 Free People stores
+1 BHLDN store</t>
        </r>
      </text>
    </comment>
    <comment ref="BA134" authorId="14">
      <text>
        <r>
          <rPr>
            <b/>
            <sz val="8"/>
            <color indexed="81"/>
            <rFont val="Tahoma"/>
            <family val="2"/>
          </rPr>
          <t>lauraro:</t>
        </r>
        <r>
          <rPr>
            <sz val="8"/>
            <color indexed="81"/>
            <rFont val="Tahoma"/>
            <family val="2"/>
          </rPr>
          <t xml:space="preserve">
European sales increased 33% due to the addition of 6 new Urban Outfitters stores and comparable Retail Segment sales increases of 11% and 28% at Urban Outfitters Europe and Anthropologie Europe, respectively</t>
        </r>
      </text>
    </comment>
    <comment ref="G138" authorId="14">
      <text>
        <r>
          <rPr>
            <b/>
            <sz val="8"/>
            <color indexed="81"/>
            <rFont val="Tahoma"/>
            <family val="2"/>
          </rPr>
          <t>lauraro:</t>
        </r>
        <r>
          <rPr>
            <sz val="8"/>
            <color indexed="81"/>
            <rFont val="Tahoma"/>
            <family val="2"/>
          </rPr>
          <t xml:space="preserve">
Comparable retail segment net sales, which include our Direct-to-Consumer channels, increased 2% for the quarter, while comparable store net sales decreased 1%.</t>
        </r>
      </text>
    </comment>
    <comment ref="K138" authorId="14">
      <text>
        <r>
          <rPr>
            <sz val="8"/>
            <color indexed="81"/>
            <rFont val="Tahoma"/>
            <family val="2"/>
          </rPr>
          <t>8/20/12: update: expect to open 51 stores TY</t>
        </r>
        <r>
          <rPr>
            <b/>
            <sz val="8"/>
            <color indexed="81"/>
            <rFont val="Tahoma"/>
            <family val="2"/>
          </rPr>
          <t xml:space="preserve">
lauraro:</t>
        </r>
        <r>
          <rPr>
            <sz val="8"/>
            <color indexed="81"/>
            <rFont val="Tahoma"/>
            <family val="2"/>
          </rPr>
          <t xml:space="preserve">
</t>
        </r>
        <r>
          <rPr>
            <b/>
            <sz val="8"/>
            <color indexed="81"/>
            <rFont val="Tahoma"/>
            <family val="2"/>
          </rPr>
          <t xml:space="preserve">3/12/12: </t>
        </r>
        <r>
          <rPr>
            <sz val="8"/>
            <color indexed="81"/>
            <rFont val="Tahoma"/>
            <family val="2"/>
          </rPr>
          <t>Open 13 stores in 1Q, 55-60 in 2012</t>
        </r>
      </text>
    </comment>
    <comment ref="G139" authorId="0">
      <text>
        <r>
          <rPr>
            <b/>
            <sz val="8"/>
            <color indexed="81"/>
            <rFont val="Tahoma"/>
            <family val="2"/>
          </rPr>
          <t>casselau:</t>
        </r>
        <r>
          <rPr>
            <sz val="8"/>
            <color indexed="81"/>
            <rFont val="Tahoma"/>
            <family val="2"/>
          </rPr>
          <t xml:space="preserve">
8/20/12: Comparable retail segment net sales, which include our comparable DTC channel, increased 4% for the quarter, while comparable store net sales decreased 1%.</t>
        </r>
      </text>
    </comment>
    <comment ref="K139" authorId="0">
      <text>
        <r>
          <rPr>
            <b/>
            <sz val="8"/>
            <color indexed="81"/>
            <rFont val="Tahoma"/>
            <family val="2"/>
          </rPr>
          <t>casselau:</t>
        </r>
        <r>
          <rPr>
            <sz val="8"/>
            <color indexed="81"/>
            <rFont val="Tahoma"/>
            <family val="2"/>
          </rPr>
          <t xml:space="preserve">
opened 14 stores in 2Q, 28 in 1H, closed 1 in 1H</t>
        </r>
      </text>
    </comment>
    <comment ref="K140" authorId="0">
      <text>
        <r>
          <rPr>
            <b/>
            <sz val="8"/>
            <color indexed="81"/>
            <rFont val="Tahoma"/>
            <family val="2"/>
          </rPr>
          <t>casselau:</t>
        </r>
        <r>
          <rPr>
            <sz val="8"/>
            <color indexed="81"/>
            <rFont val="Tahoma"/>
            <family val="2"/>
          </rPr>
          <t xml:space="preserve">
expect to open 11 stores in 3Q</t>
        </r>
      </text>
    </comment>
    <comment ref="K141" authorId="15">
      <text>
        <r>
          <rPr>
            <b/>
            <sz val="8"/>
            <color indexed="81"/>
            <rFont val="Tahoma"/>
            <family val="2"/>
          </rPr>
          <t>turleamb:</t>
        </r>
        <r>
          <rPr>
            <sz val="8"/>
            <color indexed="81"/>
            <rFont val="Tahoma"/>
            <family val="2"/>
          </rPr>
          <t xml:space="preserve">
13 store closures in Jan</t>
        </r>
      </text>
    </comment>
    <comment ref="K145" authorId="15">
      <text>
        <r>
          <rPr>
            <b/>
            <sz val="8"/>
            <color indexed="81"/>
            <rFont val="Tahoma"/>
            <family val="2"/>
          </rPr>
          <t>turleamb:</t>
        </r>
        <r>
          <rPr>
            <sz val="8"/>
            <color indexed="81"/>
            <rFont val="Tahoma"/>
            <family val="2"/>
          </rPr>
          <t xml:space="preserve">
3/10/14: 118 store closures in Feb</t>
        </r>
      </text>
    </comment>
    <comment ref="K147" authorId="0">
      <text>
        <r>
          <rPr>
            <b/>
            <sz val="8"/>
            <color indexed="81"/>
            <rFont val="Tahoma"/>
            <family val="2"/>
          </rPr>
          <t>casselau:</t>
        </r>
        <r>
          <rPr>
            <sz val="8"/>
            <color indexed="81"/>
            <rFont val="Tahoma"/>
            <family val="2"/>
          </rPr>
          <t xml:space="preserve">
expect to open 11 stores in 3Q</t>
        </r>
      </text>
    </comment>
    <comment ref="F148" authorId="15">
      <text>
        <r>
          <rPr>
            <b/>
            <sz val="8"/>
            <color indexed="81"/>
            <rFont val="Tahoma"/>
            <family val="2"/>
          </rPr>
          <t>turleamb:</t>
        </r>
        <r>
          <rPr>
            <sz val="8"/>
            <color indexed="81"/>
            <rFont val="Tahoma"/>
            <family val="2"/>
          </rPr>
          <t xml:space="preserve">
3/10/14: 
we estimate a loss of approximately 450 basis points in January comp store sales this year due to
weather.</t>
        </r>
      </text>
    </comment>
    <comment ref="K148" authorId="15">
      <text>
        <r>
          <rPr>
            <b/>
            <sz val="8"/>
            <color indexed="81"/>
            <rFont val="Tahoma"/>
            <family val="2"/>
          </rPr>
          <t>turleamb:</t>
        </r>
        <r>
          <rPr>
            <sz val="8"/>
            <color indexed="81"/>
            <rFont val="Tahoma"/>
            <family val="2"/>
          </rPr>
          <t xml:space="preserve">
3/10/14: 312 stores closed in Jan vs. 13 LY due to weather</t>
        </r>
      </text>
    </comment>
    <comment ref="W149" authorId="15">
      <text>
        <r>
          <rPr>
            <b/>
            <sz val="8"/>
            <color indexed="81"/>
            <rFont val="Tahoma"/>
            <family val="2"/>
          </rPr>
          <t>turleamb:</t>
        </r>
        <r>
          <rPr>
            <sz val="8"/>
            <color indexed="81"/>
            <rFont val="Tahoma"/>
            <family val="2"/>
          </rPr>
          <t xml:space="preserve">
3/10/14: lowered
weeks of supply, shortened product lead times and reduced product delivery times to direct-to-consumer customer</t>
        </r>
      </text>
    </comment>
    <comment ref="K152" authorId="15">
      <text>
        <r>
          <rPr>
            <b/>
            <sz val="8"/>
            <color indexed="81"/>
            <rFont val="Tahoma"/>
            <family val="2"/>
          </rPr>
          <t>turleamb:</t>
        </r>
        <r>
          <rPr>
            <sz val="8"/>
            <color indexed="81"/>
            <rFont val="Tahoma"/>
            <family val="2"/>
          </rPr>
          <t xml:space="preserve">
3/10/14: 253 store closures due to weather in Feb</t>
        </r>
      </text>
    </comment>
    <comment ref="I161" authorId="16">
      <text>
        <r>
          <rPr>
            <b/>
            <sz val="9"/>
            <color indexed="81"/>
            <rFont val="Tahoma"/>
            <family val="2"/>
          </rPr>
          <t>Baglione, Gregory  (Research):</t>
        </r>
        <r>
          <rPr>
            <sz val="9"/>
            <color indexed="81"/>
            <rFont val="Tahoma"/>
            <family val="2"/>
          </rPr>
          <t xml:space="preserve">
11/16/15
"Spread has been narrowing over last few quarters. Spread is negatively impacted by ~130 bps of negative FX in 3Q. Anticipate that to be fairly similar in 4Q and anniversary that as we move into 2016</t>
        </r>
      </text>
    </comment>
    <comment ref="K162" authorId="17">
      <text>
        <r>
          <rPr>
            <b/>
            <sz val="9"/>
            <color indexed="81"/>
            <rFont val="Tahoma"/>
            <family val="2"/>
          </rPr>
          <t>Mains, Spencer (Research):</t>
        </r>
        <r>
          <rPr>
            <sz val="9"/>
            <color indexed="81"/>
            <rFont val="Tahoma"/>
            <family val="2"/>
          </rPr>
          <t xml:space="preserve">
8/17/15: Planning to open ~32 new stores during the year.  4 new UO in NAm, 13 new Anthro globally (incl. 1 European), and 15 new FP stores in NAm.
5/18/15: we are planning to open approximately 31 new stores during the year.  4 new UO in NAm, 13 new Anthro globally, including one in Europe, and 14 new Free People stores in NAm.</t>
        </r>
      </text>
    </comment>
    <comment ref="F166" authorId="16">
      <text>
        <r>
          <rPr>
            <b/>
            <sz val="9"/>
            <color indexed="81"/>
            <rFont val="Tahoma"/>
            <family val="2"/>
          </rPr>
          <t>Baglione, Gregory  (Research):</t>
        </r>
        <r>
          <rPr>
            <sz val="9"/>
            <color indexed="81"/>
            <rFont val="Tahoma"/>
            <family val="2"/>
          </rPr>
          <t xml:space="preserve">
5/18/17
Includes leap year benefit
Within our retail segment comps, the direct-to-consumer channel continued to outperform stores posting a double-digit sales increase driven by
an increase in sessions, while conversion rate was flat and average order value slightly decreased. Negative comp store sales resulted from decreased
transactions and average unit selling price while units per transaction were flat.
Our URBN retail segment comp was fairly consistent each month with March being the strongest and April being the weakest.
Retail Comp- Transactions decline, ASp decline, UPT flat</t>
        </r>
      </text>
    </comment>
    <comment ref="F167" authorId="16">
      <text>
        <r>
          <rPr>
            <b/>
            <sz val="9"/>
            <color indexed="81"/>
            <rFont val="Tahoma"/>
            <family val="2"/>
          </rPr>
          <t>Baglione, Gregory  (Research):</t>
        </r>
        <r>
          <rPr>
            <sz val="9"/>
            <color indexed="81"/>
            <rFont val="Tahoma"/>
            <family val="2"/>
          </rPr>
          <t xml:space="preserve">
5/18/16
We model comps to recover to 1Q trends in 2Q and accelerate thereafter in 3Q/4Q </t>
        </r>
      </text>
    </comment>
    <comment ref="F168" authorId="16">
      <text>
        <r>
          <rPr>
            <b/>
            <sz val="9"/>
            <color indexed="81"/>
            <rFont val="Tahoma"/>
            <family val="2"/>
          </rPr>
          <t>Baglione, Gregory  (Research):</t>
        </r>
        <r>
          <rPr>
            <sz val="9"/>
            <color indexed="81"/>
            <rFont val="Tahoma"/>
            <family val="2"/>
          </rPr>
          <t xml:space="preserve">
9/8/16
Thus far during the third quarter of fiscal 2017, comparable Retail segment net sales are flat.
5/18/16
We model comps to recover to 1Q trends in 2Q and accelerate thereafter in 3Q/4Q </t>
        </r>
      </text>
    </comment>
    <comment ref="F169" authorId="16">
      <text>
        <r>
          <rPr>
            <b/>
            <sz val="9"/>
            <color indexed="81"/>
            <rFont val="Tahoma"/>
            <family val="2"/>
          </rPr>
          <t>Baglione, Gregory  (Research):</t>
        </r>
        <r>
          <rPr>
            <sz val="9"/>
            <color indexed="81"/>
            <rFont val="Tahoma"/>
            <family val="2"/>
          </rPr>
          <t xml:space="preserve">
12/12/16
Thus far during the fourth quarter of fiscal 2017, comparable Retail segment net
sales are low single-digit positive.
Callback with management-- Our +1% comp estimate is a sound estimate. Saw a storng Weds-Cyber Monday. Since then have seen a lull. Limited visibility into next few weeks. </t>
        </r>
      </text>
    </comment>
    <comment ref="K169" authorId="16">
      <text>
        <r>
          <rPr>
            <b/>
            <sz val="9"/>
            <color indexed="81"/>
            <rFont val="Tahoma"/>
            <family val="2"/>
          </rPr>
          <t>Baglione, Gregory  (Research):</t>
        </r>
        <r>
          <rPr>
            <sz val="9"/>
            <color indexed="81"/>
            <rFont val="Tahoma"/>
            <family val="2"/>
          </rPr>
          <t xml:space="preserve">
8/16/16
For the third quarter, we are planning six new Anthropologie stores, including one new Anthropologie store in Europe, two new urban outfitter stores and throw new Free People stores. For the year, we are planning on opening three net new urban outfitter stores including one in Europe, seven net new Anthropologie stores including two in Europe, and 13 net new Free People stores. </t>
        </r>
      </text>
    </comment>
    <comment ref="AE232" authorId="4">
      <text>
        <r>
          <rPr>
            <b/>
            <sz val="8"/>
            <color indexed="81"/>
            <rFont val="Tahoma"/>
            <family val="2"/>
          </rPr>
          <t>dliu:</t>
        </r>
        <r>
          <rPr>
            <sz val="8"/>
            <color indexed="81"/>
            <rFont val="Tahoma"/>
            <family val="2"/>
          </rPr>
          <t xml:space="preserve">
1 store expanded also</t>
        </r>
      </text>
    </comment>
    <comment ref="G248" authorId="1">
      <text>
        <r>
          <rPr>
            <b/>
            <sz val="8"/>
            <color indexed="81"/>
            <rFont val="Tahoma"/>
            <family val="2"/>
          </rPr>
          <t>Lehman Brothers:</t>
        </r>
        <r>
          <rPr>
            <sz val="8"/>
            <color indexed="81"/>
            <rFont val="Tahoma"/>
            <family val="2"/>
          </rPr>
          <t xml:space="preserve">
had 2</t>
        </r>
      </text>
    </comment>
    <comment ref="T248" authorId="1">
      <text>
        <r>
          <rPr>
            <b/>
            <sz val="8"/>
            <color indexed="81"/>
            <rFont val="Tahoma"/>
            <family val="2"/>
          </rPr>
          <t>Lehman Brothers:</t>
        </r>
        <r>
          <rPr>
            <sz val="8"/>
            <color indexed="81"/>
            <rFont val="Tahoma"/>
            <family val="2"/>
          </rPr>
          <t xml:space="preserve">
had 80</t>
        </r>
      </text>
    </comment>
    <comment ref="G249" authorId="1">
      <text>
        <r>
          <rPr>
            <b/>
            <sz val="8"/>
            <color indexed="81"/>
            <rFont val="Tahoma"/>
            <family val="2"/>
          </rPr>
          <t>Lehman Brothers:</t>
        </r>
        <r>
          <rPr>
            <sz val="8"/>
            <color indexed="81"/>
            <rFont val="Tahoma"/>
            <family val="2"/>
          </rPr>
          <t xml:space="preserve">
7.2</t>
        </r>
      </text>
    </comment>
    <comment ref="G252" authorId="4">
      <text>
        <r>
          <rPr>
            <b/>
            <sz val="8"/>
            <color indexed="81"/>
            <rFont val="Tahoma"/>
            <family val="2"/>
          </rPr>
          <t>dliu:</t>
        </r>
        <r>
          <rPr>
            <sz val="8"/>
            <color indexed="81"/>
            <rFont val="Tahoma"/>
            <family val="2"/>
          </rPr>
          <t xml:space="preserve">
had +5</t>
        </r>
      </text>
    </comment>
    <comment ref="T252" authorId="4">
      <text>
        <r>
          <rPr>
            <b/>
            <sz val="8"/>
            <color indexed="81"/>
            <rFont val="Tahoma"/>
            <family val="2"/>
          </rPr>
          <t>dliu:</t>
        </r>
        <r>
          <rPr>
            <sz val="8"/>
            <color indexed="81"/>
            <rFont val="Tahoma"/>
            <family val="2"/>
          </rPr>
          <t xml:space="preserve">
had 100</t>
        </r>
      </text>
    </comment>
    <comment ref="X252" authorId="4">
      <text>
        <r>
          <rPr>
            <b/>
            <sz val="8"/>
            <color indexed="81"/>
            <rFont val="Tahoma"/>
            <family val="2"/>
          </rPr>
          <t>dliu:</t>
        </r>
        <r>
          <rPr>
            <sz val="8"/>
            <color indexed="81"/>
            <rFont val="Tahoma"/>
            <family val="2"/>
          </rPr>
          <t xml:space="preserve">
52.3</t>
        </r>
      </text>
    </comment>
    <comment ref="G253" authorId="4">
      <text>
        <r>
          <rPr>
            <b/>
            <sz val="8"/>
            <color indexed="81"/>
            <rFont val="Tahoma"/>
            <family val="2"/>
          </rPr>
          <t>dliu:</t>
        </r>
        <r>
          <rPr>
            <sz val="8"/>
            <color indexed="81"/>
            <rFont val="Tahoma"/>
            <family val="2"/>
          </rPr>
          <t xml:space="preserve">
had 3</t>
        </r>
      </text>
    </comment>
    <comment ref="K254" authorId="3">
      <text>
        <r>
          <rPr>
            <b/>
            <sz val="10"/>
            <color indexed="81"/>
            <rFont val="Tahoma"/>
            <family val="2"/>
          </rPr>
          <t>kgreenbe:</t>
        </r>
        <r>
          <rPr>
            <sz val="10"/>
            <color indexed="81"/>
            <rFont val="Tahoma"/>
            <family val="2"/>
          </rPr>
          <t xml:space="preserve">
s/b 3 openings in 3Q (none in 2Q03)
Burbank, Las Vegas, and Cherry Creek</t>
        </r>
      </text>
    </comment>
    <comment ref="AE254" authorId="4">
      <text>
        <r>
          <rPr>
            <b/>
            <sz val="8"/>
            <color indexed="81"/>
            <rFont val="Tahoma"/>
            <family val="2"/>
          </rPr>
          <t>dliu:</t>
        </r>
        <r>
          <rPr>
            <sz val="8"/>
            <color indexed="81"/>
            <rFont val="Tahoma"/>
            <family val="2"/>
          </rPr>
          <t xml:space="preserve">
.742</t>
        </r>
      </text>
    </comment>
    <comment ref="G255" authorId="4">
      <text>
        <r>
          <rPr>
            <b/>
            <sz val="8"/>
            <color indexed="81"/>
            <rFont val="Tahoma"/>
            <family val="2"/>
          </rPr>
          <t>dliu:</t>
        </r>
        <r>
          <rPr>
            <sz val="8"/>
            <color indexed="81"/>
            <rFont val="Tahoma"/>
            <family val="2"/>
          </rPr>
          <t xml:space="preserve">
had 12</t>
        </r>
      </text>
    </comment>
    <comment ref="K255" authorId="3">
      <text>
        <r>
          <rPr>
            <b/>
            <sz val="10"/>
            <color indexed="81"/>
            <rFont val="Tahoma"/>
            <family val="2"/>
          </rPr>
          <t>kgreenbe:</t>
        </r>
        <r>
          <rPr>
            <sz val="10"/>
            <color indexed="81"/>
            <rFont val="Tahoma"/>
            <family val="2"/>
          </rPr>
          <t xml:space="preserve">
likely 4 openings in 4Q03 w/ possibility of a 5th store in London if they get going on construction (lease signed)</t>
        </r>
      </text>
    </comment>
    <comment ref="T255" authorId="4">
      <text>
        <r>
          <rPr>
            <b/>
            <sz val="8"/>
            <color indexed="81"/>
            <rFont val="Tahoma"/>
            <family val="2"/>
          </rPr>
          <t>dliu:</t>
        </r>
        <r>
          <rPr>
            <sz val="8"/>
            <color indexed="81"/>
            <rFont val="Tahoma"/>
            <family val="2"/>
          </rPr>
          <t xml:space="preserve">
92</t>
        </r>
      </text>
    </comment>
    <comment ref="G259" authorId="4">
      <text>
        <r>
          <rPr>
            <b/>
            <sz val="8"/>
            <color indexed="81"/>
            <rFont val="Tahoma"/>
            <family val="2"/>
          </rPr>
          <t>dliu:</t>
        </r>
        <r>
          <rPr>
            <sz val="8"/>
            <color indexed="81"/>
            <rFont val="Tahoma"/>
            <family val="2"/>
          </rPr>
          <t xml:space="preserve">
22</t>
        </r>
      </text>
    </comment>
    <comment ref="K259" authorId="4">
      <text>
        <r>
          <rPr>
            <b/>
            <sz val="8"/>
            <color indexed="81"/>
            <rFont val="Tahoma"/>
            <family val="2"/>
          </rPr>
          <t>dliu:</t>
        </r>
        <r>
          <rPr>
            <sz val="8"/>
            <color indexed="81"/>
            <rFont val="Tahoma"/>
            <family val="2"/>
          </rPr>
          <t xml:space="preserve">
62</t>
        </r>
      </text>
    </comment>
    <comment ref="T259" authorId="4">
      <text>
        <r>
          <rPr>
            <b/>
            <sz val="8"/>
            <color indexed="81"/>
            <rFont val="Tahoma"/>
            <family val="2"/>
          </rPr>
          <t>dliu:</t>
        </r>
        <r>
          <rPr>
            <sz val="8"/>
            <color indexed="81"/>
            <rFont val="Tahoma"/>
            <family val="2"/>
          </rPr>
          <t xml:space="preserve">
120</t>
        </r>
      </text>
    </comment>
    <comment ref="G261" authorId="6">
      <text>
        <r>
          <rPr>
            <b/>
            <sz val="8"/>
            <color indexed="81"/>
            <rFont val="Tahoma"/>
            <family val="2"/>
          </rPr>
          <t>Corinna Freedman:</t>
        </r>
        <r>
          <rPr>
            <sz val="8"/>
            <color indexed="81"/>
            <rFont val="Tahoma"/>
            <family val="2"/>
          </rPr>
          <t xml:space="preserve">
15 prev est</t>
        </r>
      </text>
    </comment>
    <comment ref="K261" authorId="6">
      <text>
        <r>
          <rPr>
            <b/>
            <sz val="8"/>
            <color indexed="81"/>
            <rFont val="Tahoma"/>
            <family val="2"/>
          </rPr>
          <t>Corinna Freedman:</t>
        </r>
        <r>
          <rPr>
            <sz val="8"/>
            <color indexed="81"/>
            <rFont val="Tahoma"/>
            <family val="2"/>
          </rPr>
          <t xml:space="preserve">
73 prev est</t>
        </r>
      </text>
    </comment>
    <comment ref="AE261" authorId="5">
      <text>
        <r>
          <rPr>
            <b/>
            <sz val="8"/>
            <color indexed="81"/>
            <rFont val="Tahoma"/>
            <family val="2"/>
          </rPr>
          <t>Kimberly Greenberger:</t>
        </r>
        <r>
          <rPr>
            <sz val="8"/>
            <color indexed="81"/>
            <rFont val="Tahoma"/>
            <family val="2"/>
          </rPr>
          <t xml:space="preserve">
selling sq ft 688,807
gross sq ft 957,632</t>
        </r>
      </text>
    </comment>
    <comment ref="AE262" authorId="6">
      <text>
        <r>
          <rPr>
            <b/>
            <sz val="8"/>
            <color indexed="81"/>
            <rFont val="Tahoma"/>
            <family val="2"/>
          </rPr>
          <t>Corinna Freedman:</t>
        </r>
        <r>
          <rPr>
            <sz val="8"/>
            <color indexed="81"/>
            <rFont val="Tahoma"/>
            <family val="2"/>
          </rPr>
          <t xml:space="preserve">
per Kyees 2/3</t>
        </r>
      </text>
    </comment>
    <comment ref="K273" authorId="18">
      <text>
        <r>
          <rPr>
            <b/>
            <sz val="8"/>
            <color indexed="81"/>
            <rFont val="Tahoma"/>
            <family val="2"/>
          </rPr>
          <t>kg51925:</t>
        </r>
        <r>
          <rPr>
            <sz val="8"/>
            <color indexed="81"/>
            <rFont val="Tahoma"/>
            <family val="2"/>
          </rPr>
          <t xml:space="preserve">
3/9/06 store opening guidance by quarter:
1Q06: 5 UO + 2 A
2Q06 4 UO + 4 A + 1 FP
3Q06 5 UO + 5 A + 5 FP
4Q06 3 UO + 5 A + 1 FP
total = 40, but will open only 35-38, so expect some openings to push into 1Q07</t>
        </r>
      </text>
    </comment>
    <comment ref="AE273" authorId="7">
      <text>
        <r>
          <rPr>
            <b/>
            <sz val="8"/>
            <color indexed="81"/>
            <rFont val="Tahoma"/>
            <family val="2"/>
          </rPr>
          <t>MB33100:</t>
        </r>
        <r>
          <rPr>
            <sz val="8"/>
            <color indexed="81"/>
            <rFont val="Tahoma"/>
            <family val="2"/>
          </rPr>
          <t xml:space="preserve">
1.261164 gross actual</t>
        </r>
      </text>
    </comment>
    <comment ref="BJ273" authorId="19">
      <text>
        <r>
          <rPr>
            <b/>
            <sz val="9"/>
            <color indexed="81"/>
            <rFont val="Tahoma"/>
            <family val="2"/>
          </rPr>
          <t>Turley, Amber (Research):</t>
        </r>
        <r>
          <rPr>
            <sz val="9"/>
            <color indexed="81"/>
            <rFont val="Tahoma"/>
            <family val="2"/>
          </rPr>
          <t xml:space="preserve">
Urban Retail’s North American and European store sales accounted for approximately 39% and 4% of consolidated net sales, respectively, for the three months ended April 30, 2006, compared to 41% and 4%, respectively, for the comparable period in fiscal 2005. 
</t>
        </r>
      </text>
    </comment>
    <comment ref="BK273" authorId="19">
      <text>
        <r>
          <rPr>
            <b/>
            <sz val="9"/>
            <color indexed="81"/>
            <rFont val="Tahoma"/>
            <family val="2"/>
          </rPr>
          <t>Turley, Amber (Research):</t>
        </r>
        <r>
          <rPr>
            <sz val="9"/>
            <color indexed="81"/>
            <rFont val="Tahoma"/>
            <family val="2"/>
          </rPr>
          <t xml:space="preserve">
Urban Retail’s North American and European store sales accounted for approximately 39% and 4% of consolidated net sales, respectively, for the three months ended April 30, 2006, compared to 41% and 4%, respectively, for the comparable period in fiscal 2005. 
</t>
        </r>
      </text>
    </comment>
    <comment ref="BO273" authorId="19">
      <text>
        <r>
          <rPr>
            <b/>
            <sz val="9"/>
            <color indexed="81"/>
            <rFont val="Tahoma"/>
            <family val="2"/>
          </rPr>
          <t>Turley, Amber (Research):</t>
        </r>
        <r>
          <rPr>
            <sz val="9"/>
            <color indexed="81"/>
            <rFont val="Tahoma"/>
            <family val="2"/>
          </rPr>
          <t xml:space="preserve">
Urban Retail’s North American and European store sales accounted for approximately 39% and 4% of consolidated net sales, respectively, for the three months ended April 30, 2006, compared to 41% and 4%, respectively, for the comparable period in fiscal 2005. 
</t>
        </r>
      </text>
    </comment>
    <comment ref="BP273" authorId="19">
      <text>
        <r>
          <rPr>
            <b/>
            <sz val="9"/>
            <color indexed="81"/>
            <rFont val="Tahoma"/>
            <family val="2"/>
          </rPr>
          <t>Turley, Amber (Research):</t>
        </r>
        <r>
          <rPr>
            <sz val="9"/>
            <color indexed="81"/>
            <rFont val="Tahoma"/>
            <family val="2"/>
          </rPr>
          <t xml:space="preserve">
Urban Retail’s North American and European store sales accounted for approximately 39% and 4% of consolidated net sales, respectively, for the three months ended April 30, 2006, compared to 41% and 4%, respectively, for the comparable period in fiscal 2005. 
</t>
        </r>
      </text>
    </comment>
    <comment ref="G274" authorId="7">
      <text>
        <r>
          <rPr>
            <b/>
            <sz val="8"/>
            <color indexed="81"/>
            <rFont val="Tahoma"/>
            <family val="2"/>
          </rPr>
          <t>MB33100:</t>
        </r>
        <r>
          <rPr>
            <sz val="8"/>
            <color indexed="81"/>
            <rFont val="Tahoma"/>
            <family val="2"/>
          </rPr>
          <t xml:space="preserve">
-6</t>
        </r>
      </text>
    </comment>
    <comment ref="K274" authorId="18">
      <text>
        <r>
          <rPr>
            <b/>
            <sz val="8"/>
            <color indexed="81"/>
            <rFont val="Tahoma"/>
            <family val="2"/>
          </rPr>
          <t>kg51925:</t>
        </r>
        <r>
          <rPr>
            <sz val="8"/>
            <color indexed="81"/>
            <rFont val="Tahoma"/>
            <family val="2"/>
          </rPr>
          <t xml:space="preserve">
3/9/06 store opening guidance by quarter:
1Q06: 5 UO + 2 A
2Q06 4 UO + 4 A + 1 FP
3Q06 5 UO + 5 A + 5 FP
4Q06 3 UO + 5 A + 1 FP
total = 40, but will open only 35-38, so expect some openings to push into 1Q07</t>
        </r>
      </text>
    </comment>
    <comment ref="BJ274" authorId="19">
      <text>
        <r>
          <rPr>
            <b/>
            <sz val="9"/>
            <color indexed="81"/>
            <rFont val="Tahoma"/>
            <family val="2"/>
          </rPr>
          <t>Turley, Amber (Research):</t>
        </r>
        <r>
          <rPr>
            <sz val="9"/>
            <color indexed="81"/>
            <rFont val="Tahoma"/>
            <family val="2"/>
          </rPr>
          <t xml:space="preserve">
Urban Outfitters North American and European store sales accounted for approximately 39% and 5% of consolidated net sales, respectively, for the six months ended July 31, 2006, compared to 43% and 4%, respectively, for the comparable period in fiscal 2006</t>
        </r>
      </text>
    </comment>
    <comment ref="BK274" authorId="19">
      <text>
        <r>
          <rPr>
            <b/>
            <sz val="9"/>
            <color indexed="81"/>
            <rFont val="Tahoma"/>
            <family val="2"/>
          </rPr>
          <t>Turley, Amber (Research):</t>
        </r>
        <r>
          <rPr>
            <sz val="9"/>
            <color indexed="81"/>
            <rFont val="Tahoma"/>
            <family val="2"/>
          </rPr>
          <t xml:space="preserve">
Urban Outfitters North American and European store sales accounted for approximately 39% and 5% of consolidated net sales, respectively, for the six months ended July 31, 2006, compared to 43% and 4%, respectively, for the comparable period in fiscal 2006</t>
        </r>
      </text>
    </comment>
    <comment ref="BO274" authorId="19">
      <text>
        <r>
          <rPr>
            <b/>
            <sz val="9"/>
            <color indexed="81"/>
            <rFont val="Tahoma"/>
            <family val="2"/>
          </rPr>
          <t>Turley, Amber (Research):</t>
        </r>
        <r>
          <rPr>
            <sz val="9"/>
            <color indexed="81"/>
            <rFont val="Tahoma"/>
            <family val="2"/>
          </rPr>
          <t xml:space="preserve">
Urban Outfitters North American and European store sales accounted for approximately 39% and 5% of consolidated net sales, respectively, for the six months ended July 31, 2006, compared to 43% and 4%, respectively, for the comparable period in fiscal 2006</t>
        </r>
      </text>
    </comment>
    <comment ref="BP274" authorId="19">
      <text>
        <r>
          <rPr>
            <b/>
            <sz val="9"/>
            <color indexed="81"/>
            <rFont val="Tahoma"/>
            <family val="2"/>
          </rPr>
          <t>Turley, Amber (Research):</t>
        </r>
        <r>
          <rPr>
            <sz val="9"/>
            <color indexed="81"/>
            <rFont val="Tahoma"/>
            <family val="2"/>
          </rPr>
          <t xml:space="preserve">
Urban Outfitters North American and European store sales accounted for approximately 39% and 5% of consolidated net sales, respectively, for the six months ended July 31, 2006, compared to 43% and 4%, respectively, for the comparable period in fiscal 2006</t>
        </r>
      </text>
    </comment>
    <comment ref="G275" authorId="7">
      <text>
        <r>
          <rPr>
            <b/>
            <sz val="8"/>
            <color indexed="81"/>
            <rFont val="Tahoma"/>
            <family val="2"/>
          </rPr>
          <t>MB33100:</t>
        </r>
        <r>
          <rPr>
            <sz val="8"/>
            <color indexed="81"/>
            <rFont val="Tahoma"/>
            <family val="2"/>
          </rPr>
          <t xml:space="preserve">
-10</t>
        </r>
      </text>
    </comment>
    <comment ref="K275" authorId="18">
      <text>
        <r>
          <rPr>
            <b/>
            <sz val="8"/>
            <color indexed="81"/>
            <rFont val="Tahoma"/>
            <family val="2"/>
          </rPr>
          <t>kg51925:</t>
        </r>
        <r>
          <rPr>
            <sz val="8"/>
            <color indexed="81"/>
            <rFont val="Tahoma"/>
            <family val="2"/>
          </rPr>
          <t xml:space="preserve">
3/9/06 store opening guidance by quarter:
1Q06: 5 UO + 2 A
2Q06 4 UO + 4 A + 1 FP
3Q06 5 UO + 5 A + 5 FP
4Q06 3 UO + 5 A + 1 FP
total = 40, but will open only 35-38, so expect some openings to push into 1Q07</t>
        </r>
      </text>
    </comment>
    <comment ref="BJ275" authorId="19">
      <text>
        <r>
          <rPr>
            <b/>
            <sz val="9"/>
            <color indexed="81"/>
            <rFont val="Tahoma"/>
            <family val="2"/>
          </rPr>
          <t>Turley, Amber (Research):</t>
        </r>
        <r>
          <rPr>
            <sz val="9"/>
            <color indexed="81"/>
            <rFont val="Tahoma"/>
            <family val="2"/>
          </rPr>
          <t xml:space="preserve">
 Urban Outfitters North American and European store sales accounted for approximately 40% and 5% of consolidated net sales, respectively, for the nine months ended October 31, 2006, compared to 43% and 4%, respectively, for the comparable period in fiscal 2006.</t>
        </r>
      </text>
    </comment>
    <comment ref="BK275" authorId="19">
      <text>
        <r>
          <rPr>
            <b/>
            <sz val="9"/>
            <color indexed="81"/>
            <rFont val="Tahoma"/>
            <family val="2"/>
          </rPr>
          <t>Turley, Amber (Research):</t>
        </r>
        <r>
          <rPr>
            <sz val="9"/>
            <color indexed="81"/>
            <rFont val="Tahoma"/>
            <family val="2"/>
          </rPr>
          <t xml:space="preserve">
 Urban Outfitters North American and European store sales accounted for approximately 40% and 5% of consolidated net sales, respectively, for the nine months ended October 31, 2006, compared to 43% and 4%, respectively, for the comparable period in fiscal 2006.</t>
        </r>
      </text>
    </comment>
    <comment ref="BO275" authorId="19">
      <text>
        <r>
          <rPr>
            <b/>
            <sz val="9"/>
            <color indexed="81"/>
            <rFont val="Tahoma"/>
            <family val="2"/>
          </rPr>
          <t>Turley, Amber (Research):</t>
        </r>
        <r>
          <rPr>
            <sz val="9"/>
            <color indexed="81"/>
            <rFont val="Tahoma"/>
            <family val="2"/>
          </rPr>
          <t xml:space="preserve">
 Urban Outfitters North American and European store sales accounted for approximately 40% and 5% of consolidated net sales, respectively, for the nine months ended October 31, 2006, compared to 43% and 4%, respectively, for the comparable period in fiscal 2006.</t>
        </r>
      </text>
    </comment>
    <comment ref="BP275" authorId="19">
      <text>
        <r>
          <rPr>
            <b/>
            <sz val="9"/>
            <color indexed="81"/>
            <rFont val="Tahoma"/>
            <family val="2"/>
          </rPr>
          <t>Turley, Amber (Research):</t>
        </r>
        <r>
          <rPr>
            <sz val="9"/>
            <color indexed="81"/>
            <rFont val="Tahoma"/>
            <family val="2"/>
          </rPr>
          <t xml:space="preserve">
 Urban Outfitters North American and European store sales accounted for approximately 40% and 5% of consolidated net sales, respectively, for the nine months ended October 31, 2006, compared to 43% and 4%, respectively, for the comparable period in fiscal 2006.</t>
        </r>
      </text>
    </comment>
    <comment ref="G276" authorId="7">
      <text>
        <r>
          <rPr>
            <b/>
            <sz val="8"/>
            <color indexed="81"/>
            <rFont val="Tahoma"/>
            <family val="2"/>
          </rPr>
          <t>MB33100:</t>
        </r>
        <r>
          <rPr>
            <sz val="8"/>
            <color indexed="81"/>
            <rFont val="Tahoma"/>
            <family val="2"/>
          </rPr>
          <t xml:space="preserve">
-3</t>
        </r>
      </text>
    </comment>
    <comment ref="K276" authorId="18">
      <text>
        <r>
          <rPr>
            <b/>
            <sz val="8"/>
            <color indexed="81"/>
            <rFont val="Tahoma"/>
            <family val="2"/>
          </rPr>
          <t>kg51925:</t>
        </r>
        <r>
          <rPr>
            <sz val="8"/>
            <color indexed="81"/>
            <rFont val="Tahoma"/>
            <family val="2"/>
          </rPr>
          <t xml:space="preserve">
3/9/06 store opening guidance by quarter:
1Q06: 5 UO + 2 A
2Q06 4 UO + 4 A + 1 FP
3Q06 5 UO + 5 A + 5 FP
4Q06 3 UO + 5 A + 1 FP
total = 40, but will open only 35-38, so expect some openings to push into 1Q07</t>
        </r>
      </text>
    </comment>
    <comment ref="X276" authorId="18">
      <text>
        <r>
          <rPr>
            <b/>
            <sz val="8"/>
            <color indexed="81"/>
            <rFont val="Tahoma"/>
            <family val="2"/>
          </rPr>
          <t>kg51925:</t>
        </r>
        <r>
          <rPr>
            <sz val="8"/>
            <color indexed="81"/>
            <rFont val="Tahoma"/>
            <family val="2"/>
          </rPr>
          <t xml:space="preserve">
est $173mm excluding 53rd week. Est $18mm total company  incremental retail sales in week 5 of Jan 07 @55% for UO div = $183mm</t>
        </r>
      </text>
    </comment>
    <comment ref="BJ276" authorId="19">
      <text>
        <r>
          <rPr>
            <b/>
            <sz val="9"/>
            <color indexed="81"/>
            <rFont val="Tahoma"/>
            <family val="2"/>
          </rPr>
          <t>Turley, Amber (Research):</t>
        </r>
        <r>
          <rPr>
            <sz val="9"/>
            <color indexed="81"/>
            <rFont val="Tahoma"/>
            <family val="2"/>
          </rPr>
          <t xml:space="preserve">
Urban Outfitters’ North American and European store sales accounted for approximately 38.9% and 5.8% of consolidated net sales, respectively, for fiscal 2007. 
</t>
        </r>
      </text>
    </comment>
    <comment ref="BK276" authorId="19">
      <text>
        <r>
          <rPr>
            <b/>
            <sz val="9"/>
            <color indexed="81"/>
            <rFont val="Tahoma"/>
            <family val="2"/>
          </rPr>
          <t>Turley, Amber (Research):</t>
        </r>
        <r>
          <rPr>
            <sz val="9"/>
            <color indexed="81"/>
            <rFont val="Tahoma"/>
            <family val="2"/>
          </rPr>
          <t xml:space="preserve">
Urban Outfitters’ North American and European store sales accounted for approximately 38.9% and 5.8% of consolidated net sales, respectively, for fiscal 2007. 
</t>
        </r>
      </text>
    </comment>
    <comment ref="BO276" authorId="19">
      <text>
        <r>
          <rPr>
            <b/>
            <sz val="9"/>
            <color indexed="81"/>
            <rFont val="Tahoma"/>
            <family val="2"/>
          </rPr>
          <t>Turley, Amber (Research):</t>
        </r>
        <r>
          <rPr>
            <sz val="9"/>
            <color indexed="81"/>
            <rFont val="Tahoma"/>
            <family val="2"/>
          </rPr>
          <t xml:space="preserve">
Urban Outfitters’ North American and European store sales accounted for approximately 38.9% and 5.8% of consolidated net sales, respectively, for fiscal 2007. 
</t>
        </r>
      </text>
    </comment>
    <comment ref="BP276" authorId="19">
      <text>
        <r>
          <rPr>
            <b/>
            <sz val="9"/>
            <color indexed="81"/>
            <rFont val="Tahoma"/>
            <family val="2"/>
          </rPr>
          <t>Turley, Amber (Research):</t>
        </r>
        <r>
          <rPr>
            <sz val="9"/>
            <color indexed="81"/>
            <rFont val="Tahoma"/>
            <family val="2"/>
          </rPr>
          <t xml:space="preserve">
Urban Outfitters’ North American and European store sales accounted for approximately 38.9% and 5.8% of consolidated net sales, respectively, for fiscal 2007. 
</t>
        </r>
      </text>
    </comment>
    <comment ref="BJ277" authorId="19">
      <text>
        <r>
          <rPr>
            <b/>
            <sz val="9"/>
            <color indexed="81"/>
            <rFont val="Tahoma"/>
            <family val="2"/>
          </rPr>
          <t>Turley, Amber (Research):</t>
        </r>
        <r>
          <rPr>
            <sz val="9"/>
            <color indexed="81"/>
            <rFont val="Tahoma"/>
            <family val="2"/>
          </rPr>
          <t xml:space="preserve">
Urban Outfitters’ North American and European store sales accounted for approximately 38.9% and 5.8% of consolidated net sales, respectively, for fiscal 2007. 
</t>
        </r>
      </text>
    </comment>
    <comment ref="BK277" authorId="19">
      <text>
        <r>
          <rPr>
            <b/>
            <sz val="9"/>
            <color indexed="81"/>
            <rFont val="Tahoma"/>
            <family val="2"/>
          </rPr>
          <t>Turley, Amber (Research):</t>
        </r>
        <r>
          <rPr>
            <sz val="9"/>
            <color indexed="81"/>
            <rFont val="Tahoma"/>
            <family val="2"/>
          </rPr>
          <t xml:space="preserve">
Urban Outfitters’ North American and European store sales accounted for approximately 38.9% and 5.8% of consolidated net sales, respectively, for fiscal 2007. 
</t>
        </r>
      </text>
    </comment>
    <comment ref="BO277" authorId="19">
      <text>
        <r>
          <rPr>
            <b/>
            <sz val="9"/>
            <color indexed="81"/>
            <rFont val="Tahoma"/>
            <family val="2"/>
          </rPr>
          <t>Turley, Amber (Research):</t>
        </r>
        <r>
          <rPr>
            <sz val="9"/>
            <color indexed="81"/>
            <rFont val="Tahoma"/>
            <family val="2"/>
          </rPr>
          <t xml:space="preserve">
Urban Outfitters’ North American and European store sales accounted for approximately 38.9% and 5.8% of consolidated net sales, respectively, for fiscal 2007. 
</t>
        </r>
      </text>
    </comment>
    <comment ref="BP277" authorId="19">
      <text>
        <r>
          <rPr>
            <b/>
            <sz val="9"/>
            <color indexed="81"/>
            <rFont val="Tahoma"/>
            <family val="2"/>
          </rPr>
          <t>Turley, Amber (Research):</t>
        </r>
        <r>
          <rPr>
            <sz val="9"/>
            <color indexed="81"/>
            <rFont val="Tahoma"/>
            <family val="2"/>
          </rPr>
          <t xml:space="preserve">
Urban Outfitters’ North American and European store sales accounted for approximately 38.9% and 5.8% of consolidated net sales, respectively, for fiscal 2007. 
</t>
        </r>
      </text>
    </comment>
    <comment ref="G280" authorId="8">
      <text>
        <r>
          <rPr>
            <b/>
            <sz val="8"/>
            <color indexed="81"/>
            <rFont val="Tahoma"/>
            <family val="2"/>
          </rPr>
          <t>mm98285:</t>
        </r>
        <r>
          <rPr>
            <sz val="8"/>
            <color indexed="81"/>
            <rFont val="Tahoma"/>
            <family val="2"/>
          </rPr>
          <t xml:space="preserve">
-2</t>
        </r>
      </text>
    </comment>
    <comment ref="BJ280" authorId="19">
      <text>
        <r>
          <rPr>
            <b/>
            <sz val="9"/>
            <color indexed="81"/>
            <rFont val="Tahoma"/>
            <family val="2"/>
          </rPr>
          <t>Turley, Amber (Research):</t>
        </r>
        <r>
          <rPr>
            <sz val="9"/>
            <color indexed="81"/>
            <rFont val="Tahoma"/>
            <family val="2"/>
          </rPr>
          <t xml:space="preserve">
Urban’s North American and European store sales accounted for approximately 35.5% and 5.8% of consolidated net sales, respectively, for the three months ended April 30, 2007, compared to 39.1% and 4.3%, respectively, for the comparable period in fiscal 2007.</t>
        </r>
      </text>
    </comment>
    <comment ref="BK280" authorId="19">
      <text>
        <r>
          <rPr>
            <b/>
            <sz val="9"/>
            <color indexed="81"/>
            <rFont val="Tahoma"/>
            <family val="2"/>
          </rPr>
          <t>Turley, Amber (Research):</t>
        </r>
        <r>
          <rPr>
            <sz val="9"/>
            <color indexed="81"/>
            <rFont val="Tahoma"/>
            <family val="2"/>
          </rPr>
          <t xml:space="preserve">
Urban’s North American and European store sales accounted for approximately 35.5% and 5.8% of consolidated net sales, respectively, for the three months ended April 30, 2007, compared to 39.1% and 4.3%, respectively, for the comparable period in fiscal 2007.</t>
        </r>
      </text>
    </comment>
    <comment ref="BO280" authorId="19">
      <text>
        <r>
          <rPr>
            <b/>
            <sz val="9"/>
            <color indexed="81"/>
            <rFont val="Tahoma"/>
            <family val="2"/>
          </rPr>
          <t>Turley, Amber (Research):</t>
        </r>
        <r>
          <rPr>
            <sz val="9"/>
            <color indexed="81"/>
            <rFont val="Tahoma"/>
            <family val="2"/>
          </rPr>
          <t xml:space="preserve">
Urban’s North American and European store sales accounted for approximately 35.5% and 5.8% of consolidated net sales, respectively, for the three months ended April 30, 2007, compared to 39.1% and 4.3%, respectively, for the comparable period in fiscal 2007.</t>
        </r>
      </text>
    </comment>
    <comment ref="BP280" authorId="19">
      <text>
        <r>
          <rPr>
            <b/>
            <sz val="9"/>
            <color indexed="81"/>
            <rFont val="Tahoma"/>
            <family val="2"/>
          </rPr>
          <t>Turley, Amber (Research):</t>
        </r>
        <r>
          <rPr>
            <sz val="9"/>
            <color indexed="81"/>
            <rFont val="Tahoma"/>
            <family val="2"/>
          </rPr>
          <t xml:space="preserve">
Urban’s North American and European store sales accounted for approximately 35.5% and 5.8% of consolidated net sales, respectively, for the three months ended April 30, 2007, compared to 39.1% and 4.3%, respectively, for the comparable period in fiscal 2007.</t>
        </r>
      </text>
    </comment>
    <comment ref="BJ281" authorId="19">
      <text>
        <r>
          <rPr>
            <b/>
            <sz val="9"/>
            <color indexed="81"/>
            <rFont val="Tahoma"/>
            <family val="2"/>
          </rPr>
          <t>Turley, Amber (Research):</t>
        </r>
        <r>
          <rPr>
            <sz val="9"/>
            <color indexed="81"/>
            <rFont val="Tahoma"/>
            <family val="2"/>
          </rPr>
          <t xml:space="preserve">
Urban’s North American and European store sales accounted for approximately 34.9% and 5.9% of consolidated net sales, respectively, for the six months ended July 31, 2007, compared to 38.9% and 4.7%, respectively, for the comparable period in fiscal 2007.</t>
        </r>
      </text>
    </comment>
    <comment ref="BK281" authorId="19">
      <text>
        <r>
          <rPr>
            <b/>
            <sz val="9"/>
            <color indexed="81"/>
            <rFont val="Tahoma"/>
            <family val="2"/>
          </rPr>
          <t>Turley, Amber (Research):</t>
        </r>
        <r>
          <rPr>
            <sz val="9"/>
            <color indexed="81"/>
            <rFont val="Tahoma"/>
            <family val="2"/>
          </rPr>
          <t xml:space="preserve">
Urban’s North American and European store sales accounted for approximately 34.9% and 5.9% of consolidated net sales, respectively, for the six months ended July 31, 2007, compared to 38.9% and 4.7%, respectively, for the comparable period in fiscal 2007.</t>
        </r>
      </text>
    </comment>
    <comment ref="BO281" authorId="19">
      <text>
        <r>
          <rPr>
            <b/>
            <sz val="9"/>
            <color indexed="81"/>
            <rFont val="Tahoma"/>
            <family val="2"/>
          </rPr>
          <t>Turley, Amber (Research):</t>
        </r>
        <r>
          <rPr>
            <sz val="9"/>
            <color indexed="81"/>
            <rFont val="Tahoma"/>
            <family val="2"/>
          </rPr>
          <t xml:space="preserve">
Urban’s North American and European store sales accounted for approximately 34.9% and 5.9% of consolidated net sales, respectively, for the six months ended July 31, 2007, compared to 38.9% and 4.7%, respectively, for the comparable period in fiscal 2007.</t>
        </r>
      </text>
    </comment>
    <comment ref="BP281" authorId="19">
      <text>
        <r>
          <rPr>
            <b/>
            <sz val="9"/>
            <color indexed="81"/>
            <rFont val="Tahoma"/>
            <family val="2"/>
          </rPr>
          <t>Turley, Amber (Research):</t>
        </r>
        <r>
          <rPr>
            <sz val="9"/>
            <color indexed="81"/>
            <rFont val="Tahoma"/>
            <family val="2"/>
          </rPr>
          <t xml:space="preserve">
Urban’s North American and European store sales accounted for approximately 34.9% and 5.9% of consolidated net sales, respectively, for the six months ended July 31, 2007, compared to 38.9% and 4.7%, respectively, for the comparable period in fiscal 2007.</t>
        </r>
      </text>
    </comment>
    <comment ref="G282" authorId="8">
      <text>
        <r>
          <rPr>
            <b/>
            <sz val="8"/>
            <color indexed="81"/>
            <rFont val="Tahoma"/>
            <family val="2"/>
          </rPr>
          <t>mm98285:</t>
        </r>
        <r>
          <rPr>
            <sz val="8"/>
            <color indexed="81"/>
            <rFont val="Tahoma"/>
            <family val="2"/>
          </rPr>
          <t xml:space="preserve">
1.0% est
reported "slightly positive for 3Q"</t>
        </r>
      </text>
    </comment>
    <comment ref="K282" authorId="8">
      <text>
        <r>
          <rPr>
            <b/>
            <sz val="8"/>
            <color indexed="81"/>
            <rFont val="Tahoma"/>
            <family val="2"/>
          </rPr>
          <t>mm98285:</t>
        </r>
        <r>
          <rPr>
            <sz val="8"/>
            <color indexed="81"/>
            <rFont val="Tahoma"/>
            <family val="2"/>
          </rPr>
          <t xml:space="preserve">
10/3/07: +7 stores</t>
        </r>
      </text>
    </comment>
    <comment ref="BJ282" authorId="19">
      <text>
        <r>
          <rPr>
            <b/>
            <sz val="9"/>
            <color indexed="81"/>
            <rFont val="Tahoma"/>
            <family val="2"/>
          </rPr>
          <t>Turley, Amber (Research):</t>
        </r>
        <r>
          <rPr>
            <sz val="9"/>
            <color indexed="81"/>
            <rFont val="Tahoma"/>
            <family val="2"/>
          </rPr>
          <t xml:space="preserve">
Urban’s North American and European store sales accounted for approximately 35.5% and 6.0% of consolidated net sales, respectively, for the nine months ended October 31, 2007, compared to 39.6% and 5.1%, respectively, for the comparable period in fiscal 2007</t>
        </r>
      </text>
    </comment>
    <comment ref="BK282" authorId="19">
      <text>
        <r>
          <rPr>
            <b/>
            <sz val="9"/>
            <color indexed="81"/>
            <rFont val="Tahoma"/>
            <family val="2"/>
          </rPr>
          <t>Turley, Amber (Research):</t>
        </r>
        <r>
          <rPr>
            <sz val="9"/>
            <color indexed="81"/>
            <rFont val="Tahoma"/>
            <family val="2"/>
          </rPr>
          <t xml:space="preserve">
Urban’s North American and European store sales accounted for approximately 35.5% and 6.0% of consolidated net sales, respectively, for the nine months ended October 31, 2007, compared to 39.6% and 5.1%, respectively, for the comparable period in fiscal 2007</t>
        </r>
      </text>
    </comment>
    <comment ref="BO282" authorId="19">
      <text>
        <r>
          <rPr>
            <b/>
            <sz val="9"/>
            <color indexed="81"/>
            <rFont val="Tahoma"/>
            <family val="2"/>
          </rPr>
          <t>Turley, Amber (Research):</t>
        </r>
        <r>
          <rPr>
            <sz val="9"/>
            <color indexed="81"/>
            <rFont val="Tahoma"/>
            <family val="2"/>
          </rPr>
          <t xml:space="preserve">
Urban’s North American and European store sales accounted for approximately 35.5% and 6.0% of consolidated net sales, respectively, for the nine months ended October 31, 2007, compared to 39.6% and 5.1%, respectively, for the comparable period in fiscal 2007</t>
        </r>
      </text>
    </comment>
    <comment ref="BP282" authorId="19">
      <text>
        <r>
          <rPr>
            <b/>
            <sz val="9"/>
            <color indexed="81"/>
            <rFont val="Tahoma"/>
            <family val="2"/>
          </rPr>
          <t>Turley, Amber (Research):</t>
        </r>
        <r>
          <rPr>
            <sz val="9"/>
            <color indexed="81"/>
            <rFont val="Tahoma"/>
            <family val="2"/>
          </rPr>
          <t xml:space="preserve">
Urban’s North American and European store sales accounted for approximately 35.5% and 6.0% of consolidated net sales, respectively, for the nine months ended October 31, 2007, compared to 39.6% and 5.1%, respectively, for the comparable period in fiscal 2007</t>
        </r>
      </text>
    </comment>
    <comment ref="G283" authorId="8">
      <text>
        <r>
          <rPr>
            <b/>
            <sz val="8"/>
            <color indexed="81"/>
            <rFont val="Tahoma"/>
            <family val="2"/>
          </rPr>
          <t>mm98285:</t>
        </r>
        <r>
          <rPr>
            <sz val="8"/>
            <color indexed="81"/>
            <rFont val="Tahoma"/>
            <family val="2"/>
          </rPr>
          <t xml:space="preserve">
5% est</t>
        </r>
      </text>
    </comment>
    <comment ref="K283" authorId="8">
      <text>
        <r>
          <rPr>
            <b/>
            <sz val="8"/>
            <color indexed="81"/>
            <rFont val="Tahoma"/>
            <family val="2"/>
          </rPr>
          <t>mm98285:</t>
        </r>
        <r>
          <rPr>
            <sz val="8"/>
            <color indexed="81"/>
            <rFont val="Tahoma"/>
            <family val="2"/>
          </rPr>
          <t xml:space="preserve">
10/3/07: +4 stores</t>
        </r>
      </text>
    </comment>
    <comment ref="BJ283" authorId="19">
      <text>
        <r>
          <rPr>
            <b/>
            <sz val="9"/>
            <color indexed="81"/>
            <rFont val="Tahoma"/>
            <family val="2"/>
          </rPr>
          <t>Turley, Amber (Research):</t>
        </r>
        <r>
          <rPr>
            <sz val="9"/>
            <color indexed="81"/>
            <rFont val="Tahoma"/>
            <family val="2"/>
          </rPr>
          <t xml:space="preserve">
Urban Outfitters’ North American and European store sales accounted for approximately 35.3% and 6.4% of consolidated net sales, respectively, for fiscal 2008. 
</t>
        </r>
      </text>
    </comment>
    <comment ref="BK283" authorId="19">
      <text>
        <r>
          <rPr>
            <b/>
            <sz val="9"/>
            <color indexed="81"/>
            <rFont val="Tahoma"/>
            <family val="2"/>
          </rPr>
          <t>Turley, Amber (Research):</t>
        </r>
        <r>
          <rPr>
            <sz val="9"/>
            <color indexed="81"/>
            <rFont val="Tahoma"/>
            <family val="2"/>
          </rPr>
          <t xml:space="preserve">
Urban Outfitters’ North American and European store sales accounted for approximately 35.3% and 6.4% of consolidated net sales, respectively, for fiscal 2008. 
</t>
        </r>
      </text>
    </comment>
    <comment ref="BO283" authorId="19">
      <text>
        <r>
          <rPr>
            <b/>
            <sz val="9"/>
            <color indexed="81"/>
            <rFont val="Tahoma"/>
            <family val="2"/>
          </rPr>
          <t>Turley, Amber (Research):</t>
        </r>
        <r>
          <rPr>
            <sz val="9"/>
            <color indexed="81"/>
            <rFont val="Tahoma"/>
            <family val="2"/>
          </rPr>
          <t xml:space="preserve">
Urban Outfitters’ North American and European store sales accounted for approximately 35.3% and 6.4% of consolidated net sales, respectively, for fiscal 2008. 
</t>
        </r>
      </text>
    </comment>
    <comment ref="BP283" authorId="19">
      <text>
        <r>
          <rPr>
            <b/>
            <sz val="9"/>
            <color indexed="81"/>
            <rFont val="Tahoma"/>
            <family val="2"/>
          </rPr>
          <t>Turley, Amber (Research):</t>
        </r>
        <r>
          <rPr>
            <sz val="9"/>
            <color indexed="81"/>
            <rFont val="Tahoma"/>
            <family val="2"/>
          </rPr>
          <t xml:space="preserve">
Urban Outfitters’ North American and European store sales accounted for approximately 35.3% and 6.4% of consolidated net sales, respectively, for fiscal 2008. 
</t>
        </r>
      </text>
    </comment>
    <comment ref="BJ284" authorId="19">
      <text>
        <r>
          <rPr>
            <b/>
            <sz val="9"/>
            <color indexed="81"/>
            <rFont val="Tahoma"/>
            <family val="2"/>
          </rPr>
          <t>Turley, Amber (Research):</t>
        </r>
        <r>
          <rPr>
            <sz val="9"/>
            <color indexed="81"/>
            <rFont val="Tahoma"/>
            <family val="2"/>
          </rPr>
          <t xml:space="preserve">
Urban Outfitters’ North American and European store sales accounted for approximately 35.3% and 6.4% of consolidated net sales, respectively, for fiscal 2008. 
</t>
        </r>
      </text>
    </comment>
    <comment ref="BK284" authorId="19">
      <text>
        <r>
          <rPr>
            <b/>
            <sz val="9"/>
            <color indexed="81"/>
            <rFont val="Tahoma"/>
            <family val="2"/>
          </rPr>
          <t>Turley, Amber (Research):</t>
        </r>
        <r>
          <rPr>
            <sz val="9"/>
            <color indexed="81"/>
            <rFont val="Tahoma"/>
            <family val="2"/>
          </rPr>
          <t xml:space="preserve">
Urban Outfitters’ North American and European store sales accounted for approximately 35.3% and 6.4% of consolidated net sales, respectively, for fiscal 2008. 
</t>
        </r>
      </text>
    </comment>
    <comment ref="BO284" authorId="19">
      <text>
        <r>
          <rPr>
            <b/>
            <sz val="9"/>
            <color indexed="81"/>
            <rFont val="Tahoma"/>
            <family val="2"/>
          </rPr>
          <t>Turley, Amber (Research):</t>
        </r>
        <r>
          <rPr>
            <sz val="9"/>
            <color indexed="81"/>
            <rFont val="Tahoma"/>
            <family val="2"/>
          </rPr>
          <t xml:space="preserve">
Urban Outfitters’ North American and European store sales accounted for approximately 35.3% and 6.4% of consolidated net sales, respectively, for fiscal 2008. 
</t>
        </r>
      </text>
    </comment>
    <comment ref="BP284" authorId="19">
      <text>
        <r>
          <rPr>
            <b/>
            <sz val="9"/>
            <color indexed="81"/>
            <rFont val="Tahoma"/>
            <family val="2"/>
          </rPr>
          <t>Turley, Amber (Research):</t>
        </r>
        <r>
          <rPr>
            <sz val="9"/>
            <color indexed="81"/>
            <rFont val="Tahoma"/>
            <family val="2"/>
          </rPr>
          <t xml:space="preserve">
Urban Outfitters’ North American and European store sales accounted for approximately 35.3% and 6.4% of consolidated net sales, respectively, for fiscal 2008. 
</t>
        </r>
      </text>
    </comment>
    <comment ref="G287" authorId="8">
      <text>
        <r>
          <rPr>
            <b/>
            <sz val="8"/>
            <color indexed="81"/>
            <rFont val="Tahoma"/>
            <family val="2"/>
          </rPr>
          <t>mm98285:</t>
        </r>
        <r>
          <rPr>
            <sz val="8"/>
            <color indexed="81"/>
            <rFont val="Tahoma"/>
            <family val="2"/>
          </rPr>
          <t xml:space="preserve">
5% est</t>
        </r>
      </text>
    </comment>
    <comment ref="K287" authorId="8">
      <text>
        <r>
          <rPr>
            <b/>
            <sz val="8"/>
            <color indexed="81"/>
            <rFont val="Tahoma"/>
            <family val="2"/>
          </rPr>
          <t>mm98285:</t>
        </r>
        <r>
          <rPr>
            <sz val="8"/>
            <color indexed="81"/>
            <rFont val="Tahoma"/>
            <family val="2"/>
          </rPr>
          <t xml:space="preserve">
110 US, 5 Canada, 14 Europe = 129 total
10/3/07: +6 stores</t>
        </r>
      </text>
    </comment>
    <comment ref="BJ287" authorId="19">
      <text>
        <r>
          <rPr>
            <b/>
            <sz val="9"/>
            <color indexed="81"/>
            <rFont val="Tahoma"/>
            <family val="2"/>
          </rPr>
          <t>Turley, Amber (Research):</t>
        </r>
        <r>
          <rPr>
            <sz val="9"/>
            <color indexed="81"/>
            <rFont val="Tahoma"/>
            <family val="2"/>
          </rPr>
          <t xml:space="preserve">
Urban’s North American and European store sales accounted for approximately 34.5% and 6.1% of consolidated net sales, respectively, for the three months ended April 30, 2008, compared to 35.5% and 5.8%, respectively, for the comparable period in fiscal 2008. </t>
        </r>
      </text>
    </comment>
    <comment ref="BK287" authorId="19">
      <text>
        <r>
          <rPr>
            <b/>
            <sz val="9"/>
            <color indexed="81"/>
            <rFont val="Tahoma"/>
            <family val="2"/>
          </rPr>
          <t>Turley, Amber (Research):</t>
        </r>
        <r>
          <rPr>
            <sz val="9"/>
            <color indexed="81"/>
            <rFont val="Tahoma"/>
            <family val="2"/>
          </rPr>
          <t xml:space="preserve">
Urban’s North American and European store sales accounted for approximately 34.5% and 6.1% of consolidated net sales, respectively, for the three months ended April 30, 2008, compared to 35.5% and 5.8%, respectively, for the comparable period in fiscal 2008. </t>
        </r>
      </text>
    </comment>
    <comment ref="BO287" authorId="19">
      <text>
        <r>
          <rPr>
            <b/>
            <sz val="9"/>
            <color indexed="81"/>
            <rFont val="Tahoma"/>
            <family val="2"/>
          </rPr>
          <t>Turley, Amber (Research):</t>
        </r>
        <r>
          <rPr>
            <sz val="9"/>
            <color indexed="81"/>
            <rFont val="Tahoma"/>
            <family val="2"/>
          </rPr>
          <t xml:space="preserve">
Urban’s North American and European store sales accounted for approximately 34.5% and 6.1% of consolidated net sales, respectively, for the three months ended April 30, 2008, compared to 35.5% and 5.8%, respectively, for the comparable period in fiscal 2008. </t>
        </r>
      </text>
    </comment>
    <comment ref="BP287" authorId="19">
      <text>
        <r>
          <rPr>
            <b/>
            <sz val="9"/>
            <color indexed="81"/>
            <rFont val="Tahoma"/>
            <family val="2"/>
          </rPr>
          <t>Turley, Amber (Research):</t>
        </r>
        <r>
          <rPr>
            <sz val="9"/>
            <color indexed="81"/>
            <rFont val="Tahoma"/>
            <family val="2"/>
          </rPr>
          <t xml:space="preserve">
Urban’s North American and European store sales accounted for approximately 34.5% and 6.1% of consolidated net sales, respectively, for the three months ended April 30, 2008, compared to 35.5% and 5.8%, respectively, for the comparable period in fiscal 2008. </t>
        </r>
      </text>
    </comment>
    <comment ref="G288" authorId="8">
      <text>
        <r>
          <rPr>
            <b/>
            <sz val="8"/>
            <color indexed="81"/>
            <rFont val="Tahoma"/>
            <family val="2"/>
          </rPr>
          <t>mm98285:</t>
        </r>
        <r>
          <rPr>
            <sz val="8"/>
            <color indexed="81"/>
            <rFont val="Tahoma"/>
            <family val="2"/>
          </rPr>
          <t xml:space="preserve">
10% est.</t>
        </r>
      </text>
    </comment>
    <comment ref="K288" authorId="8">
      <text>
        <r>
          <rPr>
            <b/>
            <sz val="8"/>
            <color indexed="81"/>
            <rFont val="Tahoma"/>
            <family val="2"/>
          </rPr>
          <t>mm98285:</t>
        </r>
        <r>
          <rPr>
            <sz val="8"/>
            <color indexed="81"/>
            <rFont val="Tahoma"/>
            <family val="2"/>
          </rPr>
          <t xml:space="preserve">
10/3/07: +4 stores</t>
        </r>
      </text>
    </comment>
    <comment ref="BJ288" authorId="19">
      <text>
        <r>
          <rPr>
            <b/>
            <sz val="9"/>
            <color indexed="81"/>
            <rFont val="Tahoma"/>
            <family val="2"/>
          </rPr>
          <t>Turley, Amber (Research):</t>
        </r>
        <r>
          <rPr>
            <sz val="9"/>
            <color indexed="81"/>
            <rFont val="Tahoma"/>
            <family val="2"/>
          </rPr>
          <t xml:space="preserve">
Urban’s North American and European store sales accounted for approximately 35.0% and 6.2% of consolidated net sales, respectively, for the six months ended July 31, 2008, compared to 34.9% and 5.9%, respectively, for the comparable period in fiscal 2008. 
</t>
        </r>
      </text>
    </comment>
    <comment ref="BK288" authorId="19">
      <text>
        <r>
          <rPr>
            <b/>
            <sz val="9"/>
            <color indexed="81"/>
            <rFont val="Tahoma"/>
            <family val="2"/>
          </rPr>
          <t>Turley, Amber (Research):</t>
        </r>
        <r>
          <rPr>
            <sz val="9"/>
            <color indexed="81"/>
            <rFont val="Tahoma"/>
            <family val="2"/>
          </rPr>
          <t xml:space="preserve">
Urban’s North American and European store sales accounted for approximately 35.0% and 6.2% of consolidated net sales, respectively, for the six months ended July 31, 2008, compared to 34.9% and 5.9%, respectively, for the comparable period in fiscal 2008. 
</t>
        </r>
      </text>
    </comment>
    <comment ref="BO288" authorId="19">
      <text>
        <r>
          <rPr>
            <b/>
            <sz val="9"/>
            <color indexed="81"/>
            <rFont val="Tahoma"/>
            <family val="2"/>
          </rPr>
          <t>Turley, Amber (Research):</t>
        </r>
        <r>
          <rPr>
            <sz val="9"/>
            <color indexed="81"/>
            <rFont val="Tahoma"/>
            <family val="2"/>
          </rPr>
          <t xml:space="preserve">
Urban’s North American and European store sales accounted for approximately 35.0% and 6.2% of consolidated net sales, respectively, for the six months ended July 31, 2008, compared to 34.9% and 5.9%, respectively, for the comparable period in fiscal 2008. 
</t>
        </r>
      </text>
    </comment>
    <comment ref="BP288" authorId="19">
      <text>
        <r>
          <rPr>
            <b/>
            <sz val="9"/>
            <color indexed="81"/>
            <rFont val="Tahoma"/>
            <family val="2"/>
          </rPr>
          <t>Turley, Amber (Research):</t>
        </r>
        <r>
          <rPr>
            <sz val="9"/>
            <color indexed="81"/>
            <rFont val="Tahoma"/>
            <family val="2"/>
          </rPr>
          <t xml:space="preserve">
Urban’s North American and European store sales accounted for approximately 35.0% and 6.2% of consolidated net sales, respectively, for the six months ended July 31, 2008, compared to 34.9% and 5.9%, respectively, for the comparable period in fiscal 2008. 
</t>
        </r>
      </text>
    </comment>
    <comment ref="G289" authorId="8">
      <text>
        <r>
          <rPr>
            <b/>
            <sz val="8"/>
            <color indexed="81"/>
            <rFont val="Tahoma"/>
            <family val="2"/>
          </rPr>
          <t>mm98285:</t>
        </r>
        <r>
          <rPr>
            <sz val="8"/>
            <color indexed="81"/>
            <rFont val="Tahoma"/>
            <family val="2"/>
          </rPr>
          <t xml:space="preserve">
14% est.</t>
        </r>
      </text>
    </comment>
    <comment ref="K289" authorId="8">
      <text>
        <r>
          <rPr>
            <b/>
            <sz val="8"/>
            <color indexed="81"/>
            <rFont val="Tahoma"/>
            <family val="2"/>
          </rPr>
          <t>mm98285:</t>
        </r>
        <r>
          <rPr>
            <sz val="8"/>
            <color indexed="81"/>
            <rFont val="Tahoma"/>
            <family val="2"/>
          </rPr>
          <t xml:space="preserve">
10/3/07: +4 stores</t>
        </r>
      </text>
    </comment>
    <comment ref="BJ289" authorId="19">
      <text>
        <r>
          <rPr>
            <b/>
            <sz val="9"/>
            <color indexed="81"/>
            <rFont val="Tahoma"/>
            <family val="2"/>
          </rPr>
          <t>Turley, Amber (Research):</t>
        </r>
        <r>
          <rPr>
            <sz val="9"/>
            <color indexed="81"/>
            <rFont val="Tahoma"/>
            <family val="2"/>
          </rPr>
          <t xml:space="preserve">
Urban’s North American and European store sales accounted for approximately 36.0% and 6.1% of consolidated net sales, respectively, for the nine months ended October 31, 2008, compared to 35.5% and 6.0%, respectively, for the comparable period in fiscal 2008. 
</t>
        </r>
      </text>
    </comment>
    <comment ref="BK289" authorId="19">
      <text>
        <r>
          <rPr>
            <b/>
            <sz val="9"/>
            <color indexed="81"/>
            <rFont val="Tahoma"/>
            <family val="2"/>
          </rPr>
          <t>Turley, Amber (Research):</t>
        </r>
        <r>
          <rPr>
            <sz val="9"/>
            <color indexed="81"/>
            <rFont val="Tahoma"/>
            <family val="2"/>
          </rPr>
          <t xml:space="preserve">
Urban’s North American and European store sales accounted for approximately 36.0% and 6.1% of consolidated net sales, respectively, for the nine months ended October 31, 2008, compared to 35.5% and 6.0%, respectively, for the comparable period in fiscal 2008. 
</t>
        </r>
      </text>
    </comment>
    <comment ref="BO289" authorId="19">
      <text>
        <r>
          <rPr>
            <b/>
            <sz val="9"/>
            <color indexed="81"/>
            <rFont val="Tahoma"/>
            <family val="2"/>
          </rPr>
          <t>Turley, Amber (Research):</t>
        </r>
        <r>
          <rPr>
            <sz val="9"/>
            <color indexed="81"/>
            <rFont val="Tahoma"/>
            <family val="2"/>
          </rPr>
          <t xml:space="preserve">
Urban’s North American and European store sales accounted for approximately 36.0% and 6.1% of consolidated net sales, respectively, for the nine months ended October 31, 2008, compared to 35.5% and 6.0%, respectively, for the comparable period in fiscal 2008. 
</t>
        </r>
      </text>
    </comment>
    <comment ref="BP289" authorId="19">
      <text>
        <r>
          <rPr>
            <b/>
            <sz val="9"/>
            <color indexed="81"/>
            <rFont val="Tahoma"/>
            <family val="2"/>
          </rPr>
          <t>Turley, Amber (Research):</t>
        </r>
        <r>
          <rPr>
            <sz val="9"/>
            <color indexed="81"/>
            <rFont val="Tahoma"/>
            <family val="2"/>
          </rPr>
          <t xml:space="preserve">
Urban’s North American and European store sales accounted for approximately 36.0% and 6.1% of consolidated net sales, respectively, for the nine months ended October 31, 2008, compared to 35.5% and 6.0%, respectively, for the comparable period in fiscal 2008. 
</t>
        </r>
      </text>
    </comment>
    <comment ref="G290" authorId="8">
      <text>
        <r>
          <rPr>
            <b/>
            <sz val="8"/>
            <color indexed="81"/>
            <rFont val="Tahoma"/>
            <family val="2"/>
          </rPr>
          <t>mm98285:</t>
        </r>
        <r>
          <rPr>
            <sz val="8"/>
            <color indexed="81"/>
            <rFont val="Tahoma"/>
            <family val="2"/>
          </rPr>
          <t xml:space="preserve">
+2.5% est.
+3% for Nov./Dec
4% est.</t>
        </r>
      </text>
    </comment>
    <comment ref="K290" authorId="8">
      <text>
        <r>
          <rPr>
            <b/>
            <sz val="8"/>
            <color indexed="81"/>
            <rFont val="Tahoma"/>
            <family val="2"/>
          </rPr>
          <t>mm98285:</t>
        </r>
        <r>
          <rPr>
            <sz val="8"/>
            <color indexed="81"/>
            <rFont val="Tahoma"/>
            <family val="2"/>
          </rPr>
          <t xml:space="preserve">
10/3/07: +1 stores</t>
        </r>
      </text>
    </comment>
    <comment ref="T290" authorId="8">
      <text>
        <r>
          <rPr>
            <b/>
            <sz val="8"/>
            <color indexed="81"/>
            <rFont val="Tahoma"/>
            <family val="2"/>
          </rPr>
          <t>mm98285:</t>
        </r>
        <r>
          <rPr>
            <sz val="8"/>
            <color indexed="81"/>
            <rFont val="Tahoma"/>
            <family val="2"/>
          </rPr>
          <t xml:space="preserve">
2/09: $11.5M impact from F/X headwinds given stores in Canada and Europe</t>
        </r>
      </text>
    </comment>
    <comment ref="BJ290" authorId="19">
      <text>
        <r>
          <rPr>
            <b/>
            <sz val="9"/>
            <color indexed="81"/>
            <rFont val="Tahoma"/>
            <family val="2"/>
          </rPr>
          <t>Turley, Amber (Research):</t>
        </r>
        <r>
          <rPr>
            <sz val="9"/>
            <color indexed="81"/>
            <rFont val="Tahoma"/>
            <family val="2"/>
          </rPr>
          <t xml:space="preserve">
 Urban Outfitters’ North American and European store sales accounted for approximately 35.9% and 6.2% of consolidated net sales, respectively, for fiscal 2009. 
</t>
        </r>
      </text>
    </comment>
    <comment ref="BK290" authorId="19">
      <text>
        <r>
          <rPr>
            <b/>
            <sz val="9"/>
            <color indexed="81"/>
            <rFont val="Tahoma"/>
            <family val="2"/>
          </rPr>
          <t>Turley, Amber (Research):</t>
        </r>
        <r>
          <rPr>
            <sz val="9"/>
            <color indexed="81"/>
            <rFont val="Tahoma"/>
            <family val="2"/>
          </rPr>
          <t xml:space="preserve">
 Urban Outfitters’ North American and European store sales accounted for approximately 35.9% and 6.2% of consolidated net sales, respectively, for fiscal 2009. 
</t>
        </r>
      </text>
    </comment>
    <comment ref="BO290" authorId="19">
      <text>
        <r>
          <rPr>
            <b/>
            <sz val="9"/>
            <color indexed="81"/>
            <rFont val="Tahoma"/>
            <family val="2"/>
          </rPr>
          <t>Turley, Amber (Research):</t>
        </r>
        <r>
          <rPr>
            <sz val="9"/>
            <color indexed="81"/>
            <rFont val="Tahoma"/>
            <family val="2"/>
          </rPr>
          <t xml:space="preserve">
 Urban Outfitters’ North American and European store sales accounted for approximately 35.9% and 6.2% of consolidated net sales, respectively, for fiscal 2009. 
</t>
        </r>
      </text>
    </comment>
    <comment ref="BP290" authorId="19">
      <text>
        <r>
          <rPr>
            <b/>
            <sz val="9"/>
            <color indexed="81"/>
            <rFont val="Tahoma"/>
            <family val="2"/>
          </rPr>
          <t>Turley, Amber (Research):</t>
        </r>
        <r>
          <rPr>
            <sz val="9"/>
            <color indexed="81"/>
            <rFont val="Tahoma"/>
            <family val="2"/>
          </rPr>
          <t xml:space="preserve">
 Urban Outfitters’ North American and European store sales accounted for approximately 35.9% and 6.2% of consolidated net sales, respectively, for fiscal 2009. 
</t>
        </r>
      </text>
    </comment>
    <comment ref="X291" authorId="8">
      <text>
        <r>
          <rPr>
            <b/>
            <sz val="8"/>
            <color indexed="81"/>
            <rFont val="Tahoma"/>
            <family val="2"/>
          </rPr>
          <t>mm98285:</t>
        </r>
        <r>
          <rPr>
            <sz val="8"/>
            <color indexed="81"/>
            <rFont val="Tahoma"/>
            <family val="2"/>
          </rPr>
          <t xml:space="preserve">
10K: Total 2008 international sales were $171M, +27% vs. $134.6M LY. U.O’s European store sales were 6.2% of 2008 sales (or $113.7M). </t>
        </r>
      </text>
    </comment>
    <comment ref="BJ291" authorId="19">
      <text>
        <r>
          <rPr>
            <b/>
            <sz val="9"/>
            <color indexed="81"/>
            <rFont val="Tahoma"/>
            <family val="2"/>
          </rPr>
          <t>Turley, Amber (Research):</t>
        </r>
        <r>
          <rPr>
            <sz val="9"/>
            <color indexed="81"/>
            <rFont val="Tahoma"/>
            <family val="2"/>
          </rPr>
          <t xml:space="preserve">
 Urban Outfitters’ North American and European store sales accounted for approximately 35.9% and 6.2% of consolidated net sales, respectively, for fiscal 2009. 
</t>
        </r>
      </text>
    </comment>
    <comment ref="BK291" authorId="19">
      <text>
        <r>
          <rPr>
            <b/>
            <sz val="9"/>
            <color indexed="81"/>
            <rFont val="Tahoma"/>
            <family val="2"/>
          </rPr>
          <t>Turley, Amber (Research):</t>
        </r>
        <r>
          <rPr>
            <sz val="9"/>
            <color indexed="81"/>
            <rFont val="Tahoma"/>
            <family val="2"/>
          </rPr>
          <t xml:space="preserve">
 Urban Outfitters’ North American and European store sales accounted for approximately 35.9% and 6.2% of consolidated net sales, respectively, for fiscal 2009. 
</t>
        </r>
      </text>
    </comment>
    <comment ref="BO291" authorId="19">
      <text>
        <r>
          <rPr>
            <b/>
            <sz val="9"/>
            <color indexed="81"/>
            <rFont val="Tahoma"/>
            <family val="2"/>
          </rPr>
          <t>Turley, Amber (Research):</t>
        </r>
        <r>
          <rPr>
            <sz val="9"/>
            <color indexed="81"/>
            <rFont val="Tahoma"/>
            <family val="2"/>
          </rPr>
          <t xml:space="preserve">
 Urban Outfitters’ North American and European store sales accounted for approximately 35.9% and 6.2% of consolidated net sales, respectively, for fiscal 2009. 
</t>
        </r>
      </text>
    </comment>
    <comment ref="BP291" authorId="19">
      <text>
        <r>
          <rPr>
            <b/>
            <sz val="9"/>
            <color indexed="81"/>
            <rFont val="Tahoma"/>
            <family val="2"/>
          </rPr>
          <t>Turley, Amber (Research):</t>
        </r>
        <r>
          <rPr>
            <sz val="9"/>
            <color indexed="81"/>
            <rFont val="Tahoma"/>
            <family val="2"/>
          </rPr>
          <t xml:space="preserve">
 Urban Outfitters’ North American and European store sales accounted for approximately 35.9% and 6.2% of consolidated net sales, respectively, for fiscal 2009. 
</t>
        </r>
      </text>
    </comment>
    <comment ref="G294" authorId="8">
      <text>
        <r>
          <rPr>
            <b/>
            <sz val="8"/>
            <color indexed="81"/>
            <rFont val="Tahoma"/>
            <family val="2"/>
          </rPr>
          <t>mm98285:</t>
        </r>
        <r>
          <rPr>
            <sz val="8"/>
            <color indexed="81"/>
            <rFont val="Tahoma"/>
            <family val="2"/>
          </rPr>
          <t xml:space="preserve">
-5% est. </t>
        </r>
      </text>
    </comment>
    <comment ref="K294" authorId="8">
      <text>
        <r>
          <rPr>
            <b/>
            <sz val="8"/>
            <color indexed="81"/>
            <rFont val="Tahoma"/>
            <family val="2"/>
          </rPr>
          <t>mm98285:</t>
        </r>
        <r>
          <rPr>
            <sz val="8"/>
            <color indexed="81"/>
            <rFont val="Tahoma"/>
            <family val="2"/>
          </rPr>
          <t xml:space="preserve">
143: 119 in U.S., 7 Canada, 17 in Europe
3/09: expect to open 1 store in U.S.</t>
        </r>
      </text>
    </comment>
    <comment ref="T294" authorId="8">
      <text>
        <r>
          <rPr>
            <b/>
            <sz val="8"/>
            <color indexed="81"/>
            <rFont val="Tahoma"/>
            <family val="2"/>
          </rPr>
          <t>mm98285:</t>
        </r>
        <r>
          <rPr>
            <sz val="8"/>
            <color indexed="81"/>
            <rFont val="Tahoma"/>
            <family val="2"/>
          </rPr>
          <t xml:space="preserve">
5/09: $10M impact from F/X headwinds given stores in Canada and Europe</t>
        </r>
      </text>
    </comment>
    <comment ref="X294" authorId="8">
      <text>
        <r>
          <rPr>
            <b/>
            <sz val="8"/>
            <color indexed="81"/>
            <rFont val="Tahoma"/>
            <family val="2"/>
          </rPr>
          <t>mm98285:</t>
        </r>
        <r>
          <rPr>
            <sz val="8"/>
            <color indexed="81"/>
            <rFont val="Tahoma"/>
            <family val="2"/>
          </rPr>
          <t xml:space="preserve">
10Q: N.A. sales = 34.4% of total ($132.4M)
Europe sales = 5.3% of total ($20.4M)</t>
        </r>
      </text>
    </comment>
    <comment ref="BJ294" authorId="19">
      <text>
        <r>
          <rPr>
            <b/>
            <sz val="9"/>
            <color indexed="81"/>
            <rFont val="Tahoma"/>
            <family val="2"/>
          </rPr>
          <t>Turley, Amber (Research):</t>
        </r>
        <r>
          <rPr>
            <sz val="9"/>
            <color indexed="81"/>
            <rFont val="Tahoma"/>
            <family val="2"/>
          </rPr>
          <t xml:space="preserve">
Urban’s North American and European store sales accounted for approximately 34.4% and 5.3% of consolidated net sales, respectively, for the three months ended April 30, 2009, compared to 34.5% and 6.1%, respectively, for the comparable period in fiscal 2009. 
</t>
        </r>
      </text>
    </comment>
    <comment ref="BK294" authorId="19">
      <text>
        <r>
          <rPr>
            <b/>
            <sz val="9"/>
            <color indexed="81"/>
            <rFont val="Tahoma"/>
            <family val="2"/>
          </rPr>
          <t>Turley, Amber (Research):</t>
        </r>
        <r>
          <rPr>
            <sz val="9"/>
            <color indexed="81"/>
            <rFont val="Tahoma"/>
            <family val="2"/>
          </rPr>
          <t xml:space="preserve">
Urban’s North American and European store sales accounted for approximately 34.4% and 5.3% of consolidated net sales, respectively, for the three months ended April 30, 2009, compared to 34.5% and 6.1%, respectively, for the comparable period in fiscal 2009. 
</t>
        </r>
      </text>
    </comment>
    <comment ref="BO294" authorId="19">
      <text>
        <r>
          <rPr>
            <b/>
            <sz val="9"/>
            <color indexed="81"/>
            <rFont val="Tahoma"/>
            <family val="2"/>
          </rPr>
          <t>Turley, Amber (Research):</t>
        </r>
        <r>
          <rPr>
            <sz val="9"/>
            <color indexed="81"/>
            <rFont val="Tahoma"/>
            <family val="2"/>
          </rPr>
          <t xml:space="preserve">
Urban’s North American and European store sales accounted for approximately 34.4% and 5.3% of consolidated net sales, respectively, for the three months ended April 30, 2009, compared to 34.5% and 6.1%, respectively, for the comparable period in fiscal 2009. 
</t>
        </r>
      </text>
    </comment>
    <comment ref="BP294" authorId="19">
      <text>
        <r>
          <rPr>
            <b/>
            <sz val="9"/>
            <color indexed="81"/>
            <rFont val="Tahoma"/>
            <family val="2"/>
          </rPr>
          <t>Turley, Amber (Research):</t>
        </r>
        <r>
          <rPr>
            <sz val="9"/>
            <color indexed="81"/>
            <rFont val="Tahoma"/>
            <family val="2"/>
          </rPr>
          <t xml:space="preserve">
Urban’s North American and European store sales accounted for approximately 34.4% and 5.3% of consolidated net sales, respectively, for the three months ended April 30, 2009, compared to 34.5% and 6.1%, respectively, for the comparable period in fiscal 2009. 
</t>
        </r>
      </text>
    </comment>
    <comment ref="G295" authorId="8">
      <text>
        <r>
          <rPr>
            <b/>
            <sz val="8"/>
            <color indexed="81"/>
            <rFont val="Tahoma"/>
            <family val="2"/>
          </rPr>
          <t>mm98285:</t>
        </r>
        <r>
          <rPr>
            <sz val="8"/>
            <color indexed="81"/>
            <rFont val="Tahoma"/>
            <family val="2"/>
          </rPr>
          <t xml:space="preserve">
-9.5% est. </t>
        </r>
      </text>
    </comment>
    <comment ref="K295" authorId="8">
      <text>
        <r>
          <rPr>
            <b/>
            <sz val="8"/>
            <color indexed="81"/>
            <rFont val="Tahoma"/>
            <family val="2"/>
          </rPr>
          <t>mm98285:</t>
        </r>
        <r>
          <rPr>
            <sz val="8"/>
            <color indexed="81"/>
            <rFont val="Tahoma"/>
            <family val="2"/>
          </rPr>
          <t xml:space="preserve">
124 U.S., 7 Canada, 17 Europe
1H opened 6 U.S. stores
3/09: expect to open 5 stores in U.S.</t>
        </r>
      </text>
    </comment>
    <comment ref="X295" authorId="8">
      <text>
        <r>
          <rPr>
            <b/>
            <sz val="8"/>
            <color indexed="81"/>
            <rFont val="Tahoma"/>
            <family val="2"/>
          </rPr>
          <t>mm98285:</t>
        </r>
        <r>
          <rPr>
            <sz val="8"/>
            <color indexed="81"/>
            <rFont val="Tahoma"/>
            <family val="2"/>
          </rPr>
          <t xml:space="preserve">
10Q: N.A. sales = 33.9% of total ($155.5M)
Europe sales = 5.2% of total ($23.8M)</t>
        </r>
      </text>
    </comment>
    <comment ref="BJ295" authorId="19">
      <text>
        <r>
          <rPr>
            <b/>
            <sz val="9"/>
            <color indexed="81"/>
            <rFont val="Tahoma"/>
            <family val="2"/>
          </rPr>
          <t>Turley, Amber (Research):</t>
        </r>
        <r>
          <rPr>
            <sz val="9"/>
            <color indexed="81"/>
            <rFont val="Tahoma"/>
            <family val="2"/>
          </rPr>
          <t xml:space="preserve">
Urban’s North American and European store net sales accounted for approximately 33.9% and 5.2% of consolidated net sales, respectively, for the six months ended July 31, 2009, compared to 35.0% and 6.2%, respectively, for the comparable period in fiscal 2009</t>
        </r>
      </text>
    </comment>
    <comment ref="BK295" authorId="19">
      <text>
        <r>
          <rPr>
            <b/>
            <sz val="9"/>
            <color indexed="81"/>
            <rFont val="Tahoma"/>
            <family val="2"/>
          </rPr>
          <t>Turley, Amber (Research):</t>
        </r>
        <r>
          <rPr>
            <sz val="9"/>
            <color indexed="81"/>
            <rFont val="Tahoma"/>
            <family val="2"/>
          </rPr>
          <t xml:space="preserve">
Urban’s North American and European store net sales accounted for approximately 33.9% and 5.2% of consolidated net sales, respectively, for the six months ended July 31, 2009, compared to 35.0% and 6.2%, respectively, for the comparable period in fiscal 2009</t>
        </r>
      </text>
    </comment>
    <comment ref="BO295" authorId="19">
      <text>
        <r>
          <rPr>
            <b/>
            <sz val="9"/>
            <color indexed="81"/>
            <rFont val="Tahoma"/>
            <family val="2"/>
          </rPr>
          <t>Turley, Amber (Research):</t>
        </r>
        <r>
          <rPr>
            <sz val="9"/>
            <color indexed="81"/>
            <rFont val="Tahoma"/>
            <family val="2"/>
          </rPr>
          <t xml:space="preserve">
Urban’s North American and European store net sales accounted for approximately 33.9% and 5.2% of consolidated net sales, respectively, for the six months ended July 31, 2009, compared to 35.0% and 6.2%, respectively, for the comparable period in fiscal 2009</t>
        </r>
      </text>
    </comment>
    <comment ref="BP295" authorId="19">
      <text>
        <r>
          <rPr>
            <b/>
            <sz val="9"/>
            <color indexed="81"/>
            <rFont val="Tahoma"/>
            <family val="2"/>
          </rPr>
          <t>Turley, Amber (Research):</t>
        </r>
        <r>
          <rPr>
            <sz val="9"/>
            <color indexed="81"/>
            <rFont val="Tahoma"/>
            <family val="2"/>
          </rPr>
          <t xml:space="preserve">
Urban’s North American and European store net sales accounted for approximately 33.9% and 5.2% of consolidated net sales, respectively, for the six months ended July 31, 2009, compared to 35.0% and 6.2%, respectively, for the comparable period in fiscal 2009</t>
        </r>
      </text>
    </comment>
    <comment ref="G296" authorId="8">
      <text>
        <r>
          <rPr>
            <b/>
            <sz val="8"/>
            <color indexed="81"/>
            <rFont val="Tahoma"/>
            <family val="2"/>
          </rPr>
          <t>mm98285:</t>
        </r>
        <r>
          <rPr>
            <sz val="8"/>
            <color indexed="81"/>
            <rFont val="Tahoma"/>
            <family val="2"/>
          </rPr>
          <t xml:space="preserve">
-3.5% est.</t>
        </r>
      </text>
    </comment>
    <comment ref="K296" authorId="8">
      <text>
        <r>
          <rPr>
            <b/>
            <sz val="8"/>
            <color indexed="81"/>
            <rFont val="Tahoma"/>
            <family val="2"/>
          </rPr>
          <t>mm98285:</t>
        </r>
        <r>
          <rPr>
            <sz val="8"/>
            <color indexed="81"/>
            <rFont val="Tahoma"/>
            <family val="2"/>
          </rPr>
          <t xml:space="preserve">
10Q: 127 in US, 7 Canada, 17 in Europe
3/09: expect to open 5 stores in U.S. &amp; 2 internationally</t>
        </r>
      </text>
    </comment>
    <comment ref="BJ296" authorId="19">
      <text>
        <r>
          <rPr>
            <b/>
            <sz val="9"/>
            <color indexed="81"/>
            <rFont val="Tahoma"/>
            <family val="2"/>
          </rPr>
          <t>Turley, Amber (Research):</t>
        </r>
        <r>
          <rPr>
            <sz val="9"/>
            <color indexed="81"/>
            <rFont val="Tahoma"/>
            <family val="2"/>
          </rPr>
          <t xml:space="preserve">
Urban Outfitters’ North American and European store net sales accounted for approximately 34.3% and 5.1% of consolidated net sales, respectively, for the nine months ended October 31, 2009, compared to 36.0% and 6.1%, respectively, for the comparable period in fiscal 2009. 
</t>
        </r>
      </text>
    </comment>
    <comment ref="BK296" authorId="19">
      <text>
        <r>
          <rPr>
            <b/>
            <sz val="9"/>
            <color indexed="81"/>
            <rFont val="Tahoma"/>
            <family val="2"/>
          </rPr>
          <t>Turley, Amber (Research):</t>
        </r>
        <r>
          <rPr>
            <sz val="9"/>
            <color indexed="81"/>
            <rFont val="Tahoma"/>
            <family val="2"/>
          </rPr>
          <t xml:space="preserve">
Urban Outfitters’ North American and European store net sales accounted for approximately 34.3% and 5.1% of consolidated net sales, respectively, for the nine months ended October 31, 2009, compared to 36.0% and 6.1%, respectively, for the comparable period in fiscal 2009. 
</t>
        </r>
      </text>
    </comment>
    <comment ref="BL296" authorId="19">
      <text>
        <r>
          <rPr>
            <b/>
            <sz val="9"/>
            <color indexed="81"/>
            <rFont val="Tahoma"/>
            <family val="2"/>
          </rPr>
          <t>Turley, Amber (Research):</t>
        </r>
        <r>
          <rPr>
            <sz val="9"/>
            <color indexed="81"/>
            <rFont val="Tahoma"/>
            <family val="2"/>
          </rPr>
          <t xml:space="preserve">
 Anthropologie’s store net sales accounted for approximately 36.5% of consolidated net sales for the nine months ended October 31, 2009, compared to 35.4% for the comparable period in fiscal 2009. Anthropologie’s European store, which opened on October 23, 2009, accounted for less than 1% of total consolidated net sales for the nine months ended October 31, 2009. 
</t>
        </r>
      </text>
    </comment>
    <comment ref="BM296" authorId="19">
      <text>
        <r>
          <rPr>
            <b/>
            <sz val="9"/>
            <color indexed="81"/>
            <rFont val="Tahoma"/>
            <family val="2"/>
          </rPr>
          <t>Turley, Amber (Research):</t>
        </r>
        <r>
          <rPr>
            <sz val="9"/>
            <color indexed="81"/>
            <rFont val="Tahoma"/>
            <family val="2"/>
          </rPr>
          <t xml:space="preserve">
 Anthropologie’s store net sales accounted for approximately 36.5% of consolidated net sales for the nine months ended October 31, 2009, compared to 35.4% for the comparable period in fiscal 2009. Anthropologie’s European store, which opened on October 23, 2009, accounted for less than 1% of total consolidated net sales for the nine months ended October 31, 2009. 
</t>
        </r>
      </text>
    </comment>
    <comment ref="BO296" authorId="19">
      <text>
        <r>
          <rPr>
            <b/>
            <sz val="9"/>
            <color indexed="81"/>
            <rFont val="Tahoma"/>
            <family val="2"/>
          </rPr>
          <t>Turley, Amber (Research):</t>
        </r>
        <r>
          <rPr>
            <sz val="9"/>
            <color indexed="81"/>
            <rFont val="Tahoma"/>
            <family val="2"/>
          </rPr>
          <t xml:space="preserve">
Urban Outfitters’ North American and European store net sales accounted for approximately 34.3% and 5.1% of consolidated net sales, respectively, for the nine months ended October 31, 2009, compared to 36.0% and 6.1%, respectively, for the comparable period in fiscal 2009. 
</t>
        </r>
      </text>
    </comment>
    <comment ref="BP296" authorId="19">
      <text>
        <r>
          <rPr>
            <b/>
            <sz val="9"/>
            <color indexed="81"/>
            <rFont val="Tahoma"/>
            <family val="2"/>
          </rPr>
          <t>Turley, Amber (Research):</t>
        </r>
        <r>
          <rPr>
            <sz val="9"/>
            <color indexed="81"/>
            <rFont val="Tahoma"/>
            <family val="2"/>
          </rPr>
          <t xml:space="preserve">
Urban Outfitters’ North American and European store net sales accounted for approximately 34.3% and 5.1% of consolidated net sales, respectively, for the nine months ended October 31, 2009, compared to 36.0% and 6.1%, respectively, for the comparable period in fiscal 2009. 
</t>
        </r>
      </text>
    </comment>
    <comment ref="BQ296" authorId="19">
      <text>
        <r>
          <rPr>
            <b/>
            <sz val="9"/>
            <color indexed="81"/>
            <rFont val="Tahoma"/>
            <family val="2"/>
          </rPr>
          <t>Turley, Amber (Research):</t>
        </r>
        <r>
          <rPr>
            <sz val="9"/>
            <color indexed="81"/>
            <rFont val="Tahoma"/>
            <family val="2"/>
          </rPr>
          <t xml:space="preserve">
 Anthropologie’s store net sales accounted for approximately 36.5% of consolidated net sales for the nine months ended October 31, 2009, compared to 35.4% for the comparable period in fiscal 2009. Anthropologie’s European store, which opened on October 23, 2009, accounted for less than 1% of total consolidated net sales for the nine months ended October 31, 2009. 
</t>
        </r>
      </text>
    </comment>
    <comment ref="BR296" authorId="19">
      <text>
        <r>
          <rPr>
            <b/>
            <sz val="9"/>
            <color indexed="81"/>
            <rFont val="Tahoma"/>
            <family val="2"/>
          </rPr>
          <t>Turley, Amber (Research):</t>
        </r>
        <r>
          <rPr>
            <sz val="9"/>
            <color indexed="81"/>
            <rFont val="Tahoma"/>
            <family val="2"/>
          </rPr>
          <t xml:space="preserve">
 Anthropologie’s store net sales accounted for approximately 36.5% of consolidated net sales for the nine months ended October 31, 2009, compared to 35.4% for the comparable period in fiscal 2009. Anthropologie’s European store, which opened on October 23, 2009, accounted for less than 1% of total consolidated net sales for the nine months ended October 31, 2009. 
</t>
        </r>
      </text>
    </comment>
    <comment ref="K297" authorId="8">
      <text>
        <r>
          <rPr>
            <b/>
            <sz val="8"/>
            <color indexed="81"/>
            <rFont val="Tahoma"/>
            <family val="2"/>
          </rPr>
          <t>mm98285:</t>
        </r>
        <r>
          <rPr>
            <sz val="8"/>
            <color indexed="81"/>
            <rFont val="Tahoma"/>
            <family val="2"/>
          </rPr>
          <t xml:space="preserve">
4Q: expect to open 3 stores in U.S. &amp; 1 internationally</t>
        </r>
      </text>
    </comment>
    <comment ref="BJ297" authorId="19">
      <text>
        <r>
          <rPr>
            <b/>
            <sz val="9"/>
            <color indexed="81"/>
            <rFont val="Tahoma"/>
            <family val="2"/>
          </rPr>
          <t>Turley, Amber (Research):</t>
        </r>
        <r>
          <rPr>
            <sz val="9"/>
            <color indexed="81"/>
            <rFont val="Tahoma"/>
            <family val="2"/>
          </rPr>
          <t xml:space="preserve">
Urban Outfitters’ North American and European store sales accounted for approximately 33.7% and 5.5% of consolidated net sales, respectively, for fiscal 2010. 
</t>
        </r>
      </text>
    </comment>
    <comment ref="BK297" authorId="19">
      <text>
        <r>
          <rPr>
            <b/>
            <sz val="9"/>
            <color indexed="81"/>
            <rFont val="Tahoma"/>
            <family val="2"/>
          </rPr>
          <t>Turley, Amber (Research):</t>
        </r>
        <r>
          <rPr>
            <sz val="9"/>
            <color indexed="81"/>
            <rFont val="Tahoma"/>
            <family val="2"/>
          </rPr>
          <t xml:space="preserve">
Urban Outfitters’ North American and European store sales accounted for approximately 33.7% and 5.5% of consolidated net sales, respectively, for fiscal 2010. 
</t>
        </r>
      </text>
    </comment>
    <comment ref="BL297" authorId="19">
      <text>
        <r>
          <rPr>
            <b/>
            <sz val="9"/>
            <color indexed="81"/>
            <rFont val="Tahoma"/>
            <family val="2"/>
          </rPr>
          <t>Turley, Amber (Research):</t>
        </r>
        <r>
          <rPr>
            <sz val="9"/>
            <color indexed="81"/>
            <rFont val="Tahoma"/>
            <family val="2"/>
          </rPr>
          <t xml:space="preserve">
Anthropologie’s North American and European store sales accounted for approximately 36.1% and 0.3% of consolidated net sales, respectively, for fiscal 2010. 
</t>
        </r>
      </text>
    </comment>
    <comment ref="BM297" authorId="19">
      <text>
        <r>
          <rPr>
            <b/>
            <sz val="9"/>
            <color indexed="81"/>
            <rFont val="Tahoma"/>
            <family val="2"/>
          </rPr>
          <t>Turley, Amber (Research):</t>
        </r>
        <r>
          <rPr>
            <sz val="9"/>
            <color indexed="81"/>
            <rFont val="Tahoma"/>
            <family val="2"/>
          </rPr>
          <t xml:space="preserve">
Anthropologie’s North American and European store sales accounted for approximately 36.1% and 0.3% of consolidated net sales, respectively, for fiscal 2010. 
</t>
        </r>
      </text>
    </comment>
    <comment ref="BO297" authorId="19">
      <text>
        <r>
          <rPr>
            <b/>
            <sz val="9"/>
            <color indexed="81"/>
            <rFont val="Tahoma"/>
            <family val="2"/>
          </rPr>
          <t>Turley, Amber (Research):</t>
        </r>
        <r>
          <rPr>
            <sz val="9"/>
            <color indexed="81"/>
            <rFont val="Tahoma"/>
            <family val="2"/>
          </rPr>
          <t xml:space="preserve">
Urban Outfitters’ North American and European store sales accounted for approximately 33.7% and 5.5% of consolidated net sales, respectively, for fiscal 2010. 
</t>
        </r>
      </text>
    </comment>
    <comment ref="BP297" authorId="19">
      <text>
        <r>
          <rPr>
            <b/>
            <sz val="9"/>
            <color indexed="81"/>
            <rFont val="Tahoma"/>
            <family val="2"/>
          </rPr>
          <t>Turley, Amber (Research):</t>
        </r>
        <r>
          <rPr>
            <sz val="9"/>
            <color indexed="81"/>
            <rFont val="Tahoma"/>
            <family val="2"/>
          </rPr>
          <t xml:space="preserve">
Urban Outfitters’ North American and European store sales accounted for approximately 33.7% and 5.5% of consolidated net sales, respectively, for fiscal 2010. 
</t>
        </r>
      </text>
    </comment>
    <comment ref="BQ297" authorId="19">
      <text>
        <r>
          <rPr>
            <b/>
            <sz val="9"/>
            <color indexed="81"/>
            <rFont val="Tahoma"/>
            <family val="2"/>
          </rPr>
          <t>Turley, Amber (Research):</t>
        </r>
        <r>
          <rPr>
            <sz val="9"/>
            <color indexed="81"/>
            <rFont val="Tahoma"/>
            <family val="2"/>
          </rPr>
          <t xml:space="preserve">
Anthropologie’s North American and European store sales accounted for approximately 36.1% and 0.3% of consolidated net sales, respectively, for fiscal 2010. 
</t>
        </r>
      </text>
    </comment>
    <comment ref="BR297" authorId="19">
      <text>
        <r>
          <rPr>
            <b/>
            <sz val="9"/>
            <color indexed="81"/>
            <rFont val="Tahoma"/>
            <family val="2"/>
          </rPr>
          <t>Turley, Amber (Research):</t>
        </r>
        <r>
          <rPr>
            <sz val="9"/>
            <color indexed="81"/>
            <rFont val="Tahoma"/>
            <family val="2"/>
          </rPr>
          <t xml:space="preserve">
Anthropologie’s North American and European store sales accounted for approximately 36.1% and 0.3% of consolidated net sales, respectively, for fiscal 2010. 
</t>
        </r>
      </text>
    </comment>
    <comment ref="X298" authorId="20">
      <text>
        <r>
          <rPr>
            <b/>
            <sz val="8"/>
            <color indexed="81"/>
            <rFont val="Tahoma"/>
            <family val="2"/>
          </rPr>
          <t>ns66486:</t>
        </r>
        <r>
          <rPr>
            <sz val="8"/>
            <color indexed="81"/>
            <rFont val="Tahoma"/>
            <family val="2"/>
          </rPr>
          <t xml:space="preserve">
10K:  UO North America 33.7% of total net sales or ~653mm, UO Europe 5.5% of total net sales or ~107mm (vs. $113.7mm LY)</t>
        </r>
      </text>
    </comment>
    <comment ref="BJ298" authorId="19">
      <text>
        <r>
          <rPr>
            <b/>
            <sz val="9"/>
            <color indexed="81"/>
            <rFont val="Tahoma"/>
            <family val="2"/>
          </rPr>
          <t>Turley, Amber (Research):</t>
        </r>
        <r>
          <rPr>
            <sz val="9"/>
            <color indexed="81"/>
            <rFont val="Tahoma"/>
            <family val="2"/>
          </rPr>
          <t xml:space="preserve">
Urban Outfitters’ North American and European store sales accounted for approximately 33.7% and 5.5% of consolidated net sales, respectively, for fiscal 2010. 
</t>
        </r>
      </text>
    </comment>
    <comment ref="BK298" authorId="19">
      <text>
        <r>
          <rPr>
            <b/>
            <sz val="9"/>
            <color indexed="81"/>
            <rFont val="Tahoma"/>
            <family val="2"/>
          </rPr>
          <t>Turley, Amber (Research):</t>
        </r>
        <r>
          <rPr>
            <sz val="9"/>
            <color indexed="81"/>
            <rFont val="Tahoma"/>
            <family val="2"/>
          </rPr>
          <t xml:space="preserve">
Urban Outfitters’ North American and European store sales accounted for approximately 33.7% and 5.5% of consolidated net sales, respectively, for fiscal 2010. 
</t>
        </r>
      </text>
    </comment>
    <comment ref="BL298" authorId="19">
      <text>
        <r>
          <rPr>
            <b/>
            <sz val="9"/>
            <color indexed="81"/>
            <rFont val="Tahoma"/>
            <family val="2"/>
          </rPr>
          <t>Turley, Amber (Research):</t>
        </r>
        <r>
          <rPr>
            <sz val="9"/>
            <color indexed="81"/>
            <rFont val="Tahoma"/>
            <family val="2"/>
          </rPr>
          <t xml:space="preserve">
Anthropologie’s North American and European store sales accounted for approximately 36.1% and 0.3% of consolidated net sales, respectively, for fiscal 2010. 
</t>
        </r>
      </text>
    </comment>
    <comment ref="BM298" authorId="19">
      <text>
        <r>
          <rPr>
            <b/>
            <sz val="9"/>
            <color indexed="81"/>
            <rFont val="Tahoma"/>
            <family val="2"/>
          </rPr>
          <t>Turley, Amber (Research):</t>
        </r>
        <r>
          <rPr>
            <sz val="9"/>
            <color indexed="81"/>
            <rFont val="Tahoma"/>
            <family val="2"/>
          </rPr>
          <t xml:space="preserve">
Anthropologie’s North American and European store sales accounted for approximately 36.1% and 0.3% of consolidated net sales, respectively, for fiscal 2010. 
</t>
        </r>
      </text>
    </comment>
    <comment ref="BO298" authorId="19">
      <text>
        <r>
          <rPr>
            <b/>
            <sz val="9"/>
            <color indexed="81"/>
            <rFont val="Tahoma"/>
            <family val="2"/>
          </rPr>
          <t>Turley, Amber (Research):</t>
        </r>
        <r>
          <rPr>
            <sz val="9"/>
            <color indexed="81"/>
            <rFont val="Tahoma"/>
            <family val="2"/>
          </rPr>
          <t xml:space="preserve">
Urban Outfitters’ North American and European store sales accounted for approximately 33.7% and 5.5% of consolidated net sales, respectively, for fiscal 2010. 
</t>
        </r>
      </text>
    </comment>
    <comment ref="BP298" authorId="19">
      <text>
        <r>
          <rPr>
            <b/>
            <sz val="9"/>
            <color indexed="81"/>
            <rFont val="Tahoma"/>
            <family val="2"/>
          </rPr>
          <t>Turley, Amber (Research):</t>
        </r>
        <r>
          <rPr>
            <sz val="9"/>
            <color indexed="81"/>
            <rFont val="Tahoma"/>
            <family val="2"/>
          </rPr>
          <t xml:space="preserve">
Urban Outfitters’ North American and European store sales accounted for approximately 33.7% and 5.5% of consolidated net sales, respectively, for fiscal 2010. 
</t>
        </r>
      </text>
    </comment>
    <comment ref="BQ298" authorId="19">
      <text>
        <r>
          <rPr>
            <b/>
            <sz val="9"/>
            <color indexed="81"/>
            <rFont val="Tahoma"/>
            <family val="2"/>
          </rPr>
          <t>Turley, Amber (Research):</t>
        </r>
        <r>
          <rPr>
            <sz val="9"/>
            <color indexed="81"/>
            <rFont val="Tahoma"/>
            <family val="2"/>
          </rPr>
          <t xml:space="preserve">
Anthropologie’s North American and European store sales accounted for approximately 36.1% and 0.3% of consolidated net sales, respectively, for fiscal 2010. 
</t>
        </r>
      </text>
    </comment>
    <comment ref="BR298" authorId="19">
      <text>
        <r>
          <rPr>
            <b/>
            <sz val="9"/>
            <color indexed="81"/>
            <rFont val="Tahoma"/>
            <family val="2"/>
          </rPr>
          <t>Turley, Amber (Research):</t>
        </r>
        <r>
          <rPr>
            <sz val="9"/>
            <color indexed="81"/>
            <rFont val="Tahoma"/>
            <family val="2"/>
          </rPr>
          <t xml:space="preserve">
Anthropologie’s North American and European store sales accounted for approximately 36.1% and 0.3% of consolidated net sales, respectively, for fiscal 2010. 
</t>
        </r>
      </text>
    </comment>
    <comment ref="G301" authorId="11">
      <text>
        <r>
          <rPr>
            <b/>
            <sz val="8"/>
            <color indexed="81"/>
            <rFont val="Tahoma"/>
            <family val="2"/>
          </rPr>
          <t xml:space="preserve">KG: </t>
        </r>
        <r>
          <rPr>
            <sz val="8"/>
            <color indexed="81"/>
            <rFont val="Tahoma"/>
            <family val="2"/>
          </rPr>
          <t xml:space="preserve">company no longer reporting store comps, sement comp +9%. </t>
        </r>
        <r>
          <rPr>
            <b/>
            <sz val="8"/>
            <color indexed="81"/>
            <rFont val="Tahoma"/>
            <family val="2"/>
          </rPr>
          <t>We estimate UO 1Q10 store comp +6%</t>
        </r>
        <r>
          <rPr>
            <b/>
            <sz val="8"/>
            <color indexed="81"/>
            <rFont val="Tahoma"/>
            <family val="2"/>
          </rPr>
          <t xml:space="preserve">
lr73192:</t>
        </r>
        <r>
          <rPr>
            <sz val="8"/>
            <color indexed="81"/>
            <rFont val="Tahoma"/>
            <family val="2"/>
          </rPr>
          <t xml:space="preserve">
+9 est</t>
        </r>
      </text>
    </comment>
    <comment ref="K301" authorId="8">
      <text>
        <r>
          <rPr>
            <sz val="8"/>
            <color indexed="81"/>
            <rFont val="Tahoma"/>
            <family val="2"/>
          </rPr>
          <t>10Q: 157 stores of which 132 were located in the US, 7 in Canada and 18 in Europe; opened 2 stores in the qtr both within the US</t>
        </r>
      </text>
    </comment>
    <comment ref="T301" authorId="8">
      <text>
        <r>
          <rPr>
            <b/>
            <sz val="8"/>
            <color indexed="81"/>
            <rFont val="Tahoma"/>
            <family val="2"/>
          </rPr>
          <t>mm98285:</t>
        </r>
        <r>
          <rPr>
            <sz val="8"/>
            <color indexed="81"/>
            <rFont val="Tahoma"/>
            <family val="2"/>
          </rPr>
          <t xml:space="preserve">
5/09: $10M impact from F/X benefit of $3mm in 1Q10 (Canada and Europe)</t>
        </r>
      </text>
    </comment>
    <comment ref="BJ301" authorId="19">
      <text>
        <r>
          <rPr>
            <b/>
            <sz val="9"/>
            <color indexed="81"/>
            <rFont val="Tahoma"/>
            <family val="2"/>
          </rPr>
          <t>Turley, Amber (Research):</t>
        </r>
        <r>
          <rPr>
            <sz val="9"/>
            <color indexed="81"/>
            <rFont val="Tahoma"/>
            <family val="2"/>
          </rPr>
          <t xml:space="preserve">
Urban Outfitters’ North American and European store net sales accounted for approximately 31.3% and 5.1% of consolidated net sales, respectively, for the three months ended April 30, 2010, compared to 34.4% and 5.3%, respectively, for the comparable period in fiscal 2010</t>
        </r>
      </text>
    </comment>
    <comment ref="BK301" authorId="19">
      <text>
        <r>
          <rPr>
            <b/>
            <sz val="9"/>
            <color indexed="81"/>
            <rFont val="Tahoma"/>
            <family val="2"/>
          </rPr>
          <t>Turley, Amber (Research):</t>
        </r>
        <r>
          <rPr>
            <sz val="9"/>
            <color indexed="81"/>
            <rFont val="Tahoma"/>
            <family val="2"/>
          </rPr>
          <t xml:space="preserve">
Urban Outfitters’ North American and European store net sales accounted for approximately 31.3% and 5.1% of consolidated net sales, respectively, for the three months ended April 30, 2010, compared to 34.4% and 5.3%, respectively, for the comparable period in fiscal 2010</t>
        </r>
      </text>
    </comment>
    <comment ref="BL301" authorId="19">
      <text>
        <r>
          <rPr>
            <b/>
            <sz val="9"/>
            <color indexed="81"/>
            <rFont val="Tahoma"/>
            <family val="2"/>
          </rPr>
          <t>Turley, Amber (Research):</t>
        </r>
        <r>
          <rPr>
            <sz val="9"/>
            <color indexed="81"/>
            <rFont val="Tahoma"/>
            <family val="2"/>
          </rPr>
          <t xml:space="preserve">
Anthropologie’s North American store net sales accounted for approximately 37.3% of consolidated net sales for the three months ended April 30, 2010, compared to 36.0% for the comparable period in fiscal 2010. Anthropologie’s European stores accounted for less than 1% of total consolidated net sales for the three months ended April 30, 2010. 
</t>
        </r>
      </text>
    </comment>
    <comment ref="BM301" authorId="19">
      <text>
        <r>
          <rPr>
            <b/>
            <sz val="9"/>
            <color indexed="81"/>
            <rFont val="Tahoma"/>
            <family val="2"/>
          </rPr>
          <t>Turley, Amber (Research):</t>
        </r>
        <r>
          <rPr>
            <sz val="9"/>
            <color indexed="81"/>
            <rFont val="Tahoma"/>
            <family val="2"/>
          </rPr>
          <t xml:space="preserve">
Anthropologie’s North American store net sales accounted for approximately 37.3% of consolidated net sales for the three months ended April 30, 2010, compared to 36.0% for the comparable period in fiscal 2010. Anthropologie’s European stores accounted for less than 1% of total consolidated net sales for the three months ended April 30, 2010. 
</t>
        </r>
      </text>
    </comment>
    <comment ref="BO301" authorId="19">
      <text>
        <r>
          <rPr>
            <b/>
            <sz val="9"/>
            <color indexed="81"/>
            <rFont val="Tahoma"/>
            <family val="2"/>
          </rPr>
          <t>Turley, Amber (Research):</t>
        </r>
        <r>
          <rPr>
            <sz val="9"/>
            <color indexed="81"/>
            <rFont val="Tahoma"/>
            <family val="2"/>
          </rPr>
          <t xml:space="preserve">
Urban Outfitters’ North American and European store net sales accounted for approximately 31.3% and 5.1% of consolidated net sales, respectively, for the three months ended April 30, 2010, compared to 34.4% and 5.3%, respectively, for the comparable period in fiscal 2010</t>
        </r>
      </text>
    </comment>
    <comment ref="BP301" authorId="19">
      <text>
        <r>
          <rPr>
            <b/>
            <sz val="9"/>
            <color indexed="81"/>
            <rFont val="Tahoma"/>
            <family val="2"/>
          </rPr>
          <t>Turley, Amber (Research):</t>
        </r>
        <r>
          <rPr>
            <sz val="9"/>
            <color indexed="81"/>
            <rFont val="Tahoma"/>
            <family val="2"/>
          </rPr>
          <t xml:space="preserve">
Urban Outfitters’ North American and European store net sales accounted for approximately 31.3% and 5.1% of consolidated net sales, respectively, for the three months ended April 30, 2010, compared to 34.4% and 5.3%, respectively, for the comparable period in fiscal 2010</t>
        </r>
      </text>
    </comment>
    <comment ref="BQ301" authorId="19">
      <text>
        <r>
          <rPr>
            <b/>
            <sz val="9"/>
            <color indexed="81"/>
            <rFont val="Tahoma"/>
            <family val="2"/>
          </rPr>
          <t>Turley, Amber (Research):</t>
        </r>
        <r>
          <rPr>
            <sz val="9"/>
            <color indexed="81"/>
            <rFont val="Tahoma"/>
            <family val="2"/>
          </rPr>
          <t xml:space="preserve">
Anthropologie’s North American store net sales accounted for approximately 37.3% of consolidated net sales for the three months ended April 30, 2010, compared to 36.0% for the comparable period in fiscal 2010. Anthropologie’s European stores accounted for less than 1% of total consolidated net sales for the three months ended April 30, 2010. 
</t>
        </r>
      </text>
    </comment>
    <comment ref="BR301" authorId="19">
      <text>
        <r>
          <rPr>
            <b/>
            <sz val="9"/>
            <color indexed="81"/>
            <rFont val="Tahoma"/>
            <family val="2"/>
          </rPr>
          <t>Turley, Amber (Research):</t>
        </r>
        <r>
          <rPr>
            <sz val="9"/>
            <color indexed="81"/>
            <rFont val="Tahoma"/>
            <family val="2"/>
          </rPr>
          <t xml:space="preserve">
Anthropologie’s North American store net sales accounted for approximately 37.3% of consolidated net sales for the three months ended April 30, 2010, compared to 36.0% for the comparable period in fiscal 2010. Anthropologie’s European stores accounted for less than 1% of total consolidated net sales for the three months ended April 30, 2010. 
</t>
        </r>
      </text>
    </comment>
    <comment ref="K302" authorId="8">
      <text>
        <r>
          <rPr>
            <sz val="8"/>
            <color indexed="81"/>
            <rFont val="Tahoma"/>
            <family val="2"/>
          </rPr>
          <t>10Q: 160 stores of which 135 were located in the US, 7 in Canada and 18 in Europe; opened 3 stores in the qtr all of which within US</t>
        </r>
      </text>
    </comment>
    <comment ref="BJ302" authorId="19">
      <text>
        <r>
          <rPr>
            <b/>
            <sz val="9"/>
            <color indexed="81"/>
            <rFont val="Tahoma"/>
            <family val="2"/>
          </rPr>
          <t>Turley, Amber (Research):</t>
        </r>
        <r>
          <rPr>
            <sz val="9"/>
            <color indexed="81"/>
            <rFont val="Tahoma"/>
            <family val="2"/>
          </rPr>
          <t xml:space="preserve">
Urban Outfitters’ North American and European store net sales accounted for approximately 31.4% and 5.0% of consolidated net sales, respectively, for the six months ended July 31, 2010, compared to 33.9% and 5.2%, respectively, for the comparable period in fiscal 2010. 
</t>
        </r>
      </text>
    </comment>
    <comment ref="BK302" authorId="19">
      <text>
        <r>
          <rPr>
            <b/>
            <sz val="9"/>
            <color indexed="81"/>
            <rFont val="Tahoma"/>
            <family val="2"/>
          </rPr>
          <t>Turley, Amber (Research):</t>
        </r>
        <r>
          <rPr>
            <sz val="9"/>
            <color indexed="81"/>
            <rFont val="Tahoma"/>
            <family val="2"/>
          </rPr>
          <t xml:space="preserve">
Urban Outfitters’ North American and European store net sales accounted for approximately 31.4% and 5.0% of consolidated net sales, respectively, for the six months ended July 31, 2010, compared to 33.9% and 5.2%, respectively, for the comparable period in fiscal 2010. 
</t>
        </r>
      </text>
    </comment>
    <comment ref="BL302" authorId="19">
      <text>
        <r>
          <rPr>
            <b/>
            <sz val="9"/>
            <color indexed="81"/>
            <rFont val="Tahoma"/>
            <family val="2"/>
          </rPr>
          <t>Turley, Amber (Research):</t>
        </r>
        <r>
          <rPr>
            <sz val="9"/>
            <color indexed="81"/>
            <rFont val="Tahoma"/>
            <family val="2"/>
          </rPr>
          <t xml:space="preserve">
Anthropologie’s North American store net sales accounted for approximately 37.1% of consolidated net sales for the six months ended July 31, 2010, compared to 36.9% for the comparable period in fiscal 2010. Anthropologie’s European stores accounted for less than 1% of total consolidated net sales for the six months ended July 31, 2010. 
</t>
        </r>
      </text>
    </comment>
    <comment ref="BM302" authorId="19">
      <text>
        <r>
          <rPr>
            <b/>
            <sz val="9"/>
            <color indexed="81"/>
            <rFont val="Tahoma"/>
            <family val="2"/>
          </rPr>
          <t>Turley, Amber (Research):</t>
        </r>
        <r>
          <rPr>
            <sz val="9"/>
            <color indexed="81"/>
            <rFont val="Tahoma"/>
            <family val="2"/>
          </rPr>
          <t xml:space="preserve">
Anthropologie’s North American store net sales accounted for approximately 37.1% of consolidated net sales for the six months ended July 31, 2010, compared to 36.9% for the comparable period in fiscal 2010. Anthropologie’s European stores accounted for less than 1% of total consolidated net sales for the six months ended July 31, 2010. 
</t>
        </r>
      </text>
    </comment>
    <comment ref="BO302" authorId="19">
      <text>
        <r>
          <rPr>
            <b/>
            <sz val="9"/>
            <color indexed="81"/>
            <rFont val="Tahoma"/>
            <family val="2"/>
          </rPr>
          <t>Turley, Amber (Research):</t>
        </r>
        <r>
          <rPr>
            <sz val="9"/>
            <color indexed="81"/>
            <rFont val="Tahoma"/>
            <family val="2"/>
          </rPr>
          <t xml:space="preserve">
Urban Outfitters’ North American and European store net sales accounted for approximately 31.4% and 5.0% of consolidated net sales, respectively, for the six months ended July 31, 2010, compared to 33.9% and 5.2%, respectively, for the comparable period in fiscal 2010. 
</t>
        </r>
      </text>
    </comment>
    <comment ref="BP302" authorId="19">
      <text>
        <r>
          <rPr>
            <b/>
            <sz val="9"/>
            <color indexed="81"/>
            <rFont val="Tahoma"/>
            <family val="2"/>
          </rPr>
          <t>Turley, Amber (Research):</t>
        </r>
        <r>
          <rPr>
            <sz val="9"/>
            <color indexed="81"/>
            <rFont val="Tahoma"/>
            <family val="2"/>
          </rPr>
          <t xml:space="preserve">
Urban Outfitters’ North American and European store net sales accounted for approximately 31.4% and 5.0% of consolidated net sales, respectively, for the six months ended July 31, 2010, compared to 33.9% and 5.2%, respectively, for the comparable period in fiscal 2010. 
</t>
        </r>
      </text>
    </comment>
    <comment ref="BQ302" authorId="19">
      <text>
        <r>
          <rPr>
            <b/>
            <sz val="9"/>
            <color indexed="81"/>
            <rFont val="Tahoma"/>
            <family val="2"/>
          </rPr>
          <t>Turley, Amber (Research):</t>
        </r>
        <r>
          <rPr>
            <sz val="9"/>
            <color indexed="81"/>
            <rFont val="Tahoma"/>
            <family val="2"/>
          </rPr>
          <t xml:space="preserve">
Anthropologie’s North American store net sales accounted for approximately 37.1% of consolidated net sales for the six months ended July 31, 2010, compared to 36.9% for the comparable period in fiscal 2010. Anthropologie’s European stores accounted for less than 1% of total consolidated net sales for the six months ended July 31, 2010. 
</t>
        </r>
      </text>
    </comment>
    <comment ref="BR302" authorId="19">
      <text>
        <r>
          <rPr>
            <b/>
            <sz val="9"/>
            <color indexed="81"/>
            <rFont val="Tahoma"/>
            <family val="2"/>
          </rPr>
          <t>Turley, Amber (Research):</t>
        </r>
        <r>
          <rPr>
            <sz val="9"/>
            <color indexed="81"/>
            <rFont val="Tahoma"/>
            <family val="2"/>
          </rPr>
          <t xml:space="preserve">
Anthropologie’s North American store net sales accounted for approximately 37.1% of consolidated net sales for the six months ended July 31, 2010, compared to 36.9% for the comparable period in fiscal 2010. Anthropologie’s European stores accounted for less than 1% of total consolidated net sales for the six months ended July 31, 2010. 
</t>
        </r>
      </text>
    </comment>
    <comment ref="K303" authorId="13">
      <text>
        <r>
          <rPr>
            <b/>
            <sz val="8"/>
            <color indexed="81"/>
            <rFont val="Tahoma"/>
            <family val="2"/>
          </rPr>
          <t>nicholjs:</t>
        </r>
        <r>
          <rPr>
            <sz val="8"/>
            <color indexed="81"/>
            <rFont val="Tahoma"/>
            <family val="2"/>
          </rPr>
          <t xml:space="preserve">
+5 domestic, +1 int'l
166 Urban Outfitters stores of which 138 were located in the United States, 9 in Canada and 19 in Europe</t>
        </r>
      </text>
    </comment>
    <comment ref="BJ303" authorId="19">
      <text>
        <r>
          <rPr>
            <b/>
            <sz val="9"/>
            <color indexed="81"/>
            <rFont val="Tahoma"/>
            <family val="2"/>
          </rPr>
          <t>Turley, Amber (Research):</t>
        </r>
        <r>
          <rPr>
            <sz val="9"/>
            <color indexed="81"/>
            <rFont val="Tahoma"/>
            <family val="2"/>
          </rPr>
          <t xml:space="preserve">
Urban Outfitters’ North American and European store net sales accounted for approximately 32.1% and 5.0% of consolidated net sales, respectively, for the nine months ended October 31, 2010, compared to 34.3% and 5.1%, respectively, for the comparable period in fiscal 2010. 
</t>
        </r>
      </text>
    </comment>
    <comment ref="BK303" authorId="19">
      <text>
        <r>
          <rPr>
            <b/>
            <sz val="9"/>
            <color indexed="81"/>
            <rFont val="Tahoma"/>
            <family val="2"/>
          </rPr>
          <t>Turley, Amber (Research):</t>
        </r>
        <r>
          <rPr>
            <sz val="9"/>
            <color indexed="81"/>
            <rFont val="Tahoma"/>
            <family val="2"/>
          </rPr>
          <t xml:space="preserve">
Urban Outfitters’ North American and European store net sales accounted for approximately 32.1% and 5.0% of consolidated net sales, respectively, for the nine months ended October 31, 2010, compared to 34.3% and 5.1%, respectively, for the comparable period in fiscal 2010. 
</t>
        </r>
      </text>
    </comment>
    <comment ref="BL303" authorId="19">
      <text>
        <r>
          <rPr>
            <b/>
            <sz val="9"/>
            <color indexed="81"/>
            <rFont val="Tahoma"/>
            <family val="2"/>
          </rPr>
          <t>Turley, Amber (Research):</t>
        </r>
        <r>
          <rPr>
            <sz val="9"/>
            <color indexed="81"/>
            <rFont val="Tahoma"/>
            <family val="2"/>
          </rPr>
          <t xml:space="preserve">
Anthropologie’s North American store net sales accounted for approximately 36.0% of consolidated net sales for the nine months ended October 31, 2010, compared to 36.5% for the comparable period in fiscal 2010. Anthropologie’s European stores accounted for less than 1% of total consolidated net sales for the nine months ended October 31, 2010 and October 31, 2009. 
</t>
        </r>
      </text>
    </comment>
    <comment ref="BM303" authorId="19">
      <text>
        <r>
          <rPr>
            <b/>
            <sz val="9"/>
            <color indexed="81"/>
            <rFont val="Tahoma"/>
            <family val="2"/>
          </rPr>
          <t>Turley, Amber (Research):</t>
        </r>
        <r>
          <rPr>
            <sz val="9"/>
            <color indexed="81"/>
            <rFont val="Tahoma"/>
            <family val="2"/>
          </rPr>
          <t xml:space="preserve">
Anthropologie’s North American store net sales accounted for approximately 36.0% of consolidated net sales for the nine months ended October 31, 2010, compared to 36.5% for the comparable period in fiscal 2010. Anthropologie’s European stores accounted for less than 1% of total consolidated net sales for the nine months ended October 31, 2010 and October 31, 2009. 
</t>
        </r>
      </text>
    </comment>
    <comment ref="BO303" authorId="19">
      <text>
        <r>
          <rPr>
            <b/>
            <sz val="9"/>
            <color indexed="81"/>
            <rFont val="Tahoma"/>
            <family val="2"/>
          </rPr>
          <t>Turley, Amber (Research):</t>
        </r>
        <r>
          <rPr>
            <sz val="9"/>
            <color indexed="81"/>
            <rFont val="Tahoma"/>
            <family val="2"/>
          </rPr>
          <t xml:space="preserve">
Urban Outfitters’ North American and European store net sales accounted for approximately 32.1% and 5.0% of consolidated net sales, respectively, for the nine months ended October 31, 2010, compared to 34.3% and 5.1%, respectively, for the comparable period in fiscal 2010. 
</t>
        </r>
      </text>
    </comment>
    <comment ref="BP303" authorId="19">
      <text>
        <r>
          <rPr>
            <b/>
            <sz val="9"/>
            <color indexed="81"/>
            <rFont val="Tahoma"/>
            <family val="2"/>
          </rPr>
          <t>Turley, Amber (Research):</t>
        </r>
        <r>
          <rPr>
            <sz val="9"/>
            <color indexed="81"/>
            <rFont val="Tahoma"/>
            <family val="2"/>
          </rPr>
          <t xml:space="preserve">
Urban Outfitters’ North American and European store net sales accounted for approximately 32.1% and 5.0% of consolidated net sales, respectively, for the nine months ended October 31, 2010, compared to 34.3% and 5.1%, respectively, for the comparable period in fiscal 2010. 
</t>
        </r>
      </text>
    </comment>
    <comment ref="BQ303" authorId="19">
      <text>
        <r>
          <rPr>
            <b/>
            <sz val="9"/>
            <color indexed="81"/>
            <rFont val="Tahoma"/>
            <family val="2"/>
          </rPr>
          <t>Turley, Amber (Research):</t>
        </r>
        <r>
          <rPr>
            <sz val="9"/>
            <color indexed="81"/>
            <rFont val="Tahoma"/>
            <family val="2"/>
          </rPr>
          <t xml:space="preserve">
Anthropologie’s North American store net sales accounted for approximately 36.0% of consolidated net sales for the nine months ended October 31, 2010, compared to 36.5% for the comparable period in fiscal 2010. Anthropologie’s European stores accounted for less than 1% of total consolidated net sales for the nine months ended October 31, 2010 and October 31, 2009. 
</t>
        </r>
      </text>
    </comment>
    <comment ref="BR303" authorId="19">
      <text>
        <r>
          <rPr>
            <b/>
            <sz val="9"/>
            <color indexed="81"/>
            <rFont val="Tahoma"/>
            <family val="2"/>
          </rPr>
          <t>Turley, Amber (Research):</t>
        </r>
        <r>
          <rPr>
            <sz val="9"/>
            <color indexed="81"/>
            <rFont val="Tahoma"/>
            <family val="2"/>
          </rPr>
          <t xml:space="preserve">
Anthropologie’s North American store net sales accounted for approximately 36.0% of consolidated net sales for the nine months ended October 31, 2010, compared to 36.5% for the comparable period in fiscal 2010. Anthropologie’s European stores accounted for less than 1% of total consolidated net sales for the nine months ended October 31, 2010 and October 31, 2009. 
</t>
        </r>
      </text>
    </comment>
    <comment ref="G304" authorId="13">
      <text>
        <r>
          <rPr>
            <b/>
            <sz val="8"/>
            <color indexed="81"/>
            <rFont val="Tahoma"/>
            <family val="2"/>
          </rPr>
          <t>nicholjs:</t>
        </r>
        <r>
          <rPr>
            <sz val="8"/>
            <color indexed="81"/>
            <rFont val="Tahoma"/>
            <family val="2"/>
          </rPr>
          <t xml:space="preserve">
down 1 or 2 good place
Holiday retail comp +6%
4Q retail comp +5%</t>
        </r>
      </text>
    </comment>
    <comment ref="K304" authorId="13">
      <text>
        <r>
          <rPr>
            <b/>
            <sz val="8"/>
            <color indexed="81"/>
            <rFont val="Tahoma"/>
            <family val="2"/>
          </rPr>
          <t>nicholjs:</t>
        </r>
        <r>
          <rPr>
            <sz val="8"/>
            <color indexed="81"/>
            <rFont val="Tahoma"/>
            <family val="2"/>
          </rPr>
          <t xml:space="preserve">
+7 NA
+3 Europe
includes: 
144 stores US
10 stores Canada
22 stores Europe
</t>
        </r>
      </text>
    </comment>
    <comment ref="BJ304" authorId="19">
      <text>
        <r>
          <rPr>
            <b/>
            <sz val="9"/>
            <color indexed="81"/>
            <rFont val="Tahoma"/>
            <family val="2"/>
          </rPr>
          <t>Turley, Amber (Research):</t>
        </r>
        <r>
          <rPr>
            <sz val="9"/>
            <color indexed="81"/>
            <rFont val="Tahoma"/>
            <family val="2"/>
          </rPr>
          <t xml:space="preserve">
Urban Outfitters’ North American and European store sales accounted for approximately 31.8% and 5.3% of consolidated net sales, respectively, for fiscal 2011. 
</t>
        </r>
      </text>
    </comment>
    <comment ref="BK304" authorId="19">
      <text>
        <r>
          <rPr>
            <b/>
            <sz val="9"/>
            <color indexed="81"/>
            <rFont val="Tahoma"/>
            <family val="2"/>
          </rPr>
          <t>Turley, Amber (Research):</t>
        </r>
        <r>
          <rPr>
            <sz val="9"/>
            <color indexed="81"/>
            <rFont val="Tahoma"/>
            <family val="2"/>
          </rPr>
          <t xml:space="preserve">
Urban Outfitters’ North American and European store sales accounted for approximately 31.8% and 5.3% of consolidated net sales, respectively, for fiscal 2011. 
</t>
        </r>
      </text>
    </comment>
    <comment ref="BL304" authorId="19">
      <text>
        <r>
          <rPr>
            <b/>
            <sz val="9"/>
            <color indexed="81"/>
            <rFont val="Tahoma"/>
            <family val="2"/>
          </rPr>
          <t>Turley, Amber (Research):</t>
        </r>
        <r>
          <rPr>
            <sz val="9"/>
            <color indexed="81"/>
            <rFont val="Tahoma"/>
            <family val="2"/>
          </rPr>
          <t xml:space="preserve">
Anthropologie’s North American and European store sales accounted for approximately 35.1% and 0.8% of consolidated net sales, respectively, for fiscal 2011. 
</t>
        </r>
      </text>
    </comment>
    <comment ref="BM304" authorId="19">
      <text>
        <r>
          <rPr>
            <b/>
            <sz val="9"/>
            <color indexed="81"/>
            <rFont val="Tahoma"/>
            <family val="2"/>
          </rPr>
          <t>Turley, Amber (Research):</t>
        </r>
        <r>
          <rPr>
            <sz val="9"/>
            <color indexed="81"/>
            <rFont val="Tahoma"/>
            <family val="2"/>
          </rPr>
          <t xml:space="preserve">
Anthropologie’s North American and European store sales accounted for approximately 35.1% and 0.8% of consolidated net sales, respectively, for fiscal 2011. 
</t>
        </r>
      </text>
    </comment>
    <comment ref="BO304" authorId="19">
      <text>
        <r>
          <rPr>
            <b/>
            <sz val="9"/>
            <color indexed="81"/>
            <rFont val="Tahoma"/>
            <family val="2"/>
          </rPr>
          <t>Turley, Amber (Research):</t>
        </r>
        <r>
          <rPr>
            <sz val="9"/>
            <color indexed="81"/>
            <rFont val="Tahoma"/>
            <family val="2"/>
          </rPr>
          <t xml:space="preserve">
Urban Outfitters’ North American and European store sales accounted for approximately 31.8% and 5.3% of consolidated net sales, respectively, for fiscal 2011. 
</t>
        </r>
      </text>
    </comment>
    <comment ref="BP304" authorId="19">
      <text>
        <r>
          <rPr>
            <b/>
            <sz val="9"/>
            <color indexed="81"/>
            <rFont val="Tahoma"/>
            <family val="2"/>
          </rPr>
          <t>Turley, Amber (Research):</t>
        </r>
        <r>
          <rPr>
            <sz val="9"/>
            <color indexed="81"/>
            <rFont val="Tahoma"/>
            <family val="2"/>
          </rPr>
          <t xml:space="preserve">
Urban Outfitters’ North American and European store sales accounted for approximately 31.8% and 5.3% of consolidated net sales, respectively, for fiscal 2011. 
</t>
        </r>
      </text>
    </comment>
    <comment ref="BQ304" authorId="19">
      <text>
        <r>
          <rPr>
            <b/>
            <sz val="9"/>
            <color indexed="81"/>
            <rFont val="Tahoma"/>
            <family val="2"/>
          </rPr>
          <t>Turley, Amber (Research):</t>
        </r>
        <r>
          <rPr>
            <sz val="9"/>
            <color indexed="81"/>
            <rFont val="Tahoma"/>
            <family val="2"/>
          </rPr>
          <t xml:space="preserve">
Anthropologie’s North American and European store sales accounted for approximately 35.1% and 0.8% of consolidated net sales, respectively, for fiscal 2011. 
</t>
        </r>
      </text>
    </comment>
    <comment ref="BR304" authorId="19">
      <text>
        <r>
          <rPr>
            <b/>
            <sz val="9"/>
            <color indexed="81"/>
            <rFont val="Tahoma"/>
            <family val="2"/>
          </rPr>
          <t>Turley, Amber (Research):</t>
        </r>
        <r>
          <rPr>
            <sz val="9"/>
            <color indexed="81"/>
            <rFont val="Tahoma"/>
            <family val="2"/>
          </rPr>
          <t xml:space="preserve">
Anthropologie’s North American and European store sales accounted for approximately 35.1% and 0.8% of consolidated net sales, respectively, for fiscal 2011. 
</t>
        </r>
      </text>
    </comment>
    <comment ref="Z305" authorId="13">
      <text>
        <r>
          <rPr>
            <b/>
            <sz val="8"/>
            <color indexed="81"/>
            <rFont val="Tahoma"/>
            <family val="2"/>
          </rPr>
          <t>nicholjs:</t>
        </r>
        <r>
          <rPr>
            <sz val="8"/>
            <color indexed="81"/>
            <rFont val="Tahoma"/>
            <family val="2"/>
          </rPr>
          <t xml:space="preserve">
UO Euro $6.4mm avg sales per store
avg selling sq ft is higher in Europe = 12,000. some of the legacy stores are larger. New stores more in the 9-10k range. (6/28)</t>
        </r>
      </text>
    </comment>
    <comment ref="BJ305" authorId="19">
      <text>
        <r>
          <rPr>
            <b/>
            <sz val="9"/>
            <color indexed="81"/>
            <rFont val="Tahoma"/>
            <family val="2"/>
          </rPr>
          <t>Turley, Amber (Research):</t>
        </r>
        <r>
          <rPr>
            <sz val="9"/>
            <color indexed="81"/>
            <rFont val="Tahoma"/>
            <family val="2"/>
          </rPr>
          <t xml:space="preserve">
Urban Outfitters’ North American and European store sales accounted for approximately 31.8% and 5.3% of consolidated net sales, respectively, for fiscal 2011. 
</t>
        </r>
      </text>
    </comment>
    <comment ref="BK305" authorId="19">
      <text>
        <r>
          <rPr>
            <b/>
            <sz val="9"/>
            <color indexed="81"/>
            <rFont val="Tahoma"/>
            <family val="2"/>
          </rPr>
          <t>Turley, Amber (Research):</t>
        </r>
        <r>
          <rPr>
            <sz val="9"/>
            <color indexed="81"/>
            <rFont val="Tahoma"/>
            <family val="2"/>
          </rPr>
          <t xml:space="preserve">
Urban Outfitters’ North American and European store sales accounted for approximately 31.8% and 5.3% of consolidated net sales, respectively, for fiscal 2011. 
</t>
        </r>
      </text>
    </comment>
    <comment ref="BL305" authorId="19">
      <text>
        <r>
          <rPr>
            <b/>
            <sz val="9"/>
            <color indexed="81"/>
            <rFont val="Tahoma"/>
            <family val="2"/>
          </rPr>
          <t>Turley, Amber (Research):</t>
        </r>
        <r>
          <rPr>
            <sz val="9"/>
            <color indexed="81"/>
            <rFont val="Tahoma"/>
            <family val="2"/>
          </rPr>
          <t xml:space="preserve">
Anthropologie’s North American and European store sales accounted for approximately 35.1% and 0.8% of consolidated net sales, respectively, for fiscal 2011. 
</t>
        </r>
      </text>
    </comment>
    <comment ref="BM305" authorId="19">
      <text>
        <r>
          <rPr>
            <b/>
            <sz val="9"/>
            <color indexed="81"/>
            <rFont val="Tahoma"/>
            <family val="2"/>
          </rPr>
          <t>Turley, Amber (Research):</t>
        </r>
        <r>
          <rPr>
            <sz val="9"/>
            <color indexed="81"/>
            <rFont val="Tahoma"/>
            <family val="2"/>
          </rPr>
          <t xml:space="preserve">
Anthropologie’s North American and European store sales accounted for approximately 35.1% and 0.8% of consolidated net sales, respectively, for fiscal 2011. 
</t>
        </r>
      </text>
    </comment>
    <comment ref="BO305" authorId="19">
      <text>
        <r>
          <rPr>
            <b/>
            <sz val="9"/>
            <color indexed="81"/>
            <rFont val="Tahoma"/>
            <family val="2"/>
          </rPr>
          <t>Turley, Amber (Research):</t>
        </r>
        <r>
          <rPr>
            <sz val="9"/>
            <color indexed="81"/>
            <rFont val="Tahoma"/>
            <family val="2"/>
          </rPr>
          <t xml:space="preserve">
Urban Outfitters’ North American and European store sales accounted for approximately 31.8% and 5.3% of consolidated net sales, respectively, for fiscal 2011. 
</t>
        </r>
      </text>
    </comment>
    <comment ref="BP305" authorId="19">
      <text>
        <r>
          <rPr>
            <b/>
            <sz val="9"/>
            <color indexed="81"/>
            <rFont val="Tahoma"/>
            <family val="2"/>
          </rPr>
          <t>Turley, Amber (Research):</t>
        </r>
        <r>
          <rPr>
            <sz val="9"/>
            <color indexed="81"/>
            <rFont val="Tahoma"/>
            <family val="2"/>
          </rPr>
          <t xml:space="preserve">
Urban Outfitters’ North American and European store sales accounted for approximately 31.8% and 5.3% of consolidated net sales, respectively, for fiscal 2011. 
</t>
        </r>
      </text>
    </comment>
    <comment ref="BQ305" authorId="19">
      <text>
        <r>
          <rPr>
            <b/>
            <sz val="9"/>
            <color indexed="81"/>
            <rFont val="Tahoma"/>
            <family val="2"/>
          </rPr>
          <t>Turley, Amber (Research):</t>
        </r>
        <r>
          <rPr>
            <sz val="9"/>
            <color indexed="81"/>
            <rFont val="Tahoma"/>
            <family val="2"/>
          </rPr>
          <t xml:space="preserve">
Anthropologie’s North American and European store sales accounted for approximately 35.1% and 0.8% of consolidated net sales, respectively, for fiscal 2011. 
</t>
        </r>
      </text>
    </comment>
    <comment ref="BR305" authorId="19">
      <text>
        <r>
          <rPr>
            <b/>
            <sz val="9"/>
            <color indexed="81"/>
            <rFont val="Tahoma"/>
            <family val="2"/>
          </rPr>
          <t>Turley, Amber (Research):</t>
        </r>
        <r>
          <rPr>
            <sz val="9"/>
            <color indexed="81"/>
            <rFont val="Tahoma"/>
            <family val="2"/>
          </rPr>
          <t xml:space="preserve">
Anthropologie’s North American and European store sales accounted for approximately 35.1% and 0.8% of consolidated net sales, respectively, for fiscal 2011. 
</t>
        </r>
      </text>
    </comment>
    <comment ref="G308" authorId="13">
      <text>
        <r>
          <rPr>
            <b/>
            <sz val="8"/>
            <color indexed="81"/>
            <rFont val="Tahoma"/>
            <family val="2"/>
          </rPr>
          <t>nicholjs:</t>
        </r>
        <r>
          <rPr>
            <sz val="8"/>
            <color indexed="81"/>
            <rFont val="Tahoma"/>
            <family val="2"/>
          </rPr>
          <t xml:space="preserve">
-2% good.  Domestic a little bit closer to -1% and Europe a bit more negative.
could bring in a pt from 2.5
Retail Segment comp UO div +1.2%</t>
        </r>
      </text>
    </comment>
    <comment ref="K308" authorId="13">
      <text>
        <r>
          <rPr>
            <b/>
            <sz val="8"/>
            <color indexed="81"/>
            <rFont val="Tahoma"/>
            <family val="2"/>
          </rPr>
          <t>nicholjs:</t>
        </r>
        <r>
          <rPr>
            <sz val="8"/>
            <color indexed="81"/>
            <rFont val="Tahoma"/>
            <family val="2"/>
          </rPr>
          <t xml:space="preserve">
146 in the US, 10 in Canada, and 22 in Europe. During Q, opened 2 located in the US.</t>
        </r>
      </text>
    </comment>
    <comment ref="T308" authorId="13">
      <text>
        <r>
          <rPr>
            <b/>
            <sz val="8"/>
            <color indexed="81"/>
            <rFont val="Tahoma"/>
            <family val="2"/>
          </rPr>
          <t>nicholjs:</t>
        </r>
        <r>
          <rPr>
            <sz val="8"/>
            <color indexed="81"/>
            <rFont val="Tahoma"/>
            <family val="2"/>
          </rPr>
          <t xml:space="preserve">
Urban 5th ave could skew productivity</t>
        </r>
      </text>
    </comment>
    <comment ref="BJ308" authorId="19">
      <text>
        <r>
          <rPr>
            <b/>
            <sz val="9"/>
            <color indexed="81"/>
            <rFont val="Tahoma"/>
            <family val="2"/>
          </rPr>
          <t>Turley, Amber (Research):</t>
        </r>
        <r>
          <rPr>
            <sz val="9"/>
            <color indexed="81"/>
            <rFont val="Tahoma"/>
            <family val="2"/>
          </rPr>
          <t xml:space="preserve">
Urban Outfitters’ North American and European store net sales accounted for approximately 31.3% and 5.3% of consolidated net sales, respectively, for the three months ended April 30, 2011, compared to 31.3% and 5.1%, respectively, for the comparable period in fiscal 2011</t>
        </r>
      </text>
    </comment>
    <comment ref="BK308" authorId="19">
      <text>
        <r>
          <rPr>
            <b/>
            <sz val="9"/>
            <color indexed="81"/>
            <rFont val="Tahoma"/>
            <family val="2"/>
          </rPr>
          <t>Turley, Amber (Research):</t>
        </r>
        <r>
          <rPr>
            <sz val="9"/>
            <color indexed="81"/>
            <rFont val="Tahoma"/>
            <family val="2"/>
          </rPr>
          <t xml:space="preserve">
Urban Outfitters’ North American and European store net sales accounted for approximately 31.3% and 5.3% of consolidated net sales, respectively, for the three months ended April 30, 2011, compared to 31.3% and 5.1%, respectively, for the comparable period in fiscal 2011</t>
        </r>
      </text>
    </comment>
    <comment ref="BL308" authorId="19">
      <text>
        <r>
          <rPr>
            <b/>
            <sz val="9"/>
            <color indexed="81"/>
            <rFont val="Tahoma"/>
            <family val="2"/>
          </rPr>
          <t>Turley, Amber (Research):</t>
        </r>
        <r>
          <rPr>
            <sz val="9"/>
            <color indexed="81"/>
            <rFont val="Tahoma"/>
            <family val="2"/>
          </rPr>
          <t xml:space="preserve">
Anthropologie’s North American store net sales accounted for approximately 34.3% of consolidated net sales for the three months ended April 30, 2011, compared to 37.3% for the comparable period in fiscal 2011. Anthropologie’s European stores accounted for less than 1% of total consolidated net sales for each of the three months ended April 30, 2011 and April 30, 2010. 
</t>
        </r>
      </text>
    </comment>
    <comment ref="BM308" authorId="19">
      <text>
        <r>
          <rPr>
            <b/>
            <sz val="9"/>
            <color indexed="81"/>
            <rFont val="Tahoma"/>
            <family val="2"/>
          </rPr>
          <t>Turley, Amber (Research):</t>
        </r>
        <r>
          <rPr>
            <sz val="9"/>
            <color indexed="81"/>
            <rFont val="Tahoma"/>
            <family val="2"/>
          </rPr>
          <t xml:space="preserve">
Anthropologie’s North American store net sales accounted for approximately 34.3% of consolidated net sales for the three months ended April 30, 2011, compared to 37.3% for the comparable period in fiscal 2011. Anthropologie’s European stores accounted for less than 1% of total consolidated net sales for each of the three months ended April 30, 2011 and April 30, 2010. 
</t>
        </r>
      </text>
    </comment>
    <comment ref="BO308" authorId="19">
      <text>
        <r>
          <rPr>
            <b/>
            <sz val="9"/>
            <color indexed="81"/>
            <rFont val="Tahoma"/>
            <family val="2"/>
          </rPr>
          <t>Turley, Amber (Research):</t>
        </r>
        <r>
          <rPr>
            <sz val="9"/>
            <color indexed="81"/>
            <rFont val="Tahoma"/>
            <family val="2"/>
          </rPr>
          <t xml:space="preserve">
Urban Outfitters’ North American and European store net sales accounted for approximately 31.3% and 5.3% of consolidated net sales, respectively, for the three months ended April 30, 2011, compared to 31.3% and 5.1%, respectively, for the comparable period in fiscal 2011</t>
        </r>
      </text>
    </comment>
    <comment ref="BP308" authorId="19">
      <text>
        <r>
          <rPr>
            <b/>
            <sz val="9"/>
            <color indexed="81"/>
            <rFont val="Tahoma"/>
            <family val="2"/>
          </rPr>
          <t>Turley, Amber (Research):</t>
        </r>
        <r>
          <rPr>
            <sz val="9"/>
            <color indexed="81"/>
            <rFont val="Tahoma"/>
            <family val="2"/>
          </rPr>
          <t xml:space="preserve">
Urban Outfitters’ North American and European store net sales accounted for approximately 31.3% and 5.3% of consolidated net sales, respectively, for the three months ended April 30, 2011, compared to 31.3% and 5.1%, respectively, for the comparable period in fiscal 2011</t>
        </r>
      </text>
    </comment>
    <comment ref="BQ308" authorId="19">
      <text>
        <r>
          <rPr>
            <b/>
            <sz val="9"/>
            <color indexed="81"/>
            <rFont val="Tahoma"/>
            <family val="2"/>
          </rPr>
          <t>Turley, Amber (Research):</t>
        </r>
        <r>
          <rPr>
            <sz val="9"/>
            <color indexed="81"/>
            <rFont val="Tahoma"/>
            <family val="2"/>
          </rPr>
          <t xml:space="preserve">
Anthropologie’s North American store net sales accounted for approximately 34.3% of consolidated net sales for the three months ended April 30, 2011, compared to 37.3% for the comparable period in fiscal 2011. Anthropologie’s European stores accounted for less than 1% of total consolidated net sales for each of the three months ended April 30, 2011 and April 30, 2010. 
</t>
        </r>
      </text>
    </comment>
    <comment ref="BR308" authorId="19">
      <text>
        <r>
          <rPr>
            <b/>
            <sz val="9"/>
            <color indexed="81"/>
            <rFont val="Tahoma"/>
            <family val="2"/>
          </rPr>
          <t>Turley, Amber (Research):</t>
        </r>
        <r>
          <rPr>
            <sz val="9"/>
            <color indexed="81"/>
            <rFont val="Tahoma"/>
            <family val="2"/>
          </rPr>
          <t xml:space="preserve">
Anthropologie’s North American store net sales accounted for approximately 34.3% of consolidated net sales for the three months ended April 30, 2011, compared to 37.3% for the comparable period in fiscal 2011. Anthropologie’s European stores accounted for less than 1% of total consolidated net sales for each of the three months ended April 30, 2011 and April 30, 2010. 
</t>
        </r>
      </text>
    </comment>
    <comment ref="G309" authorId="13">
      <text>
        <r>
          <rPr>
            <b/>
            <sz val="8"/>
            <color indexed="81"/>
            <rFont val="Tahoma"/>
            <family val="2"/>
          </rPr>
          <t>nicholjs:</t>
        </r>
        <r>
          <rPr>
            <sz val="8"/>
            <color indexed="81"/>
            <rFont val="Tahoma"/>
            <family val="2"/>
          </rPr>
          <t xml:space="preserve">
-2% ok
Retail Seg comp +1%</t>
        </r>
      </text>
    </comment>
    <comment ref="K309" authorId="13">
      <text>
        <r>
          <rPr>
            <b/>
            <sz val="8"/>
            <color indexed="81"/>
            <rFont val="Tahoma"/>
            <family val="2"/>
          </rPr>
          <t>nicholjs:</t>
        </r>
        <r>
          <rPr>
            <sz val="8"/>
            <color indexed="81"/>
            <rFont val="Tahoma"/>
            <family val="2"/>
          </rPr>
          <t xml:space="preserve">
opened 2 stores in US
148 in the US, 10 in Canada, 22 in Europe.</t>
        </r>
      </text>
    </comment>
    <comment ref="BJ309" authorId="19">
      <text>
        <r>
          <rPr>
            <b/>
            <sz val="9"/>
            <color indexed="81"/>
            <rFont val="Tahoma"/>
            <family val="2"/>
          </rPr>
          <t>Turley, Amber (Research):</t>
        </r>
        <r>
          <rPr>
            <sz val="9"/>
            <color indexed="81"/>
            <rFont val="Tahoma"/>
            <family val="2"/>
          </rPr>
          <t xml:space="preserve">
Urban Outfitters’ North American and European store net sales accounted for approximately 31.2% and 5.4% of consolidated net sales, respectively, for the six months ended July 31, 2011, compared to 31.4% and 5.0%, respectively, for the comparable period in fiscal 2011</t>
        </r>
      </text>
    </comment>
    <comment ref="BK309" authorId="19">
      <text>
        <r>
          <rPr>
            <b/>
            <sz val="9"/>
            <color indexed="81"/>
            <rFont val="Tahoma"/>
            <family val="2"/>
          </rPr>
          <t>Turley, Amber (Research):</t>
        </r>
        <r>
          <rPr>
            <sz val="9"/>
            <color indexed="81"/>
            <rFont val="Tahoma"/>
            <family val="2"/>
          </rPr>
          <t xml:space="preserve">
Urban Outfitters’ North American and European store net sales accounted for approximately 31.2% and 5.4% of consolidated net sales, respectively, for the six months ended July 31, 2011, compared to 31.4% and 5.0%, respectively, for the comparable period in fiscal 2011</t>
        </r>
      </text>
    </comment>
    <comment ref="BL309" authorId="19">
      <text>
        <r>
          <rPr>
            <b/>
            <sz val="9"/>
            <color indexed="81"/>
            <rFont val="Tahoma"/>
            <family val="2"/>
          </rPr>
          <t>Turley, Amber (Research):</t>
        </r>
        <r>
          <rPr>
            <sz val="9"/>
            <color indexed="81"/>
            <rFont val="Tahoma"/>
            <family val="2"/>
          </rPr>
          <t xml:space="preserve">
Anthropologie’s North American store net sales accounted for approximately 34.9% of consolidated net sales for the six months ended July 31, 2011, compared to 37.1% for the comparable period in fiscal 2011. Anthropologie’s European stores accounted for less than 1% of total consolidated net sales for each of the six months ended July 31, 2011 and July 31, 2010. 
</t>
        </r>
      </text>
    </comment>
    <comment ref="BM309" authorId="19">
      <text>
        <r>
          <rPr>
            <b/>
            <sz val="9"/>
            <color indexed="81"/>
            <rFont val="Tahoma"/>
            <family val="2"/>
          </rPr>
          <t>Turley, Amber (Research):</t>
        </r>
        <r>
          <rPr>
            <sz val="9"/>
            <color indexed="81"/>
            <rFont val="Tahoma"/>
            <family val="2"/>
          </rPr>
          <t xml:space="preserve">
Anthropologie’s North American store net sales accounted for approximately 34.9% of consolidated net sales for the six months ended July 31, 2011, compared to 37.1% for the comparable period in fiscal 2011. Anthropologie’s European stores accounted for less than 1% of total consolidated net sales for each of the six months ended July 31, 2011 and July 31, 2010. 
</t>
        </r>
      </text>
    </comment>
    <comment ref="BO309" authorId="19">
      <text>
        <r>
          <rPr>
            <b/>
            <sz val="9"/>
            <color indexed="81"/>
            <rFont val="Tahoma"/>
            <family val="2"/>
          </rPr>
          <t>Turley, Amber (Research):</t>
        </r>
        <r>
          <rPr>
            <sz val="9"/>
            <color indexed="81"/>
            <rFont val="Tahoma"/>
            <family val="2"/>
          </rPr>
          <t xml:space="preserve">
Urban Outfitters’ North American and European store net sales accounted for approximately 31.2% and 5.4% of consolidated net sales, respectively, for the six months ended July 31, 2011, compared to 31.4% and 5.0%, respectively, for the comparable period in fiscal 2011</t>
        </r>
      </text>
    </comment>
    <comment ref="BP309" authorId="19">
      <text>
        <r>
          <rPr>
            <b/>
            <sz val="9"/>
            <color indexed="81"/>
            <rFont val="Tahoma"/>
            <family val="2"/>
          </rPr>
          <t>Turley, Amber (Research):</t>
        </r>
        <r>
          <rPr>
            <sz val="9"/>
            <color indexed="81"/>
            <rFont val="Tahoma"/>
            <family val="2"/>
          </rPr>
          <t xml:space="preserve">
Urban Outfitters’ North American and European store net sales accounted for approximately 31.2% and 5.4% of consolidated net sales, respectively, for the six months ended July 31, 2011, compared to 31.4% and 5.0%, respectively, for the comparable period in fiscal 2011</t>
        </r>
      </text>
    </comment>
    <comment ref="BQ309" authorId="19">
      <text>
        <r>
          <rPr>
            <b/>
            <sz val="9"/>
            <color indexed="81"/>
            <rFont val="Tahoma"/>
            <family val="2"/>
          </rPr>
          <t>Turley, Amber (Research):</t>
        </r>
        <r>
          <rPr>
            <sz val="9"/>
            <color indexed="81"/>
            <rFont val="Tahoma"/>
            <family val="2"/>
          </rPr>
          <t xml:space="preserve">
Anthropologie’s North American store net sales accounted for approximately 34.9% of consolidated net sales for the six months ended July 31, 2011, compared to 37.1% for the comparable period in fiscal 2011. Anthropologie’s European stores accounted for less than 1% of total consolidated net sales for each of the six months ended July 31, 2011 and July 31, 2010. 
</t>
        </r>
      </text>
    </comment>
    <comment ref="BR309" authorId="19">
      <text>
        <r>
          <rPr>
            <b/>
            <sz val="9"/>
            <color indexed="81"/>
            <rFont val="Tahoma"/>
            <family val="2"/>
          </rPr>
          <t>Turley, Amber (Research):</t>
        </r>
        <r>
          <rPr>
            <sz val="9"/>
            <color indexed="81"/>
            <rFont val="Tahoma"/>
            <family val="2"/>
          </rPr>
          <t xml:space="preserve">
Anthropologie’s North American store net sales accounted for approximately 34.9% of consolidated net sales for the six months ended July 31, 2011, compared to 37.1% for the comparable period in fiscal 2011. Anthropologie’s European stores accounted for less than 1% of total consolidated net sales for each of the six months ended July 31, 2011 and July 31, 2010. 
</t>
        </r>
      </text>
    </comment>
    <comment ref="G310" authorId="13">
      <text>
        <r>
          <rPr>
            <b/>
            <sz val="8"/>
            <color indexed="81"/>
            <rFont val="Tahoma"/>
            <family val="2"/>
          </rPr>
          <t>nicholjs:</t>
        </r>
        <r>
          <rPr>
            <sz val="8"/>
            <color indexed="81"/>
            <rFont val="Tahoma"/>
            <family val="2"/>
          </rPr>
          <t xml:space="preserve">
9/6/2011: flat OK
+3% ok
higher chance that UO would be a bit more positive than Anthro</t>
        </r>
      </text>
    </comment>
    <comment ref="K310" authorId="14">
      <text>
        <r>
          <rPr>
            <b/>
            <sz val="8"/>
            <color indexed="81"/>
            <rFont val="Tahoma"/>
            <family val="2"/>
          </rPr>
          <t>lauraro:</t>
        </r>
        <r>
          <rPr>
            <sz val="8"/>
            <color indexed="81"/>
            <rFont val="Tahoma"/>
            <family val="2"/>
          </rPr>
          <t xml:space="preserve">
11/7: During 3Q:
+7 Urban Outfitters stores 
187 U.O. in US, Canada and Europe
153 in US
10 Canada
24 Europe</t>
        </r>
      </text>
    </comment>
    <comment ref="BJ310" authorId="19">
      <text>
        <r>
          <rPr>
            <b/>
            <sz val="9"/>
            <color indexed="81"/>
            <rFont val="Tahoma"/>
            <family val="2"/>
          </rPr>
          <t>Turley, Amber (Research):</t>
        </r>
        <r>
          <rPr>
            <sz val="9"/>
            <color indexed="81"/>
            <rFont val="Tahoma"/>
            <family val="2"/>
          </rPr>
          <t xml:space="preserve">
3Q 10-Q:  Urban Outfitters’ North American and European store net sales accounted for approximately 31.9% and 5.5% of consolidated net sales, respectively, for the nine months ended October 31, 2011, compared to 32.1% and 5.0%, respectively, for the comparable period in fiscal 2011. 
</t>
        </r>
      </text>
    </comment>
    <comment ref="BK310" authorId="19">
      <text>
        <r>
          <rPr>
            <b/>
            <sz val="9"/>
            <color indexed="81"/>
            <rFont val="Tahoma"/>
            <family val="2"/>
          </rPr>
          <t>Turley, Amber (Research):</t>
        </r>
        <r>
          <rPr>
            <sz val="9"/>
            <color indexed="81"/>
            <rFont val="Tahoma"/>
            <family val="2"/>
          </rPr>
          <t xml:space="preserve">
3Q 10-Q:  Urban Outfitters’ North American and European store net sales accounted for approximately 31.9% and 5.5% of consolidated net sales, respectively, for the nine months ended October 31, 2011, compared to 32.1% and 5.0%, respectively, for the comparable period in fiscal 2011. 
</t>
        </r>
      </text>
    </comment>
    <comment ref="BL310" authorId="19">
      <text>
        <r>
          <rPr>
            <b/>
            <sz val="9"/>
            <color indexed="81"/>
            <rFont val="Tahoma"/>
            <family val="2"/>
          </rPr>
          <t>Turley, Amber (Research):</t>
        </r>
        <r>
          <rPr>
            <sz val="9"/>
            <color indexed="81"/>
            <rFont val="Tahoma"/>
            <family val="2"/>
          </rPr>
          <t xml:space="preserve">
3Q 10-Q: Anthropologie’s North American store net sales accounted for approximately 33.4% of consolidated net sales for the nine months ended October 31, 2011, compared to 36.0% for the comparable period in fiscal 2011. Anthropologie’s European stores accounted for less than 1% of total consolidated net sales for each of the nine months ended October 31, 2011 and October 31, 2010. 
</t>
        </r>
      </text>
    </comment>
    <comment ref="BM310" authorId="19">
      <text>
        <r>
          <rPr>
            <b/>
            <sz val="9"/>
            <color indexed="81"/>
            <rFont val="Tahoma"/>
            <family val="2"/>
          </rPr>
          <t>Turley, Amber (Research):</t>
        </r>
        <r>
          <rPr>
            <sz val="9"/>
            <color indexed="81"/>
            <rFont val="Tahoma"/>
            <family val="2"/>
          </rPr>
          <t xml:space="preserve">
3Q 10-Q: Anthropologie’s North American store net sales accounted for approximately 33.4% of consolidated net sales for the nine months ended October 31, 2011, compared to 36.0% for the comparable period in fiscal 2011. Anthropologie’s European stores accounted for less than 1% of total consolidated net sales for each of the nine months ended October 31, 2011 and October 31, 2010. 
</t>
        </r>
      </text>
    </comment>
    <comment ref="BO310" authorId="19">
      <text>
        <r>
          <rPr>
            <b/>
            <sz val="9"/>
            <color indexed="81"/>
            <rFont val="Tahoma"/>
            <family val="2"/>
          </rPr>
          <t>Turley, Amber (Research):</t>
        </r>
        <r>
          <rPr>
            <sz val="9"/>
            <color indexed="81"/>
            <rFont val="Tahoma"/>
            <family val="2"/>
          </rPr>
          <t xml:space="preserve">
3Q 10-Q:  Urban Outfitters’ North American and European store net sales accounted for approximately 31.9% and 5.5% of consolidated net sales, respectively, for the nine months ended October 31, 2011, compared to 32.1% and 5.0%, respectively, for the comparable period in fiscal 2011. 
</t>
        </r>
      </text>
    </comment>
    <comment ref="BP310" authorId="19">
      <text>
        <r>
          <rPr>
            <b/>
            <sz val="9"/>
            <color indexed="81"/>
            <rFont val="Tahoma"/>
            <family val="2"/>
          </rPr>
          <t>Turley, Amber (Research):</t>
        </r>
        <r>
          <rPr>
            <sz val="9"/>
            <color indexed="81"/>
            <rFont val="Tahoma"/>
            <family val="2"/>
          </rPr>
          <t xml:space="preserve">
3Q 10-Q:  Urban Outfitters’ North American and European store net sales accounted for approximately 31.9% and 5.5% of consolidated net sales, respectively, for the nine months ended October 31, 2011, compared to 32.1% and 5.0%, respectively, for the comparable period in fiscal 2011. 
</t>
        </r>
      </text>
    </comment>
    <comment ref="BQ310" authorId="19">
      <text>
        <r>
          <rPr>
            <b/>
            <sz val="9"/>
            <color indexed="81"/>
            <rFont val="Tahoma"/>
            <family val="2"/>
          </rPr>
          <t>Turley, Amber (Research):</t>
        </r>
        <r>
          <rPr>
            <sz val="9"/>
            <color indexed="81"/>
            <rFont val="Tahoma"/>
            <family val="2"/>
          </rPr>
          <t xml:space="preserve">
3Q 10-Q: Anthropologie’s North American store net sales accounted for approximately 33.4% of consolidated net sales for the nine months ended October 31, 2011, compared to 36.0% for the comparable period in fiscal 2011. Anthropologie’s European stores accounted for less than 1% of total consolidated net sales for each of the nine months ended October 31, 2011 and October 31, 2010. 
</t>
        </r>
      </text>
    </comment>
    <comment ref="BR310" authorId="19">
      <text>
        <r>
          <rPr>
            <b/>
            <sz val="9"/>
            <color indexed="81"/>
            <rFont val="Tahoma"/>
            <family val="2"/>
          </rPr>
          <t>Turley, Amber (Research):</t>
        </r>
        <r>
          <rPr>
            <sz val="9"/>
            <color indexed="81"/>
            <rFont val="Tahoma"/>
            <family val="2"/>
          </rPr>
          <t xml:space="preserve">
3Q 10-Q: Anthropologie’s North American store net sales accounted for approximately 33.4% of consolidated net sales for the nine months ended October 31, 2011, compared to 36.0% for the comparable period in fiscal 2011. Anthropologie’s European stores accounted for less than 1% of total consolidated net sales for each of the nine months ended October 31, 2011 and October 31, 2010. 
</t>
        </r>
      </text>
    </comment>
    <comment ref="G311" authorId="14">
      <text>
        <r>
          <rPr>
            <b/>
            <sz val="8"/>
            <color indexed="81"/>
            <rFont val="Tahoma"/>
            <family val="2"/>
          </rPr>
          <t>lauraro:</t>
        </r>
        <r>
          <rPr>
            <sz val="8"/>
            <color indexed="81"/>
            <rFont val="Tahoma"/>
            <family val="2"/>
          </rPr>
          <t xml:space="preserve">
2/9/12: comp retail sales +3%
Comparable retail segment net sales increased 3% at Urban Outfitters and Anthropologie and 9% at Free People. </t>
        </r>
      </text>
    </comment>
    <comment ref="K311" authorId="14">
      <text>
        <r>
          <rPr>
            <b/>
            <sz val="8"/>
            <color indexed="81"/>
            <rFont val="Tahoma"/>
            <family val="2"/>
          </rPr>
          <t>lauraro:</t>
        </r>
        <r>
          <rPr>
            <sz val="8"/>
            <color indexed="81"/>
            <rFont val="Tahoma"/>
            <family val="2"/>
          </rPr>
          <t xml:space="preserve">
157 US
10 Canada
30 Europe (20 UK, 1 Denmark, 2 Belgium, 3 Germany, 3 Ireland, 1 Sweden)</t>
        </r>
      </text>
    </comment>
    <comment ref="BJ311" authorId="19">
      <text>
        <r>
          <rPr>
            <b/>
            <sz val="9"/>
            <color indexed="81"/>
            <rFont val="Tahoma"/>
            <family val="2"/>
          </rPr>
          <t>Turley, Amber (Research):</t>
        </r>
        <r>
          <rPr>
            <sz val="9"/>
            <color indexed="81"/>
            <rFont val="Tahoma"/>
            <family val="2"/>
          </rPr>
          <t xml:space="preserve">
Urban Outfitters’ North American and European store sales accounted for approximately 31.4% and 5.9% of consolidated net sales, respectively, for fiscal 2012. 
</t>
        </r>
      </text>
    </comment>
    <comment ref="BK311" authorId="19">
      <text>
        <r>
          <rPr>
            <b/>
            <sz val="9"/>
            <color indexed="81"/>
            <rFont val="Tahoma"/>
            <family val="2"/>
          </rPr>
          <t>Turley, Amber (Research):</t>
        </r>
        <r>
          <rPr>
            <sz val="9"/>
            <color indexed="81"/>
            <rFont val="Tahoma"/>
            <family val="2"/>
          </rPr>
          <t xml:space="preserve">
Urban Outfitters’ North American and European store sales accounted for approximately 31.4% and 5.9% of consolidated net sales, respectively, for fiscal 2012. 
</t>
        </r>
      </text>
    </comment>
    <comment ref="BL311" authorId="19">
      <text>
        <r>
          <rPr>
            <b/>
            <sz val="9"/>
            <color indexed="81"/>
            <rFont val="Tahoma"/>
            <family val="2"/>
          </rPr>
          <t>Turley, Amber (Research):</t>
        </r>
        <r>
          <rPr>
            <sz val="9"/>
            <color indexed="81"/>
            <rFont val="Tahoma"/>
            <family val="2"/>
          </rPr>
          <t xml:space="preserve">
Anthropologie’s North American and European store sales accounted for approximately 32.8% and 0.9% of consolidated net sales, respectively, for fiscal 2012. 
</t>
        </r>
      </text>
    </comment>
    <comment ref="BM311" authorId="19">
      <text>
        <r>
          <rPr>
            <b/>
            <sz val="9"/>
            <color indexed="81"/>
            <rFont val="Tahoma"/>
            <family val="2"/>
          </rPr>
          <t>Turley, Amber (Research):</t>
        </r>
        <r>
          <rPr>
            <sz val="9"/>
            <color indexed="81"/>
            <rFont val="Tahoma"/>
            <family val="2"/>
          </rPr>
          <t xml:space="preserve">
Anthropologie’s North American and European store sales accounted for approximately 32.8% and 0.9% of consolidated net sales, respectively, for fiscal 2012. 
</t>
        </r>
      </text>
    </comment>
    <comment ref="BO311" authorId="19">
      <text>
        <r>
          <rPr>
            <b/>
            <sz val="9"/>
            <color indexed="81"/>
            <rFont val="Tahoma"/>
            <family val="2"/>
          </rPr>
          <t>Turley, Amber (Research):</t>
        </r>
        <r>
          <rPr>
            <sz val="9"/>
            <color indexed="81"/>
            <rFont val="Tahoma"/>
            <family val="2"/>
          </rPr>
          <t xml:space="preserve">
Urban Outfitters’ North American and European store sales accounted for approximately 31.4% and 5.9% of consolidated net sales, respectively, for fiscal 2012. 
</t>
        </r>
      </text>
    </comment>
    <comment ref="BP311" authorId="19">
      <text>
        <r>
          <rPr>
            <b/>
            <sz val="9"/>
            <color indexed="81"/>
            <rFont val="Tahoma"/>
            <family val="2"/>
          </rPr>
          <t>Turley, Amber (Research):</t>
        </r>
        <r>
          <rPr>
            <sz val="9"/>
            <color indexed="81"/>
            <rFont val="Tahoma"/>
            <family val="2"/>
          </rPr>
          <t xml:space="preserve">
Urban Outfitters’ North American and European store sales accounted for approximately 31.4% and 5.9% of consolidated net sales, respectively, for fiscal 2012. 
</t>
        </r>
      </text>
    </comment>
    <comment ref="BQ311" authorId="19">
      <text>
        <r>
          <rPr>
            <b/>
            <sz val="9"/>
            <color indexed="81"/>
            <rFont val="Tahoma"/>
            <family val="2"/>
          </rPr>
          <t>Turley, Amber (Research):</t>
        </r>
        <r>
          <rPr>
            <sz val="9"/>
            <color indexed="81"/>
            <rFont val="Tahoma"/>
            <family val="2"/>
          </rPr>
          <t xml:space="preserve">
Anthropologie’s North American and European store sales accounted for approximately 32.8% and 0.9% of consolidated net sales, respectively, for fiscal 2012. 
</t>
        </r>
      </text>
    </comment>
    <comment ref="BR311" authorId="19">
      <text>
        <r>
          <rPr>
            <b/>
            <sz val="9"/>
            <color indexed="81"/>
            <rFont val="Tahoma"/>
            <family val="2"/>
          </rPr>
          <t>Turley, Amber (Research):</t>
        </r>
        <r>
          <rPr>
            <sz val="9"/>
            <color indexed="81"/>
            <rFont val="Tahoma"/>
            <family val="2"/>
          </rPr>
          <t xml:space="preserve">
Anthropologie’s North American and European store sales accounted for approximately 32.8% and 0.9% of consolidated net sales, respectively, for fiscal 2012. 
</t>
        </r>
      </text>
    </comment>
    <comment ref="BJ312" authorId="19">
      <text>
        <r>
          <rPr>
            <b/>
            <sz val="9"/>
            <color indexed="81"/>
            <rFont val="Tahoma"/>
            <family val="2"/>
          </rPr>
          <t>Turley, Amber (Research):</t>
        </r>
        <r>
          <rPr>
            <sz val="9"/>
            <color indexed="81"/>
            <rFont val="Tahoma"/>
            <family val="2"/>
          </rPr>
          <t xml:space="preserve">
Urban Outfitters’ North American and European store sales accounted for approximately 31.4% and 5.9% of consolidated net sales, respectively, for fiscal 2012. 
</t>
        </r>
      </text>
    </comment>
    <comment ref="BK312" authorId="19">
      <text>
        <r>
          <rPr>
            <b/>
            <sz val="9"/>
            <color indexed="81"/>
            <rFont val="Tahoma"/>
            <family val="2"/>
          </rPr>
          <t>Turley, Amber (Research):</t>
        </r>
        <r>
          <rPr>
            <sz val="9"/>
            <color indexed="81"/>
            <rFont val="Tahoma"/>
            <family val="2"/>
          </rPr>
          <t xml:space="preserve">
Urban Outfitters’ North American and European store sales accounted for approximately 31.4% and 5.9% of consolidated net sales, respectively, for fiscal 2012. 
</t>
        </r>
      </text>
    </comment>
    <comment ref="BL312" authorId="19">
      <text>
        <r>
          <rPr>
            <b/>
            <sz val="9"/>
            <color indexed="81"/>
            <rFont val="Tahoma"/>
            <family val="2"/>
          </rPr>
          <t>Turley, Amber (Research):</t>
        </r>
        <r>
          <rPr>
            <sz val="9"/>
            <color indexed="81"/>
            <rFont val="Tahoma"/>
            <family val="2"/>
          </rPr>
          <t xml:space="preserve">
Anthropologie’s North American and European store sales accounted for approximately 32.8% and 0.9% of consolidated net sales, respectively, for fiscal 2012. 
</t>
        </r>
      </text>
    </comment>
    <comment ref="BM312" authorId="19">
      <text>
        <r>
          <rPr>
            <b/>
            <sz val="9"/>
            <color indexed="81"/>
            <rFont val="Tahoma"/>
            <family val="2"/>
          </rPr>
          <t>Turley, Amber (Research):</t>
        </r>
        <r>
          <rPr>
            <sz val="9"/>
            <color indexed="81"/>
            <rFont val="Tahoma"/>
            <family val="2"/>
          </rPr>
          <t xml:space="preserve">
Anthropologie’s North American and European store sales accounted for approximately 32.8% and 0.9% of consolidated net sales, respectively, for fiscal 2012. 
</t>
        </r>
      </text>
    </comment>
    <comment ref="BO312" authorId="19">
      <text>
        <r>
          <rPr>
            <b/>
            <sz val="9"/>
            <color indexed="81"/>
            <rFont val="Tahoma"/>
            <family val="2"/>
          </rPr>
          <t>Turley, Amber (Research):</t>
        </r>
        <r>
          <rPr>
            <sz val="9"/>
            <color indexed="81"/>
            <rFont val="Tahoma"/>
            <family val="2"/>
          </rPr>
          <t xml:space="preserve">
Urban Outfitters’ North American and European store sales accounted for approximately 31.4% and 5.9% of consolidated net sales, respectively, for fiscal 2012. 
</t>
        </r>
      </text>
    </comment>
    <comment ref="BP312" authorId="19">
      <text>
        <r>
          <rPr>
            <b/>
            <sz val="9"/>
            <color indexed="81"/>
            <rFont val="Tahoma"/>
            <family val="2"/>
          </rPr>
          <t>Turley, Amber (Research):</t>
        </r>
        <r>
          <rPr>
            <sz val="9"/>
            <color indexed="81"/>
            <rFont val="Tahoma"/>
            <family val="2"/>
          </rPr>
          <t xml:space="preserve">
Urban Outfitters’ North American and European store sales accounted for approximately 31.4% and 5.9% of consolidated net sales, respectively, for fiscal 2012. 
</t>
        </r>
      </text>
    </comment>
    <comment ref="BQ312" authorId="19">
      <text>
        <r>
          <rPr>
            <b/>
            <sz val="9"/>
            <color indexed="81"/>
            <rFont val="Tahoma"/>
            <family val="2"/>
          </rPr>
          <t>Turley, Amber (Research):</t>
        </r>
        <r>
          <rPr>
            <sz val="9"/>
            <color indexed="81"/>
            <rFont val="Tahoma"/>
            <family val="2"/>
          </rPr>
          <t xml:space="preserve">
Anthropologie’s North American and European store sales accounted for approximately 32.8% and 0.9% of consolidated net sales, respectively, for fiscal 2012. 
</t>
        </r>
      </text>
    </comment>
    <comment ref="BR312" authorId="19">
      <text>
        <r>
          <rPr>
            <b/>
            <sz val="9"/>
            <color indexed="81"/>
            <rFont val="Tahoma"/>
            <family val="2"/>
          </rPr>
          <t>Turley, Amber (Research):</t>
        </r>
        <r>
          <rPr>
            <sz val="9"/>
            <color indexed="81"/>
            <rFont val="Tahoma"/>
            <family val="2"/>
          </rPr>
          <t xml:space="preserve">
Anthropologie’s North American and European store sales accounted for approximately 32.8% and 0.9% of consolidated net sales, respectively, for fiscal 2012. 
</t>
        </r>
      </text>
    </comment>
    <comment ref="G315" authorId="14">
      <text>
        <r>
          <rPr>
            <b/>
            <sz val="8"/>
            <color indexed="81"/>
            <rFont val="Tahoma"/>
            <family val="2"/>
          </rPr>
          <t>lauraro:</t>
        </r>
        <r>
          <rPr>
            <sz val="8"/>
            <color indexed="81"/>
            <rFont val="Tahoma"/>
            <family val="2"/>
          </rPr>
          <t xml:space="preserve">
Comparable retail segment net sales at Urban Outfitters increased 6%.</t>
        </r>
      </text>
    </comment>
    <comment ref="BJ315" authorId="19">
      <text>
        <r>
          <rPr>
            <b/>
            <sz val="9"/>
            <color indexed="81"/>
            <rFont val="Tahoma"/>
            <family val="2"/>
          </rPr>
          <t>Turley, Amber (Research):</t>
        </r>
        <r>
          <rPr>
            <sz val="9"/>
            <color indexed="81"/>
            <rFont val="Tahoma"/>
            <family val="2"/>
          </rPr>
          <t xml:space="preserve">
1Q 10-Q: Urban Outfitters’ North American and European store net sales accounted for approximately 31.6% and 6.0% of consolidated net sales, respectively, for the three months ended April 30, 2012, compared to 31.3% and 5.3%, respectively, for the comparable period in fiscal 2012. 
</t>
        </r>
      </text>
    </comment>
    <comment ref="BK315" authorId="19">
      <text>
        <r>
          <rPr>
            <b/>
            <sz val="9"/>
            <color indexed="81"/>
            <rFont val="Tahoma"/>
            <family val="2"/>
          </rPr>
          <t>Turley, Amber (Research):</t>
        </r>
        <r>
          <rPr>
            <sz val="9"/>
            <color indexed="81"/>
            <rFont val="Tahoma"/>
            <family val="2"/>
          </rPr>
          <t xml:space="preserve">
1Q 10-Q: Urban Outfitters’ North American and European store net sales accounted for approximately 31.6% and 6.0% of consolidated net sales, respectively, for the three months ended April 30, 2012, compared to 31.3% and 5.3%, respectively, for the comparable period in fiscal 2012. 
</t>
        </r>
      </text>
    </comment>
    <comment ref="BL315" authorId="19">
      <text>
        <r>
          <rPr>
            <b/>
            <sz val="9"/>
            <color indexed="81"/>
            <rFont val="Tahoma"/>
            <family val="2"/>
          </rPr>
          <t>Turley, Amber (Research):</t>
        </r>
        <r>
          <rPr>
            <sz val="9"/>
            <color indexed="81"/>
            <rFont val="Tahoma"/>
            <family val="2"/>
          </rPr>
          <t xml:space="preserve">
1Q 10-Q: Anthropologie’s North American store net sales accounted for approximately 32.0% of consolidated net sales for the three months ended April 30, 2012, compared to 34.3% for the comparable period in fiscal 2012. Anthropologie’s European store net sales accounted for less than 1.0% of consolidated net sales for the three months ended April 30, 2012 and 2011, respectively. 
</t>
        </r>
      </text>
    </comment>
    <comment ref="BM315" authorId="19">
      <text>
        <r>
          <rPr>
            <b/>
            <sz val="9"/>
            <color indexed="81"/>
            <rFont val="Tahoma"/>
            <family val="2"/>
          </rPr>
          <t>Turley, Amber (Research):</t>
        </r>
        <r>
          <rPr>
            <sz val="9"/>
            <color indexed="81"/>
            <rFont val="Tahoma"/>
            <family val="2"/>
          </rPr>
          <t xml:space="preserve">
1Q 10-Q: Anthropologie’s North American store net sales accounted for approximately 32.0% of consolidated net sales for the three months ended April 30, 2012, compared to 34.3% for the comparable period in fiscal 2012. Anthropologie’s European store net sales accounted for less than 1.0% of consolidated net sales for the three months ended April 30, 2012 and 2011, respectively. 
</t>
        </r>
      </text>
    </comment>
    <comment ref="BO315" authorId="19">
      <text>
        <r>
          <rPr>
            <b/>
            <sz val="9"/>
            <color indexed="81"/>
            <rFont val="Tahoma"/>
            <family val="2"/>
          </rPr>
          <t>Turley, Amber (Research):</t>
        </r>
        <r>
          <rPr>
            <sz val="9"/>
            <color indexed="81"/>
            <rFont val="Tahoma"/>
            <family val="2"/>
          </rPr>
          <t xml:space="preserve">
1Q 10-Q: Urban Outfitters’ North American and European store net sales accounted for approximately 31.6% and 6.0% of consolidated net sales, respectively, for the three months ended April 30, 2012, compared to 31.3% and 5.3%, respectively, for the comparable period in fiscal 2012. 
</t>
        </r>
      </text>
    </comment>
    <comment ref="BP315" authorId="19">
      <text>
        <r>
          <rPr>
            <b/>
            <sz val="9"/>
            <color indexed="81"/>
            <rFont val="Tahoma"/>
            <family val="2"/>
          </rPr>
          <t>Turley, Amber (Research):</t>
        </r>
        <r>
          <rPr>
            <sz val="9"/>
            <color indexed="81"/>
            <rFont val="Tahoma"/>
            <family val="2"/>
          </rPr>
          <t xml:space="preserve">
1Q 10-Q: Urban Outfitters’ North American and European store net sales accounted for approximately 31.6% and 6.0% of consolidated net sales, respectively, for the three months ended April 30, 2012, compared to 31.3% and 5.3%, respectively, for the comparable period in fiscal 2012. 
</t>
        </r>
      </text>
    </comment>
    <comment ref="BQ315" authorId="19">
      <text>
        <r>
          <rPr>
            <b/>
            <sz val="9"/>
            <color indexed="81"/>
            <rFont val="Tahoma"/>
            <family val="2"/>
          </rPr>
          <t>Turley, Amber (Research):</t>
        </r>
        <r>
          <rPr>
            <sz val="9"/>
            <color indexed="81"/>
            <rFont val="Tahoma"/>
            <family val="2"/>
          </rPr>
          <t xml:space="preserve">
1Q 10-Q: Anthropologie’s North American store net sales accounted for approximately 32.0% of consolidated net sales for the three months ended April 30, 2012, compared to 34.3% for the comparable period in fiscal 2012. Anthropologie’s European store net sales accounted for less than 1.0% of consolidated net sales for the three months ended April 30, 2012 and 2011, respectively. 
</t>
        </r>
      </text>
    </comment>
    <comment ref="BR315" authorId="19">
      <text>
        <r>
          <rPr>
            <b/>
            <sz val="9"/>
            <color indexed="81"/>
            <rFont val="Tahoma"/>
            <family val="2"/>
          </rPr>
          <t>Turley, Amber (Research):</t>
        </r>
        <r>
          <rPr>
            <sz val="9"/>
            <color indexed="81"/>
            <rFont val="Tahoma"/>
            <family val="2"/>
          </rPr>
          <t xml:space="preserve">
1Q 10-Q: Anthropologie’s North American store net sales accounted for approximately 32.0% of consolidated net sales for the three months ended April 30, 2012, compared to 34.3% for the comparable period in fiscal 2012. Anthropologie’s European store net sales accounted for less than 1.0% of consolidated net sales for the three months ended April 30, 2012 and 2011, respectively. 
</t>
        </r>
      </text>
    </comment>
    <comment ref="G316" authorId="0">
      <text>
        <r>
          <rPr>
            <sz val="8"/>
            <color indexed="81"/>
            <rFont val="Tahoma"/>
            <family val="2"/>
          </rPr>
          <t>8/20/12: Ted said "+LSD" on earnings call - feels like +1-2% to me.
requires input from KG/IR - actual reported numbers in segSales tab</t>
        </r>
      </text>
    </comment>
    <comment ref="K316" authorId="0">
      <text>
        <r>
          <rPr>
            <b/>
            <sz val="8"/>
            <color indexed="81"/>
            <rFont val="Tahoma"/>
            <family val="2"/>
          </rPr>
          <t>casselau:</t>
        </r>
        <r>
          <rPr>
            <sz val="8"/>
            <color indexed="81"/>
            <rFont val="Tahoma"/>
            <family val="2"/>
          </rPr>
          <t xml:space="preserve">
8/20/12: opened 10 in 1H</t>
        </r>
      </text>
    </comment>
    <comment ref="BJ316" authorId="19">
      <text>
        <r>
          <rPr>
            <b/>
            <sz val="9"/>
            <color indexed="81"/>
            <rFont val="Tahoma"/>
            <family val="2"/>
          </rPr>
          <t>Turley, Amber (Research):</t>
        </r>
        <r>
          <rPr>
            <sz val="9"/>
            <color indexed="81"/>
            <rFont val="Tahoma"/>
            <family val="2"/>
          </rPr>
          <t xml:space="preserve">
2Q 10-Q: Urban Outfitters’ North American and European store net sales accounted for approximately 31.0% and 6.3% of consolidated net sales, respectively, for the six months ended July 31, 2012, compared to 31.2% and 5.4%, respectively, for the comparable period in fiscal 2012. </t>
        </r>
      </text>
    </comment>
    <comment ref="BK316" authorId="19">
      <text>
        <r>
          <rPr>
            <b/>
            <sz val="9"/>
            <color indexed="81"/>
            <rFont val="Tahoma"/>
            <family val="2"/>
          </rPr>
          <t>Turley, Amber (Research):</t>
        </r>
        <r>
          <rPr>
            <sz val="9"/>
            <color indexed="81"/>
            <rFont val="Tahoma"/>
            <family val="2"/>
          </rPr>
          <t xml:space="preserve">
2Q 10-Q: Urban Outfitters’ North American and European store net sales accounted for approximately 31.0% and 6.3% of consolidated net sales, respectively, for the six months ended July 31, 2012, compared to 31.2% and 5.4%, respectively, for the comparable period in fiscal 2012. </t>
        </r>
      </text>
    </comment>
    <comment ref="BL316" authorId="19">
      <text>
        <r>
          <rPr>
            <b/>
            <sz val="9"/>
            <color indexed="81"/>
            <rFont val="Tahoma"/>
            <family val="2"/>
          </rPr>
          <t>Turley, Amber (Research):</t>
        </r>
        <r>
          <rPr>
            <sz val="9"/>
            <color indexed="81"/>
            <rFont val="Tahoma"/>
            <family val="2"/>
          </rPr>
          <t xml:space="preserve">
2Q 10-Q: Anthropologie’s North American store net sales accounted for approximately 32.0% of consolidated net sales for the six months ended July 31, 2012, compared to 34.9% for the comparable period in fiscal 2012. Anthropologie’s European store net sales accounted for less than 1.0% of consolidated net sales for the six months ended July 31, 2012 and 2011, respectively</t>
        </r>
      </text>
    </comment>
    <comment ref="BM316" authorId="19">
      <text>
        <r>
          <rPr>
            <b/>
            <sz val="9"/>
            <color indexed="81"/>
            <rFont val="Tahoma"/>
            <family val="2"/>
          </rPr>
          <t>Turley, Amber (Research):</t>
        </r>
        <r>
          <rPr>
            <sz val="9"/>
            <color indexed="81"/>
            <rFont val="Tahoma"/>
            <family val="2"/>
          </rPr>
          <t xml:space="preserve">
2Q 10-Q: Anthropologie’s North American store net sales accounted for approximately 32.0% of consolidated net sales for the six months ended July 31, 2012, compared to 34.9% for the comparable period in fiscal 2012. Anthropologie’s European store net sales accounted for less than 1.0% of consolidated net sales for the six months ended July 31, 2012 and 2011, respectively</t>
        </r>
      </text>
    </comment>
    <comment ref="BO316" authorId="19">
      <text>
        <r>
          <rPr>
            <b/>
            <sz val="9"/>
            <color indexed="81"/>
            <rFont val="Tahoma"/>
            <family val="2"/>
          </rPr>
          <t>Turley, Amber (Research):</t>
        </r>
        <r>
          <rPr>
            <sz val="9"/>
            <color indexed="81"/>
            <rFont val="Tahoma"/>
            <family val="2"/>
          </rPr>
          <t xml:space="preserve">
2Q 10-Q: Urban Outfitters’ North American and European store net sales accounted for approximately 31.0% and 6.3% of consolidated net sales, respectively, for the six months ended July 31, 2012, compared to 31.2% and 5.4%, respectively, for the comparable period in fiscal 2012. </t>
        </r>
      </text>
    </comment>
    <comment ref="BP316" authorId="19">
      <text>
        <r>
          <rPr>
            <b/>
            <sz val="9"/>
            <color indexed="81"/>
            <rFont val="Tahoma"/>
            <family val="2"/>
          </rPr>
          <t>Turley, Amber (Research):</t>
        </r>
        <r>
          <rPr>
            <sz val="9"/>
            <color indexed="81"/>
            <rFont val="Tahoma"/>
            <family val="2"/>
          </rPr>
          <t xml:space="preserve">
2Q 10-Q: Urban Outfitters’ North American and European store net sales accounted for approximately 31.0% and 6.3% of consolidated net sales, respectively, for the six months ended July 31, 2012, compared to 31.2% and 5.4%, respectively, for the comparable period in fiscal 2012. </t>
        </r>
      </text>
    </comment>
    <comment ref="BQ316" authorId="19">
      <text>
        <r>
          <rPr>
            <b/>
            <sz val="9"/>
            <color indexed="81"/>
            <rFont val="Tahoma"/>
            <family val="2"/>
          </rPr>
          <t>Turley, Amber (Research):</t>
        </r>
        <r>
          <rPr>
            <sz val="9"/>
            <color indexed="81"/>
            <rFont val="Tahoma"/>
            <family val="2"/>
          </rPr>
          <t xml:space="preserve">
2Q 10-Q: Anthropologie’s North American store net sales accounted for approximately 32.0% of consolidated net sales for the six months ended July 31, 2012, compared to 34.9% for the comparable period in fiscal 2012. Anthropologie’s European store net sales accounted for less than 1.0% of consolidated net sales for the six months ended July 31, 2012 and 2011, respectively</t>
        </r>
      </text>
    </comment>
    <comment ref="BR316" authorId="19">
      <text>
        <r>
          <rPr>
            <b/>
            <sz val="9"/>
            <color indexed="81"/>
            <rFont val="Tahoma"/>
            <family val="2"/>
          </rPr>
          <t>Turley, Amber (Research):</t>
        </r>
        <r>
          <rPr>
            <sz val="9"/>
            <color indexed="81"/>
            <rFont val="Tahoma"/>
            <family val="2"/>
          </rPr>
          <t xml:space="preserve">
2Q 10-Q: Anthropologie’s North American store net sales accounted for approximately 32.0% of consolidated net sales for the six months ended July 31, 2012, compared to 34.9% for the comparable period in fiscal 2012. Anthropologie’s European store net sales accounted for less than 1.0% of consolidated net sales for the six months ended July 31, 2012 and 2011, respectively</t>
        </r>
      </text>
    </comment>
    <comment ref="G317" authorId="21">
      <text>
        <r>
          <rPr>
            <b/>
            <sz val="8"/>
            <color indexed="81"/>
            <rFont val="Tahoma"/>
            <family val="2"/>
          </rPr>
          <t>kimberlg:</t>
        </r>
        <r>
          <rPr>
            <sz val="8"/>
            <color indexed="81"/>
            <rFont val="Tahoma"/>
            <family val="2"/>
          </rPr>
          <t xml:space="preserve">
slightly neg
fractionally so
</t>
        </r>
      </text>
    </comment>
    <comment ref="K317" authorId="0">
      <text>
        <r>
          <rPr>
            <b/>
            <sz val="8"/>
            <color indexed="81"/>
            <rFont val="Tahoma"/>
            <family val="2"/>
          </rPr>
          <t xml:space="preserve">From the URBN 3Q mgmt commentary PDF - </t>
        </r>
        <r>
          <rPr>
            <sz val="8"/>
            <color indexed="81"/>
            <rFont val="Tahoma"/>
            <family val="2"/>
          </rPr>
          <t>The brand opened 2 new stores in the quarter bringing the global store count to 209. Square footage increased 9% over the prior year period to 1,864,840.</t>
        </r>
      </text>
    </comment>
    <comment ref="AE317" authorId="0">
      <text>
        <r>
          <rPr>
            <b/>
            <sz val="8"/>
            <color indexed="81"/>
            <rFont val="Tahoma"/>
            <family val="2"/>
          </rPr>
          <t xml:space="preserve">From the URBN 3Q mgmt commentary PDF - </t>
        </r>
        <r>
          <rPr>
            <sz val="8"/>
            <color indexed="81"/>
            <rFont val="Tahoma"/>
            <family val="2"/>
          </rPr>
          <t>The brand opened 2 new stores in the quarter bringing the global store count to 209. Square footage increased 9% over the prior year period to 1,864,840.</t>
        </r>
      </text>
    </comment>
    <comment ref="BJ317" authorId="19">
      <text>
        <r>
          <rPr>
            <b/>
            <sz val="9"/>
            <color indexed="81"/>
            <rFont val="Tahoma"/>
            <family val="2"/>
          </rPr>
          <t>Turley, Amber (Research):</t>
        </r>
        <r>
          <rPr>
            <sz val="9"/>
            <color indexed="81"/>
            <rFont val="Tahoma"/>
            <family val="2"/>
          </rPr>
          <t xml:space="preserve">
3Q 10-Q: Urban Outfitters’ North American and European store net sales accounted for approximately 30.8% and 6.4% of consolidated net sales, respectively, for the nine months ended October 31, 2012, compared to 31.9% and 5.5%, respectively, for the comparable period in fiscal 2012</t>
        </r>
      </text>
    </comment>
    <comment ref="BK317" authorId="19">
      <text>
        <r>
          <rPr>
            <b/>
            <sz val="9"/>
            <color indexed="81"/>
            <rFont val="Tahoma"/>
            <family val="2"/>
          </rPr>
          <t>Turley, Amber (Research):</t>
        </r>
        <r>
          <rPr>
            <sz val="9"/>
            <color indexed="81"/>
            <rFont val="Tahoma"/>
            <family val="2"/>
          </rPr>
          <t xml:space="preserve">
3Q 10-Q: Urban Outfitters’ North American and European store net sales accounted for approximately 30.8% and 6.4% of consolidated net sales, respectively, for the nine months ended October 31, 2012, compared to 31.9% and 5.5%, respectively, for the comparable period in fiscal 2012</t>
        </r>
      </text>
    </comment>
    <comment ref="BL317" authorId="19">
      <text>
        <r>
          <rPr>
            <b/>
            <sz val="9"/>
            <color indexed="81"/>
            <rFont val="Tahoma"/>
            <family val="2"/>
          </rPr>
          <t>Turley, Amber (Research):</t>
        </r>
        <r>
          <rPr>
            <sz val="9"/>
            <color indexed="81"/>
            <rFont val="Tahoma"/>
            <family val="2"/>
          </rPr>
          <t xml:space="preserve">
3Q 10-Q: Anthropologie’s North American store net sales accounted for approximately 30.5% of consolidated net sales for the nine months ended October 31, 2012, compared to 35.4% for the comparable period in fiscal 2012. Anthropologie’s European store net sales accounted for less than 1.0% of consolidated net sales for the nine months ended October 31, 2012 and 2011, respectively</t>
        </r>
      </text>
    </comment>
    <comment ref="BM317" authorId="19">
      <text>
        <r>
          <rPr>
            <b/>
            <sz val="9"/>
            <color indexed="81"/>
            <rFont val="Tahoma"/>
            <family val="2"/>
          </rPr>
          <t>Turley, Amber (Research):</t>
        </r>
        <r>
          <rPr>
            <sz val="9"/>
            <color indexed="81"/>
            <rFont val="Tahoma"/>
            <family val="2"/>
          </rPr>
          <t xml:space="preserve">
3Q 10-Q: Anthropologie’s North American store net sales accounted for approximately 30.5% of consolidated net sales for the nine months ended October 31, 2012, compared to 35.4% for the comparable period in fiscal 2012. Anthropologie’s European store net sales accounted for less than 1.0% of consolidated net sales for the nine months ended October 31, 2012 and 2011, respectively</t>
        </r>
      </text>
    </comment>
    <comment ref="BO317" authorId="19">
      <text>
        <r>
          <rPr>
            <b/>
            <sz val="9"/>
            <color indexed="81"/>
            <rFont val="Tahoma"/>
            <family val="2"/>
          </rPr>
          <t>Turley, Amber (Research):</t>
        </r>
        <r>
          <rPr>
            <sz val="9"/>
            <color indexed="81"/>
            <rFont val="Tahoma"/>
            <family val="2"/>
          </rPr>
          <t xml:space="preserve">
3Q 10-Q: Urban Outfitters’ North American and European store net sales accounted for approximately 30.8% and 6.4% of consolidated net sales, respectively, for the nine months ended October 31, 2012, compared to 31.9% and 5.5%, respectively, for the comparable period in fiscal 2012</t>
        </r>
      </text>
    </comment>
    <comment ref="BP317" authorId="19">
      <text>
        <r>
          <rPr>
            <b/>
            <sz val="9"/>
            <color indexed="81"/>
            <rFont val="Tahoma"/>
            <family val="2"/>
          </rPr>
          <t>Turley, Amber (Research):</t>
        </r>
        <r>
          <rPr>
            <sz val="9"/>
            <color indexed="81"/>
            <rFont val="Tahoma"/>
            <family val="2"/>
          </rPr>
          <t xml:space="preserve">
3Q 10-Q: Urban Outfitters’ North American and European store net sales accounted for approximately 30.8% and 6.4% of consolidated net sales, respectively, for the nine months ended October 31, 2012, compared to 31.9% and 5.5%, respectively, for the comparable period in fiscal 2012</t>
        </r>
      </text>
    </comment>
    <comment ref="BQ317" authorId="19">
      <text>
        <r>
          <rPr>
            <b/>
            <sz val="9"/>
            <color indexed="81"/>
            <rFont val="Tahoma"/>
            <family val="2"/>
          </rPr>
          <t>Turley, Amber (Research):</t>
        </r>
        <r>
          <rPr>
            <sz val="9"/>
            <color indexed="81"/>
            <rFont val="Tahoma"/>
            <family val="2"/>
          </rPr>
          <t xml:space="preserve">
3Q 10-Q: Anthropologie’s North American store net sales accounted for approximately 30.5% of consolidated net sales for the nine months ended October 31, 2012, compared to 35.4% for the comparable period in fiscal 2012. Anthropologie’s European store net sales accounted for less than 1.0% of consolidated net sales for the nine months ended October 31, 2012 and 2011, respectively</t>
        </r>
      </text>
    </comment>
    <comment ref="BR317" authorId="19">
      <text>
        <r>
          <rPr>
            <b/>
            <sz val="9"/>
            <color indexed="81"/>
            <rFont val="Tahoma"/>
            <family val="2"/>
          </rPr>
          <t>Turley, Amber (Research):</t>
        </r>
        <r>
          <rPr>
            <sz val="9"/>
            <color indexed="81"/>
            <rFont val="Tahoma"/>
            <family val="2"/>
          </rPr>
          <t xml:space="preserve">
3Q 10-Q: Anthropologie’s North American store net sales accounted for approximately 30.5% of consolidated net sales for the nine months ended October 31, 2012, compared to 35.4% for the comparable period in fiscal 2012. Anthropologie’s European store net sales accounted for less than 1.0% of consolidated net sales for the nine months ended October 31, 2012 and 2011, respectively</t>
        </r>
      </text>
    </comment>
    <comment ref="G318" authorId="21">
      <text>
        <r>
          <rPr>
            <b/>
            <sz val="8"/>
            <color indexed="81"/>
            <rFont val="Tahoma"/>
            <family val="2"/>
          </rPr>
          <t>kimberlg:</t>
        </r>
        <r>
          <rPr>
            <sz val="8"/>
            <color indexed="81"/>
            <rFont val="Tahoma"/>
            <family val="2"/>
          </rPr>
          <t xml:space="preserve">
~2%</t>
        </r>
      </text>
    </comment>
    <comment ref="K318" authorId="0">
      <text>
        <r>
          <rPr>
            <b/>
            <sz val="8"/>
            <color indexed="81"/>
            <rFont val="Tahoma"/>
            <family val="2"/>
          </rPr>
          <t xml:space="preserve">From the URBN 4Q mgmt commentary PDF - </t>
        </r>
        <r>
          <rPr>
            <sz val="8"/>
            <color indexed="81"/>
            <rFont val="Tahoma"/>
            <family val="2"/>
          </rPr>
          <t>The brand opened 6 new stores in the quarter bringing the global store count to 215.</t>
        </r>
      </text>
    </comment>
    <comment ref="AE318" authorId="22">
      <text>
        <r>
          <rPr>
            <b/>
            <sz val="8"/>
            <color indexed="81"/>
            <rFont val="Tahoma"/>
            <family val="2"/>
          </rPr>
          <t>from the 4Q mgmt commentary PDF</t>
        </r>
        <r>
          <rPr>
            <sz val="8"/>
            <color indexed="81"/>
            <rFont val="Tahoma"/>
            <family val="2"/>
          </rPr>
          <t xml:space="preserve">
The brand opened 6 new stores in the quarter bringing the global store count to 215. Square footage increased 8% over the prior year period to 1,909,615.</t>
        </r>
      </text>
    </comment>
    <comment ref="BJ318" authorId="19">
      <text>
        <r>
          <rPr>
            <b/>
            <sz val="9"/>
            <color indexed="81"/>
            <rFont val="Tahoma"/>
            <family val="2"/>
          </rPr>
          <t>Turley, Amber (Research):</t>
        </r>
        <r>
          <rPr>
            <sz val="9"/>
            <color indexed="81"/>
            <rFont val="Tahoma"/>
            <family val="2"/>
          </rPr>
          <t xml:space="preserve">
Urban Outfitters’ North American and European store sales accounted for approximately 29.8% and 6.6% of consolidated net sales, respectively, for fiscal 2013. 
</t>
        </r>
      </text>
    </comment>
    <comment ref="BK318" authorId="19">
      <text>
        <r>
          <rPr>
            <b/>
            <sz val="9"/>
            <color indexed="81"/>
            <rFont val="Tahoma"/>
            <family val="2"/>
          </rPr>
          <t>Turley, Amber (Research):</t>
        </r>
        <r>
          <rPr>
            <sz val="9"/>
            <color indexed="81"/>
            <rFont val="Tahoma"/>
            <family val="2"/>
          </rPr>
          <t xml:space="preserve">
Urban Outfitters’ North American and European store sales accounted for approximately 29.8% and 6.6% of consolidated net sales, respectively, for fiscal 2013. 
</t>
        </r>
      </text>
    </comment>
    <comment ref="BL318" authorId="19">
      <text>
        <r>
          <rPr>
            <b/>
            <sz val="9"/>
            <color indexed="81"/>
            <rFont val="Tahoma"/>
            <family val="2"/>
          </rPr>
          <t>Turley, Amber (Research):</t>
        </r>
        <r>
          <rPr>
            <sz val="9"/>
            <color indexed="81"/>
            <rFont val="Tahoma"/>
            <family val="2"/>
          </rPr>
          <t xml:space="preserve">
Anthropologie’s North American and European store sales accounted for approximately 29.7% and 0.8% of consolidated net sales, respectively, for fiscal 2013. 
</t>
        </r>
      </text>
    </comment>
    <comment ref="BM318" authorId="19">
      <text>
        <r>
          <rPr>
            <b/>
            <sz val="9"/>
            <color indexed="81"/>
            <rFont val="Tahoma"/>
            <family val="2"/>
          </rPr>
          <t>Turley, Amber (Research):</t>
        </r>
        <r>
          <rPr>
            <sz val="9"/>
            <color indexed="81"/>
            <rFont val="Tahoma"/>
            <family val="2"/>
          </rPr>
          <t xml:space="preserve">
Anthropologie’s North American and European store sales accounted for approximately 29.7% and 0.8% of consolidated net sales, respectively, for fiscal 2013. 
</t>
        </r>
      </text>
    </comment>
    <comment ref="BO318" authorId="19">
      <text>
        <r>
          <rPr>
            <b/>
            <sz val="9"/>
            <color indexed="81"/>
            <rFont val="Tahoma"/>
            <family val="2"/>
          </rPr>
          <t>Turley, Amber (Research):</t>
        </r>
        <r>
          <rPr>
            <sz val="9"/>
            <color indexed="81"/>
            <rFont val="Tahoma"/>
            <family val="2"/>
          </rPr>
          <t xml:space="preserve">
Urban Outfitters’ North American and European store sales accounted for approximately 29.8% and 6.6% of consolidated net sales, respectively, for fiscal 2013. 
</t>
        </r>
      </text>
    </comment>
    <comment ref="BP318" authorId="19">
      <text>
        <r>
          <rPr>
            <b/>
            <sz val="9"/>
            <color indexed="81"/>
            <rFont val="Tahoma"/>
            <family val="2"/>
          </rPr>
          <t>Turley, Amber (Research):</t>
        </r>
        <r>
          <rPr>
            <sz val="9"/>
            <color indexed="81"/>
            <rFont val="Tahoma"/>
            <family val="2"/>
          </rPr>
          <t xml:space="preserve">
Urban Outfitters’ North American and European store sales accounted for approximately 29.8% and 6.6% of consolidated net sales, respectively, for fiscal 2013. 
</t>
        </r>
      </text>
    </comment>
    <comment ref="BQ318" authorId="19">
      <text>
        <r>
          <rPr>
            <b/>
            <sz val="9"/>
            <color indexed="81"/>
            <rFont val="Tahoma"/>
            <family val="2"/>
          </rPr>
          <t>Turley, Amber (Research):</t>
        </r>
        <r>
          <rPr>
            <sz val="9"/>
            <color indexed="81"/>
            <rFont val="Tahoma"/>
            <family val="2"/>
          </rPr>
          <t xml:space="preserve">
Anthropologie’s North American and European store sales accounted for approximately 29.7% and 0.8% of consolidated net sales, respectively, for fiscal 2013. 
</t>
        </r>
      </text>
    </comment>
    <comment ref="BR318" authorId="19">
      <text>
        <r>
          <rPr>
            <b/>
            <sz val="9"/>
            <color indexed="81"/>
            <rFont val="Tahoma"/>
            <family val="2"/>
          </rPr>
          <t>Turley, Amber (Research):</t>
        </r>
        <r>
          <rPr>
            <sz val="9"/>
            <color indexed="81"/>
            <rFont val="Tahoma"/>
            <family val="2"/>
          </rPr>
          <t xml:space="preserve">
Anthropologie’s North American and European store sales accounted for approximately 29.7% and 0.8% of consolidated net sales, respectively, for fiscal 2013. 
</t>
        </r>
      </text>
    </comment>
    <comment ref="BJ319" authorId="19">
      <text>
        <r>
          <rPr>
            <b/>
            <sz val="9"/>
            <color indexed="81"/>
            <rFont val="Tahoma"/>
            <family val="2"/>
          </rPr>
          <t>Turley, Amber (Research):</t>
        </r>
        <r>
          <rPr>
            <sz val="9"/>
            <color indexed="81"/>
            <rFont val="Tahoma"/>
            <family val="2"/>
          </rPr>
          <t xml:space="preserve">
Urban Outfitters’ North American and European store sales accounted for approximately 29.8% and 6.6% of consolidated net sales, respectively, for fiscal 2013. 
</t>
        </r>
      </text>
    </comment>
    <comment ref="BK319" authorId="19">
      <text>
        <r>
          <rPr>
            <b/>
            <sz val="9"/>
            <color indexed="81"/>
            <rFont val="Tahoma"/>
            <family val="2"/>
          </rPr>
          <t>Turley, Amber (Research):</t>
        </r>
        <r>
          <rPr>
            <sz val="9"/>
            <color indexed="81"/>
            <rFont val="Tahoma"/>
            <family val="2"/>
          </rPr>
          <t xml:space="preserve">
Urban Outfitters’ North American and European store sales accounted for approximately 29.8% and 6.6% of consolidated net sales, respectively, for fiscal 2013. 
</t>
        </r>
      </text>
    </comment>
    <comment ref="BL319" authorId="19">
      <text>
        <r>
          <rPr>
            <b/>
            <sz val="9"/>
            <color indexed="81"/>
            <rFont val="Tahoma"/>
            <family val="2"/>
          </rPr>
          <t>Turley, Amber (Research):</t>
        </r>
        <r>
          <rPr>
            <sz val="9"/>
            <color indexed="81"/>
            <rFont val="Tahoma"/>
            <family val="2"/>
          </rPr>
          <t xml:space="preserve">
Anthropologie’s North American and European store sales accounted for approximately 29.7% and 0.8% of consolidated net sales, respectively, for fiscal 2013. 
</t>
        </r>
      </text>
    </comment>
    <comment ref="BM319" authorId="19">
      <text>
        <r>
          <rPr>
            <b/>
            <sz val="9"/>
            <color indexed="81"/>
            <rFont val="Tahoma"/>
            <family val="2"/>
          </rPr>
          <t>Turley, Amber (Research):</t>
        </r>
        <r>
          <rPr>
            <sz val="9"/>
            <color indexed="81"/>
            <rFont val="Tahoma"/>
            <family val="2"/>
          </rPr>
          <t xml:space="preserve">
Anthropologie’s North American and European store sales accounted for approximately 29.7% and 0.8% of consolidated net sales, respectively, for fiscal 2013. 
</t>
        </r>
      </text>
    </comment>
    <comment ref="BO319" authorId="19">
      <text>
        <r>
          <rPr>
            <b/>
            <sz val="9"/>
            <color indexed="81"/>
            <rFont val="Tahoma"/>
            <family val="2"/>
          </rPr>
          <t>Turley, Amber (Research):</t>
        </r>
        <r>
          <rPr>
            <sz val="9"/>
            <color indexed="81"/>
            <rFont val="Tahoma"/>
            <family val="2"/>
          </rPr>
          <t xml:space="preserve">
Urban Outfitters’ North American and European store sales accounted for approximately 29.8% and 6.6% of consolidated net sales, respectively, for fiscal 2013. 
</t>
        </r>
      </text>
    </comment>
    <comment ref="BP319" authorId="19">
      <text>
        <r>
          <rPr>
            <b/>
            <sz val="9"/>
            <color indexed="81"/>
            <rFont val="Tahoma"/>
            <family val="2"/>
          </rPr>
          <t>Turley, Amber (Research):</t>
        </r>
        <r>
          <rPr>
            <sz val="9"/>
            <color indexed="81"/>
            <rFont val="Tahoma"/>
            <family val="2"/>
          </rPr>
          <t xml:space="preserve">
Urban Outfitters’ North American and European store sales accounted for approximately 29.8% and 6.6% of consolidated net sales, respectively, for fiscal 2013. 
</t>
        </r>
      </text>
    </comment>
    <comment ref="BQ319" authorId="19">
      <text>
        <r>
          <rPr>
            <b/>
            <sz val="9"/>
            <color indexed="81"/>
            <rFont val="Tahoma"/>
            <family val="2"/>
          </rPr>
          <t>Turley, Amber (Research):</t>
        </r>
        <r>
          <rPr>
            <sz val="9"/>
            <color indexed="81"/>
            <rFont val="Tahoma"/>
            <family val="2"/>
          </rPr>
          <t xml:space="preserve">
Anthropologie’s North American and European store sales accounted for approximately 29.7% and 0.8% of consolidated net sales, respectively, for fiscal 2013. 
</t>
        </r>
      </text>
    </comment>
    <comment ref="BR319" authorId="19">
      <text>
        <r>
          <rPr>
            <b/>
            <sz val="9"/>
            <color indexed="81"/>
            <rFont val="Tahoma"/>
            <family val="2"/>
          </rPr>
          <t>Turley, Amber (Research):</t>
        </r>
        <r>
          <rPr>
            <sz val="9"/>
            <color indexed="81"/>
            <rFont val="Tahoma"/>
            <family val="2"/>
          </rPr>
          <t xml:space="preserve">
Anthropologie’s North American and European store sales accounted for approximately 29.7% and 0.8% of consolidated net sales, respectively, for fiscal 2013. 
</t>
        </r>
      </text>
    </comment>
    <comment ref="K322" authorId="15">
      <text>
        <r>
          <rPr>
            <b/>
            <sz val="8"/>
            <color indexed="81"/>
            <rFont val="Tahoma"/>
            <family val="2"/>
          </rPr>
          <t>turleamb:</t>
        </r>
        <r>
          <rPr>
            <sz val="8"/>
            <color indexed="81"/>
            <rFont val="Tahoma"/>
            <family val="2"/>
          </rPr>
          <t xml:space="preserve">
From 1Q management commentary: The brand opened 2 new stores and closed 1 in the quarter bringing the global store count to 216.</t>
        </r>
      </text>
    </comment>
    <comment ref="W322" authorId="15">
      <text>
        <r>
          <rPr>
            <b/>
            <sz val="9"/>
            <color indexed="81"/>
            <rFont val="Tahoma"/>
            <family val="2"/>
          </rPr>
          <t>turleamb:</t>
        </r>
        <r>
          <rPr>
            <sz val="9"/>
            <color indexed="81"/>
            <rFont val="Tahoma"/>
            <family val="2"/>
          </rPr>
          <t xml:space="preserve">
UO NA drove 38.0% of net sales and UO Europe drove 7.2% of net sales</t>
        </r>
      </text>
    </comment>
    <comment ref="AE322" authorId="15">
      <text>
        <r>
          <rPr>
            <b/>
            <sz val="8"/>
            <color indexed="81"/>
            <rFont val="Tahoma"/>
            <family val="2"/>
          </rPr>
          <t>turleamb:</t>
        </r>
        <r>
          <rPr>
            <sz val="8"/>
            <color indexed="81"/>
            <rFont val="Tahoma"/>
            <family val="2"/>
          </rPr>
          <t xml:space="preserve">
From 1Q management commentary: Square footage increased 6% over the prior year period to 1,917,291.</t>
        </r>
      </text>
    </comment>
    <comment ref="BJ322" authorId="19">
      <text>
        <r>
          <rPr>
            <b/>
            <sz val="9"/>
            <color indexed="81"/>
            <rFont val="Tahoma"/>
            <family val="2"/>
          </rPr>
          <t>Turley, Amber (Research):</t>
        </r>
        <r>
          <rPr>
            <sz val="9"/>
            <color indexed="81"/>
            <rFont val="Tahoma"/>
            <family val="2"/>
          </rPr>
          <t xml:space="preserve">
1Q 10-Q: Urban Outfitters’ North American and European Retail segment sales accounted for approximately 38.0% and 7.2% of consolidated net sales, respectively, for the three months ended April 30, 2013, compared to 39.6% and 7.2%, respectively, for the comparable period in fiscal 2013.</t>
        </r>
      </text>
    </comment>
    <comment ref="BK322" authorId="19">
      <text>
        <r>
          <rPr>
            <b/>
            <sz val="9"/>
            <color indexed="81"/>
            <rFont val="Tahoma"/>
            <family val="2"/>
          </rPr>
          <t>Turley, Amber (Research):</t>
        </r>
        <r>
          <rPr>
            <sz val="9"/>
            <color indexed="81"/>
            <rFont val="Tahoma"/>
            <family val="2"/>
          </rPr>
          <t xml:space="preserve">
1Q 10-Q: Urban Outfitters’ North American and European Retail segment sales accounted for approximately 38.0% and 7.2% of consolidated net sales, respectively, for the three months ended April 30, 2013, compared to 39.6% and 7.2%, respectively, for the comparable period in fiscal 2013.</t>
        </r>
      </text>
    </comment>
    <comment ref="BL322" authorId="19">
      <text>
        <r>
          <rPr>
            <b/>
            <sz val="9"/>
            <color indexed="81"/>
            <rFont val="Tahoma"/>
            <family val="2"/>
          </rPr>
          <t>Turley, Amber (Research):</t>
        </r>
        <r>
          <rPr>
            <sz val="9"/>
            <color indexed="81"/>
            <rFont val="Tahoma"/>
            <family val="2"/>
          </rPr>
          <t xml:space="preserve">
1Q 10-Q: Anthropologie’s North American and European Retail segment sales accounted for approximately 39.8% and 1.1% of consolidated net sales, respectively, for the three months ended April 30, 2013, compared to 40.1% and 1.2%, respectively, for the comparable period in fiscal 2013</t>
        </r>
      </text>
    </comment>
    <comment ref="BM322" authorId="19">
      <text>
        <r>
          <rPr>
            <b/>
            <sz val="9"/>
            <color indexed="81"/>
            <rFont val="Tahoma"/>
            <family val="2"/>
          </rPr>
          <t>Turley, Amber (Research):</t>
        </r>
        <r>
          <rPr>
            <sz val="9"/>
            <color indexed="81"/>
            <rFont val="Tahoma"/>
            <family val="2"/>
          </rPr>
          <t xml:space="preserve">
1Q 10-Q: Anthropologie’s North American and European Retail segment sales accounted for approximately 39.8% and 1.1% of consolidated net sales, respectively, for the three months ended April 30, 2013, compared to 40.1% and 1.2%, respectively, for the comparable period in fiscal 2013</t>
        </r>
      </text>
    </comment>
    <comment ref="BO322" authorId="19">
      <text>
        <r>
          <rPr>
            <b/>
            <sz val="9"/>
            <color indexed="81"/>
            <rFont val="Tahoma"/>
            <family val="2"/>
          </rPr>
          <t>Turley, Amber (Research):</t>
        </r>
        <r>
          <rPr>
            <sz val="9"/>
            <color indexed="81"/>
            <rFont val="Tahoma"/>
            <family val="2"/>
          </rPr>
          <t xml:space="preserve">
1Q 10-Q: Urban Outfitters’ North American and European Retail segment sales accounted for approximately 38.0% and 7.2% of consolidated net sales, respectively, for the three months ended April 30, 2013, compared to 39.6% and 7.2%, respectively, for the comparable period in fiscal 2013.</t>
        </r>
      </text>
    </comment>
    <comment ref="BP322" authorId="19">
      <text>
        <r>
          <rPr>
            <b/>
            <sz val="9"/>
            <color indexed="81"/>
            <rFont val="Tahoma"/>
            <family val="2"/>
          </rPr>
          <t>Turley, Amber (Research):</t>
        </r>
        <r>
          <rPr>
            <sz val="9"/>
            <color indexed="81"/>
            <rFont val="Tahoma"/>
            <family val="2"/>
          </rPr>
          <t xml:space="preserve">
1Q 10-Q: Urban Outfitters’ North American and European Retail segment sales accounted for approximately 38.0% and 7.2% of consolidated net sales, respectively, for the three months ended April 30, 2013, compared to 39.6% and 7.2%, respectively, for the comparable period in fiscal 2013.</t>
        </r>
      </text>
    </comment>
    <comment ref="BQ322" authorId="19">
      <text>
        <r>
          <rPr>
            <b/>
            <sz val="9"/>
            <color indexed="81"/>
            <rFont val="Tahoma"/>
            <family val="2"/>
          </rPr>
          <t>Turley, Amber (Research):</t>
        </r>
        <r>
          <rPr>
            <sz val="9"/>
            <color indexed="81"/>
            <rFont val="Tahoma"/>
            <family val="2"/>
          </rPr>
          <t xml:space="preserve">
1Q 10-Q: Anthropologie’s North American and European Retail segment sales accounted for approximately 39.8% and 1.1% of consolidated net sales, respectively, for the three months ended April 30, 2013, compared to 40.1% and 1.2%, respectively, for the comparable period in fiscal 2013</t>
        </r>
      </text>
    </comment>
    <comment ref="BR322" authorId="19">
      <text>
        <r>
          <rPr>
            <b/>
            <sz val="9"/>
            <color indexed="81"/>
            <rFont val="Tahoma"/>
            <family val="2"/>
          </rPr>
          <t>Turley, Amber (Research):</t>
        </r>
        <r>
          <rPr>
            <sz val="9"/>
            <color indexed="81"/>
            <rFont val="Tahoma"/>
            <family val="2"/>
          </rPr>
          <t xml:space="preserve">
1Q 10-Q: Anthropologie’s North American and European Retail segment sales accounted for approximately 39.8% and 1.1% of consolidated net sales, respectively, for the three months ended April 30, 2013, compared to 40.1% and 1.2%, respectively, for the comparable period in fiscal 2013</t>
        </r>
      </text>
    </comment>
    <comment ref="K323" authorId="15">
      <text>
        <r>
          <rPr>
            <b/>
            <sz val="8"/>
            <color indexed="81"/>
            <rFont val="Tahoma"/>
            <family val="2"/>
          </rPr>
          <t>turleamb:</t>
        </r>
        <r>
          <rPr>
            <sz val="8"/>
            <color indexed="81"/>
            <rFont val="Tahoma"/>
            <family val="2"/>
          </rPr>
          <t xml:space="preserve">
From 2Q management commentary: The brand opened 6 new stores in the quarter bringing the global store count to 222.</t>
        </r>
      </text>
    </comment>
    <comment ref="AE323" authorId="15">
      <text>
        <r>
          <rPr>
            <b/>
            <sz val="8"/>
            <color indexed="81"/>
            <rFont val="Tahoma"/>
            <family val="2"/>
          </rPr>
          <t>turleamb:</t>
        </r>
        <r>
          <rPr>
            <sz val="8"/>
            <color indexed="81"/>
            <rFont val="Tahoma"/>
            <family val="2"/>
          </rPr>
          <t xml:space="preserve">
From 2Q management commentary: Square footage increased 6% over the prior year period to 1,959,556.</t>
        </r>
      </text>
    </comment>
    <comment ref="BJ323" authorId="19">
      <text>
        <r>
          <rPr>
            <b/>
            <sz val="9"/>
            <color indexed="81"/>
            <rFont val="Tahoma"/>
            <family val="2"/>
          </rPr>
          <t>Turley, Amber (Research):</t>
        </r>
        <r>
          <rPr>
            <sz val="9"/>
            <color indexed="81"/>
            <rFont val="Tahoma"/>
            <family val="2"/>
          </rPr>
          <t xml:space="preserve">
2Q 10-Q: Urban Outfitters’ North American and European Retail segment sales accounted for approximately 37.3% and 7.5% of consolidated net sales, respectively, for the six months ended July 31, 2013, compared to 38.8% and 7.6%, respectively, for the comparable period in fiscal 2013</t>
        </r>
      </text>
    </comment>
    <comment ref="BK323" authorId="19">
      <text>
        <r>
          <rPr>
            <b/>
            <sz val="9"/>
            <color indexed="81"/>
            <rFont val="Tahoma"/>
            <family val="2"/>
          </rPr>
          <t>Turley, Amber (Research):</t>
        </r>
        <r>
          <rPr>
            <sz val="9"/>
            <color indexed="81"/>
            <rFont val="Tahoma"/>
            <family val="2"/>
          </rPr>
          <t xml:space="preserve">
2Q 10-Q: Urban Outfitters’ North American and European Retail segment sales accounted for approximately 37.3% and 7.5% of consolidated net sales, respectively, for the six months ended July 31, 2013, compared to 38.8% and 7.6%, respectively, for the comparable period in fiscal 2013</t>
        </r>
      </text>
    </comment>
    <comment ref="BL323" authorId="19">
      <text>
        <r>
          <rPr>
            <b/>
            <sz val="9"/>
            <color indexed="81"/>
            <rFont val="Tahoma"/>
            <family val="2"/>
          </rPr>
          <t>Turley, Amber (Research):</t>
        </r>
        <r>
          <rPr>
            <sz val="9"/>
            <color indexed="81"/>
            <rFont val="Tahoma"/>
            <family val="2"/>
          </rPr>
          <t xml:space="preserve">
2Q 10-q: Anthropologie’s North American and European Retail segment sales accounted for approximately 40.1% and 1.1% of consolidated net sales, respectively, for the six months ended July 31, 2013, compared to 40.3% and 1.2%, respectively, for the comparable period in fiscal 2013. 
</t>
        </r>
      </text>
    </comment>
    <comment ref="BM323" authorId="19">
      <text>
        <r>
          <rPr>
            <b/>
            <sz val="9"/>
            <color indexed="81"/>
            <rFont val="Tahoma"/>
            <family val="2"/>
          </rPr>
          <t>Turley, Amber (Research):</t>
        </r>
        <r>
          <rPr>
            <sz val="9"/>
            <color indexed="81"/>
            <rFont val="Tahoma"/>
            <family val="2"/>
          </rPr>
          <t xml:space="preserve">
2Q 10-q: Anthropologie’s North American and European Retail segment sales accounted for approximately 40.1% and 1.1% of consolidated net sales, respectively, for the six months ended July 31, 2013, compared to 40.3% and 1.2%, respectively, for the comparable period in fiscal 2013. 
</t>
        </r>
      </text>
    </comment>
    <comment ref="BO323" authorId="19">
      <text>
        <r>
          <rPr>
            <b/>
            <sz val="9"/>
            <color indexed="81"/>
            <rFont val="Tahoma"/>
            <family val="2"/>
          </rPr>
          <t>Turley, Amber (Research):</t>
        </r>
        <r>
          <rPr>
            <sz val="9"/>
            <color indexed="81"/>
            <rFont val="Tahoma"/>
            <family val="2"/>
          </rPr>
          <t xml:space="preserve">
2Q 10-Q: Urban Outfitters’ North American and European Retail segment sales accounted for approximately 37.3% and 7.5% of consolidated net sales, respectively, for the six months ended July 31, 2013, compared to 38.8% and 7.6%, respectively, for the comparable period in fiscal 2013</t>
        </r>
      </text>
    </comment>
    <comment ref="BP323" authorId="19">
      <text>
        <r>
          <rPr>
            <b/>
            <sz val="9"/>
            <color indexed="81"/>
            <rFont val="Tahoma"/>
            <family val="2"/>
          </rPr>
          <t>Turley, Amber (Research):</t>
        </r>
        <r>
          <rPr>
            <sz val="9"/>
            <color indexed="81"/>
            <rFont val="Tahoma"/>
            <family val="2"/>
          </rPr>
          <t xml:space="preserve">
2Q 10-Q: Urban Outfitters’ North American and European Retail segment sales accounted for approximately 37.3% and 7.5% of consolidated net sales, respectively, for the six months ended July 31, 2013, compared to 38.8% and 7.6%, respectively, for the comparable period in fiscal 2013</t>
        </r>
      </text>
    </comment>
    <comment ref="BQ323" authorId="19">
      <text>
        <r>
          <rPr>
            <b/>
            <sz val="9"/>
            <color indexed="81"/>
            <rFont val="Tahoma"/>
            <family val="2"/>
          </rPr>
          <t>Turley, Amber (Research):</t>
        </r>
        <r>
          <rPr>
            <sz val="9"/>
            <color indexed="81"/>
            <rFont val="Tahoma"/>
            <family val="2"/>
          </rPr>
          <t xml:space="preserve">
2Q 10-q: Anthropologie’s North American and European Retail segment sales accounted for approximately 40.1% and 1.1% of consolidated net sales, respectively, for the six months ended July 31, 2013, compared to 40.3% and 1.2%, respectively, for the comparable period in fiscal 2013. 
</t>
        </r>
      </text>
    </comment>
    <comment ref="BR323" authorId="19">
      <text>
        <r>
          <rPr>
            <b/>
            <sz val="9"/>
            <color indexed="81"/>
            <rFont val="Tahoma"/>
            <family val="2"/>
          </rPr>
          <t>Turley, Amber (Research):</t>
        </r>
        <r>
          <rPr>
            <sz val="9"/>
            <color indexed="81"/>
            <rFont val="Tahoma"/>
            <family val="2"/>
          </rPr>
          <t xml:space="preserve">
2Q 10-q: Anthropologie’s North American and European Retail segment sales accounted for approximately 40.1% and 1.1% of consolidated net sales, respectively, for the six months ended July 31, 2013, compared to 40.3% and 1.2%, respectively, for the comparable period in fiscal 2013. 
</t>
        </r>
      </text>
    </comment>
    <comment ref="K324" authorId="15">
      <text>
        <r>
          <rPr>
            <b/>
            <sz val="8"/>
            <color indexed="81"/>
            <rFont val="Tahoma"/>
            <family val="2"/>
          </rPr>
          <t>turleamb:</t>
        </r>
        <r>
          <rPr>
            <sz val="8"/>
            <color indexed="81"/>
            <rFont val="Tahoma"/>
            <family val="2"/>
          </rPr>
          <t xml:space="preserve">
11/18/13: 225 UO stores; 173 in US, 14 in Canada, 38 in Europe. YTD opened 11 new stores (7 in US, 1 in Canada, 3 in Europe) and closed 1 store in the US. </t>
        </r>
      </text>
    </comment>
    <comment ref="W324" authorId="15">
      <text>
        <r>
          <rPr>
            <b/>
            <sz val="8"/>
            <color indexed="81"/>
            <rFont val="Tahoma"/>
            <family val="2"/>
          </rPr>
          <t>turleamb:</t>
        </r>
        <r>
          <rPr>
            <sz val="8"/>
            <color indexed="81"/>
            <rFont val="Tahoma"/>
            <family val="2"/>
          </rPr>
          <t xml:space="preserve">
11/18/13: In NA, sales strongest in CA and weakest in the Mid-Atlantic. Stores in lifestyle malls were strongest and Metro locations were weakest. Home was the strongest while women's accessories was the weakest. 
In Europe: Continental Europe was strongest. By venue traditional malls were strongest. Home was the strongest and women's accessories was weakest. </t>
        </r>
      </text>
    </comment>
    <comment ref="AE324" authorId="15">
      <text>
        <r>
          <rPr>
            <b/>
            <sz val="8"/>
            <color indexed="81"/>
            <rFont val="Tahoma"/>
            <family val="2"/>
          </rPr>
          <t>turleamb:</t>
        </r>
        <r>
          <rPr>
            <sz val="8"/>
            <color indexed="81"/>
            <rFont val="Tahoma"/>
            <family val="2"/>
          </rPr>
          <t xml:space="preserve">
square footage +7%</t>
        </r>
      </text>
    </comment>
    <comment ref="BJ324" authorId="19">
      <text>
        <r>
          <rPr>
            <b/>
            <sz val="9"/>
            <color indexed="81"/>
            <rFont val="Tahoma"/>
            <family val="2"/>
          </rPr>
          <t>Turley, Amber (Research):</t>
        </r>
        <r>
          <rPr>
            <sz val="9"/>
            <color indexed="81"/>
            <rFont val="Tahoma"/>
            <family val="2"/>
          </rPr>
          <t xml:space="preserve">
3Q 10-Q: Urban Outfitters’ North American and European Retail segment net sales accounted for approximately 37.0% and 7.5% of consolidated net sales, respectively, for the nine months ended October 31, 2013, compared to 39.2% and 7.7%, respectively, for the comparable period in fiscal 2013</t>
        </r>
      </text>
    </comment>
    <comment ref="BK324" authorId="19">
      <text>
        <r>
          <rPr>
            <b/>
            <sz val="9"/>
            <color indexed="81"/>
            <rFont val="Tahoma"/>
            <family val="2"/>
          </rPr>
          <t>Turley, Amber (Research):</t>
        </r>
        <r>
          <rPr>
            <sz val="9"/>
            <color indexed="81"/>
            <rFont val="Tahoma"/>
            <family val="2"/>
          </rPr>
          <t xml:space="preserve">
3Q 10-Q: Urban Outfitters’ North American and European Retail segment net sales accounted for approximately 37.0% and 7.5% of consolidated net sales, respectively, for the nine months ended October 31, 2013, compared to 39.2% and 7.7%, respectively, for the comparable period in fiscal 2013</t>
        </r>
      </text>
    </comment>
    <comment ref="BL324" authorId="19">
      <text>
        <r>
          <rPr>
            <b/>
            <sz val="9"/>
            <color indexed="81"/>
            <rFont val="Tahoma"/>
            <family val="2"/>
          </rPr>
          <t>Turley, Amber (Research):</t>
        </r>
        <r>
          <rPr>
            <sz val="9"/>
            <color indexed="81"/>
            <rFont val="Tahoma"/>
            <family val="2"/>
          </rPr>
          <t xml:space="preserve">
3Q 10-Q: Anthropologie’s North American and European Retail segment net sales accounted for approximately 39.7% and 1.1% of consolidated net sales, respectively, for the nine months ended October 31, 2013, compared to 39.3% and 1.1%, respectively, for the comparable period in fiscal 2013</t>
        </r>
      </text>
    </comment>
    <comment ref="BM324" authorId="19">
      <text>
        <r>
          <rPr>
            <b/>
            <sz val="9"/>
            <color indexed="81"/>
            <rFont val="Tahoma"/>
            <family val="2"/>
          </rPr>
          <t>Turley, Amber (Research):</t>
        </r>
        <r>
          <rPr>
            <sz val="9"/>
            <color indexed="81"/>
            <rFont val="Tahoma"/>
            <family val="2"/>
          </rPr>
          <t xml:space="preserve">
3Q 10-Q: Anthropologie’s North American and European Retail segment net sales accounted for approximately 39.7% and 1.1% of consolidated net sales, respectively, for the nine months ended October 31, 2013, compared to 39.3% and 1.1%, respectively, for the comparable period in fiscal 2013</t>
        </r>
      </text>
    </comment>
    <comment ref="BO324" authorId="19">
      <text>
        <r>
          <rPr>
            <b/>
            <sz val="9"/>
            <color indexed="81"/>
            <rFont val="Tahoma"/>
            <family val="2"/>
          </rPr>
          <t>Turley, Amber (Research):</t>
        </r>
        <r>
          <rPr>
            <sz val="9"/>
            <color indexed="81"/>
            <rFont val="Tahoma"/>
            <family val="2"/>
          </rPr>
          <t xml:space="preserve">
3Q 10-Q: Urban Outfitters’ North American and European Retail segment net sales accounted for approximately 37.0% and 7.5% of consolidated net sales, respectively, for the nine months ended October 31, 2013, compared to 39.2% and 7.7%, respectively, for the comparable period in fiscal 2013</t>
        </r>
      </text>
    </comment>
    <comment ref="BP324" authorId="19">
      <text>
        <r>
          <rPr>
            <b/>
            <sz val="9"/>
            <color indexed="81"/>
            <rFont val="Tahoma"/>
            <family val="2"/>
          </rPr>
          <t>Turley, Amber (Research):</t>
        </r>
        <r>
          <rPr>
            <sz val="9"/>
            <color indexed="81"/>
            <rFont val="Tahoma"/>
            <family val="2"/>
          </rPr>
          <t xml:space="preserve">
3Q 10-Q: Urban Outfitters’ North American and European Retail segment net sales accounted for approximately 37.0% and 7.5% of consolidated net sales, respectively, for the nine months ended October 31, 2013, compared to 39.2% and 7.7%, respectively, for the comparable period in fiscal 2013</t>
        </r>
      </text>
    </comment>
    <comment ref="BQ324" authorId="19">
      <text>
        <r>
          <rPr>
            <b/>
            <sz val="9"/>
            <color indexed="81"/>
            <rFont val="Tahoma"/>
            <family val="2"/>
          </rPr>
          <t>Turley, Amber (Research):</t>
        </r>
        <r>
          <rPr>
            <sz val="9"/>
            <color indexed="81"/>
            <rFont val="Tahoma"/>
            <family val="2"/>
          </rPr>
          <t xml:space="preserve">
3Q 10-Q: Anthropologie’s North American and European Retail segment net sales accounted for approximately 39.7% and 1.1% of consolidated net sales, respectively, for the nine months ended October 31, 2013, compared to 39.3% and 1.1%, respectively, for the comparable period in fiscal 2013</t>
        </r>
      </text>
    </comment>
    <comment ref="BR324" authorId="19">
      <text>
        <r>
          <rPr>
            <b/>
            <sz val="9"/>
            <color indexed="81"/>
            <rFont val="Tahoma"/>
            <family val="2"/>
          </rPr>
          <t>Turley, Amber (Research):</t>
        </r>
        <r>
          <rPr>
            <sz val="9"/>
            <color indexed="81"/>
            <rFont val="Tahoma"/>
            <family val="2"/>
          </rPr>
          <t xml:space="preserve">
3Q 10-Q: Anthropologie’s North American and European Retail segment net sales accounted for approximately 39.7% and 1.1% of consolidated net sales, respectively, for the nine months ended October 31, 2013, compared to 39.3% and 1.1%, respectively, for the comparable period in fiscal 2013</t>
        </r>
      </text>
    </comment>
    <comment ref="K325" authorId="15">
      <text>
        <r>
          <rPr>
            <b/>
            <sz val="8"/>
            <color indexed="81"/>
            <rFont val="Tahoma"/>
            <family val="2"/>
          </rPr>
          <t>turleamb:</t>
        </r>
        <r>
          <rPr>
            <sz val="8"/>
            <color indexed="81"/>
            <rFont val="Tahoma"/>
            <family val="2"/>
          </rPr>
          <t xml:space="preserve">
2/10/14: 230 UO stores
11/18/13: 4Q13: Expect to open 10 new stores (4 new Urban Outfitters (2 in Europe), 4 new Free People, and 2 new Anthropologie). </t>
        </r>
      </text>
    </comment>
    <comment ref="AE325" authorId="15">
      <text>
        <r>
          <rPr>
            <b/>
            <sz val="8"/>
            <color indexed="81"/>
            <rFont val="Tahoma"/>
            <family val="2"/>
          </rPr>
          <t>turleamb:</t>
        </r>
        <r>
          <rPr>
            <sz val="8"/>
            <color indexed="81"/>
            <rFont val="Tahoma"/>
            <family val="2"/>
          </rPr>
          <t xml:space="preserve">
square footage +6% per prepared notes</t>
        </r>
      </text>
    </comment>
    <comment ref="BJ325" authorId="19">
      <text>
        <r>
          <rPr>
            <b/>
            <sz val="9"/>
            <color indexed="81"/>
            <rFont val="Tahoma"/>
            <family val="2"/>
          </rPr>
          <t>Turley, Amber (Research):</t>
        </r>
        <r>
          <rPr>
            <sz val="9"/>
            <color indexed="81"/>
            <rFont val="Tahoma"/>
            <family val="2"/>
          </rPr>
          <t xml:space="preserve">
Urban Outfitters’ North American and European Retail segment net sales accounted for approximately 36.3% and 8.1% of consolidated net sales, respectively, for fiscal 2014. 
</t>
        </r>
      </text>
    </comment>
    <comment ref="BK325" authorId="19">
      <text>
        <r>
          <rPr>
            <b/>
            <sz val="9"/>
            <color indexed="81"/>
            <rFont val="Tahoma"/>
            <family val="2"/>
          </rPr>
          <t>Turley, Amber (Research):</t>
        </r>
        <r>
          <rPr>
            <sz val="9"/>
            <color indexed="81"/>
            <rFont val="Tahoma"/>
            <family val="2"/>
          </rPr>
          <t xml:space="preserve">
Urban Outfitters’ North American and European Retail segment net sales accounted for approximately 36.3% and 8.1% of consolidated net sales, respectively, for fiscal 2014. 
</t>
        </r>
      </text>
    </comment>
    <comment ref="BL325" authorId="19">
      <text>
        <r>
          <rPr>
            <b/>
            <sz val="9"/>
            <color indexed="81"/>
            <rFont val="Tahoma"/>
            <family val="2"/>
          </rPr>
          <t>Turley, Amber (Research):</t>
        </r>
        <r>
          <rPr>
            <sz val="9"/>
            <color indexed="81"/>
            <rFont val="Tahoma"/>
            <family val="2"/>
          </rPr>
          <t xml:space="preserve">
 Anthropologie also offers a catalog in North America and Europe that markets select merchandise, most of which is also available in our Anthropologie stores. Anthropologie’s North American and European Retail segment net sales accounted for approximately 39.8% and 1.2% of consolidated net sales, respectively, for fiscal 2014. 
</t>
        </r>
      </text>
    </comment>
    <comment ref="BM325" authorId="19">
      <text>
        <r>
          <rPr>
            <b/>
            <sz val="9"/>
            <color indexed="81"/>
            <rFont val="Tahoma"/>
            <family val="2"/>
          </rPr>
          <t>Turley, Amber (Research):</t>
        </r>
        <r>
          <rPr>
            <sz val="9"/>
            <color indexed="81"/>
            <rFont val="Tahoma"/>
            <family val="2"/>
          </rPr>
          <t xml:space="preserve">
 Anthropologie also offers a catalog in North America and Europe that markets select merchandise, most of which is also available in our Anthropologie stores. Anthropologie’s North American and European Retail segment net sales accounted for approximately 39.8% and 1.2% of consolidated net sales, respectively, for fiscal 2014. 
</t>
        </r>
      </text>
    </comment>
    <comment ref="BO325" authorId="19">
      <text>
        <r>
          <rPr>
            <b/>
            <sz val="9"/>
            <color indexed="81"/>
            <rFont val="Tahoma"/>
            <family val="2"/>
          </rPr>
          <t>Turley, Amber (Research):</t>
        </r>
        <r>
          <rPr>
            <sz val="9"/>
            <color indexed="81"/>
            <rFont val="Tahoma"/>
            <family val="2"/>
          </rPr>
          <t xml:space="preserve">
Urban Outfitters’ North American and European Retail segment net sales accounted for approximately 36.3% and 8.1% of consolidated net sales, respectively, for fiscal 2014. 
</t>
        </r>
      </text>
    </comment>
    <comment ref="BP325" authorId="19">
      <text>
        <r>
          <rPr>
            <b/>
            <sz val="9"/>
            <color indexed="81"/>
            <rFont val="Tahoma"/>
            <family val="2"/>
          </rPr>
          <t>Turley, Amber (Research):</t>
        </r>
        <r>
          <rPr>
            <sz val="9"/>
            <color indexed="81"/>
            <rFont val="Tahoma"/>
            <family val="2"/>
          </rPr>
          <t xml:space="preserve">
Urban Outfitters’ North American and European Retail segment net sales accounted for approximately 36.3% and 8.1% of consolidated net sales, respectively, for fiscal 2014. 
</t>
        </r>
      </text>
    </comment>
    <comment ref="BQ325" authorId="19">
      <text>
        <r>
          <rPr>
            <b/>
            <sz val="9"/>
            <color indexed="81"/>
            <rFont val="Tahoma"/>
            <family val="2"/>
          </rPr>
          <t>Turley, Amber (Research):</t>
        </r>
        <r>
          <rPr>
            <sz val="9"/>
            <color indexed="81"/>
            <rFont val="Tahoma"/>
            <family val="2"/>
          </rPr>
          <t xml:space="preserve">
 Anthropologie also offers a catalog in North America and Europe that markets select merchandise, most of which is also available in our Anthropologie stores. Anthropologie’s North American and European Retail segment net sales accounted for approximately 39.8% and 1.2% of consolidated net sales, respectively, for fiscal 2014. 
</t>
        </r>
      </text>
    </comment>
    <comment ref="BR325" authorId="19">
      <text>
        <r>
          <rPr>
            <b/>
            <sz val="9"/>
            <color indexed="81"/>
            <rFont val="Tahoma"/>
            <family val="2"/>
          </rPr>
          <t>Turley, Amber (Research):</t>
        </r>
        <r>
          <rPr>
            <sz val="9"/>
            <color indexed="81"/>
            <rFont val="Tahoma"/>
            <family val="2"/>
          </rPr>
          <t xml:space="preserve">
 Anthropologie also offers a catalog in North America and Europe that markets select merchandise, most of which is also available in our Anthropologie stores. Anthropologie’s North American and European Retail segment net sales accounted for approximately 39.8% and 1.2% of consolidated net sales, respectively, for fiscal 2014. 
</t>
        </r>
      </text>
    </comment>
    <comment ref="BJ326" authorId="19">
      <text>
        <r>
          <rPr>
            <b/>
            <sz val="9"/>
            <color indexed="81"/>
            <rFont val="Tahoma"/>
            <family val="2"/>
          </rPr>
          <t>Turley, Amber (Research):</t>
        </r>
        <r>
          <rPr>
            <sz val="9"/>
            <color indexed="81"/>
            <rFont val="Tahoma"/>
            <family val="2"/>
          </rPr>
          <t xml:space="preserve">
Urban Outfitters’ North American and European Retail segment net sales accounted for approximately 36.3% and 8.1% of consolidated net sales, respectively, for fiscal 2014. 
</t>
        </r>
      </text>
    </comment>
    <comment ref="BK326" authorId="19">
      <text>
        <r>
          <rPr>
            <b/>
            <sz val="9"/>
            <color indexed="81"/>
            <rFont val="Tahoma"/>
            <family val="2"/>
          </rPr>
          <t>Turley, Amber (Research):</t>
        </r>
        <r>
          <rPr>
            <sz val="9"/>
            <color indexed="81"/>
            <rFont val="Tahoma"/>
            <family val="2"/>
          </rPr>
          <t xml:space="preserve">
Urban Outfitters’ North American and European Retail segment net sales accounted for approximately 36.3% and 8.1% of consolidated net sales, respectively, for fiscal 2014. 
</t>
        </r>
      </text>
    </comment>
    <comment ref="BL326" authorId="19">
      <text>
        <r>
          <rPr>
            <b/>
            <sz val="9"/>
            <color indexed="81"/>
            <rFont val="Tahoma"/>
            <family val="2"/>
          </rPr>
          <t>Turley, Amber (Research):</t>
        </r>
        <r>
          <rPr>
            <sz val="9"/>
            <color indexed="81"/>
            <rFont val="Tahoma"/>
            <family val="2"/>
          </rPr>
          <t xml:space="preserve">
 Anthropologie also offers a catalog in North America and Europe that markets select merchandise, most of which is also available in our Anthropologie stores. Anthropologie’s North American and European Retail segment net sales accounted for approximately 39.8% and 1.2% of consolidated net sales, respectively, for fiscal 2014. 
</t>
        </r>
      </text>
    </comment>
    <comment ref="BM326" authorId="19">
      <text>
        <r>
          <rPr>
            <b/>
            <sz val="9"/>
            <color indexed="81"/>
            <rFont val="Tahoma"/>
            <family val="2"/>
          </rPr>
          <t>Turley, Amber (Research):</t>
        </r>
        <r>
          <rPr>
            <sz val="9"/>
            <color indexed="81"/>
            <rFont val="Tahoma"/>
            <family val="2"/>
          </rPr>
          <t xml:space="preserve">
 Anthropologie also offers a catalog in North America and Europe that markets select merchandise, most of which is also available in our Anthropologie stores. Anthropologie’s North American and European Retail segment net sales accounted for approximately 39.8% and 1.2% of consolidated net sales, respectively, for fiscal 2014. 
</t>
        </r>
      </text>
    </comment>
    <comment ref="BO326" authorId="19">
      <text>
        <r>
          <rPr>
            <b/>
            <sz val="9"/>
            <color indexed="81"/>
            <rFont val="Tahoma"/>
            <family val="2"/>
          </rPr>
          <t>Turley, Amber (Research):</t>
        </r>
        <r>
          <rPr>
            <sz val="9"/>
            <color indexed="81"/>
            <rFont val="Tahoma"/>
            <family val="2"/>
          </rPr>
          <t xml:space="preserve">
Urban Outfitters’ North American and European Retail segment net sales accounted for approximately 36.3% and 8.1% of consolidated net sales, respectively, for fiscal 2014. 
</t>
        </r>
      </text>
    </comment>
    <comment ref="BP326" authorId="19">
      <text>
        <r>
          <rPr>
            <b/>
            <sz val="9"/>
            <color indexed="81"/>
            <rFont val="Tahoma"/>
            <family val="2"/>
          </rPr>
          <t>Turley, Amber (Research):</t>
        </r>
        <r>
          <rPr>
            <sz val="9"/>
            <color indexed="81"/>
            <rFont val="Tahoma"/>
            <family val="2"/>
          </rPr>
          <t xml:space="preserve">
Urban Outfitters’ North American and European Retail segment net sales accounted for approximately 36.3% and 8.1% of consolidated net sales, respectively, for fiscal 2014. 
</t>
        </r>
      </text>
    </comment>
    <comment ref="BQ326" authorId="19">
      <text>
        <r>
          <rPr>
            <b/>
            <sz val="9"/>
            <color indexed="81"/>
            <rFont val="Tahoma"/>
            <family val="2"/>
          </rPr>
          <t>Turley, Amber (Research):</t>
        </r>
        <r>
          <rPr>
            <sz val="9"/>
            <color indexed="81"/>
            <rFont val="Tahoma"/>
            <family val="2"/>
          </rPr>
          <t xml:space="preserve">
 Anthropologie also offers a catalog in North America and Europe that markets select merchandise, most of which is also available in our Anthropologie stores. Anthropologie’s North American and European Retail segment net sales accounted for approximately 39.8% and 1.2% of consolidated net sales, respectively, for fiscal 2014. 
</t>
        </r>
      </text>
    </comment>
    <comment ref="BR326" authorId="19">
      <text>
        <r>
          <rPr>
            <b/>
            <sz val="9"/>
            <color indexed="81"/>
            <rFont val="Tahoma"/>
            <family val="2"/>
          </rPr>
          <t>Turley, Amber (Research):</t>
        </r>
        <r>
          <rPr>
            <sz val="9"/>
            <color indexed="81"/>
            <rFont val="Tahoma"/>
            <family val="2"/>
          </rPr>
          <t xml:space="preserve">
 Anthropologie also offers a catalog in North America and Europe that markets select merchandise, most of which is also available in our Anthropologie stores. Anthropologie’s North American and European Retail segment net sales accounted for approximately 39.8% and 1.2% of consolidated net sales, respectively, for fiscal 2014. 
</t>
        </r>
      </text>
    </comment>
    <comment ref="K329" authorId="15">
      <text>
        <r>
          <rPr>
            <b/>
            <sz val="9"/>
            <color indexed="81"/>
            <rFont val="Tahoma"/>
            <family val="2"/>
          </rPr>
          <t>turleamb:</t>
        </r>
        <r>
          <rPr>
            <sz val="9"/>
            <color indexed="81"/>
            <rFont val="Tahoma"/>
            <family val="2"/>
          </rPr>
          <t xml:space="preserve">
5/19/14: opened 2 new stores (both in the US):
178 in the US, 14 in Canada and 40 in Europe</t>
        </r>
      </text>
    </comment>
    <comment ref="W329" authorId="15">
      <text>
        <r>
          <rPr>
            <b/>
            <sz val="9"/>
            <color indexed="81"/>
            <rFont val="Tahoma"/>
            <family val="2"/>
          </rPr>
          <t>turleamb:</t>
        </r>
        <r>
          <rPr>
            <sz val="9"/>
            <color indexed="81"/>
            <rFont val="Tahoma"/>
            <family val="2"/>
          </rPr>
          <t xml:space="preserve">
In NA store sales strongest in CA and weakest in Mid-Atlantic and Canada. By venue store sales were strongest in lifestyle malls and weakest in traditional malls. By retail merchandise cateogry home was the strongest while womens apparel and accessories were the weakest. In Europe store sales were strongest in UK. In Retail segment merchandise category, men's apparel was the strongest and womens accessories was the weakest. 
10-Q: UO NA drove 32.4% of total sales and UO Europe 8.1% of net sales</t>
        </r>
      </text>
    </comment>
    <comment ref="BJ329" authorId="19">
      <text>
        <r>
          <rPr>
            <b/>
            <sz val="9"/>
            <color indexed="81"/>
            <rFont val="Tahoma"/>
            <family val="2"/>
          </rPr>
          <t>Turley, Amber (Research):</t>
        </r>
        <r>
          <rPr>
            <sz val="9"/>
            <color indexed="81"/>
            <rFont val="Tahoma"/>
            <family val="2"/>
          </rPr>
          <t xml:space="preserve">
1Q 10-q: Urban Outfitters’ North American and European Retail segment net sales accounted for approximately 32.4% and 8.1% of consolidated net sales, respectively, for the three months ended April 30, 2014, compared to 38.0% and 7.2%, respectively, for the comparable period in fiscal 2014.</t>
        </r>
      </text>
    </comment>
    <comment ref="BK329" authorId="19">
      <text>
        <r>
          <rPr>
            <b/>
            <sz val="9"/>
            <color indexed="81"/>
            <rFont val="Tahoma"/>
            <family val="2"/>
          </rPr>
          <t>Turley, Amber (Research):</t>
        </r>
        <r>
          <rPr>
            <sz val="9"/>
            <color indexed="81"/>
            <rFont val="Tahoma"/>
            <family val="2"/>
          </rPr>
          <t xml:space="preserve">
1Q 10-q: Urban Outfitters’ North American and European Retail segment net sales accounted for approximately 32.4% and 8.1% of consolidated net sales, respectively, for the three months ended April 30, 2014, compared to 38.0% and 7.2%, respectively, for the comparable period in fiscal 2014.</t>
        </r>
      </text>
    </comment>
    <comment ref="BL329" authorId="19">
      <text>
        <r>
          <rPr>
            <b/>
            <sz val="9"/>
            <color indexed="81"/>
            <rFont val="Tahoma"/>
            <family val="2"/>
          </rPr>
          <t>Turley, Amber (Research):</t>
        </r>
        <r>
          <rPr>
            <sz val="9"/>
            <color indexed="81"/>
            <rFont val="Tahoma"/>
            <family val="2"/>
          </rPr>
          <t xml:space="preserve">
1Q 10-Q: Anthropologie Group’s North American and European Retail segment net sales accounted for approximately 41.8% and 1.3% of consolidated net sales, respectively, for the three months ended April 30, 2014, compared to 40.3% and 1.1%, respectively, for the comparable period in fiscal 2014. 
</t>
        </r>
      </text>
    </comment>
    <comment ref="BM329" authorId="19">
      <text>
        <r>
          <rPr>
            <b/>
            <sz val="9"/>
            <color indexed="81"/>
            <rFont val="Tahoma"/>
            <family val="2"/>
          </rPr>
          <t>Turley, Amber (Research):</t>
        </r>
        <r>
          <rPr>
            <sz val="9"/>
            <color indexed="81"/>
            <rFont val="Tahoma"/>
            <family val="2"/>
          </rPr>
          <t xml:space="preserve">
1Q 10-Q: Anthropologie Group’s North American and European Retail segment net sales accounted for approximately 41.8% and 1.3% of consolidated net sales, respectively, for the three months ended April 30, 2014, compared to 40.3% and 1.1%, respectively, for the comparable period in fiscal 2014. 
</t>
        </r>
      </text>
    </comment>
    <comment ref="BO329" authorId="19">
      <text>
        <r>
          <rPr>
            <b/>
            <sz val="9"/>
            <color indexed="81"/>
            <rFont val="Tahoma"/>
            <family val="2"/>
          </rPr>
          <t>Turley, Amber (Research):</t>
        </r>
        <r>
          <rPr>
            <sz val="9"/>
            <color indexed="81"/>
            <rFont val="Tahoma"/>
            <family val="2"/>
          </rPr>
          <t xml:space="preserve">
1Q 10-q: Urban Outfitters’ North American and European Retail segment net sales accounted for approximately 32.4% and 8.1% of consolidated net sales, respectively, for the three months ended April 30, 2014, compared to 38.0% and 7.2%, respectively, for the comparable period in fiscal 2014.</t>
        </r>
      </text>
    </comment>
    <comment ref="BP329" authorId="19">
      <text>
        <r>
          <rPr>
            <b/>
            <sz val="9"/>
            <color indexed="81"/>
            <rFont val="Tahoma"/>
            <family val="2"/>
          </rPr>
          <t>Turley, Amber (Research):</t>
        </r>
        <r>
          <rPr>
            <sz val="9"/>
            <color indexed="81"/>
            <rFont val="Tahoma"/>
            <family val="2"/>
          </rPr>
          <t xml:space="preserve">
1Q 10-q: Urban Outfitters’ North American and European Retail segment net sales accounted for approximately 32.4% and 8.1% of consolidated net sales, respectively, for the three months ended April 30, 2014, compared to 38.0% and 7.2%, respectively, for the comparable period in fiscal 2014.</t>
        </r>
      </text>
    </comment>
    <comment ref="BQ329" authorId="19">
      <text>
        <r>
          <rPr>
            <b/>
            <sz val="9"/>
            <color indexed="81"/>
            <rFont val="Tahoma"/>
            <family val="2"/>
          </rPr>
          <t>Turley, Amber (Research):</t>
        </r>
        <r>
          <rPr>
            <sz val="9"/>
            <color indexed="81"/>
            <rFont val="Tahoma"/>
            <family val="2"/>
          </rPr>
          <t xml:space="preserve">
1Q 10-Q: Anthropologie Group’s North American and European Retail segment net sales accounted for approximately 41.8% and 1.3% of consolidated net sales, respectively, for the three months ended April 30, 2014, compared to 40.3% and 1.1%, respectively, for the comparable period in fiscal 2014. 
</t>
        </r>
      </text>
    </comment>
    <comment ref="BR329" authorId="19">
      <text>
        <r>
          <rPr>
            <b/>
            <sz val="9"/>
            <color indexed="81"/>
            <rFont val="Tahoma"/>
            <family val="2"/>
          </rPr>
          <t>Turley, Amber (Research):</t>
        </r>
        <r>
          <rPr>
            <sz val="9"/>
            <color indexed="81"/>
            <rFont val="Tahoma"/>
            <family val="2"/>
          </rPr>
          <t xml:space="preserve">
1Q 10-Q: Anthropologie Group’s North American and European Retail segment net sales accounted for approximately 41.8% and 1.3% of consolidated net sales, respectively, for the three months ended April 30, 2014, compared to 40.3% and 1.1%, respectively, for the comparable period in fiscal 2014. 
</t>
        </r>
      </text>
    </comment>
    <comment ref="K330" authorId="19">
      <text>
        <r>
          <rPr>
            <b/>
            <sz val="9"/>
            <color indexed="81"/>
            <rFont val="Tahoma"/>
            <family val="2"/>
          </rPr>
          <t>Turley, Amber (Research):</t>
        </r>
        <r>
          <rPr>
            <sz val="9"/>
            <color indexed="81"/>
            <rFont val="Tahoma"/>
            <family val="2"/>
          </rPr>
          <t xml:space="preserve">
8/18/14: Opened 1 UO stores. 179 in US, 14 in Canada, 40 in Europe</t>
        </r>
      </text>
    </comment>
    <comment ref="BJ330" authorId="19">
      <text>
        <r>
          <rPr>
            <b/>
            <sz val="9"/>
            <color indexed="81"/>
            <rFont val="Tahoma"/>
            <family val="2"/>
          </rPr>
          <t>Turley, Amber (Research):</t>
        </r>
        <r>
          <rPr>
            <sz val="9"/>
            <color indexed="81"/>
            <rFont val="Tahoma"/>
            <family val="2"/>
          </rPr>
          <t xml:space="preserve">
2Q 10-Q: Urban Outfitters’ North American and European Retail segment net sales accounted for approximately 32.1% and 8.4% of consolidated net sales, respectively, for the six months ended July 31, 2014, compared to 37.3% and 7.5%, respectively, for the comparable period in fiscal 2014. 
</t>
        </r>
      </text>
    </comment>
    <comment ref="BK330" authorId="19">
      <text>
        <r>
          <rPr>
            <b/>
            <sz val="9"/>
            <color indexed="81"/>
            <rFont val="Tahoma"/>
            <family val="2"/>
          </rPr>
          <t>Turley, Amber (Research):</t>
        </r>
        <r>
          <rPr>
            <sz val="9"/>
            <color indexed="81"/>
            <rFont val="Tahoma"/>
            <family val="2"/>
          </rPr>
          <t xml:space="preserve">
2Q 10-Q: Urban Outfitters’ North American and European Retail segment net sales accounted for approximately 32.1% and 8.4% of consolidated net sales, respectively, for the six months ended July 31, 2014, compared to 37.3% and 7.5%, respectively, for the comparable period in fiscal 2014. 
</t>
        </r>
      </text>
    </comment>
    <comment ref="BL330" authorId="19">
      <text>
        <r>
          <rPr>
            <b/>
            <sz val="9"/>
            <color indexed="81"/>
            <rFont val="Tahoma"/>
            <family val="2"/>
          </rPr>
          <t>Turley, Amber (Research):</t>
        </r>
        <r>
          <rPr>
            <sz val="9"/>
            <color indexed="81"/>
            <rFont val="Tahoma"/>
            <family val="2"/>
          </rPr>
          <t xml:space="preserve">
2Q 10-Q: Anthropologie Group’s North American and European Retail 
segment net sales accounted for approximately 41.6% and 1.4% of consolidated net sales, respectively, for the six months ended July 31, 2014, compared to 40.6% and 1.1%, respectively, for the comparable period in fiscal 2014
</t>
        </r>
      </text>
    </comment>
    <comment ref="BM330" authorId="19">
      <text>
        <r>
          <rPr>
            <b/>
            <sz val="9"/>
            <color indexed="81"/>
            <rFont val="Tahoma"/>
            <family val="2"/>
          </rPr>
          <t>Turley, Amber (Research):</t>
        </r>
        <r>
          <rPr>
            <sz val="9"/>
            <color indexed="81"/>
            <rFont val="Tahoma"/>
            <family val="2"/>
          </rPr>
          <t xml:space="preserve">
2Q 10-Q: Anthropologie Group’s North American and European Retail 
segment net sales accounted for approximately 41.6% and 1.4% of consolidated net sales, respectively, for the six months ended July 31, 2014, compared to 40.6% and 1.1%, respectively, for the comparable period in fiscal 2014
</t>
        </r>
      </text>
    </comment>
    <comment ref="BO330" authorId="19">
      <text>
        <r>
          <rPr>
            <b/>
            <sz val="9"/>
            <color indexed="81"/>
            <rFont val="Tahoma"/>
            <family val="2"/>
          </rPr>
          <t>Turley, Amber (Research):</t>
        </r>
        <r>
          <rPr>
            <sz val="9"/>
            <color indexed="81"/>
            <rFont val="Tahoma"/>
            <family val="2"/>
          </rPr>
          <t xml:space="preserve">
2Q 10-Q: Urban Outfitters’ North American and European Retail segment net sales accounted for approximately 32.1% and 8.4% of consolidated net sales, respectively, for the six months ended July 31, 2014, compared to 37.3% and 7.5%, respectively, for the comparable period in fiscal 2014. 
</t>
        </r>
      </text>
    </comment>
    <comment ref="BP330" authorId="19">
      <text>
        <r>
          <rPr>
            <b/>
            <sz val="9"/>
            <color indexed="81"/>
            <rFont val="Tahoma"/>
            <family val="2"/>
          </rPr>
          <t>Turley, Amber (Research):</t>
        </r>
        <r>
          <rPr>
            <sz val="9"/>
            <color indexed="81"/>
            <rFont val="Tahoma"/>
            <family val="2"/>
          </rPr>
          <t xml:space="preserve">
2Q 10-Q: Urban Outfitters’ North American and European Retail segment net sales accounted for approximately 32.1% and 8.4% of consolidated net sales, respectively, for the six months ended July 31, 2014, compared to 37.3% and 7.5%, respectively, for the comparable period in fiscal 2014. 
</t>
        </r>
      </text>
    </comment>
    <comment ref="BQ330" authorId="19">
      <text>
        <r>
          <rPr>
            <b/>
            <sz val="9"/>
            <color indexed="81"/>
            <rFont val="Tahoma"/>
            <family val="2"/>
          </rPr>
          <t>Turley, Amber (Research):</t>
        </r>
        <r>
          <rPr>
            <sz val="9"/>
            <color indexed="81"/>
            <rFont val="Tahoma"/>
            <family val="2"/>
          </rPr>
          <t xml:space="preserve">
2Q 10-Q: Anthropologie Group’s North American and European Retail 
segment net sales accounted for approximately 41.6% and 1.4% of consolidated net sales, respectively, for the six months ended July 31, 2014, compared to 40.6% and 1.1%, respectively, for the comparable period in fiscal 2014
</t>
        </r>
      </text>
    </comment>
    <comment ref="BR330" authorId="19">
      <text>
        <r>
          <rPr>
            <b/>
            <sz val="9"/>
            <color indexed="81"/>
            <rFont val="Tahoma"/>
            <family val="2"/>
          </rPr>
          <t>Turley, Amber (Research):</t>
        </r>
        <r>
          <rPr>
            <sz val="9"/>
            <color indexed="81"/>
            <rFont val="Tahoma"/>
            <family val="2"/>
          </rPr>
          <t xml:space="preserve">
2Q 10-Q: Anthropologie Group’s North American and European Retail 
segment net sales accounted for approximately 41.6% and 1.4% of consolidated net sales, respectively, for the six months ended July 31, 2014, compared to 40.6% and 1.1%, respectively, for the comparable period in fiscal 2014
</t>
        </r>
      </text>
    </comment>
    <comment ref="K331" authorId="19">
      <text>
        <r>
          <rPr>
            <b/>
            <sz val="9"/>
            <color indexed="81"/>
            <rFont val="Tahoma"/>
            <family val="2"/>
          </rPr>
          <t>Turley, Amber (Research):</t>
        </r>
        <r>
          <rPr>
            <sz val="9"/>
            <color indexed="81"/>
            <rFont val="Tahoma"/>
            <family val="2"/>
          </rPr>
          <t xml:space="preserve">
US: 179
Canada: 15
Europe: 42</t>
        </r>
      </text>
    </comment>
    <comment ref="BJ331" authorId="19">
      <text>
        <r>
          <rPr>
            <b/>
            <sz val="9"/>
            <color indexed="81"/>
            <rFont val="Tahoma"/>
            <family val="2"/>
          </rPr>
          <t>Turley, Amber (Research):</t>
        </r>
        <r>
          <rPr>
            <sz val="9"/>
            <color indexed="81"/>
            <rFont val="Tahoma"/>
            <family val="2"/>
          </rPr>
          <t xml:space="preserve">
 Urban Outfitters’ North American and European Retail segment net sales accounted for approximately 32.6% and 8.4% of consolidated net sales, respectively, for the nine months ended October 31, 2014, compared to 37.0% and 7.5%, respectively, for the comparable period in fiscal 2014. 
</t>
        </r>
      </text>
    </comment>
    <comment ref="BK331" authorId="19">
      <text>
        <r>
          <rPr>
            <b/>
            <sz val="9"/>
            <color indexed="81"/>
            <rFont val="Tahoma"/>
            <family val="2"/>
          </rPr>
          <t>Turley, Amber (Research):</t>
        </r>
        <r>
          <rPr>
            <sz val="9"/>
            <color indexed="81"/>
            <rFont val="Tahoma"/>
            <family val="2"/>
          </rPr>
          <t xml:space="preserve">
 Urban Outfitters’ North American and European Retail segment net sales accounted for approximately 32.6% and 8.4% of consolidated net sales, respectively, for the nine months ended October 31, 2014, compared to 37.0% and 7.5%, respectively, for the comparable period in fiscal 2014. 
</t>
        </r>
      </text>
    </comment>
    <comment ref="BL331" authorId="19">
      <text>
        <r>
          <rPr>
            <b/>
            <sz val="9"/>
            <color indexed="81"/>
            <rFont val="Tahoma"/>
            <family val="2"/>
          </rPr>
          <t>Turley, Amber (Research):</t>
        </r>
        <r>
          <rPr>
            <sz val="9"/>
            <color indexed="81"/>
            <rFont val="Tahoma"/>
            <family val="2"/>
          </rPr>
          <t xml:space="preserve">
The Anthropologie Group’s North American and European Retail segment net sales accounted for approximately 40.6% and 1.4% of consolidated net sales, respectively, for the nine months ended October 31, 2014, compared to 40.3% and 1.1%, respectively, for the comparable period in fiscal 2014</t>
        </r>
      </text>
    </comment>
    <comment ref="BM331" authorId="19">
      <text>
        <r>
          <rPr>
            <b/>
            <sz val="9"/>
            <color indexed="81"/>
            <rFont val="Tahoma"/>
            <family val="2"/>
          </rPr>
          <t>Turley, Amber (Research):</t>
        </r>
        <r>
          <rPr>
            <sz val="9"/>
            <color indexed="81"/>
            <rFont val="Tahoma"/>
            <family val="2"/>
          </rPr>
          <t xml:space="preserve">
The Anthropologie Group’s North American and European Retail segment net sales accounted for approximately 40.6% and 1.4% of consolidated net sales, respectively, for the nine months ended October 31, 2014, compared to 40.3% and 1.1%, respectively, for the comparable period in fiscal 2014</t>
        </r>
      </text>
    </comment>
    <comment ref="BO331" authorId="19">
      <text>
        <r>
          <rPr>
            <b/>
            <sz val="9"/>
            <color indexed="81"/>
            <rFont val="Tahoma"/>
            <family val="2"/>
          </rPr>
          <t>Turley, Amber (Research):</t>
        </r>
        <r>
          <rPr>
            <sz val="9"/>
            <color indexed="81"/>
            <rFont val="Tahoma"/>
            <family val="2"/>
          </rPr>
          <t xml:space="preserve">
 Urban Outfitters’ North American and European Retail segment net sales accounted for approximately 32.6% and 8.4% of consolidated net sales, respectively, for the nine months ended October 31, 2014, compared to 37.0% and 7.5%, respectively, for the comparable period in fiscal 2014. 
</t>
        </r>
      </text>
    </comment>
    <comment ref="BP331" authorId="19">
      <text>
        <r>
          <rPr>
            <b/>
            <sz val="9"/>
            <color indexed="81"/>
            <rFont val="Tahoma"/>
            <family val="2"/>
          </rPr>
          <t>Turley, Amber (Research):</t>
        </r>
        <r>
          <rPr>
            <sz val="9"/>
            <color indexed="81"/>
            <rFont val="Tahoma"/>
            <family val="2"/>
          </rPr>
          <t xml:space="preserve">
 Urban Outfitters’ North American and European Retail segment net sales accounted for approximately 32.6% and 8.4% of consolidated net sales, respectively, for the nine months ended October 31, 2014, compared to 37.0% and 7.5%, respectively, for the comparable period in fiscal 2014. 
</t>
        </r>
      </text>
    </comment>
    <comment ref="BQ331" authorId="19">
      <text>
        <r>
          <rPr>
            <b/>
            <sz val="9"/>
            <color indexed="81"/>
            <rFont val="Tahoma"/>
            <family val="2"/>
          </rPr>
          <t>Turley, Amber (Research):</t>
        </r>
        <r>
          <rPr>
            <sz val="9"/>
            <color indexed="81"/>
            <rFont val="Tahoma"/>
            <family val="2"/>
          </rPr>
          <t xml:space="preserve">
The Anthropologie Group’s North American and European Retail segment net sales accounted for approximately 40.6% and 1.4% of consolidated net sales, respectively, for the nine months ended October 31, 2014, compared to 40.3% and 1.1%, respectively, for the comparable period in fiscal 2014</t>
        </r>
      </text>
    </comment>
    <comment ref="BR331" authorId="19">
      <text>
        <r>
          <rPr>
            <b/>
            <sz val="9"/>
            <color indexed="81"/>
            <rFont val="Tahoma"/>
            <family val="2"/>
          </rPr>
          <t>Turley, Amber (Research):</t>
        </r>
        <r>
          <rPr>
            <sz val="9"/>
            <color indexed="81"/>
            <rFont val="Tahoma"/>
            <family val="2"/>
          </rPr>
          <t xml:space="preserve">
The Anthropologie Group’s North American and European Retail segment net sales accounted for approximately 40.6% and 1.4% of consolidated net sales, respectively, for the nine months ended October 31, 2014, compared to 40.3% and 1.1%, respectively, for the comparable period in fiscal 2014</t>
        </r>
      </text>
    </comment>
    <comment ref="K332" authorId="19">
      <text>
        <r>
          <rPr>
            <b/>
            <sz val="9"/>
            <color indexed="81"/>
            <rFont val="Tahoma"/>
            <family val="2"/>
          </rPr>
          <t>Turley, Amber (Research):</t>
        </r>
        <r>
          <rPr>
            <sz val="9"/>
            <color indexed="81"/>
            <rFont val="Tahoma"/>
            <family val="2"/>
          </rPr>
          <t xml:space="preserve">
11/17/14: planning to open 4 new UO stores including 1 in Europe</t>
        </r>
      </text>
    </comment>
    <comment ref="T332" authorId="19">
      <text>
        <r>
          <rPr>
            <b/>
            <sz val="9"/>
            <color indexed="81"/>
            <rFont val="Tahoma"/>
            <family val="2"/>
          </rPr>
          <t>Turley, Amber (Research):</t>
        </r>
        <r>
          <rPr>
            <sz val="9"/>
            <color indexed="81"/>
            <rFont val="Tahoma"/>
            <family val="2"/>
          </rPr>
          <t xml:space="preserve">
raise higher b/c upon calculating the sales/comp spread from holiday results, suggests new store productivity higher</t>
        </r>
      </text>
    </comment>
    <comment ref="AE332" authorId="19">
      <text>
        <r>
          <rPr>
            <b/>
            <sz val="9"/>
            <color indexed="81"/>
            <rFont val="Tahoma"/>
            <family val="2"/>
          </rPr>
          <t>Turley, Amber (Research):</t>
        </r>
        <r>
          <rPr>
            <sz val="9"/>
            <color indexed="81"/>
            <rFont val="Tahoma"/>
            <family val="2"/>
          </rPr>
          <t xml:space="preserve">
10-K; avg store size is 9K selling sq.ft. </t>
        </r>
      </text>
    </comment>
    <comment ref="K336" authorId="17">
      <text>
        <r>
          <rPr>
            <b/>
            <sz val="9"/>
            <color indexed="81"/>
            <rFont val="Tahoma"/>
            <family val="2"/>
          </rPr>
          <t>Mains, Spencer (Research):</t>
        </r>
        <r>
          <rPr>
            <sz val="9"/>
            <color indexed="81"/>
            <rFont val="Tahoma"/>
            <family val="2"/>
          </rPr>
          <t xml:space="preserve">
5/18/15: The company opened 1 Urban Outfitters store, and closed 1 Urban Outfitters Store.</t>
        </r>
      </text>
    </comment>
    <comment ref="T336" authorId="19">
      <text>
        <r>
          <rPr>
            <b/>
            <sz val="9"/>
            <color indexed="81"/>
            <rFont val="Tahoma"/>
            <family val="2"/>
          </rPr>
          <t>Turley, Amber (Research):</t>
        </r>
        <r>
          <rPr>
            <sz val="9"/>
            <color indexed="81"/>
            <rFont val="Tahoma"/>
            <family val="2"/>
          </rPr>
          <t xml:space="preserve">
includes F/X assumptions. GBP ~8% weaker and 12% of UO revenue, CAD 12% weaker and ~6% of revenue and EURO 18% weaker and ~5% of revenue yielding 260 bps hit. </t>
        </r>
      </text>
    </comment>
    <comment ref="F337" authorId="19">
      <text>
        <r>
          <rPr>
            <b/>
            <sz val="9"/>
            <color indexed="81"/>
            <rFont val="Tahoma"/>
            <family val="2"/>
          </rPr>
          <t>Turley, Amber (Research):</t>
        </r>
        <r>
          <rPr>
            <sz val="9"/>
            <color indexed="81"/>
            <rFont val="Tahoma"/>
            <family val="2"/>
          </rPr>
          <t xml:space="preserve">
Herald Square and Space 98 roll into the comp</t>
        </r>
      </text>
    </comment>
    <comment ref="K337" authorId="17">
      <text>
        <r>
          <rPr>
            <b/>
            <sz val="9"/>
            <color indexed="81"/>
            <rFont val="Tahoma"/>
            <family val="2"/>
          </rPr>
          <t>Mains, Spencer (Research):</t>
        </r>
        <r>
          <rPr>
            <sz val="9"/>
            <color indexed="81"/>
            <rFont val="Tahoma"/>
            <family val="2"/>
          </rPr>
          <t xml:space="preserve">
8/17/15: Opened 1 and closed 1 UO store.</t>
        </r>
      </text>
    </comment>
    <comment ref="T337" authorId="19">
      <text>
        <r>
          <rPr>
            <b/>
            <sz val="9"/>
            <color indexed="81"/>
            <rFont val="Tahoma"/>
            <family val="2"/>
          </rPr>
          <t>Turley, Amber (Research):</t>
        </r>
        <r>
          <rPr>
            <sz val="9"/>
            <color indexed="81"/>
            <rFont val="Tahoma"/>
            <family val="2"/>
          </rPr>
          <t xml:space="preserve">
Herald Square and Space 98 enter the comp. Also includes F/X assumptions of ~270 bps hit from 9% weaker GBP (~12% UO revenue), 13% weaker CAD (~6% of revenue) and 18% weaker EURO (~5% of sales)</t>
        </r>
      </text>
    </comment>
    <comment ref="K339" authorId="19">
      <text>
        <r>
          <rPr>
            <b/>
            <sz val="9"/>
            <color indexed="81"/>
            <rFont val="Tahoma"/>
            <family val="2"/>
          </rPr>
          <t>Turley, Amber (Research):</t>
        </r>
        <r>
          <rPr>
            <sz val="9"/>
            <color indexed="81"/>
            <rFont val="Tahoma"/>
            <family val="2"/>
          </rPr>
          <t xml:space="preserve">
5/18/15: Plan to open 4 UO stores in NAm during the year.
4/1/15 10-K: Plan to open 4 UO stores in 2015</t>
        </r>
      </text>
    </comment>
    <comment ref="T339" authorId="19">
      <text>
        <r>
          <rPr>
            <b/>
            <sz val="9"/>
            <color indexed="81"/>
            <rFont val="Tahoma"/>
            <family val="2"/>
          </rPr>
          <t>Turley, Amber (Research):</t>
        </r>
        <r>
          <rPr>
            <sz val="9"/>
            <color indexed="81"/>
            <rFont val="Tahoma"/>
            <family val="2"/>
          </rPr>
          <t xml:space="preserve">
F/X forward rates suggest pressure eases in 4Q. 
11/16/15
FX 130 bps headwind in 3Q, expect the same in 4Q. 
Model Updates: 
NCP to -70, drives -1.2% spread</t>
        </r>
      </text>
    </comment>
    <comment ref="I340" authorId="19">
      <text>
        <r>
          <rPr>
            <b/>
            <sz val="9"/>
            <color indexed="81"/>
            <rFont val="Tahoma"/>
            <family val="2"/>
          </rPr>
          <t>Turley, Amber (Research):</t>
        </r>
        <r>
          <rPr>
            <sz val="9"/>
            <color indexed="81"/>
            <rFont val="Tahoma"/>
            <family val="2"/>
          </rPr>
          <t xml:space="preserve">
F/X likely impacts spread ~210 bps per curren forward rates as of 3/9/15</t>
        </r>
      </text>
    </comment>
    <comment ref="I343" authorId="16">
      <text>
        <r>
          <rPr>
            <b/>
            <sz val="9"/>
            <color indexed="81"/>
            <rFont val="Tahoma"/>
            <family val="2"/>
          </rPr>
          <t>Baglione, Gregory  (Research):</t>
        </r>
        <r>
          <rPr>
            <sz val="9"/>
            <color indexed="81"/>
            <rFont val="Tahoma"/>
            <family val="2"/>
          </rPr>
          <t xml:space="preserve">
3/7/16
Use about 0.5% spread in 1H16 per management</t>
        </r>
      </text>
    </comment>
    <comment ref="K343" authorId="16">
      <text>
        <r>
          <rPr>
            <b/>
            <sz val="9"/>
            <color indexed="81"/>
            <rFont val="Tahoma"/>
            <family val="2"/>
          </rPr>
          <t>Baglione, Gregory  (Research):</t>
        </r>
        <r>
          <rPr>
            <sz val="9"/>
            <color indexed="81"/>
            <rFont val="Tahoma"/>
            <family val="2"/>
          </rPr>
          <t xml:space="preserve">
Model 1-2 total new door opennings in 2016
3/7/16
For the first quarter, we are planning three new Free People stores in North America and will close one Urban Outfitters store.
5/18/16
During the three months ended April 30, 2016, the Company opened a total of 4 new stores including 3 Free People stores and 1 Anthropologie Group store; and closed 2 stores including: 1 Urban Outfitters store and 1 Anthropologie Group store. During the three months ended April 30, 2016, the Company acquired 6 Vetri Family restaurants. </t>
        </r>
      </text>
    </comment>
    <comment ref="T343" authorId="16">
      <text>
        <r>
          <rPr>
            <b/>
            <sz val="9"/>
            <color indexed="81"/>
            <rFont val="Tahoma"/>
            <family val="2"/>
          </rPr>
          <t>Baglione, Gregory  (Research):</t>
        </r>
        <r>
          <rPr>
            <sz val="9"/>
            <color indexed="81"/>
            <rFont val="Tahoma"/>
            <family val="2"/>
          </rPr>
          <t xml:space="preserve">
2/9/16
Euro appoximately unchanged y/y. CAD down ~10%
</t>
        </r>
      </text>
    </comment>
    <comment ref="I344" authorId="16">
      <text>
        <r>
          <rPr>
            <b/>
            <sz val="9"/>
            <color indexed="81"/>
            <rFont val="Tahoma"/>
            <family val="2"/>
          </rPr>
          <t>Baglione, Gregory  (Research):</t>
        </r>
        <r>
          <rPr>
            <sz val="9"/>
            <color indexed="81"/>
            <rFont val="Tahoma"/>
            <family val="2"/>
          </rPr>
          <t xml:space="preserve">
3/7/16
Use about 0.5% spread in 1H16 per management</t>
        </r>
      </text>
    </comment>
    <comment ref="K344" authorId="16">
      <text>
        <r>
          <rPr>
            <b/>
            <sz val="9"/>
            <color indexed="81"/>
            <rFont val="Tahoma"/>
            <family val="2"/>
          </rPr>
          <t>Baglione, Gregory  (Research):</t>
        </r>
        <r>
          <rPr>
            <sz val="9"/>
            <color indexed="81"/>
            <rFont val="Tahoma"/>
            <family val="2"/>
          </rPr>
          <t xml:space="preserve">
Model 1-2 total new door opennings in 2016
5/18/16
Planning one UO European store
8/18/16
Two store closures weighon the comp to sales spread in 2Q15 --72nd street &amp; 14th Street NYC</t>
        </r>
      </text>
    </comment>
    <comment ref="T344" authorId="16">
      <text>
        <r>
          <rPr>
            <b/>
            <sz val="9"/>
            <color indexed="81"/>
            <rFont val="Tahoma"/>
            <family val="2"/>
          </rPr>
          <t>Baglione, Gregory  (Research):</t>
        </r>
        <r>
          <rPr>
            <sz val="9"/>
            <color indexed="81"/>
            <rFont val="Tahoma"/>
            <family val="2"/>
          </rPr>
          <t xml:space="preserve">
Euro appoximately unchanged y/y. CAD down ~10%</t>
        </r>
      </text>
    </comment>
    <comment ref="I345" authorId="16">
      <text>
        <r>
          <rPr>
            <b/>
            <sz val="9"/>
            <color indexed="81"/>
            <rFont val="Tahoma"/>
            <family val="2"/>
          </rPr>
          <t>Baglione, Gregory  (Research):</t>
        </r>
        <r>
          <rPr>
            <sz val="9"/>
            <color indexed="81"/>
            <rFont val="Tahoma"/>
            <family val="2"/>
          </rPr>
          <t xml:space="preserve">
8/18/16
Per mgmt. spread should narrow significantly in 3Q and normalize in 4Q</t>
        </r>
      </text>
    </comment>
    <comment ref="K345" authorId="16">
      <text>
        <r>
          <rPr>
            <b/>
            <sz val="9"/>
            <color indexed="81"/>
            <rFont val="Tahoma"/>
            <family val="2"/>
          </rPr>
          <t>Baglione, Gregory  (Research):</t>
        </r>
        <r>
          <rPr>
            <sz val="9"/>
            <color indexed="81"/>
            <rFont val="Tahoma"/>
            <family val="2"/>
          </rPr>
          <t xml:space="preserve">
Model 1-2 total new door opennings in 2016</t>
        </r>
      </text>
    </comment>
    <comment ref="T345" authorId="16">
      <text>
        <r>
          <rPr>
            <b/>
            <sz val="9"/>
            <color indexed="81"/>
            <rFont val="Tahoma"/>
            <family val="2"/>
          </rPr>
          <t>Baglione, Gregory  (Research):</t>
        </r>
        <r>
          <rPr>
            <sz val="9"/>
            <color indexed="81"/>
            <rFont val="Tahoma"/>
            <family val="2"/>
          </rPr>
          <t xml:space="preserve">
2/8/16
Current CAD would be a -0.5% top-line headwind</t>
        </r>
      </text>
    </comment>
    <comment ref="K346" authorId="16">
      <text>
        <r>
          <rPr>
            <b/>
            <sz val="9"/>
            <color indexed="81"/>
            <rFont val="Tahoma"/>
            <family val="2"/>
          </rPr>
          <t>Baglione, Gregory  (Research):</t>
        </r>
        <r>
          <rPr>
            <sz val="9"/>
            <color indexed="81"/>
            <rFont val="Tahoma"/>
            <family val="2"/>
          </rPr>
          <t xml:space="preserve">
Model 1-2 total new door opennings in 2016
8/16/16
For the third quarter, we are planning six new Anthropologie stores, including one new Anthropologie store in Europe, two new urban outfitter stores and throw new Free People stores. For the year, we are planning on opening three net new urban outfitter stores including one in Europe, seven net new Anthropologie stores including two in Europe, and 13 net new Free People store</t>
        </r>
      </text>
    </comment>
    <comment ref="T346" authorId="16">
      <text>
        <r>
          <rPr>
            <b/>
            <sz val="9"/>
            <color indexed="81"/>
            <rFont val="Tahoma"/>
            <family val="2"/>
          </rPr>
          <t>Baglione, Gregory  (Research):</t>
        </r>
        <r>
          <rPr>
            <sz val="9"/>
            <color indexed="81"/>
            <rFont val="Tahoma"/>
            <family val="2"/>
          </rPr>
          <t xml:space="preserve">
Expect a more normalized 4Q comp spread.</t>
        </r>
      </text>
    </comment>
    <comment ref="K350" authorId="23">
      <text>
        <r>
          <rPr>
            <b/>
            <sz val="9"/>
            <color indexed="81"/>
            <rFont val="Tahoma"/>
            <family val="2"/>
          </rPr>
          <t>Roberts, Cynthia (Research):</t>
        </r>
        <r>
          <rPr>
            <sz val="9"/>
            <color indexed="81"/>
            <rFont val="Tahoma"/>
            <family val="2"/>
          </rPr>
          <t xml:space="preserve">
199 NA, 43 EU</t>
        </r>
      </text>
    </comment>
    <comment ref="K352" authorId="23">
      <text>
        <r>
          <rPr>
            <b/>
            <sz val="9"/>
            <color indexed="81"/>
            <rFont val="Tahoma"/>
            <family val="2"/>
          </rPr>
          <t>Roberts, Cynthia (Research):</t>
        </r>
        <r>
          <rPr>
            <sz val="9"/>
            <color indexed="81"/>
            <rFont val="Tahoma"/>
            <family val="2"/>
          </rPr>
          <t xml:space="preserve">
8/15/17 Plan to open 1 UO N.A., 3 UO Europe. And close 2 UO N.A.</t>
        </r>
      </text>
    </comment>
    <comment ref="K366" authorId="4">
      <text>
        <r>
          <rPr>
            <b/>
            <sz val="8"/>
            <color indexed="81"/>
            <rFont val="Tahoma"/>
            <family val="2"/>
          </rPr>
          <t>dliu:</t>
        </r>
        <r>
          <rPr>
            <sz val="8"/>
            <color indexed="81"/>
            <rFont val="Tahoma"/>
            <family val="2"/>
          </rPr>
          <t xml:space="preserve">
first Anthro opened in Oct 1992</t>
        </r>
      </text>
    </comment>
    <comment ref="G425" authorId="1">
      <text>
        <r>
          <rPr>
            <b/>
            <sz val="8"/>
            <color indexed="81"/>
            <rFont val="Tahoma"/>
            <family val="2"/>
          </rPr>
          <t>Lehman Brothers:</t>
        </r>
        <r>
          <rPr>
            <sz val="8"/>
            <color indexed="81"/>
            <rFont val="Tahoma"/>
            <family val="2"/>
          </rPr>
          <t xml:space="preserve">
(2.0)</t>
        </r>
      </text>
    </comment>
    <comment ref="T425" authorId="1">
      <text>
        <r>
          <rPr>
            <b/>
            <sz val="8"/>
            <color indexed="81"/>
            <rFont val="Tahoma"/>
            <family val="2"/>
          </rPr>
          <t>Lehman Brothers:</t>
        </r>
        <r>
          <rPr>
            <sz val="8"/>
            <color indexed="81"/>
            <rFont val="Tahoma"/>
            <family val="2"/>
          </rPr>
          <t xml:space="preserve">
82</t>
        </r>
      </text>
    </comment>
    <comment ref="G426" authorId="1">
      <text>
        <r>
          <rPr>
            <b/>
            <sz val="8"/>
            <color indexed="81"/>
            <rFont val="Tahoma"/>
            <family val="2"/>
          </rPr>
          <t>Lehman Brothers:</t>
        </r>
        <r>
          <rPr>
            <sz val="8"/>
            <color indexed="81"/>
            <rFont val="Tahoma"/>
            <family val="2"/>
          </rPr>
          <t xml:space="preserve">
12.9</t>
        </r>
      </text>
    </comment>
    <comment ref="G429" authorId="4">
      <text>
        <r>
          <rPr>
            <b/>
            <sz val="8"/>
            <color indexed="81"/>
            <rFont val="Tahoma"/>
            <family val="2"/>
          </rPr>
          <t>dliu:</t>
        </r>
        <r>
          <rPr>
            <sz val="8"/>
            <color indexed="81"/>
            <rFont val="Tahoma"/>
            <family val="2"/>
          </rPr>
          <t xml:space="preserve">
had (2.0)</t>
        </r>
      </text>
    </comment>
    <comment ref="T429" authorId="4">
      <text>
        <r>
          <rPr>
            <b/>
            <sz val="8"/>
            <color indexed="81"/>
            <rFont val="Tahoma"/>
            <family val="2"/>
          </rPr>
          <t>dliu:</t>
        </r>
        <r>
          <rPr>
            <sz val="8"/>
            <color indexed="81"/>
            <rFont val="Tahoma"/>
            <family val="2"/>
          </rPr>
          <t xml:space="preserve">
97 </t>
        </r>
      </text>
    </comment>
    <comment ref="X429" authorId="4">
      <text>
        <r>
          <rPr>
            <b/>
            <sz val="8"/>
            <color indexed="81"/>
            <rFont val="Tahoma"/>
            <family val="2"/>
          </rPr>
          <t>dliu:</t>
        </r>
        <r>
          <rPr>
            <sz val="8"/>
            <color indexed="81"/>
            <rFont val="Tahoma"/>
            <family val="2"/>
          </rPr>
          <t xml:space="preserve">
44.2</t>
        </r>
      </text>
    </comment>
    <comment ref="G430" authorId="4">
      <text>
        <r>
          <rPr>
            <b/>
            <sz val="8"/>
            <color indexed="81"/>
            <rFont val="Tahoma"/>
            <family val="2"/>
          </rPr>
          <t>dliu:</t>
        </r>
        <r>
          <rPr>
            <sz val="8"/>
            <color indexed="81"/>
            <rFont val="Tahoma"/>
            <family val="2"/>
          </rPr>
          <t xml:space="preserve">
had +2</t>
        </r>
      </text>
    </comment>
    <comment ref="K430" authorId="3">
      <text>
        <r>
          <rPr>
            <b/>
            <sz val="10"/>
            <color indexed="81"/>
            <rFont val="Tahoma"/>
            <family val="2"/>
          </rPr>
          <t>kgreenbe:</t>
        </r>
        <r>
          <rPr>
            <sz val="10"/>
            <color indexed="81"/>
            <rFont val="Tahoma"/>
            <family val="2"/>
          </rPr>
          <t xml:space="preserve">
3 Anthro's in 2Q03 (Pittsburgh, Cherry Creek, and     )</t>
        </r>
      </text>
    </comment>
    <comment ref="K431" authorId="3">
      <text>
        <r>
          <rPr>
            <b/>
            <sz val="10"/>
            <color indexed="81"/>
            <rFont val="Tahoma"/>
            <family val="2"/>
          </rPr>
          <t>kgreenbe:</t>
        </r>
        <r>
          <rPr>
            <sz val="10"/>
            <color indexed="81"/>
            <rFont val="Tahoma"/>
            <family val="2"/>
          </rPr>
          <t xml:space="preserve">
s/b 4 Anthro openings 3Q03</t>
        </r>
      </text>
    </comment>
    <comment ref="AE431" authorId="4">
      <text>
        <r>
          <rPr>
            <b/>
            <sz val="8"/>
            <color indexed="81"/>
            <rFont val="Tahoma"/>
            <family val="2"/>
          </rPr>
          <t>dliu:</t>
        </r>
        <r>
          <rPr>
            <sz val="8"/>
            <color indexed="81"/>
            <rFont val="Tahoma"/>
            <family val="2"/>
          </rPr>
          <t xml:space="preserve">
.488</t>
        </r>
      </text>
    </comment>
    <comment ref="G432" authorId="4">
      <text>
        <r>
          <rPr>
            <b/>
            <sz val="8"/>
            <color indexed="81"/>
            <rFont val="Tahoma"/>
            <family val="2"/>
          </rPr>
          <t>dliu:</t>
        </r>
        <r>
          <rPr>
            <sz val="8"/>
            <color indexed="81"/>
            <rFont val="Tahoma"/>
            <family val="2"/>
          </rPr>
          <t xml:space="preserve">
had 15</t>
        </r>
      </text>
    </comment>
    <comment ref="G436" authorId="4">
      <text>
        <r>
          <rPr>
            <b/>
            <sz val="8"/>
            <color indexed="81"/>
            <rFont val="Tahoma"/>
            <family val="2"/>
          </rPr>
          <t>dliu:</t>
        </r>
        <r>
          <rPr>
            <sz val="8"/>
            <color indexed="81"/>
            <rFont val="Tahoma"/>
            <family val="2"/>
          </rPr>
          <t xml:space="preserve">
24</t>
        </r>
      </text>
    </comment>
    <comment ref="T436" authorId="4">
      <text>
        <r>
          <rPr>
            <b/>
            <sz val="8"/>
            <color indexed="81"/>
            <rFont val="Tahoma"/>
            <family val="2"/>
          </rPr>
          <t>dliu:</t>
        </r>
        <r>
          <rPr>
            <sz val="8"/>
            <color indexed="81"/>
            <rFont val="Tahoma"/>
            <family val="2"/>
          </rPr>
          <t xml:space="preserve">
75</t>
        </r>
      </text>
    </comment>
    <comment ref="X436" authorId="4">
      <text>
        <r>
          <rPr>
            <b/>
            <sz val="8"/>
            <color indexed="81"/>
            <rFont val="Tahoma"/>
            <family val="2"/>
          </rPr>
          <t>dliu:</t>
        </r>
        <r>
          <rPr>
            <sz val="8"/>
            <color indexed="81"/>
            <rFont val="Tahoma"/>
            <family val="2"/>
          </rPr>
          <t xml:space="preserve">
60.9</t>
        </r>
      </text>
    </comment>
    <comment ref="G437" authorId="6">
      <text>
        <r>
          <rPr>
            <b/>
            <sz val="8"/>
            <color indexed="81"/>
            <rFont val="Tahoma"/>
            <family val="2"/>
          </rPr>
          <t>Corinna Freedman:</t>
        </r>
        <r>
          <rPr>
            <sz val="8"/>
            <color indexed="81"/>
            <rFont val="Tahoma"/>
            <family val="2"/>
          </rPr>
          <t xml:space="preserve">
14</t>
        </r>
      </text>
    </comment>
    <comment ref="T437" authorId="4">
      <text>
        <r>
          <rPr>
            <b/>
            <sz val="8"/>
            <color indexed="81"/>
            <rFont val="Tahoma"/>
            <family val="2"/>
          </rPr>
          <t>dliu:</t>
        </r>
        <r>
          <rPr>
            <sz val="8"/>
            <color indexed="81"/>
            <rFont val="Tahoma"/>
            <family val="2"/>
          </rPr>
          <t xml:space="preserve">
75</t>
        </r>
      </text>
    </comment>
    <comment ref="X437" authorId="6">
      <text>
        <r>
          <rPr>
            <b/>
            <sz val="8"/>
            <color indexed="81"/>
            <rFont val="Tahoma"/>
            <family val="2"/>
          </rPr>
          <t>Corinna Freedman:</t>
        </r>
        <r>
          <rPr>
            <sz val="8"/>
            <color indexed="81"/>
            <rFont val="Tahoma"/>
            <family val="2"/>
          </rPr>
          <t xml:space="preserve">
69.1</t>
        </r>
      </text>
    </comment>
    <comment ref="G438" authorId="6">
      <text>
        <r>
          <rPr>
            <b/>
            <sz val="8"/>
            <color indexed="81"/>
            <rFont val="Tahoma"/>
            <family val="2"/>
          </rPr>
          <t>Corinna Freedman:</t>
        </r>
        <r>
          <rPr>
            <sz val="8"/>
            <color indexed="81"/>
            <rFont val="Tahoma"/>
            <family val="2"/>
          </rPr>
          <t xml:space="preserve">
prev est 18%</t>
        </r>
      </text>
    </comment>
    <comment ref="X438" authorId="6">
      <text>
        <r>
          <rPr>
            <b/>
            <sz val="8"/>
            <color indexed="81"/>
            <rFont val="Tahoma"/>
            <family val="2"/>
          </rPr>
          <t>Corinna Freedman:</t>
        </r>
        <r>
          <rPr>
            <sz val="8"/>
            <color indexed="81"/>
            <rFont val="Tahoma"/>
            <family val="2"/>
          </rPr>
          <t xml:space="preserve">
78m prev</t>
        </r>
      </text>
    </comment>
    <comment ref="AE438" authorId="5">
      <text>
        <r>
          <rPr>
            <b/>
            <sz val="8"/>
            <color indexed="81"/>
            <rFont val="Tahoma"/>
            <family val="2"/>
          </rPr>
          <t>Kimberly Greenberger:</t>
        </r>
        <r>
          <rPr>
            <sz val="8"/>
            <color indexed="81"/>
            <rFont val="Tahoma"/>
            <family val="2"/>
          </rPr>
          <t xml:space="preserve">
selling sq ft 476,518
gross sq ft 708,736</t>
        </r>
      </text>
    </comment>
    <comment ref="G439" authorId="6">
      <text>
        <r>
          <rPr>
            <b/>
            <sz val="8"/>
            <color indexed="81"/>
            <rFont val="Tahoma"/>
            <family val="2"/>
          </rPr>
          <t>Corinna Freedman:</t>
        </r>
        <r>
          <rPr>
            <sz val="8"/>
            <color indexed="81"/>
            <rFont val="Tahoma"/>
            <family val="2"/>
          </rPr>
          <t xml:space="preserve">
17
</t>
        </r>
      </text>
    </comment>
    <comment ref="AE439" authorId="6">
      <text>
        <r>
          <rPr>
            <b/>
            <sz val="8"/>
            <color indexed="81"/>
            <rFont val="Tahoma"/>
            <family val="2"/>
          </rPr>
          <t>Corinna Freedman:</t>
        </r>
        <r>
          <rPr>
            <sz val="8"/>
            <color indexed="81"/>
            <rFont val="Tahoma"/>
            <family val="2"/>
          </rPr>
          <t xml:space="preserve">
per Kyees 2/3</t>
        </r>
      </text>
    </comment>
    <comment ref="K450" authorId="18">
      <text>
        <r>
          <rPr>
            <b/>
            <sz val="8"/>
            <color indexed="81"/>
            <rFont val="Tahoma"/>
            <family val="2"/>
          </rPr>
          <t>kg51925:</t>
        </r>
        <r>
          <rPr>
            <sz val="8"/>
            <color indexed="81"/>
            <rFont val="Tahoma"/>
            <family val="2"/>
          </rPr>
          <t xml:space="preserve">
3/9/06 store opening guidance by quarter:
1Q06: 5 UO + 2 A
2Q06 4 UO + 4 A + 1 FP
3Q06 5 UO + 5 A + 5 FP
4Q06 3 UO + 5 A + 1 FP
total = 40, but will open only 35-38, so expect some openings to push into 1Q07</t>
        </r>
      </text>
    </comment>
    <comment ref="AE450" authorId="7">
      <text>
        <r>
          <rPr>
            <b/>
            <sz val="8"/>
            <color indexed="81"/>
            <rFont val="Tahoma"/>
            <family val="2"/>
          </rPr>
          <t>MB33100:</t>
        </r>
        <r>
          <rPr>
            <sz val="8"/>
            <color indexed="81"/>
            <rFont val="Tahoma"/>
            <family val="2"/>
          </rPr>
          <t xml:space="preserve">
.912536 gross actual</t>
        </r>
      </text>
    </comment>
    <comment ref="G451" authorId="7">
      <text>
        <r>
          <rPr>
            <b/>
            <sz val="8"/>
            <color indexed="81"/>
            <rFont val="Tahoma"/>
            <family val="2"/>
          </rPr>
          <t>MB33100:</t>
        </r>
        <r>
          <rPr>
            <sz val="8"/>
            <color indexed="81"/>
            <rFont val="Tahoma"/>
            <family val="2"/>
          </rPr>
          <t xml:space="preserve">
+3</t>
        </r>
      </text>
    </comment>
    <comment ref="K451" authorId="18">
      <text>
        <r>
          <rPr>
            <b/>
            <sz val="8"/>
            <color indexed="81"/>
            <rFont val="Tahoma"/>
            <family val="2"/>
          </rPr>
          <t>kg51925:</t>
        </r>
        <r>
          <rPr>
            <sz val="8"/>
            <color indexed="81"/>
            <rFont val="Tahoma"/>
            <family val="2"/>
          </rPr>
          <t xml:space="preserve">
3/9/06 store opening guidance by quarter:
1Q06: 5 UO + 2 A
2Q06 4 UO + 4 A + 1 FP
3Q06 5 UO + 5 A + 5 FP
4Q06 3 UO + 5 A + 1 FP
total = 40, but will open only 35-38, so expect some openings to push into 1Q07</t>
        </r>
      </text>
    </comment>
    <comment ref="G452" authorId="7">
      <text>
        <r>
          <rPr>
            <b/>
            <sz val="8"/>
            <color indexed="81"/>
            <rFont val="Tahoma"/>
            <family val="2"/>
          </rPr>
          <t>MB33100:</t>
        </r>
        <r>
          <rPr>
            <sz val="8"/>
            <color indexed="81"/>
            <rFont val="Tahoma"/>
            <family val="2"/>
          </rPr>
          <t xml:space="preserve">
-11</t>
        </r>
      </text>
    </comment>
    <comment ref="K452" authorId="18">
      <text>
        <r>
          <rPr>
            <b/>
            <sz val="8"/>
            <color indexed="81"/>
            <rFont val="Tahoma"/>
            <family val="2"/>
          </rPr>
          <t>kg51925:</t>
        </r>
        <r>
          <rPr>
            <sz val="8"/>
            <color indexed="81"/>
            <rFont val="Tahoma"/>
            <family val="2"/>
          </rPr>
          <t xml:space="preserve">
3/9/06 store opening guidance by quarter:
1Q06: 5 UO + 2 A
2Q06 4 UO + 4 A + 1 FP
3Q06 5 UO + 5 A + 5 FP
4Q06 3 UO + 5 A + 1 FP
total = 40, but will open only 35-38, so expect some openings to push into 1Q07</t>
        </r>
      </text>
    </comment>
    <comment ref="G453" authorId="7">
      <text>
        <r>
          <rPr>
            <b/>
            <sz val="8"/>
            <color indexed="81"/>
            <rFont val="Tahoma"/>
            <family val="2"/>
          </rPr>
          <t>MB33100:</t>
        </r>
        <r>
          <rPr>
            <sz val="8"/>
            <color indexed="81"/>
            <rFont val="Tahoma"/>
            <family val="2"/>
          </rPr>
          <t xml:space="preserve">
-8</t>
        </r>
      </text>
    </comment>
    <comment ref="K453" authorId="18">
      <text>
        <r>
          <rPr>
            <b/>
            <sz val="8"/>
            <color indexed="81"/>
            <rFont val="Tahoma"/>
            <family val="2"/>
          </rPr>
          <t>kg51925:</t>
        </r>
        <r>
          <rPr>
            <sz val="8"/>
            <color indexed="81"/>
            <rFont val="Tahoma"/>
            <family val="2"/>
          </rPr>
          <t xml:space="preserve">
3/9/06 store opening guidance by quarter:
1Q06: 5 UO + 2 A
2Q06 4 UO + 4 A + 1 FP
3Q06 5 UO + 5 A + 5 FP
4Q06 3 UO + 5 A + 1 FP
total = 40, but will open only 35-38, so expect some openings to push into 1Q07</t>
        </r>
      </text>
    </comment>
    <comment ref="G457" authorId="8">
      <text>
        <r>
          <rPr>
            <b/>
            <sz val="8"/>
            <color indexed="81"/>
            <rFont val="Tahoma"/>
            <family val="2"/>
          </rPr>
          <t>mm98285:</t>
        </r>
        <r>
          <rPr>
            <sz val="8"/>
            <color indexed="81"/>
            <rFont val="Tahoma"/>
            <family val="2"/>
          </rPr>
          <t xml:space="preserve">
3.0</t>
        </r>
      </text>
    </comment>
    <comment ref="K458" authorId="8">
      <text>
        <r>
          <rPr>
            <b/>
            <sz val="8"/>
            <color indexed="81"/>
            <rFont val="Tahoma"/>
            <family val="2"/>
          </rPr>
          <t>mm98285:</t>
        </r>
        <r>
          <rPr>
            <sz val="8"/>
            <color indexed="81"/>
            <rFont val="Tahoma"/>
            <family val="2"/>
          </rPr>
          <t xml:space="preserve">
expect to open 1 anthro &amp; 3 FP</t>
        </r>
      </text>
    </comment>
    <comment ref="G459" authorId="8">
      <text>
        <r>
          <rPr>
            <b/>
            <sz val="8"/>
            <color indexed="81"/>
            <rFont val="Tahoma"/>
            <family val="2"/>
          </rPr>
          <t>mm98285:</t>
        </r>
        <r>
          <rPr>
            <sz val="8"/>
            <color indexed="81"/>
            <rFont val="Tahoma"/>
            <family val="2"/>
          </rPr>
          <t xml:space="preserve">
+17% est</t>
        </r>
      </text>
    </comment>
    <comment ref="K459" authorId="8">
      <text>
        <r>
          <rPr>
            <b/>
            <sz val="8"/>
            <color indexed="81"/>
            <rFont val="Tahoma"/>
            <family val="2"/>
          </rPr>
          <t>mm98285:</t>
        </r>
        <r>
          <rPr>
            <sz val="8"/>
            <color indexed="81"/>
            <rFont val="Tahoma"/>
            <family val="2"/>
          </rPr>
          <t xml:space="preserve">
10/3/07: +4 stores</t>
        </r>
      </text>
    </comment>
    <comment ref="G460" authorId="8">
      <text>
        <r>
          <rPr>
            <b/>
            <sz val="8"/>
            <color indexed="81"/>
            <rFont val="Tahoma"/>
            <family val="2"/>
          </rPr>
          <t>mm98285:</t>
        </r>
        <r>
          <rPr>
            <sz val="8"/>
            <color indexed="81"/>
            <rFont val="Tahoma"/>
            <family val="2"/>
          </rPr>
          <t xml:space="preserve">
16% est.</t>
        </r>
      </text>
    </comment>
    <comment ref="K460" authorId="8">
      <text>
        <r>
          <rPr>
            <b/>
            <sz val="8"/>
            <color indexed="81"/>
            <rFont val="Tahoma"/>
            <family val="2"/>
          </rPr>
          <t>mm98285:</t>
        </r>
        <r>
          <rPr>
            <sz val="8"/>
            <color indexed="81"/>
            <rFont val="Tahoma"/>
            <family val="2"/>
          </rPr>
          <t xml:space="preserve">
10/3/07: +8 stores</t>
        </r>
      </text>
    </comment>
    <comment ref="G464" authorId="8">
      <text>
        <r>
          <rPr>
            <b/>
            <sz val="8"/>
            <color indexed="81"/>
            <rFont val="Tahoma"/>
            <family val="2"/>
          </rPr>
          <t>mm98285:</t>
        </r>
        <r>
          <rPr>
            <sz val="8"/>
            <color indexed="81"/>
            <rFont val="Tahoma"/>
            <family val="2"/>
          </rPr>
          <t xml:space="preserve">
8% est.</t>
        </r>
      </text>
    </comment>
    <comment ref="K464" authorId="8">
      <text>
        <r>
          <rPr>
            <b/>
            <sz val="8"/>
            <color indexed="81"/>
            <rFont val="Tahoma"/>
            <family val="2"/>
          </rPr>
          <t>mm98285:</t>
        </r>
        <r>
          <rPr>
            <sz val="8"/>
            <color indexed="81"/>
            <rFont val="Tahoma"/>
            <family val="2"/>
          </rPr>
          <t xml:space="preserve">
10/3/07: +4 stores</t>
        </r>
      </text>
    </comment>
    <comment ref="G465" authorId="8">
      <text>
        <r>
          <rPr>
            <b/>
            <sz val="8"/>
            <color indexed="81"/>
            <rFont val="Tahoma"/>
            <family val="2"/>
          </rPr>
          <t>mm98285:</t>
        </r>
        <r>
          <rPr>
            <sz val="8"/>
            <color indexed="81"/>
            <rFont val="Tahoma"/>
            <family val="2"/>
          </rPr>
          <t xml:space="preserve">
6% est. </t>
        </r>
      </text>
    </comment>
    <comment ref="K465" authorId="8">
      <text>
        <r>
          <rPr>
            <b/>
            <sz val="8"/>
            <color indexed="81"/>
            <rFont val="Tahoma"/>
            <family val="2"/>
          </rPr>
          <t>mm98285:</t>
        </r>
        <r>
          <rPr>
            <sz val="8"/>
            <color indexed="81"/>
            <rFont val="Tahoma"/>
            <family val="2"/>
          </rPr>
          <t xml:space="preserve">
10/3/07: +5 stores</t>
        </r>
      </text>
    </comment>
    <comment ref="G466" authorId="8">
      <text>
        <r>
          <rPr>
            <b/>
            <sz val="8"/>
            <color indexed="81"/>
            <rFont val="Tahoma"/>
            <family val="2"/>
          </rPr>
          <t>mm98285:</t>
        </r>
        <r>
          <rPr>
            <sz val="8"/>
            <color indexed="81"/>
            <rFont val="Tahoma"/>
            <family val="2"/>
          </rPr>
          <t xml:space="preserve">
4% est.</t>
        </r>
      </text>
    </comment>
    <comment ref="K466" authorId="8">
      <text>
        <r>
          <rPr>
            <b/>
            <sz val="8"/>
            <color indexed="81"/>
            <rFont val="Tahoma"/>
            <family val="2"/>
          </rPr>
          <t>mm98285:</t>
        </r>
        <r>
          <rPr>
            <sz val="8"/>
            <color indexed="81"/>
            <rFont val="Tahoma"/>
            <family val="2"/>
          </rPr>
          <t xml:space="preserve">
10/3/07: +5 stores</t>
        </r>
      </text>
    </comment>
    <comment ref="G467" authorId="8">
      <text>
        <r>
          <rPr>
            <b/>
            <sz val="8"/>
            <color indexed="81"/>
            <rFont val="Tahoma"/>
            <family val="2"/>
          </rPr>
          <t>mm98285:</t>
        </r>
        <r>
          <rPr>
            <sz val="8"/>
            <color indexed="81"/>
            <rFont val="Tahoma"/>
            <family val="2"/>
          </rPr>
          <t xml:space="preserve">
-6.5% est. 
-6% for Nov./Dec.
-9% est. </t>
        </r>
      </text>
    </comment>
    <comment ref="K467" authorId="8">
      <text>
        <r>
          <rPr>
            <b/>
            <sz val="8"/>
            <color indexed="81"/>
            <rFont val="Tahoma"/>
            <family val="2"/>
          </rPr>
          <t>mm98285:</t>
        </r>
        <r>
          <rPr>
            <sz val="8"/>
            <color indexed="81"/>
            <rFont val="Tahoma"/>
            <family val="2"/>
          </rPr>
          <t xml:space="preserve">
10/3/07: guided to +2 stores, but assumed +1 to be conservative</t>
        </r>
      </text>
    </comment>
    <comment ref="G471" authorId="8">
      <text>
        <r>
          <rPr>
            <b/>
            <sz val="8"/>
            <color indexed="81"/>
            <rFont val="Tahoma"/>
            <family val="2"/>
          </rPr>
          <t>mm98285:</t>
        </r>
        <r>
          <rPr>
            <sz val="8"/>
            <color indexed="81"/>
            <rFont val="Tahoma"/>
            <family val="2"/>
          </rPr>
          <t xml:space="preserve">
-13% est. </t>
        </r>
      </text>
    </comment>
    <comment ref="K471" authorId="8">
      <text>
        <r>
          <rPr>
            <b/>
            <sz val="8"/>
            <color indexed="81"/>
            <rFont val="Tahoma"/>
            <family val="2"/>
          </rPr>
          <t>mm98285:</t>
        </r>
        <r>
          <rPr>
            <sz val="8"/>
            <color indexed="81"/>
            <rFont val="Tahoma"/>
            <family val="2"/>
          </rPr>
          <t xml:space="preserve">
3/09: expec to open 2 stores in U.S.</t>
        </r>
      </text>
    </comment>
    <comment ref="G472" authorId="8">
      <text>
        <r>
          <rPr>
            <b/>
            <sz val="8"/>
            <color indexed="81"/>
            <rFont val="Tahoma"/>
            <family val="2"/>
          </rPr>
          <t>mm98285:</t>
        </r>
        <r>
          <rPr>
            <sz val="8"/>
            <color indexed="81"/>
            <rFont val="Tahoma"/>
            <family val="2"/>
          </rPr>
          <t xml:space="preserve">
-6% est. </t>
        </r>
      </text>
    </comment>
    <comment ref="K472" authorId="8">
      <text>
        <r>
          <rPr>
            <b/>
            <sz val="8"/>
            <color indexed="81"/>
            <rFont val="Tahoma"/>
            <family val="2"/>
          </rPr>
          <t>mm98285:</t>
        </r>
        <r>
          <rPr>
            <sz val="8"/>
            <color indexed="81"/>
            <rFont val="Tahoma"/>
            <family val="2"/>
          </rPr>
          <t xml:space="preserve">
124 U.S., 3 Canada
3/09: expec to open 5 stores in U.S.</t>
        </r>
      </text>
    </comment>
    <comment ref="G473" authorId="8">
      <text>
        <r>
          <rPr>
            <b/>
            <sz val="8"/>
            <color indexed="81"/>
            <rFont val="Tahoma"/>
            <family val="2"/>
          </rPr>
          <t>mm98285:</t>
        </r>
        <r>
          <rPr>
            <sz val="8"/>
            <color indexed="81"/>
            <rFont val="Tahoma"/>
            <family val="2"/>
          </rPr>
          <t xml:space="preserve">
-1% est.</t>
        </r>
      </text>
    </comment>
    <comment ref="K473" authorId="8">
      <text>
        <r>
          <rPr>
            <b/>
            <sz val="8"/>
            <color indexed="81"/>
            <rFont val="Tahoma"/>
            <family val="2"/>
          </rPr>
          <t>mm98285:</t>
        </r>
        <r>
          <rPr>
            <sz val="8"/>
            <color indexed="81"/>
            <rFont val="Tahoma"/>
            <family val="2"/>
          </rPr>
          <t xml:space="preserve">
129 in U.S., 3 in Canada, 1 Europe
3/09: expec to open 7 stores in U.S. and 1 internationally (London store 11K selling sq ft)</t>
        </r>
      </text>
    </comment>
    <comment ref="BL473" authorId="19">
      <text>
        <r>
          <rPr>
            <b/>
            <sz val="9"/>
            <color indexed="81"/>
            <rFont val="Tahoma"/>
            <family val="2"/>
          </rPr>
          <t>Turley, Amber (Research):</t>
        </r>
        <r>
          <rPr>
            <sz val="9"/>
            <color indexed="81"/>
            <rFont val="Tahoma"/>
            <family val="2"/>
          </rPr>
          <t xml:space="preserve">
 Anthropologie’s store net sales accounted for approximately 36.5% of consolidated net sales for the nine months ended October 31, 2009, compared to 35.4% for the comparable period in fiscal 2009. Anthropologie’s European store, which opened on October 23, 2009, accounted for less than 1% of total consolidated net sales for the nine months ended October 31, 2009. 
</t>
        </r>
      </text>
    </comment>
    <comment ref="BM473" authorId="19">
      <text>
        <r>
          <rPr>
            <b/>
            <sz val="9"/>
            <color indexed="81"/>
            <rFont val="Tahoma"/>
            <family val="2"/>
          </rPr>
          <t>Turley, Amber (Research):</t>
        </r>
        <r>
          <rPr>
            <sz val="9"/>
            <color indexed="81"/>
            <rFont val="Tahoma"/>
            <family val="2"/>
          </rPr>
          <t xml:space="preserve">
 Anthropologie’s store net sales accounted for approximately 36.5% of consolidated net sales for the nine months ended October 31, 2009, compared to 35.4% for the comparable period in fiscal 2009. Anthropologie’s European store, which opened on October 23, 2009, accounted for less than 1% of total consolidated net sales for the nine months ended October 31, 2009. 
</t>
        </r>
      </text>
    </comment>
    <comment ref="K474" authorId="8">
      <text>
        <r>
          <rPr>
            <b/>
            <sz val="8"/>
            <color indexed="81"/>
            <rFont val="Tahoma"/>
            <family val="2"/>
          </rPr>
          <t>mm98285:</t>
        </r>
        <r>
          <rPr>
            <sz val="8"/>
            <color indexed="81"/>
            <rFont val="Tahoma"/>
            <family val="2"/>
          </rPr>
          <t xml:space="preserve">
4Q: 4 U.S. stores
3/09: expec to open 1 store in U.S.</t>
        </r>
      </text>
    </comment>
    <comment ref="BL474" authorId="19">
      <text>
        <r>
          <rPr>
            <b/>
            <sz val="9"/>
            <color indexed="81"/>
            <rFont val="Tahoma"/>
            <family val="2"/>
          </rPr>
          <t>Turley, Amber (Research):</t>
        </r>
        <r>
          <rPr>
            <sz val="9"/>
            <color indexed="81"/>
            <rFont val="Tahoma"/>
            <family val="2"/>
          </rPr>
          <t xml:space="preserve">
Anthropologie’s North American and European store sales accounted for approximately 36.1% and 0.3% of consolidated net sales, respectively, for fiscal 2010. 
</t>
        </r>
      </text>
    </comment>
    <comment ref="BM474" authorId="19">
      <text>
        <r>
          <rPr>
            <b/>
            <sz val="9"/>
            <color indexed="81"/>
            <rFont val="Tahoma"/>
            <family val="2"/>
          </rPr>
          <t>Turley, Amber (Research):</t>
        </r>
        <r>
          <rPr>
            <sz val="9"/>
            <color indexed="81"/>
            <rFont val="Tahoma"/>
            <family val="2"/>
          </rPr>
          <t xml:space="preserve">
Anthropologie’s North American and European store sales accounted for approximately 36.1% and 0.3% of consolidated net sales, respectively, for fiscal 2010. 
</t>
        </r>
      </text>
    </comment>
    <comment ref="BL475" authorId="19">
      <text>
        <r>
          <rPr>
            <b/>
            <sz val="9"/>
            <color indexed="81"/>
            <rFont val="Tahoma"/>
            <family val="2"/>
          </rPr>
          <t>Turley, Amber (Research):</t>
        </r>
        <r>
          <rPr>
            <sz val="9"/>
            <color indexed="81"/>
            <rFont val="Tahoma"/>
            <family val="2"/>
          </rPr>
          <t xml:space="preserve">
Anthropologie’s North American and European store sales accounted for approximately 36.1% and 0.3% of consolidated net sales, respectively, for fiscal 2010. 
</t>
        </r>
      </text>
    </comment>
    <comment ref="BM475" authorId="19">
      <text>
        <r>
          <rPr>
            <b/>
            <sz val="9"/>
            <color indexed="81"/>
            <rFont val="Tahoma"/>
            <family val="2"/>
          </rPr>
          <t>Turley, Amber (Research):</t>
        </r>
        <r>
          <rPr>
            <sz val="9"/>
            <color indexed="81"/>
            <rFont val="Tahoma"/>
            <family val="2"/>
          </rPr>
          <t xml:space="preserve">
Anthropologie’s North American and European store sales accounted for approximately 36.1% and 0.3% of consolidated net sales, respectively, for fiscal 2010. 
</t>
        </r>
      </text>
    </comment>
    <comment ref="G478" authorId="11">
      <text>
        <r>
          <rPr>
            <b/>
            <sz val="8"/>
            <color indexed="81"/>
            <rFont val="Tahoma"/>
            <family val="2"/>
          </rPr>
          <t xml:space="preserve">KG: </t>
        </r>
        <r>
          <rPr>
            <sz val="8"/>
            <color indexed="81"/>
            <rFont val="Tahoma"/>
            <family val="2"/>
          </rPr>
          <t xml:space="preserve">company no longer reporting store comps. </t>
        </r>
        <r>
          <rPr>
            <b/>
            <sz val="8"/>
            <color indexed="81"/>
            <rFont val="Tahoma"/>
            <family val="2"/>
          </rPr>
          <t xml:space="preserve">We estimate Anthro 1Q10 store comp +15%
</t>
        </r>
        <r>
          <rPr>
            <b/>
            <sz val="8"/>
            <color indexed="81"/>
            <rFont val="Tahoma"/>
            <family val="2"/>
          </rPr>
          <t xml:space="preserve">
lr73192:</t>
        </r>
        <r>
          <rPr>
            <sz val="8"/>
            <color indexed="81"/>
            <rFont val="Tahoma"/>
            <family val="2"/>
          </rPr>
          <t xml:space="preserve">
+20 est</t>
        </r>
      </text>
    </comment>
    <comment ref="K478" authorId="11">
      <text>
        <r>
          <rPr>
            <sz val="8"/>
            <color indexed="81"/>
            <rFont val="Tahoma"/>
            <family val="2"/>
          </rPr>
          <t>10Q: operated 142 Anthro stores of which 137 were located in the US, 3 in Canada, and 2 in Europe; opened 5 during qtr (4 in US and 1 in Europe)</t>
        </r>
      </text>
    </comment>
    <comment ref="BL478" authorId="19">
      <text>
        <r>
          <rPr>
            <b/>
            <sz val="9"/>
            <color indexed="81"/>
            <rFont val="Tahoma"/>
            <family val="2"/>
          </rPr>
          <t>Turley, Amber (Research):</t>
        </r>
        <r>
          <rPr>
            <sz val="9"/>
            <color indexed="81"/>
            <rFont val="Tahoma"/>
            <family val="2"/>
          </rPr>
          <t xml:space="preserve">
Anthropologie’s North American store net sales accounted for approximately 37.3% of consolidated net sales for the three months ended April 30, 2010, compared to 36.0% for the comparable period in fiscal 2010. Anthropologie’s European stores accounted for less than 1% of total consolidated net sales for the three months ended April 30, 2010. 
</t>
        </r>
      </text>
    </comment>
    <comment ref="BM478" authorId="19">
      <text>
        <r>
          <rPr>
            <b/>
            <sz val="9"/>
            <color indexed="81"/>
            <rFont val="Tahoma"/>
            <family val="2"/>
          </rPr>
          <t>Turley, Amber (Research):</t>
        </r>
        <r>
          <rPr>
            <sz val="9"/>
            <color indexed="81"/>
            <rFont val="Tahoma"/>
            <family val="2"/>
          </rPr>
          <t xml:space="preserve">
Anthropologie’s North American store net sales accounted for approximately 37.3% of consolidated net sales for the three months ended April 30, 2010, compared to 36.0% for the comparable period in fiscal 2010. Anthropologie’s European stores accounted for less than 1% of total consolidated net sales for the three months ended April 30, 2010. 
</t>
        </r>
      </text>
    </comment>
    <comment ref="K479" authorId="11">
      <text>
        <r>
          <rPr>
            <sz val="8"/>
            <color indexed="81"/>
            <rFont val="Tahoma"/>
            <family val="2"/>
          </rPr>
          <t>10Q: operated 145 Anthro stores of which 140 were located in the US, 3 in Canada, and 2 in Europe; opened 3 during qtr (all US)</t>
        </r>
      </text>
    </comment>
    <comment ref="X479" authorId="13">
      <text>
        <r>
          <rPr>
            <b/>
            <sz val="8"/>
            <color indexed="81"/>
            <rFont val="Tahoma"/>
            <family val="2"/>
          </rPr>
          <t>nicholjs:</t>
        </r>
        <r>
          <rPr>
            <sz val="8"/>
            <color indexed="81"/>
            <rFont val="Tahoma"/>
            <family val="2"/>
          </rPr>
          <t xml:space="preserve">
16% of Anthro '09 sales were DTC</t>
        </r>
      </text>
    </comment>
    <comment ref="BL479" authorId="19">
      <text>
        <r>
          <rPr>
            <b/>
            <sz val="9"/>
            <color indexed="81"/>
            <rFont val="Tahoma"/>
            <family val="2"/>
          </rPr>
          <t>Turley, Amber (Research):</t>
        </r>
        <r>
          <rPr>
            <sz val="9"/>
            <color indexed="81"/>
            <rFont val="Tahoma"/>
            <family val="2"/>
          </rPr>
          <t xml:space="preserve">
Anthropologie’s North American store net sales accounted for approximately 37.1% of consolidated net sales for the six months ended July 31, 2010, compared to 36.9% for the comparable period in fiscal 2010. Anthropologie’s European stores accounted for less than 1% of total consolidated net sales for the six months ended July 31, 2010. 
</t>
        </r>
      </text>
    </comment>
    <comment ref="BM479" authorId="19">
      <text>
        <r>
          <rPr>
            <b/>
            <sz val="9"/>
            <color indexed="81"/>
            <rFont val="Tahoma"/>
            <family val="2"/>
          </rPr>
          <t>Turley, Amber (Research):</t>
        </r>
        <r>
          <rPr>
            <sz val="9"/>
            <color indexed="81"/>
            <rFont val="Tahoma"/>
            <family val="2"/>
          </rPr>
          <t xml:space="preserve">
Anthropologie’s North American store net sales accounted for approximately 37.1% of consolidated net sales for the six months ended July 31, 2010, compared to 36.9% for the comparable period in fiscal 2010. Anthropologie’s European stores accounted for less than 1% of total consolidated net sales for the six months ended July 31, 2010. 
</t>
        </r>
      </text>
    </comment>
    <comment ref="K480" authorId="13">
      <text>
        <r>
          <rPr>
            <b/>
            <sz val="8"/>
            <color indexed="81"/>
            <rFont val="Tahoma"/>
            <family val="2"/>
          </rPr>
          <t>nicholjs:</t>
        </r>
        <r>
          <rPr>
            <sz val="8"/>
            <color indexed="81"/>
            <rFont val="Tahoma"/>
            <family val="2"/>
          </rPr>
          <t xml:space="preserve">
150 Anthropologie stores of which 145 were
located in the United States, 3 in Canada and 2 in Europe</t>
        </r>
      </text>
    </comment>
    <comment ref="BL480" authorId="19">
      <text>
        <r>
          <rPr>
            <b/>
            <sz val="9"/>
            <color indexed="81"/>
            <rFont val="Tahoma"/>
            <family val="2"/>
          </rPr>
          <t>Turley, Amber (Research):</t>
        </r>
        <r>
          <rPr>
            <sz val="9"/>
            <color indexed="81"/>
            <rFont val="Tahoma"/>
            <family val="2"/>
          </rPr>
          <t xml:space="preserve">
Anthropologie’s North American store net sales accounted for approximately 36.0% of consolidated net sales for the nine months ended October 31, 2010, compared to 36.5% for the comparable period in fiscal 2010. Anthropologie’s European stores accounted for less than 1% of total consolidated net sales for the nine months ended October 31, 2010 and October 31, 2009. 
</t>
        </r>
      </text>
    </comment>
    <comment ref="BM480" authorId="19">
      <text>
        <r>
          <rPr>
            <b/>
            <sz val="9"/>
            <color indexed="81"/>
            <rFont val="Tahoma"/>
            <family val="2"/>
          </rPr>
          <t>Turley, Amber (Research):</t>
        </r>
        <r>
          <rPr>
            <sz val="9"/>
            <color indexed="81"/>
            <rFont val="Tahoma"/>
            <family val="2"/>
          </rPr>
          <t xml:space="preserve">
Anthropologie’s North American store net sales accounted for approximately 36.0% of consolidated net sales for the nine months ended October 31, 2010, compared to 36.5% for the comparable period in fiscal 2010. Anthropologie’s European stores accounted for less than 1% of total consolidated net sales for the nine months ended October 31, 2010 and October 31, 2009. 
</t>
        </r>
      </text>
    </comment>
    <comment ref="G481" authorId="13">
      <text>
        <r>
          <rPr>
            <b/>
            <sz val="8"/>
            <color indexed="81"/>
            <rFont val="Tahoma"/>
            <family val="2"/>
          </rPr>
          <t>nicholjs:</t>
        </r>
        <r>
          <rPr>
            <sz val="8"/>
            <color indexed="81"/>
            <rFont val="Tahoma"/>
            <family val="2"/>
          </rPr>
          <t xml:space="preserve">
down 4
Holiday retail comp +3%
4Q retail comp +1%</t>
        </r>
      </text>
    </comment>
    <comment ref="K481" authorId="13">
      <text>
        <r>
          <rPr>
            <b/>
            <sz val="8"/>
            <color indexed="81"/>
            <rFont val="Tahoma"/>
            <family val="2"/>
          </rPr>
          <t>nicholjs:</t>
        </r>
        <r>
          <rPr>
            <sz val="8"/>
            <color indexed="81"/>
            <rFont val="Tahoma"/>
            <family val="2"/>
          </rPr>
          <t xml:space="preserve">
+3 North America
includes:
147 US
4 Canada
2 Europe</t>
        </r>
      </text>
    </comment>
    <comment ref="BL481" authorId="19">
      <text>
        <r>
          <rPr>
            <b/>
            <sz val="9"/>
            <color indexed="81"/>
            <rFont val="Tahoma"/>
            <family val="2"/>
          </rPr>
          <t>Turley, Amber (Research):</t>
        </r>
        <r>
          <rPr>
            <sz val="9"/>
            <color indexed="81"/>
            <rFont val="Tahoma"/>
            <family val="2"/>
          </rPr>
          <t xml:space="preserve">
Anthropologie’s North American and European store sales accounted for approximately 35.1% and 0.8% of consolidated net sales, respectively, for fiscal 2011. 
</t>
        </r>
      </text>
    </comment>
    <comment ref="BM481" authorId="19">
      <text>
        <r>
          <rPr>
            <b/>
            <sz val="9"/>
            <color indexed="81"/>
            <rFont val="Tahoma"/>
            <family val="2"/>
          </rPr>
          <t>Turley, Amber (Research):</t>
        </r>
        <r>
          <rPr>
            <sz val="9"/>
            <color indexed="81"/>
            <rFont val="Tahoma"/>
            <family val="2"/>
          </rPr>
          <t xml:space="preserve">
Anthropologie’s North American and European store sales accounted for approximately 35.1% and 0.8% of consolidated net sales, respectively, for fiscal 2011. 
</t>
        </r>
      </text>
    </comment>
    <comment ref="Z482" authorId="13">
      <text>
        <r>
          <rPr>
            <b/>
            <sz val="8"/>
            <color indexed="81"/>
            <rFont val="Tahoma"/>
            <family val="2"/>
          </rPr>
          <t>nicholjs:</t>
        </r>
        <r>
          <rPr>
            <sz val="8"/>
            <color indexed="81"/>
            <rFont val="Tahoma"/>
            <family val="2"/>
          </rPr>
          <t xml:space="preserve">
Anthro Europe ~$9-9.5mm/store on avg (6/28)</t>
        </r>
      </text>
    </comment>
    <comment ref="BL482" authorId="19">
      <text>
        <r>
          <rPr>
            <b/>
            <sz val="9"/>
            <color indexed="81"/>
            <rFont val="Tahoma"/>
            <family val="2"/>
          </rPr>
          <t>Turley, Amber (Research):</t>
        </r>
        <r>
          <rPr>
            <sz val="9"/>
            <color indexed="81"/>
            <rFont val="Tahoma"/>
            <family val="2"/>
          </rPr>
          <t xml:space="preserve">
Anthropologie’s North American and European store sales accounted for approximately 35.1% and 0.8% of consolidated net sales, respectively, for fiscal 2011. 
</t>
        </r>
      </text>
    </comment>
    <comment ref="BM482" authorId="19">
      <text>
        <r>
          <rPr>
            <b/>
            <sz val="9"/>
            <color indexed="81"/>
            <rFont val="Tahoma"/>
            <family val="2"/>
          </rPr>
          <t>Turley, Amber (Research):</t>
        </r>
        <r>
          <rPr>
            <sz val="9"/>
            <color indexed="81"/>
            <rFont val="Tahoma"/>
            <family val="2"/>
          </rPr>
          <t xml:space="preserve">
Anthropologie’s North American and European store sales accounted for approximately 35.1% and 0.8% of consolidated net sales, respectively, for fiscal 2011. 
</t>
        </r>
      </text>
    </comment>
    <comment ref="G485" authorId="13">
      <text>
        <r>
          <rPr>
            <b/>
            <sz val="8"/>
            <color indexed="81"/>
            <rFont val="Tahoma"/>
            <family val="2"/>
          </rPr>
          <t>nicholjs:</t>
        </r>
        <r>
          <rPr>
            <sz val="8"/>
            <color indexed="81"/>
            <rFont val="Tahoma"/>
            <family val="2"/>
          </rPr>
          <t xml:space="preserve">
could bring up a pt from -10.5
Retail Seg comp -5.9%</t>
        </r>
      </text>
    </comment>
    <comment ref="K485" authorId="13">
      <text>
        <r>
          <rPr>
            <b/>
            <sz val="8"/>
            <color indexed="81"/>
            <rFont val="Tahoma"/>
            <family val="2"/>
          </rPr>
          <t>nicholjs:</t>
        </r>
        <r>
          <rPr>
            <sz val="8"/>
            <color indexed="81"/>
            <rFont val="Tahoma"/>
            <family val="2"/>
          </rPr>
          <t xml:space="preserve">
150 in the US, 4 in Canada, 2 in Europe. During Q, opened 3 new stores in the US.</t>
        </r>
      </text>
    </comment>
    <comment ref="BL485" authorId="19">
      <text>
        <r>
          <rPr>
            <b/>
            <sz val="9"/>
            <color indexed="81"/>
            <rFont val="Tahoma"/>
            <family val="2"/>
          </rPr>
          <t>Turley, Amber (Research):</t>
        </r>
        <r>
          <rPr>
            <sz val="9"/>
            <color indexed="81"/>
            <rFont val="Tahoma"/>
            <family val="2"/>
          </rPr>
          <t xml:space="preserve">
Anthropologie’s North American store net sales accounted for approximately 34.3% of consolidated net sales for the three months ended April 30, 2011, compared to 37.3% for the comparable period in fiscal 2011. Anthropologie’s European stores accounted for less than 1% of total consolidated net sales for each of the three months ended April 30, 2011 and April 30, 2010. 
</t>
        </r>
      </text>
    </comment>
    <comment ref="BM485" authorId="19">
      <text>
        <r>
          <rPr>
            <b/>
            <sz val="9"/>
            <color indexed="81"/>
            <rFont val="Tahoma"/>
            <family val="2"/>
          </rPr>
          <t>Turley, Amber (Research):</t>
        </r>
        <r>
          <rPr>
            <sz val="9"/>
            <color indexed="81"/>
            <rFont val="Tahoma"/>
            <family val="2"/>
          </rPr>
          <t xml:space="preserve">
Anthropologie’s North American store net sales accounted for approximately 34.3% of consolidated net sales for the three months ended April 30, 2011, compared to 37.3% for the comparable period in fiscal 2011. Anthropologie’s European stores accounted for less than 1% of total consolidated net sales for each of the three months ended April 30, 2011 and April 30, 2010. 
</t>
        </r>
      </text>
    </comment>
    <comment ref="G486" authorId="13">
      <text>
        <r>
          <rPr>
            <b/>
            <sz val="8"/>
            <color indexed="81"/>
            <rFont val="Tahoma"/>
            <family val="2"/>
          </rPr>
          <t>nicholjs:</t>
        </r>
        <r>
          <rPr>
            <sz val="8"/>
            <color indexed="81"/>
            <rFont val="Tahoma"/>
            <family val="2"/>
          </rPr>
          <t xml:space="preserve">
-2 ok
6/11/2011: may be like an 8 or a 7.  9 sounds too negative.
Retail Seg comp flat</t>
        </r>
      </text>
    </comment>
    <comment ref="K486" authorId="13">
      <text>
        <r>
          <rPr>
            <b/>
            <sz val="8"/>
            <color indexed="81"/>
            <rFont val="Tahoma"/>
            <family val="2"/>
          </rPr>
          <t>nicholjs:</t>
        </r>
        <r>
          <rPr>
            <sz val="8"/>
            <color indexed="81"/>
            <rFont val="Tahoma"/>
            <family val="2"/>
          </rPr>
          <t xml:space="preserve">
opened 3 NA stores and 1 European store.
152 in the US, 5 in Canada, 3 in Europe.</t>
        </r>
      </text>
    </comment>
    <comment ref="BL486" authorId="19">
      <text>
        <r>
          <rPr>
            <b/>
            <sz val="9"/>
            <color indexed="81"/>
            <rFont val="Tahoma"/>
            <family val="2"/>
          </rPr>
          <t>Turley, Amber (Research):</t>
        </r>
        <r>
          <rPr>
            <sz val="9"/>
            <color indexed="81"/>
            <rFont val="Tahoma"/>
            <family val="2"/>
          </rPr>
          <t xml:space="preserve">
Anthropologie’s North American store net sales accounted for approximately 34.9% of consolidated net sales for the six months ended July 31, 2011, compared to 37.1% for the comparable period in fiscal 2011. Anthropologie’s European stores accounted for less than 1% of total consolidated net sales for each of the six months ended July 31, 2011 and July 31, 2010. 
</t>
        </r>
      </text>
    </comment>
    <comment ref="BM486" authorId="19">
      <text>
        <r>
          <rPr>
            <b/>
            <sz val="9"/>
            <color indexed="81"/>
            <rFont val="Tahoma"/>
            <family val="2"/>
          </rPr>
          <t>Turley, Amber (Research):</t>
        </r>
        <r>
          <rPr>
            <sz val="9"/>
            <color indexed="81"/>
            <rFont val="Tahoma"/>
            <family val="2"/>
          </rPr>
          <t xml:space="preserve">
Anthropologie’s North American store net sales accounted for approximately 34.9% of consolidated net sales for the six months ended July 31, 2011, compared to 37.1% for the comparable period in fiscal 2011. Anthropologie’s European stores accounted for less than 1% of total consolidated net sales for each of the six months ended July 31, 2011 and July 31, 2010. 
</t>
        </r>
      </text>
    </comment>
    <comment ref="G487" authorId="21">
      <text>
        <r>
          <rPr>
            <b/>
            <sz val="8"/>
            <color indexed="81"/>
            <rFont val="Tahoma"/>
            <family val="2"/>
          </rPr>
          <t xml:space="preserve">kimberlg:
</t>
        </r>
        <r>
          <rPr>
            <sz val="8"/>
            <color indexed="81"/>
            <rFont val="Tahoma"/>
            <family val="2"/>
          </rPr>
          <t xml:space="preserve">
9/6/2011: -7% okay
-5% ok
8/15/11 we think recent 10 days comp -6% retail segment</t>
        </r>
      </text>
    </comment>
    <comment ref="K487" authorId="14">
      <text>
        <r>
          <rPr>
            <b/>
            <sz val="8"/>
            <color indexed="81"/>
            <rFont val="Tahoma"/>
            <family val="2"/>
          </rPr>
          <t>lauraro:</t>
        </r>
        <r>
          <rPr>
            <sz val="8"/>
            <color indexed="81"/>
            <rFont val="Tahoma"/>
            <family val="2"/>
          </rPr>
          <t xml:space="preserve">
11/7: During 3Q:
+4 Anthropologie stores 
164 Anthro stores in US, Canada and Europe
156 in US
5 Canada
3 Europe</t>
        </r>
      </text>
    </comment>
    <comment ref="BL487" authorId="19">
      <text>
        <r>
          <rPr>
            <b/>
            <sz val="9"/>
            <color indexed="81"/>
            <rFont val="Tahoma"/>
            <family val="2"/>
          </rPr>
          <t>Turley, Amber (Research):</t>
        </r>
        <r>
          <rPr>
            <sz val="9"/>
            <color indexed="81"/>
            <rFont val="Tahoma"/>
            <family val="2"/>
          </rPr>
          <t xml:space="preserve">
3Q 10-Q: Anthropologie’s North American store net sales accounted for approximately 33.4% of consolidated net sales for the nine months ended October 31, 2011, compared to 36.0% for the comparable period in fiscal 2011. Anthropologie’s European stores accounted for less than 1% of total consolidated net sales for each of the nine months ended October 31, 2011 and October 31, 2010. 
</t>
        </r>
      </text>
    </comment>
    <comment ref="BM487" authorId="19">
      <text>
        <r>
          <rPr>
            <b/>
            <sz val="9"/>
            <color indexed="81"/>
            <rFont val="Tahoma"/>
            <family val="2"/>
          </rPr>
          <t>Turley, Amber (Research):</t>
        </r>
        <r>
          <rPr>
            <sz val="9"/>
            <color indexed="81"/>
            <rFont val="Tahoma"/>
            <family val="2"/>
          </rPr>
          <t xml:space="preserve">
3Q 10-Q: Anthropologie’s North American store net sales accounted for approximately 33.4% of consolidated net sales for the nine months ended October 31, 2011, compared to 36.0% for the comparable period in fiscal 2011. Anthropologie’s European stores accounted for less than 1% of total consolidated net sales for each of the nine months ended October 31, 2011 and October 31, 2010. 
</t>
        </r>
      </text>
    </comment>
    <comment ref="G488" authorId="14">
      <text>
        <r>
          <rPr>
            <b/>
            <sz val="8"/>
            <color indexed="81"/>
            <rFont val="Tahoma"/>
            <family val="2"/>
          </rPr>
          <t>lauraro:</t>
        </r>
        <r>
          <rPr>
            <sz val="8"/>
            <color indexed="81"/>
            <rFont val="Tahoma"/>
            <family val="2"/>
          </rPr>
          <t xml:space="preserve">
2/9/12: comp retail sales+1%
Comparable retail segment net sales increased 3% at Urban Outfitters and Anthropologie and 9% at Free People. </t>
        </r>
      </text>
    </comment>
    <comment ref="K488" authorId="14">
      <text>
        <r>
          <rPr>
            <b/>
            <sz val="8"/>
            <color indexed="81"/>
            <rFont val="Tahoma"/>
            <family val="2"/>
          </rPr>
          <t>lauraro:</t>
        </r>
        <r>
          <rPr>
            <sz val="8"/>
            <color indexed="81"/>
            <rFont val="Tahoma"/>
            <family val="2"/>
          </rPr>
          <t xml:space="preserve">
160 US
5 Canada
3 UK</t>
        </r>
      </text>
    </comment>
    <comment ref="BL488" authorId="19">
      <text>
        <r>
          <rPr>
            <b/>
            <sz val="9"/>
            <color indexed="81"/>
            <rFont val="Tahoma"/>
            <family val="2"/>
          </rPr>
          <t>Turley, Amber (Research):</t>
        </r>
        <r>
          <rPr>
            <sz val="9"/>
            <color indexed="81"/>
            <rFont val="Tahoma"/>
            <family val="2"/>
          </rPr>
          <t xml:space="preserve">
Anthropologie’s North American and European store sales accounted for approximately 32.8% and 0.9% of consolidated net sales, respectively, for fiscal 2012. 
</t>
        </r>
      </text>
    </comment>
    <comment ref="BM488" authorId="19">
      <text>
        <r>
          <rPr>
            <b/>
            <sz val="9"/>
            <color indexed="81"/>
            <rFont val="Tahoma"/>
            <family val="2"/>
          </rPr>
          <t>Turley, Amber (Research):</t>
        </r>
        <r>
          <rPr>
            <sz val="9"/>
            <color indexed="81"/>
            <rFont val="Tahoma"/>
            <family val="2"/>
          </rPr>
          <t xml:space="preserve">
Anthropologie’s North American and European store sales accounted for approximately 32.8% and 0.9% of consolidated net sales, respectively, for fiscal 2012. 
</t>
        </r>
      </text>
    </comment>
    <comment ref="BL489" authorId="19">
      <text>
        <r>
          <rPr>
            <b/>
            <sz val="9"/>
            <color indexed="81"/>
            <rFont val="Tahoma"/>
            <family val="2"/>
          </rPr>
          <t>Turley, Amber (Research):</t>
        </r>
        <r>
          <rPr>
            <sz val="9"/>
            <color indexed="81"/>
            <rFont val="Tahoma"/>
            <family val="2"/>
          </rPr>
          <t xml:space="preserve">
Anthropologie’s North American and European store sales accounted for approximately 32.8% and 0.9% of consolidated net sales, respectively, for fiscal 2012. 
</t>
        </r>
      </text>
    </comment>
    <comment ref="BM489" authorId="19">
      <text>
        <r>
          <rPr>
            <b/>
            <sz val="9"/>
            <color indexed="81"/>
            <rFont val="Tahoma"/>
            <family val="2"/>
          </rPr>
          <t>Turley, Amber (Research):</t>
        </r>
        <r>
          <rPr>
            <sz val="9"/>
            <color indexed="81"/>
            <rFont val="Tahoma"/>
            <family val="2"/>
          </rPr>
          <t xml:space="preserve">
Anthropologie’s North American and European store sales accounted for approximately 32.8% and 0.9% of consolidated net sales, respectively, for fiscal 2012. 
</t>
        </r>
      </text>
    </comment>
    <comment ref="G492" authorId="14">
      <text>
        <r>
          <rPr>
            <b/>
            <sz val="8"/>
            <color indexed="81"/>
            <rFont val="Tahoma"/>
            <family val="2"/>
          </rPr>
          <t>lauraro:</t>
        </r>
        <r>
          <rPr>
            <sz val="8"/>
            <color indexed="81"/>
            <rFont val="Tahoma"/>
            <family val="2"/>
          </rPr>
          <t xml:space="preserve">
Comparable retail segment net sales at Anthropologie decreased 2% for the quarter.</t>
        </r>
      </text>
    </comment>
    <comment ref="K492" authorId="14">
      <text>
        <r>
          <rPr>
            <b/>
            <sz val="8"/>
            <color indexed="81"/>
            <rFont val="Tahoma"/>
            <family val="2"/>
          </rPr>
          <t>lauraro:</t>
        </r>
        <r>
          <rPr>
            <sz val="8"/>
            <color indexed="81"/>
            <rFont val="Tahoma"/>
            <family val="2"/>
          </rPr>
          <t xml:space="preserve">
161 US
6 Canada
3 Europe
+2 stores, 1 in US, 1 in Canada</t>
        </r>
      </text>
    </comment>
    <comment ref="BL492" authorId="19">
      <text>
        <r>
          <rPr>
            <b/>
            <sz val="9"/>
            <color indexed="81"/>
            <rFont val="Tahoma"/>
            <family val="2"/>
          </rPr>
          <t>Turley, Amber (Research):</t>
        </r>
        <r>
          <rPr>
            <sz val="9"/>
            <color indexed="81"/>
            <rFont val="Tahoma"/>
            <family val="2"/>
          </rPr>
          <t xml:space="preserve">
1Q 10-Q: Anthropologie’s North American store net sales accounted for approximately 32.0% of consolidated net sales for the three months ended April 30, 2012, compared to 34.3% for the comparable period in fiscal 2012. Anthropologie’s European store net sales accounted for less than 1.0% of consolidated net sales for the three months ended April 30, 2012 and 2011, respectively. 
</t>
        </r>
      </text>
    </comment>
    <comment ref="BM492" authorId="19">
      <text>
        <r>
          <rPr>
            <b/>
            <sz val="9"/>
            <color indexed="81"/>
            <rFont val="Tahoma"/>
            <family val="2"/>
          </rPr>
          <t>Turley, Amber (Research):</t>
        </r>
        <r>
          <rPr>
            <sz val="9"/>
            <color indexed="81"/>
            <rFont val="Tahoma"/>
            <family val="2"/>
          </rPr>
          <t xml:space="preserve">
1Q 10-Q: Anthropologie’s North American store net sales accounted for approximately 32.0% of consolidated net sales for the three months ended April 30, 2012, compared to 34.3% for the comparable period in fiscal 2012. Anthropologie’s European store net sales accounted for less than 1.0% of consolidated net sales for the three months ended April 30, 2012 and 2011, respectively. 
</t>
        </r>
      </text>
    </comment>
    <comment ref="G493" authorId="0">
      <text>
        <r>
          <rPr>
            <sz val="8"/>
            <color indexed="81"/>
            <rFont val="Tahoma"/>
            <family val="2"/>
          </rPr>
          <t>8/20/12: we think -5% stores comp - spread from strong eComm sales.
requires input from KG/IR - actual reported numbers in segSales tab</t>
        </r>
      </text>
    </comment>
    <comment ref="K493" authorId="0">
      <text>
        <r>
          <rPr>
            <b/>
            <sz val="8"/>
            <color indexed="81"/>
            <rFont val="Tahoma"/>
            <family val="2"/>
          </rPr>
          <t>casselau:</t>
        </r>
        <r>
          <rPr>
            <sz val="8"/>
            <color indexed="81"/>
            <rFont val="Tahoma"/>
            <family val="2"/>
          </rPr>
          <t xml:space="preserve">
8/20/12 - opened 6, closed 1 in 1H</t>
        </r>
      </text>
    </comment>
    <comment ref="BL493" authorId="19">
      <text>
        <r>
          <rPr>
            <b/>
            <sz val="9"/>
            <color indexed="81"/>
            <rFont val="Tahoma"/>
            <family val="2"/>
          </rPr>
          <t>Turley, Amber (Research):</t>
        </r>
        <r>
          <rPr>
            <sz val="9"/>
            <color indexed="81"/>
            <rFont val="Tahoma"/>
            <family val="2"/>
          </rPr>
          <t xml:space="preserve">
2Q 10-Q: Anthropologie’s North American store net sales accounted for approximately 32.0% of consolidated net sales for the six months ended July 31, 2012, compared to 34.9% for the comparable period in fiscal 2012. Anthropologie’s European store net sales accounted for less than 1.0% of consolidated net sales for the six months ended July 31, 2012 and 2011, respectively</t>
        </r>
      </text>
    </comment>
    <comment ref="BM493" authorId="19">
      <text>
        <r>
          <rPr>
            <b/>
            <sz val="9"/>
            <color indexed="81"/>
            <rFont val="Tahoma"/>
            <family val="2"/>
          </rPr>
          <t>Turley, Amber (Research):</t>
        </r>
        <r>
          <rPr>
            <sz val="9"/>
            <color indexed="81"/>
            <rFont val="Tahoma"/>
            <family val="2"/>
          </rPr>
          <t xml:space="preserve">
2Q 10-Q: Anthropologie’s North American store net sales accounted for approximately 32.0% of consolidated net sales for the six months ended July 31, 2012, compared to 34.9% for the comparable period in fiscal 2012. Anthropologie’s European store net sales accounted for less than 1.0% of consolidated net sales for the six months ended July 31, 2012 and 2011, respectively</t>
        </r>
      </text>
    </comment>
    <comment ref="G494" authorId="0">
      <text>
        <r>
          <rPr>
            <b/>
            <sz val="8"/>
            <color indexed="81"/>
            <rFont val="Tahoma"/>
            <family val="2"/>
          </rPr>
          <t>casselau:</t>
        </r>
        <r>
          <rPr>
            <sz val="8"/>
            <color indexed="81"/>
            <rFont val="Tahoma"/>
            <family val="2"/>
          </rPr>
          <t xml:space="preserve">
regular price volume improved across all product categories; performance was stronger in accessories and apparel than it was home for the quarter</t>
        </r>
      </text>
    </comment>
    <comment ref="K494" authorId="0">
      <text>
        <r>
          <rPr>
            <b/>
            <sz val="8"/>
            <color indexed="81"/>
            <rFont val="Tahoma"/>
            <family val="2"/>
          </rPr>
          <t xml:space="preserve">From the URBN 3Q mgmt commentary PDF - </t>
        </r>
        <r>
          <rPr>
            <sz val="8"/>
            <color indexed="81"/>
            <rFont val="Tahoma"/>
            <family val="2"/>
          </rPr>
          <t>The brand opened 4 new stores during the quarter bringing the global store count to 177. Square footage increased 6% over the prior year period to 1,262,633.</t>
        </r>
      </text>
    </comment>
    <comment ref="AE494" authorId="0">
      <text>
        <r>
          <rPr>
            <b/>
            <sz val="8"/>
            <color indexed="81"/>
            <rFont val="Tahoma"/>
            <family val="2"/>
          </rPr>
          <t xml:space="preserve">From the URBN 3Q mgmt commentary PDF - </t>
        </r>
        <r>
          <rPr>
            <sz val="8"/>
            <color indexed="81"/>
            <rFont val="Tahoma"/>
            <family val="2"/>
          </rPr>
          <t>The brand opened 4 new stores during the quarter bringing the global store count to 177. Square footage increased 6% over the prior year period to 1,262,633.</t>
        </r>
      </text>
    </comment>
    <comment ref="BL494" authorId="19">
      <text>
        <r>
          <rPr>
            <b/>
            <sz val="9"/>
            <color indexed="81"/>
            <rFont val="Tahoma"/>
            <family val="2"/>
          </rPr>
          <t>Turley, Amber (Research):</t>
        </r>
        <r>
          <rPr>
            <sz val="9"/>
            <color indexed="81"/>
            <rFont val="Tahoma"/>
            <family val="2"/>
          </rPr>
          <t xml:space="preserve">
3Q 10-Q: Anthropologie’s North American store net sales accounted for approximately 30.5% of consolidated net sales for the nine months ended October 31, 2012, compared to 35.4% for the comparable period in fiscal 2012. Anthropologie’s European store net sales accounted for less than 1.0% of consolidated net sales for the nine months ended October 31, 2012 and 2011, respectively</t>
        </r>
      </text>
    </comment>
    <comment ref="BM494" authorId="19">
      <text>
        <r>
          <rPr>
            <b/>
            <sz val="9"/>
            <color indexed="81"/>
            <rFont val="Tahoma"/>
            <family val="2"/>
          </rPr>
          <t>Turley, Amber (Research):</t>
        </r>
        <r>
          <rPr>
            <sz val="9"/>
            <color indexed="81"/>
            <rFont val="Tahoma"/>
            <family val="2"/>
          </rPr>
          <t xml:space="preserve">
3Q 10-Q: Anthropologie’s North American store net sales accounted for approximately 30.5% of consolidated net sales for the nine months ended October 31, 2012, compared to 35.4% for the comparable period in fiscal 2012. Anthropologie’s European store net sales accounted for less than 1.0% of consolidated net sales for the nine months ended October 31, 2012 and 2011, respectively</t>
        </r>
      </text>
    </comment>
    <comment ref="G495" authorId="21">
      <text>
        <r>
          <rPr>
            <b/>
            <sz val="8"/>
            <color indexed="81"/>
            <rFont val="Tahoma"/>
            <family val="2"/>
          </rPr>
          <t>kimberlg:</t>
        </r>
        <r>
          <rPr>
            <sz val="8"/>
            <color indexed="81"/>
            <rFont val="Tahoma"/>
            <family val="2"/>
          </rPr>
          <t xml:space="preserve">
down 2-3% </t>
        </r>
      </text>
    </comment>
    <comment ref="K495" authorId="0">
      <text>
        <r>
          <rPr>
            <b/>
            <sz val="8"/>
            <color indexed="81"/>
            <rFont val="Tahoma"/>
            <family val="2"/>
          </rPr>
          <t xml:space="preserve">From the URBN 4Q mgmt commentary PDF - </t>
        </r>
        <r>
          <rPr>
            <sz val="8"/>
            <color indexed="81"/>
            <rFont val="Tahoma"/>
            <family val="2"/>
          </rPr>
          <t>The brand opened 4 new stores during the quarter and closed 1 bringing the global store count to 180.</t>
        </r>
      </text>
    </comment>
    <comment ref="AE495" authorId="22">
      <text>
        <r>
          <rPr>
            <b/>
            <sz val="8"/>
            <color indexed="81"/>
            <rFont val="Tahoma"/>
            <family val="2"/>
          </rPr>
          <t>from the 4Q mgmt commentary PDF</t>
        </r>
        <r>
          <rPr>
            <sz val="8"/>
            <color indexed="81"/>
            <rFont val="Tahoma"/>
            <family val="2"/>
          </rPr>
          <t xml:space="preserve">
Square footage increased 5% over the prior year period to 1,277,722.</t>
        </r>
      </text>
    </comment>
    <comment ref="BL495" authorId="19">
      <text>
        <r>
          <rPr>
            <b/>
            <sz val="9"/>
            <color indexed="81"/>
            <rFont val="Tahoma"/>
            <family val="2"/>
          </rPr>
          <t>Turley, Amber (Research):</t>
        </r>
        <r>
          <rPr>
            <sz val="9"/>
            <color indexed="81"/>
            <rFont val="Tahoma"/>
            <family val="2"/>
          </rPr>
          <t xml:space="preserve">
Anthropologie’s North American and European store sales accounted for approximately 29.7% and 0.8% of consolidated net sales, respectively, for fiscal 2013. 
</t>
        </r>
      </text>
    </comment>
    <comment ref="BM495" authorId="19">
      <text>
        <r>
          <rPr>
            <b/>
            <sz val="9"/>
            <color indexed="81"/>
            <rFont val="Tahoma"/>
            <family val="2"/>
          </rPr>
          <t>Turley, Amber (Research):</t>
        </r>
        <r>
          <rPr>
            <sz val="9"/>
            <color indexed="81"/>
            <rFont val="Tahoma"/>
            <family val="2"/>
          </rPr>
          <t xml:space="preserve">
Anthropologie’s North American and European store sales accounted for approximately 29.7% and 0.8% of consolidated net sales, respectively, for fiscal 2013. 
</t>
        </r>
      </text>
    </comment>
    <comment ref="BL496" authorId="19">
      <text>
        <r>
          <rPr>
            <b/>
            <sz val="9"/>
            <color indexed="81"/>
            <rFont val="Tahoma"/>
            <family val="2"/>
          </rPr>
          <t>Turley, Amber (Research):</t>
        </r>
        <r>
          <rPr>
            <sz val="9"/>
            <color indexed="81"/>
            <rFont val="Tahoma"/>
            <family val="2"/>
          </rPr>
          <t xml:space="preserve">
Anthropologie’s North American and European store sales accounted for approximately 29.7% and 0.8% of consolidated net sales, respectively, for fiscal 2013. 
</t>
        </r>
      </text>
    </comment>
    <comment ref="BM496" authorId="19">
      <text>
        <r>
          <rPr>
            <b/>
            <sz val="9"/>
            <color indexed="81"/>
            <rFont val="Tahoma"/>
            <family val="2"/>
          </rPr>
          <t>Turley, Amber (Research):</t>
        </r>
        <r>
          <rPr>
            <sz val="9"/>
            <color indexed="81"/>
            <rFont val="Tahoma"/>
            <family val="2"/>
          </rPr>
          <t xml:space="preserve">
Anthropologie’s North American and European store sales accounted for approximately 29.7% and 0.8% of consolidated net sales, respectively, for fiscal 2013. 
</t>
        </r>
      </text>
    </comment>
    <comment ref="K499" authorId="15">
      <text>
        <r>
          <rPr>
            <b/>
            <sz val="8"/>
            <color indexed="81"/>
            <rFont val="Tahoma"/>
            <family val="2"/>
          </rPr>
          <t>turleamb:</t>
        </r>
        <r>
          <rPr>
            <sz val="8"/>
            <color indexed="81"/>
            <rFont val="Tahoma"/>
            <family val="2"/>
          </rPr>
          <t xml:space="preserve">
From 1Q management commentary: The brand opened 2 new stores during the quarter bringing the global store count to 182.</t>
        </r>
      </text>
    </comment>
    <comment ref="AE499" authorId="15">
      <text>
        <r>
          <rPr>
            <b/>
            <sz val="8"/>
            <color indexed="81"/>
            <rFont val="Tahoma"/>
            <family val="2"/>
          </rPr>
          <t>turleamb:</t>
        </r>
        <r>
          <rPr>
            <sz val="8"/>
            <color indexed="81"/>
            <rFont val="Tahoma"/>
            <family val="2"/>
          </rPr>
          <t xml:space="preserve">
from management commentary 1Q: Square footage increased 5% over the prior year period to 1,290,645.</t>
        </r>
      </text>
    </comment>
    <comment ref="BL499" authorId="19">
      <text>
        <r>
          <rPr>
            <b/>
            <sz val="9"/>
            <color indexed="81"/>
            <rFont val="Tahoma"/>
            <family val="2"/>
          </rPr>
          <t>Turley, Amber (Research):</t>
        </r>
        <r>
          <rPr>
            <sz val="9"/>
            <color indexed="81"/>
            <rFont val="Tahoma"/>
            <family val="2"/>
          </rPr>
          <t xml:space="preserve">
1Q 10-Q: Anthropologie’s North American and European Retail segment sales accounted for approximately 39.8% and 1.1% of consolidated net sales, respectively, for the three months ended April 30, 2013, compared to 40.1% and 1.2%, respectively, for the comparable period in fiscal 2013</t>
        </r>
      </text>
    </comment>
    <comment ref="BM499" authorId="19">
      <text>
        <r>
          <rPr>
            <b/>
            <sz val="9"/>
            <color indexed="81"/>
            <rFont val="Tahoma"/>
            <family val="2"/>
          </rPr>
          <t>Turley, Amber (Research):</t>
        </r>
        <r>
          <rPr>
            <sz val="9"/>
            <color indexed="81"/>
            <rFont val="Tahoma"/>
            <family val="2"/>
          </rPr>
          <t xml:space="preserve">
1Q 10-Q: Anthropologie’s North American and European Retail segment sales accounted for approximately 39.8% and 1.1% of consolidated net sales, respectively, for the three months ended April 30, 2013, compared to 40.1% and 1.2%, respectively, for the comparable period in fiscal 2013</t>
        </r>
      </text>
    </comment>
    <comment ref="K500" authorId="15">
      <text>
        <r>
          <rPr>
            <b/>
            <sz val="8"/>
            <color indexed="81"/>
            <rFont val="Tahoma"/>
            <family val="2"/>
          </rPr>
          <t>turleamb:</t>
        </r>
        <r>
          <rPr>
            <sz val="8"/>
            <color indexed="81"/>
            <rFont val="Tahoma"/>
            <family val="2"/>
          </rPr>
          <t xml:space="preserve">
From 2Q management commentary: The brand opened 1 new store and closed 1 store during the quarter maintaining the global store count at 182.</t>
        </r>
      </text>
    </comment>
    <comment ref="W500" authorId="15">
      <text>
        <r>
          <rPr>
            <b/>
            <sz val="8"/>
            <color indexed="81"/>
            <rFont val="Tahoma"/>
            <family val="2"/>
          </rPr>
          <t>turleamb:</t>
        </r>
        <r>
          <rPr>
            <sz val="8"/>
            <color indexed="81"/>
            <rFont val="Tahoma"/>
            <family val="2"/>
          </rPr>
          <t xml:space="preserve">
8/21/13: By region, store net sales were strongest in the West and weakest in Canada. By venue, store net sales were strongest in free standing locations and weakest in metro locations. By Retail segment merchandise category, women’s apparel was the strongest.</t>
        </r>
      </text>
    </comment>
    <comment ref="AE500" authorId="15">
      <text>
        <r>
          <rPr>
            <b/>
            <sz val="8"/>
            <color indexed="81"/>
            <rFont val="Tahoma"/>
            <family val="2"/>
          </rPr>
          <t>turleamb:</t>
        </r>
        <r>
          <rPr>
            <sz val="8"/>
            <color indexed="81"/>
            <rFont val="Tahoma"/>
            <family val="2"/>
          </rPr>
          <t xml:space="preserve">
From 2Q management commentary: Square footage increased 4% over the prior year period to 1,288,829.</t>
        </r>
      </text>
    </comment>
    <comment ref="BL500" authorId="19">
      <text>
        <r>
          <rPr>
            <b/>
            <sz val="9"/>
            <color indexed="81"/>
            <rFont val="Tahoma"/>
            <family val="2"/>
          </rPr>
          <t>Turley, Amber (Research):</t>
        </r>
        <r>
          <rPr>
            <sz val="9"/>
            <color indexed="81"/>
            <rFont val="Tahoma"/>
            <family val="2"/>
          </rPr>
          <t xml:space="preserve">
2Q 10-q: Anthropologie’s North American and European Retail segment sales accounted for approximately 40.1% and 1.1% of consolidated net sales, respectively, for the six months ended July 31, 2013, compared to 40.3% and 1.2%, respectively, for the comparable period in fiscal 2013. 
</t>
        </r>
      </text>
    </comment>
    <comment ref="BM500" authorId="19">
      <text>
        <r>
          <rPr>
            <b/>
            <sz val="9"/>
            <color indexed="81"/>
            <rFont val="Tahoma"/>
            <family val="2"/>
          </rPr>
          <t>Turley, Amber (Research):</t>
        </r>
        <r>
          <rPr>
            <sz val="9"/>
            <color indexed="81"/>
            <rFont val="Tahoma"/>
            <family val="2"/>
          </rPr>
          <t xml:space="preserve">
2Q 10-q: Anthropologie’s North American and European Retail segment sales accounted for approximately 40.1% and 1.1% of consolidated net sales, respectively, for the six months ended July 31, 2013, compared to 40.3% and 1.2%, respectively, for the comparable period in fiscal 2013. 
</t>
        </r>
      </text>
    </comment>
    <comment ref="K501" authorId="15">
      <text>
        <r>
          <rPr>
            <b/>
            <sz val="8"/>
            <color indexed="81"/>
            <rFont val="Tahoma"/>
            <family val="2"/>
          </rPr>
          <t>turleamb:</t>
        </r>
        <r>
          <rPr>
            <sz val="8"/>
            <color indexed="81"/>
            <rFont val="Tahoma"/>
            <family val="2"/>
          </rPr>
          <t xml:space="preserve">
11/18/13: 185 stores; 173 in the US, 8 in Canada, 4 in Europe. YTD opened 6 new stores (5 in US, 1 in Europe) and closed 1 US store</t>
        </r>
      </text>
    </comment>
    <comment ref="W501" authorId="15">
      <text>
        <r>
          <rPr>
            <b/>
            <sz val="8"/>
            <color indexed="81"/>
            <rFont val="Tahoma"/>
            <family val="2"/>
          </rPr>
          <t>turleamb:</t>
        </r>
        <r>
          <rPr>
            <sz val="8"/>
            <color indexed="81"/>
            <rFont val="Tahoma"/>
            <family val="2"/>
          </rPr>
          <t xml:space="preserve">
11/18/13: Sales in the Southeast were the strongest with all regions posting positive strong growth. Free standing locations strongest with all locations posting strong growth. Women's apparel was the strongest. </t>
        </r>
      </text>
    </comment>
    <comment ref="AE501" authorId="15">
      <text>
        <r>
          <rPr>
            <b/>
            <sz val="8"/>
            <color indexed="81"/>
            <rFont val="Tahoma"/>
            <family val="2"/>
          </rPr>
          <t>turleamb:</t>
        </r>
        <r>
          <rPr>
            <sz val="8"/>
            <color indexed="81"/>
            <rFont val="Tahoma"/>
            <family val="2"/>
          </rPr>
          <t xml:space="preserve">
11/18/13: Sq. footage +5% 1.307m.</t>
        </r>
      </text>
    </comment>
    <comment ref="BL501" authorId="19">
      <text>
        <r>
          <rPr>
            <b/>
            <sz val="9"/>
            <color indexed="81"/>
            <rFont val="Tahoma"/>
            <family val="2"/>
          </rPr>
          <t>Turley, Amber (Research):</t>
        </r>
        <r>
          <rPr>
            <sz val="9"/>
            <color indexed="81"/>
            <rFont val="Tahoma"/>
            <family val="2"/>
          </rPr>
          <t xml:space="preserve">
3Q 10-Q: Anthropologie’s North American and European Retail segment net sales accounted for approximately 39.7% and 1.1% of consolidated net sales, respectively, for the nine months ended October 31, 2013, compared to 39.3% and 1.1%, respectively, for the comparable period in fiscal 2013</t>
        </r>
      </text>
    </comment>
    <comment ref="BM501" authorId="19">
      <text>
        <r>
          <rPr>
            <b/>
            <sz val="9"/>
            <color indexed="81"/>
            <rFont val="Tahoma"/>
            <family val="2"/>
          </rPr>
          <t>Turley, Amber (Research):</t>
        </r>
        <r>
          <rPr>
            <sz val="9"/>
            <color indexed="81"/>
            <rFont val="Tahoma"/>
            <family val="2"/>
          </rPr>
          <t xml:space="preserve">
3Q 10-Q: Anthropologie’s North American and European Retail segment net sales accounted for approximately 39.7% and 1.1% of consolidated net sales, respectively, for the nine months ended October 31, 2013, compared to 39.3% and 1.1%, respectively, for the comparable period in fiscal 2013</t>
        </r>
      </text>
    </comment>
    <comment ref="K502" authorId="15">
      <text>
        <r>
          <rPr>
            <b/>
            <sz val="8"/>
            <color indexed="81"/>
            <rFont val="Tahoma"/>
            <family val="2"/>
          </rPr>
          <t>turleamb:</t>
        </r>
        <r>
          <rPr>
            <sz val="8"/>
            <color indexed="81"/>
            <rFont val="Tahoma"/>
            <family val="2"/>
          </rPr>
          <t xml:space="preserve">
2/9/14: 187 Anthro stores
11/18/13: 4Q13: Expect to open 10 new stores (4 new Urban Outfitters (2 in Europe), 4 new Free People, and 2 new Anthropologie). </t>
        </r>
      </text>
    </comment>
    <comment ref="W502" authorId="15">
      <text>
        <r>
          <rPr>
            <b/>
            <sz val="8"/>
            <color indexed="81"/>
            <rFont val="Tahoma"/>
            <family val="2"/>
          </rPr>
          <t>turleamb:</t>
        </r>
        <r>
          <rPr>
            <sz val="8"/>
            <color indexed="81"/>
            <rFont val="Tahoma"/>
            <family val="2"/>
          </rPr>
          <t xml:space="preserve">
3/10/14: The customer responded well and in the fourth quarter all product categories posted positive retail comps,
with the apparel and accessories categories registering strong double-digit, regular price comps.Antro less dependent on promotions vs. LY. Mark down rate reduced 20%</t>
        </r>
      </text>
    </comment>
    <comment ref="BL502" authorId="19">
      <text>
        <r>
          <rPr>
            <b/>
            <sz val="9"/>
            <color indexed="81"/>
            <rFont val="Tahoma"/>
            <family val="2"/>
          </rPr>
          <t>Turley, Amber (Research):</t>
        </r>
        <r>
          <rPr>
            <sz val="9"/>
            <color indexed="81"/>
            <rFont val="Tahoma"/>
            <family val="2"/>
          </rPr>
          <t xml:space="preserve">
 Anthropologie also offers a catalog in North America and Europe that markets select merchandise, most of which is also available in our Anthropologie stores. Anthropologie’s North American and European Retail segment net sales accounted for approximately 39.8% and 1.2% of consolidated net sales, respectively, for fiscal 2014. 
</t>
        </r>
      </text>
    </comment>
    <comment ref="BM502" authorId="19">
      <text>
        <r>
          <rPr>
            <b/>
            <sz val="9"/>
            <color indexed="81"/>
            <rFont val="Tahoma"/>
            <family val="2"/>
          </rPr>
          <t>Turley, Amber (Research):</t>
        </r>
        <r>
          <rPr>
            <sz val="9"/>
            <color indexed="81"/>
            <rFont val="Tahoma"/>
            <family val="2"/>
          </rPr>
          <t xml:space="preserve">
 Anthropologie also offers a catalog in North America and Europe that markets select merchandise, most of which is also available in our Anthropologie stores. Anthropologie’s North American and European Retail segment net sales accounted for approximately 39.8% and 1.2% of consolidated net sales, respectively, for fiscal 2014. 
</t>
        </r>
      </text>
    </comment>
    <comment ref="BL503" authorId="19">
      <text>
        <r>
          <rPr>
            <b/>
            <sz val="9"/>
            <color indexed="81"/>
            <rFont val="Tahoma"/>
            <family val="2"/>
          </rPr>
          <t>Turley, Amber (Research):</t>
        </r>
        <r>
          <rPr>
            <sz val="9"/>
            <color indexed="81"/>
            <rFont val="Tahoma"/>
            <family val="2"/>
          </rPr>
          <t xml:space="preserve">
 Anthropologie also offers a catalog in North America and Europe that markets select merchandise, most of which is also available in our Anthropologie stores. Anthropologie’s North American and European Retail segment net sales accounted for approximately 39.8% and 1.2% of consolidated net sales, respectively, for fiscal 2014. 
</t>
        </r>
      </text>
    </comment>
    <comment ref="BM503" authorId="19">
      <text>
        <r>
          <rPr>
            <b/>
            <sz val="9"/>
            <color indexed="81"/>
            <rFont val="Tahoma"/>
            <family val="2"/>
          </rPr>
          <t>Turley, Amber (Research):</t>
        </r>
        <r>
          <rPr>
            <sz val="9"/>
            <color indexed="81"/>
            <rFont val="Tahoma"/>
            <family val="2"/>
          </rPr>
          <t xml:space="preserve">
 Anthropologie also offers a catalog in North America and Europe that markets select merchandise, most of which is also available in our Anthropologie stores. Anthropologie’s North American and European Retail segment net sales accounted for approximately 39.8% and 1.2% of consolidated net sales, respectively, for fiscal 2014. 
</t>
        </r>
      </text>
    </comment>
    <comment ref="K506" authorId="15">
      <text>
        <r>
          <rPr>
            <b/>
            <sz val="9"/>
            <color indexed="81"/>
            <rFont val="Tahoma"/>
            <family val="2"/>
          </rPr>
          <t>turleamb:</t>
        </r>
        <r>
          <rPr>
            <sz val="9"/>
            <color indexed="81"/>
            <rFont val="Tahoma"/>
            <family val="2"/>
          </rPr>
          <t xml:space="preserve">
opened 1 new store
stores now include the 2 BHLDN stores - they fall under Anthropologie group
177 US stores, 9 Canada stores and 4 Europe stores (UK). </t>
        </r>
      </text>
    </comment>
    <comment ref="W506" authorId="15">
      <text>
        <r>
          <rPr>
            <b/>
            <sz val="9"/>
            <color indexed="81"/>
            <rFont val="Tahoma"/>
            <family val="2"/>
          </rPr>
          <t>turleamb:</t>
        </r>
        <r>
          <rPr>
            <sz val="9"/>
            <color indexed="81"/>
            <rFont val="Tahoma"/>
            <family val="2"/>
          </rPr>
          <t xml:space="preserve">
sales strongest in the Southwest and in free-standing locations with all venues posting positive comparable sales. All merchandise categories delivered positive comps
Anthro NA comprised 41.8% of net sales and Anthro Europe 1.3% of net sales</t>
        </r>
      </text>
    </comment>
    <comment ref="BL506" authorId="19">
      <text>
        <r>
          <rPr>
            <b/>
            <sz val="9"/>
            <color indexed="81"/>
            <rFont val="Tahoma"/>
            <family val="2"/>
          </rPr>
          <t>Turley, Amber (Research):</t>
        </r>
        <r>
          <rPr>
            <sz val="9"/>
            <color indexed="81"/>
            <rFont val="Tahoma"/>
            <family val="2"/>
          </rPr>
          <t xml:space="preserve">
1Q 10-Q: Anthropologie Group’s North American and European Retail segment net sales accounted for approximately 41.8% and 1.3% of consolidated net sales, respectively, for the three months ended April 30, 2014, compared to 40.3% and 1.1%, respectively, for the comparable period in fiscal 2014. 
</t>
        </r>
      </text>
    </comment>
    <comment ref="BM506" authorId="19">
      <text>
        <r>
          <rPr>
            <b/>
            <sz val="9"/>
            <color indexed="81"/>
            <rFont val="Tahoma"/>
            <family val="2"/>
          </rPr>
          <t>Turley, Amber (Research):</t>
        </r>
        <r>
          <rPr>
            <sz val="9"/>
            <color indexed="81"/>
            <rFont val="Tahoma"/>
            <family val="2"/>
          </rPr>
          <t xml:space="preserve">
1Q 10-Q: Anthropologie Group’s North American and European Retail segment net sales accounted for approximately 41.8% and 1.3% of consolidated net sales, respectively, for the three months ended April 30, 2014, compared to 40.3% and 1.1%, respectively, for the comparable period in fiscal 2014. 
</t>
        </r>
      </text>
    </comment>
    <comment ref="K507" authorId="19">
      <text>
        <r>
          <rPr>
            <b/>
            <sz val="9"/>
            <color indexed="81"/>
            <rFont val="Tahoma"/>
            <family val="2"/>
          </rPr>
          <t>Turley, Amber (Research):</t>
        </r>
        <r>
          <rPr>
            <sz val="9"/>
            <color indexed="81"/>
            <rFont val="Tahoma"/>
            <family val="2"/>
          </rPr>
          <t xml:space="preserve">
193 store: 178 in US, 10 in Canada, 5 in Europe</t>
        </r>
      </text>
    </comment>
    <comment ref="BL507" authorId="19">
      <text>
        <r>
          <rPr>
            <b/>
            <sz val="9"/>
            <color indexed="81"/>
            <rFont val="Tahoma"/>
            <family val="2"/>
          </rPr>
          <t>Turley, Amber (Research):</t>
        </r>
        <r>
          <rPr>
            <sz val="9"/>
            <color indexed="81"/>
            <rFont val="Tahoma"/>
            <family val="2"/>
          </rPr>
          <t xml:space="preserve">
2Q 10-Q: Anthropologie Group’s North American and European Retail 
segment net sales accounted for approximately 41.6% and 1.4% of consolidated net sales, respectively, for the six months ended July 31, 2014, compared to 40.6% and 1.1%, respectively, for the comparable period in fiscal 2014
</t>
        </r>
      </text>
    </comment>
    <comment ref="BM507" authorId="19">
      <text>
        <r>
          <rPr>
            <b/>
            <sz val="9"/>
            <color indexed="81"/>
            <rFont val="Tahoma"/>
            <family val="2"/>
          </rPr>
          <t>Turley, Amber (Research):</t>
        </r>
        <r>
          <rPr>
            <sz val="9"/>
            <color indexed="81"/>
            <rFont val="Tahoma"/>
            <family val="2"/>
          </rPr>
          <t xml:space="preserve">
2Q 10-Q: Anthropologie Group’s North American and European Retail 
segment net sales accounted for approximately 41.6% and 1.4% of consolidated net sales, respectively, for the six months ended July 31, 2014, compared to 40.6% and 1.1%, respectively, for the comparable period in fiscal 2014
</t>
        </r>
      </text>
    </comment>
    <comment ref="BL508" authorId="19">
      <text>
        <r>
          <rPr>
            <b/>
            <sz val="9"/>
            <color indexed="81"/>
            <rFont val="Tahoma"/>
            <family val="2"/>
          </rPr>
          <t>Turley, Amber (Research):</t>
        </r>
        <r>
          <rPr>
            <sz val="9"/>
            <color indexed="81"/>
            <rFont val="Tahoma"/>
            <family val="2"/>
          </rPr>
          <t xml:space="preserve">
The Anthropologie Group’s North American and European Retail segment net sales accounted for approximately 40.6% and 1.4% of consolidated net sales, respectively, for the nine months ended October 31, 2014, compared to 40.3% and 1.1%, respectively, for the comparable period in fiscal 2014</t>
        </r>
      </text>
    </comment>
    <comment ref="BM508" authorId="19">
      <text>
        <r>
          <rPr>
            <b/>
            <sz val="9"/>
            <color indexed="81"/>
            <rFont val="Tahoma"/>
            <family val="2"/>
          </rPr>
          <t>Turley, Amber (Research):</t>
        </r>
        <r>
          <rPr>
            <sz val="9"/>
            <color indexed="81"/>
            <rFont val="Tahoma"/>
            <family val="2"/>
          </rPr>
          <t xml:space="preserve">
The Anthropologie Group’s North American and European Retail segment net sales accounted for approximately 40.6% and 1.4% of consolidated net sales, respectively, for the nine months ended October 31, 2014, compared to 40.3% and 1.1%, respectively, for the comparable period in fiscal 2014</t>
        </r>
      </text>
    </comment>
    <comment ref="K509" authorId="19">
      <text>
        <r>
          <rPr>
            <b/>
            <sz val="9"/>
            <color indexed="81"/>
            <rFont val="Tahoma"/>
            <family val="2"/>
          </rPr>
          <t>Turley, Amber (Research):</t>
        </r>
        <r>
          <rPr>
            <sz val="9"/>
            <color indexed="81"/>
            <rFont val="Tahoma"/>
            <family val="2"/>
          </rPr>
          <t xml:space="preserve">
11/17/14: expect to open 6 new stores including 1 in Europe</t>
        </r>
      </text>
    </comment>
    <comment ref="W509" authorId="16">
      <text>
        <r>
          <rPr>
            <b/>
            <sz val="9"/>
            <color indexed="81"/>
            <rFont val="Tahoma"/>
            <family val="2"/>
          </rPr>
          <t>Baglione, Gregory  (Research):</t>
        </r>
        <r>
          <rPr>
            <sz val="9"/>
            <color indexed="81"/>
            <rFont val="Tahoma"/>
            <family val="2"/>
          </rPr>
          <t xml:space="preserve">
Adjusts for BHLD/ Terrain being lumped into Anthro</t>
        </r>
      </text>
    </comment>
    <comment ref="AE509" authorId="19">
      <text>
        <r>
          <rPr>
            <b/>
            <sz val="9"/>
            <color indexed="81"/>
            <rFont val="Tahoma"/>
            <family val="2"/>
          </rPr>
          <t>Turley, Amber (Research):</t>
        </r>
        <r>
          <rPr>
            <sz val="9"/>
            <color indexed="81"/>
            <rFont val="Tahoma"/>
            <family val="2"/>
          </rPr>
          <t xml:space="preserve">
10-K: stores avg 7K selling sqft. </t>
        </r>
      </text>
    </comment>
    <comment ref="K513" authorId="17">
      <text>
        <r>
          <rPr>
            <b/>
            <sz val="9"/>
            <color indexed="81"/>
            <rFont val="Tahoma"/>
            <family val="2"/>
          </rPr>
          <t>Mains, Spencer (Research):</t>
        </r>
        <r>
          <rPr>
            <sz val="9"/>
            <color indexed="81"/>
            <rFont val="Tahoma"/>
            <family val="2"/>
          </rPr>
          <t xml:space="preserve">
5/18/15: The company opened 2 Anthropologie Group stores.</t>
        </r>
      </text>
    </comment>
    <comment ref="T513" authorId="19">
      <text>
        <r>
          <rPr>
            <b/>
            <sz val="9"/>
            <color indexed="81"/>
            <rFont val="Tahoma"/>
            <family val="2"/>
          </rPr>
          <t>Turley, Amber (Research):</t>
        </r>
        <r>
          <rPr>
            <sz val="9"/>
            <color indexed="81"/>
            <rFont val="Tahoma"/>
            <family val="2"/>
          </rPr>
          <t xml:space="preserve">
includes assumptions of ~60 bps F/X hit (12% CAD decline and ~5% of Anthro revenue CAD)</t>
        </r>
      </text>
    </comment>
    <comment ref="K514" authorId="17">
      <text>
        <r>
          <rPr>
            <b/>
            <sz val="9"/>
            <color indexed="81"/>
            <rFont val="Tahoma"/>
            <family val="2"/>
          </rPr>
          <t>Mains, Spencer (Research):</t>
        </r>
        <r>
          <rPr>
            <sz val="9"/>
            <color indexed="81"/>
            <rFont val="Tahoma"/>
            <family val="2"/>
          </rPr>
          <t xml:space="preserve">
8/17/15: Opened 4 Anthropologie stores</t>
        </r>
      </text>
    </comment>
    <comment ref="K515" authorId="17">
      <text>
        <r>
          <rPr>
            <b/>
            <sz val="9"/>
            <color indexed="81"/>
            <rFont val="Tahoma"/>
            <family val="2"/>
          </rPr>
          <t>Mains, Spencer (Research):</t>
        </r>
        <r>
          <rPr>
            <sz val="9"/>
            <color indexed="81"/>
            <rFont val="Tahoma"/>
            <family val="2"/>
          </rPr>
          <t xml:space="preserve">
8/17/15: Opened 4 Anthropologie stores</t>
        </r>
      </text>
    </comment>
    <comment ref="K516" authorId="19">
      <text>
        <r>
          <rPr>
            <b/>
            <sz val="9"/>
            <color indexed="81"/>
            <rFont val="Tahoma"/>
            <family val="2"/>
          </rPr>
          <t>Turley, Amber (Research):</t>
        </r>
        <r>
          <rPr>
            <sz val="9"/>
            <color indexed="81"/>
            <rFont val="Tahoma"/>
            <family val="2"/>
          </rPr>
          <t xml:space="preserve">
5/18/15: Plan to open 13 new Anthro stores globally, including one in Europe, this year.
4/1/15 10-K: Plan to open 13 new stores
3/7/16
ended year with 218 anthropologie, 14 new doors openned in 2016</t>
        </r>
      </text>
    </comment>
    <comment ref="K520" authorId="16">
      <text>
        <r>
          <rPr>
            <b/>
            <sz val="9"/>
            <color indexed="81"/>
            <rFont val="Tahoma"/>
            <family val="2"/>
          </rPr>
          <t>Baglione, Gregory  (Research):</t>
        </r>
        <r>
          <rPr>
            <sz val="9"/>
            <color indexed="81"/>
            <rFont val="Tahoma"/>
            <family val="2"/>
          </rPr>
          <t xml:space="preserve">
11/16/15
We forecast 13 total new anthro door opennings in 2016
5/18/16
During the three months ended April 30, 2016, the Company opened a total of 4 new stores including 3 Free People stores and 1 Anthropologie Group store; and closed 2 stores including: 1 Urban Outfitters store and 1 Anthropologie Group store. During the three months ended April 30, 2016, the Company acquired 6 Vetri Family restaurants. </t>
        </r>
      </text>
    </comment>
    <comment ref="W520" authorId="23">
      <text>
        <r>
          <rPr>
            <b/>
            <sz val="9"/>
            <color indexed="81"/>
            <rFont val="Tahoma"/>
            <family val="2"/>
          </rPr>
          <t>Roberts, Cynthia (Research):</t>
        </r>
        <r>
          <rPr>
            <sz val="9"/>
            <color indexed="81"/>
            <rFont val="Tahoma"/>
            <family val="2"/>
          </rPr>
          <t xml:space="preserve">
5/16/17: Restated to remove food  &amp; bev</t>
        </r>
      </text>
    </comment>
    <comment ref="K521" authorId="16">
      <text>
        <r>
          <rPr>
            <b/>
            <sz val="9"/>
            <color indexed="81"/>
            <rFont val="Tahoma"/>
            <family val="2"/>
          </rPr>
          <t>Baglione, Gregory  (Research):</t>
        </r>
        <r>
          <rPr>
            <sz val="9"/>
            <color indexed="81"/>
            <rFont val="Tahoma"/>
            <family val="2"/>
          </rPr>
          <t xml:space="preserve">
11/16/15
We forecast 13 total new anthro door opennings in 2015
5/18/16
Planning two net Anthro stores in NA </t>
        </r>
      </text>
    </comment>
    <comment ref="K522" authorId="16">
      <text>
        <r>
          <rPr>
            <b/>
            <sz val="9"/>
            <color indexed="81"/>
            <rFont val="Tahoma"/>
            <family val="2"/>
          </rPr>
          <t>Baglione, Gregory  (Research):</t>
        </r>
        <r>
          <rPr>
            <sz val="9"/>
            <color indexed="81"/>
            <rFont val="Tahoma"/>
            <family val="2"/>
          </rPr>
          <t xml:space="preserve">
11/16/15
We forecast 13 total new anthro door opennings in 2015</t>
        </r>
      </text>
    </comment>
    <comment ref="K523" authorId="16">
      <text>
        <r>
          <rPr>
            <b/>
            <sz val="9"/>
            <color indexed="81"/>
            <rFont val="Tahoma"/>
            <family val="2"/>
          </rPr>
          <t>Baglione, Gregory  (Research):</t>
        </r>
        <r>
          <rPr>
            <sz val="9"/>
            <color indexed="81"/>
            <rFont val="Tahoma"/>
            <family val="2"/>
          </rPr>
          <t xml:space="preserve">
11/16/15
We forecast 13 total new anthro door opennings in 2015</t>
        </r>
      </text>
    </comment>
    <comment ref="K527" authorId="24">
      <text>
        <r>
          <rPr>
            <b/>
            <sz val="9"/>
            <color indexed="81"/>
            <rFont val="Tahoma"/>
            <family val="2"/>
          </rPr>
          <t>Cassel, Lauren (Research):</t>
        </r>
        <r>
          <rPr>
            <sz val="9"/>
            <color indexed="81"/>
            <rFont val="Tahoma"/>
            <family val="2"/>
          </rPr>
          <t xml:space="preserve">
214 NA, 11 EU
3/7/17: open 1 expaned format store and close 1</t>
        </r>
      </text>
    </comment>
    <comment ref="K529" authorId="23">
      <text>
        <r>
          <rPr>
            <b/>
            <sz val="9"/>
            <color indexed="81"/>
            <rFont val="Tahoma"/>
            <family val="2"/>
          </rPr>
          <t>Roberts, Cynthia (Research):</t>
        </r>
        <r>
          <rPr>
            <sz val="9"/>
            <color indexed="81"/>
            <rFont val="Tahoma"/>
            <family val="2"/>
          </rPr>
          <t xml:space="preserve">
8/15/17: plan to open 4 Anthro N.A. and close 2 nathro N.A.</t>
        </r>
      </text>
    </comment>
    <comment ref="AE553" authorId="18">
      <text>
        <r>
          <rPr>
            <b/>
            <sz val="8"/>
            <color indexed="81"/>
            <rFont val="Tahoma"/>
            <family val="2"/>
          </rPr>
          <t>kg51925:</t>
        </r>
        <r>
          <rPr>
            <sz val="8"/>
            <color indexed="81"/>
            <rFont val="Tahoma"/>
            <family val="2"/>
          </rPr>
          <t xml:space="preserve">
FP 4Q05 ending selling square footage = 9,140</t>
        </r>
      </text>
    </comment>
    <comment ref="AE557" authorId="7">
      <text>
        <r>
          <rPr>
            <b/>
            <sz val="8"/>
            <color indexed="81"/>
            <rFont val="Tahoma"/>
            <family val="2"/>
          </rPr>
          <t>MB33100:</t>
        </r>
        <r>
          <rPr>
            <sz val="8"/>
            <color indexed="81"/>
            <rFont val="Tahoma"/>
            <family val="2"/>
          </rPr>
          <t xml:space="preserve">
.016329 gross actual</t>
        </r>
      </text>
    </comment>
    <comment ref="K566" authorId="8">
      <text>
        <r>
          <rPr>
            <b/>
            <sz val="8"/>
            <color indexed="81"/>
            <rFont val="Tahoma"/>
            <family val="2"/>
          </rPr>
          <t>mm98285:</t>
        </r>
        <r>
          <rPr>
            <sz val="8"/>
            <color indexed="81"/>
            <rFont val="Tahoma"/>
            <family val="2"/>
          </rPr>
          <t xml:space="preserve">
10/3/07: +2 stores</t>
        </r>
      </text>
    </comment>
    <comment ref="K567" authorId="8">
      <text>
        <r>
          <rPr>
            <b/>
            <sz val="8"/>
            <color indexed="81"/>
            <rFont val="Tahoma"/>
            <family val="2"/>
          </rPr>
          <t>mm98285:</t>
        </r>
        <r>
          <rPr>
            <sz val="8"/>
            <color indexed="81"/>
            <rFont val="Tahoma"/>
            <family val="2"/>
          </rPr>
          <t xml:space="preserve">
10/3/07: +2 stores</t>
        </r>
      </text>
    </comment>
    <comment ref="K571" authorId="8">
      <text>
        <r>
          <rPr>
            <b/>
            <sz val="8"/>
            <color indexed="81"/>
            <rFont val="Tahoma"/>
            <family val="2"/>
          </rPr>
          <t>mm98285:</t>
        </r>
        <r>
          <rPr>
            <sz val="8"/>
            <color indexed="81"/>
            <rFont val="Tahoma"/>
            <family val="2"/>
          </rPr>
          <t xml:space="preserve">
10/3/07: +7 stores</t>
        </r>
      </text>
    </comment>
    <comment ref="K572" authorId="8">
      <text>
        <r>
          <rPr>
            <b/>
            <sz val="8"/>
            <color indexed="81"/>
            <rFont val="Tahoma"/>
            <family val="2"/>
          </rPr>
          <t>mm98285:</t>
        </r>
        <r>
          <rPr>
            <sz val="8"/>
            <color indexed="81"/>
            <rFont val="Tahoma"/>
            <family val="2"/>
          </rPr>
          <t xml:space="preserve">
10/3/07: +6 stores</t>
        </r>
      </text>
    </comment>
    <comment ref="G573" authorId="8">
      <text>
        <r>
          <rPr>
            <b/>
            <sz val="8"/>
            <color indexed="81"/>
            <rFont val="Tahoma"/>
            <family val="2"/>
          </rPr>
          <t>mm98285:</t>
        </r>
        <r>
          <rPr>
            <sz val="8"/>
            <color indexed="81"/>
            <rFont val="Tahoma"/>
            <family val="2"/>
          </rPr>
          <t xml:space="preserve">
8% est.</t>
        </r>
      </text>
    </comment>
    <comment ref="K573" authorId="8">
      <text>
        <r>
          <rPr>
            <b/>
            <sz val="8"/>
            <color indexed="81"/>
            <rFont val="Tahoma"/>
            <family val="2"/>
          </rPr>
          <t>mm98285:</t>
        </r>
        <r>
          <rPr>
            <sz val="8"/>
            <color indexed="81"/>
            <rFont val="Tahoma"/>
            <family val="2"/>
          </rPr>
          <t xml:space="preserve">
10/3/07: guided to +6 stores, but assume +4 to be more conservative</t>
        </r>
      </text>
    </comment>
    <comment ref="G574" authorId="8">
      <text>
        <r>
          <rPr>
            <b/>
            <sz val="8"/>
            <color indexed="81"/>
            <rFont val="Tahoma"/>
            <family val="2"/>
          </rPr>
          <t>mm98285:</t>
        </r>
        <r>
          <rPr>
            <sz val="8"/>
            <color indexed="81"/>
            <rFont val="Tahoma"/>
            <family val="2"/>
          </rPr>
          <t xml:space="preserve">
-13% est. 
-13% for Nov/Dec
4% est. </t>
        </r>
      </text>
    </comment>
    <comment ref="K574" authorId="8">
      <text>
        <r>
          <rPr>
            <b/>
            <sz val="8"/>
            <color indexed="81"/>
            <rFont val="Tahoma"/>
            <family val="2"/>
          </rPr>
          <t>mm98285:</t>
        </r>
        <r>
          <rPr>
            <sz val="8"/>
            <color indexed="81"/>
            <rFont val="Tahoma"/>
            <family val="2"/>
          </rPr>
          <t xml:space="preserve">
10/3/07: guided to +1 store, but assumed 0 to be conservative</t>
        </r>
      </text>
    </comment>
    <comment ref="G578" authorId="8">
      <text>
        <r>
          <rPr>
            <b/>
            <sz val="8"/>
            <color indexed="81"/>
            <rFont val="Tahoma"/>
            <family val="2"/>
          </rPr>
          <t>mm98285:</t>
        </r>
        <r>
          <rPr>
            <sz val="8"/>
            <color indexed="81"/>
            <rFont val="Tahoma"/>
            <family val="2"/>
          </rPr>
          <t xml:space="preserve">
-15% est. </t>
        </r>
      </text>
    </comment>
    <comment ref="K578" authorId="8">
      <text>
        <r>
          <rPr>
            <b/>
            <sz val="8"/>
            <color indexed="81"/>
            <rFont val="Tahoma"/>
            <family val="2"/>
          </rPr>
          <t>mm98285:</t>
        </r>
        <r>
          <rPr>
            <sz val="8"/>
            <color indexed="81"/>
            <rFont val="Tahoma"/>
            <family val="2"/>
          </rPr>
          <t xml:space="preserve">
3/09: expect to open 2 stores</t>
        </r>
      </text>
    </comment>
    <comment ref="G579" authorId="8">
      <text>
        <r>
          <rPr>
            <b/>
            <sz val="8"/>
            <color indexed="81"/>
            <rFont val="Tahoma"/>
            <family val="2"/>
          </rPr>
          <t>mm98285:</t>
        </r>
        <r>
          <rPr>
            <sz val="8"/>
            <color indexed="81"/>
            <rFont val="Tahoma"/>
            <family val="2"/>
          </rPr>
          <t xml:space="preserve">
-17% est. </t>
        </r>
      </text>
    </comment>
    <comment ref="K579" authorId="8">
      <text>
        <r>
          <rPr>
            <b/>
            <sz val="8"/>
            <color indexed="81"/>
            <rFont val="Tahoma"/>
            <family val="2"/>
          </rPr>
          <t>mm98285:</t>
        </r>
        <r>
          <rPr>
            <sz val="8"/>
            <color indexed="81"/>
            <rFont val="Tahoma"/>
            <family val="2"/>
          </rPr>
          <t xml:space="preserve">
3/09: expect to open 3 stores</t>
        </r>
      </text>
    </comment>
    <comment ref="K580" authorId="8">
      <text>
        <r>
          <rPr>
            <b/>
            <sz val="8"/>
            <color indexed="81"/>
            <rFont val="Tahoma"/>
            <family val="2"/>
          </rPr>
          <t>mm98285:</t>
        </r>
        <r>
          <rPr>
            <sz val="8"/>
            <color indexed="81"/>
            <rFont val="Tahoma"/>
            <family val="2"/>
          </rPr>
          <t xml:space="preserve">
3/09: expect to open 4 stores</t>
        </r>
      </text>
    </comment>
    <comment ref="K581" authorId="8">
      <text>
        <r>
          <rPr>
            <b/>
            <sz val="8"/>
            <color indexed="81"/>
            <rFont val="Tahoma"/>
            <family val="2"/>
          </rPr>
          <t>mm98285:</t>
        </r>
        <r>
          <rPr>
            <sz val="8"/>
            <color indexed="81"/>
            <rFont val="Tahoma"/>
            <family val="2"/>
          </rPr>
          <t xml:space="preserve">
3/09: expect to open 0 stores</t>
        </r>
      </text>
    </comment>
    <comment ref="K585" authorId="13">
      <text>
        <r>
          <rPr>
            <b/>
            <sz val="8"/>
            <color indexed="81"/>
            <rFont val="Tahoma"/>
            <family val="2"/>
          </rPr>
          <t>nicholjs:</t>
        </r>
        <r>
          <rPr>
            <sz val="8"/>
            <color indexed="81"/>
            <rFont val="Tahoma"/>
            <family val="2"/>
          </rPr>
          <t xml:space="preserve">
10Q: operated 35 FP stores, all of which were in the US</t>
        </r>
      </text>
    </comment>
    <comment ref="X585" authorId="11">
      <text>
        <r>
          <rPr>
            <b/>
            <sz val="8"/>
            <color indexed="81"/>
            <rFont val="Tahoma"/>
            <family val="2"/>
          </rPr>
          <t>lr73192:</t>
        </r>
        <r>
          <rPr>
            <sz val="8"/>
            <color indexed="81"/>
            <rFont val="Tahoma"/>
            <family val="2"/>
          </rPr>
          <t xml:space="preserve">
$8.5mm</t>
        </r>
      </text>
    </comment>
    <comment ref="K586" authorId="13">
      <text>
        <r>
          <rPr>
            <b/>
            <sz val="8"/>
            <color indexed="81"/>
            <rFont val="Tahoma"/>
            <family val="2"/>
          </rPr>
          <t>nicholjs:</t>
        </r>
        <r>
          <rPr>
            <sz val="8"/>
            <color indexed="81"/>
            <rFont val="Tahoma"/>
            <family val="2"/>
          </rPr>
          <t xml:space="preserve">
10Q: operated 36 FP stores, all of which were in the US</t>
        </r>
      </text>
    </comment>
    <comment ref="G588" authorId="13">
      <text>
        <r>
          <rPr>
            <b/>
            <sz val="8"/>
            <color indexed="81"/>
            <rFont val="Tahoma"/>
            <family val="2"/>
          </rPr>
          <t>nicholjs:</t>
        </r>
        <r>
          <rPr>
            <sz val="8"/>
            <color indexed="81"/>
            <rFont val="Tahoma"/>
            <family val="2"/>
          </rPr>
          <t xml:space="preserve">
18 good
Holiday retail comp 30%
4Q retail comp +28%</t>
        </r>
      </text>
    </comment>
    <comment ref="G592" authorId="13">
      <text>
        <r>
          <rPr>
            <b/>
            <sz val="8"/>
            <color indexed="81"/>
            <rFont val="Tahoma"/>
            <family val="2"/>
          </rPr>
          <t>nicholjs:</t>
        </r>
        <r>
          <rPr>
            <sz val="8"/>
            <color indexed="81"/>
            <rFont val="Tahoma"/>
            <family val="2"/>
          </rPr>
          <t xml:space="preserve">
HSD</t>
        </r>
      </text>
    </comment>
    <comment ref="K592" authorId="13">
      <text>
        <r>
          <rPr>
            <b/>
            <sz val="8"/>
            <color indexed="81"/>
            <rFont val="Tahoma"/>
            <family val="2"/>
          </rPr>
          <t>nicholjs:</t>
        </r>
        <r>
          <rPr>
            <sz val="8"/>
            <color indexed="81"/>
            <rFont val="Tahoma"/>
            <family val="2"/>
          </rPr>
          <t xml:space="preserve">
all in the US.  During Q, opened 5 new FP stores.</t>
        </r>
      </text>
    </comment>
    <comment ref="W592" authorId="22">
      <text>
        <r>
          <rPr>
            <b/>
            <sz val="8"/>
            <color indexed="81"/>
            <rFont val="Tahoma"/>
            <family val="2"/>
          </rPr>
          <t>solejay:</t>
        </r>
        <r>
          <rPr>
            <sz val="8"/>
            <color indexed="81"/>
            <rFont val="Tahoma"/>
            <family val="2"/>
          </rPr>
          <t xml:space="preserve">
adjusted for wholesale</t>
        </r>
      </text>
    </comment>
    <comment ref="X592" authorId="11">
      <text>
        <r>
          <rPr>
            <b/>
            <sz val="8"/>
            <color indexed="81"/>
            <rFont val="Tahoma"/>
            <family val="2"/>
          </rPr>
          <t>lr73192:</t>
        </r>
        <r>
          <rPr>
            <sz val="8"/>
            <color indexed="81"/>
            <rFont val="Tahoma"/>
            <family val="2"/>
          </rPr>
          <t xml:space="preserve">
$8.5mm</t>
        </r>
      </text>
    </comment>
    <comment ref="G593" authorId="13">
      <text>
        <r>
          <rPr>
            <b/>
            <sz val="8"/>
            <color indexed="81"/>
            <rFont val="Tahoma"/>
            <family val="2"/>
          </rPr>
          <t>nicholjs:</t>
        </r>
        <r>
          <rPr>
            <sz val="8"/>
            <color indexed="81"/>
            <rFont val="Tahoma"/>
            <family val="2"/>
          </rPr>
          <t xml:space="preserve">
FP +LSD, direct remained very strong</t>
        </r>
      </text>
    </comment>
    <comment ref="K593" authorId="13">
      <text>
        <r>
          <rPr>
            <b/>
            <sz val="8"/>
            <color indexed="81"/>
            <rFont val="Tahoma"/>
            <family val="2"/>
          </rPr>
          <t>nicholjs:</t>
        </r>
        <r>
          <rPr>
            <sz val="8"/>
            <color indexed="81"/>
            <rFont val="Tahoma"/>
            <family val="2"/>
          </rPr>
          <t xml:space="preserve">
opened 4.
all in the US</t>
        </r>
      </text>
    </comment>
    <comment ref="W593" authorId="22">
      <text>
        <r>
          <rPr>
            <b/>
            <sz val="8"/>
            <color indexed="81"/>
            <rFont val="Tahoma"/>
            <family val="2"/>
          </rPr>
          <t>solejay:</t>
        </r>
        <r>
          <rPr>
            <sz val="8"/>
            <color indexed="81"/>
            <rFont val="Tahoma"/>
            <family val="2"/>
          </rPr>
          <t xml:space="preserve">
adjusted for wholesale</t>
        </r>
      </text>
    </comment>
    <comment ref="G594" authorId="13">
      <text>
        <r>
          <rPr>
            <b/>
            <sz val="8"/>
            <color indexed="81"/>
            <rFont val="Tahoma"/>
            <family val="2"/>
          </rPr>
          <t>nicholjs:</t>
        </r>
        <r>
          <rPr>
            <sz val="8"/>
            <color indexed="81"/>
            <rFont val="Tahoma"/>
            <family val="2"/>
          </rPr>
          <t xml:space="preserve">
+3% ok</t>
        </r>
      </text>
    </comment>
    <comment ref="K594" authorId="14">
      <text>
        <r>
          <rPr>
            <b/>
            <sz val="8"/>
            <color indexed="81"/>
            <rFont val="Tahoma"/>
            <family val="2"/>
          </rPr>
          <t>lauraro:</t>
        </r>
        <r>
          <rPr>
            <sz val="8"/>
            <color indexed="81"/>
            <rFont val="Tahoma"/>
            <family val="2"/>
          </rPr>
          <t xml:space="preserve">
11/7: During 3Q:
+4 Free People stores
55 Free People stores, all US</t>
        </r>
      </text>
    </comment>
    <comment ref="W594" authorId="22">
      <text>
        <r>
          <rPr>
            <b/>
            <sz val="8"/>
            <color indexed="81"/>
            <rFont val="Tahoma"/>
            <family val="2"/>
          </rPr>
          <t>solejay:</t>
        </r>
        <r>
          <rPr>
            <sz val="8"/>
            <color indexed="81"/>
            <rFont val="Tahoma"/>
            <family val="2"/>
          </rPr>
          <t xml:space="preserve">
adjusted for wholesale</t>
        </r>
      </text>
    </comment>
    <comment ref="G595" authorId="14">
      <text>
        <r>
          <rPr>
            <b/>
            <sz val="8"/>
            <color indexed="81"/>
            <rFont val="Tahoma"/>
            <family val="2"/>
          </rPr>
          <t xml:space="preserve">lauraro:
2/9/12: Comp retail sales +9%
</t>
        </r>
        <r>
          <rPr>
            <sz val="8"/>
            <color indexed="81"/>
            <rFont val="Tahoma"/>
            <family val="2"/>
          </rPr>
          <t xml:space="preserve">
Comparable retail segment net sales increased 3% at Urban Outfitters and Anthropologie and 9% at Free People. FP stores negative w/ eComm +15% or so</t>
        </r>
      </text>
    </comment>
    <comment ref="K595" authorId="14">
      <text>
        <r>
          <rPr>
            <b/>
            <sz val="8"/>
            <color indexed="81"/>
            <rFont val="Tahoma"/>
            <family val="2"/>
          </rPr>
          <t>lauraro:</t>
        </r>
        <r>
          <rPr>
            <sz val="8"/>
            <color indexed="81"/>
            <rFont val="Tahoma"/>
            <family val="2"/>
          </rPr>
          <t xml:space="preserve">
all US</t>
        </r>
      </text>
    </comment>
    <comment ref="W595" authorId="22">
      <text>
        <r>
          <rPr>
            <b/>
            <sz val="8"/>
            <color indexed="81"/>
            <rFont val="Tahoma"/>
            <family val="2"/>
          </rPr>
          <t>solejay:</t>
        </r>
        <r>
          <rPr>
            <sz val="8"/>
            <color indexed="81"/>
            <rFont val="Tahoma"/>
            <family val="2"/>
          </rPr>
          <t xml:space="preserve">
adjusted for wholesale</t>
        </r>
      </text>
    </comment>
    <comment ref="G599" authorId="21">
      <text>
        <r>
          <rPr>
            <b/>
            <sz val="8"/>
            <color indexed="81"/>
            <rFont val="Tahoma"/>
            <family val="2"/>
          </rPr>
          <t>kimberlg:</t>
        </r>
        <r>
          <rPr>
            <sz val="8"/>
            <color indexed="81"/>
            <rFont val="Tahoma"/>
            <family val="2"/>
          </rPr>
          <t xml:space="preserve">
stores suffering from:
1. returns from e-comm
2. FP cust in CA is diff from NYC, and FP needs need to do a better job with plan &amp; alloc so can get right product to right store. Hired new head of P&amp;A at begin of year 2012
Comparable retail segment net sales at Free People increased 2%.</t>
        </r>
      </text>
    </comment>
    <comment ref="W599" authorId="22">
      <text>
        <r>
          <rPr>
            <b/>
            <sz val="8"/>
            <color indexed="81"/>
            <rFont val="Tahoma"/>
            <family val="2"/>
          </rPr>
          <t>solejay:</t>
        </r>
        <r>
          <rPr>
            <sz val="8"/>
            <color indexed="81"/>
            <rFont val="Tahoma"/>
            <family val="2"/>
          </rPr>
          <t xml:space="preserve">
adjusted for wholesale</t>
        </r>
      </text>
    </comment>
    <comment ref="G600" authorId="0">
      <text>
        <r>
          <rPr>
            <sz val="8"/>
            <color indexed="81"/>
            <rFont val="Tahoma"/>
            <family val="2"/>
          </rPr>
          <t>8/20/12: requires input from KG/IR - actual reported numbers in segSales tab</t>
        </r>
      </text>
    </comment>
    <comment ref="K600" authorId="0">
      <text>
        <r>
          <rPr>
            <b/>
            <sz val="8"/>
            <color indexed="81"/>
            <rFont val="Tahoma"/>
            <family val="2"/>
          </rPr>
          <t>casselau:</t>
        </r>
        <r>
          <rPr>
            <sz val="8"/>
            <color indexed="81"/>
            <rFont val="Tahoma"/>
            <family val="2"/>
          </rPr>
          <t xml:space="preserve">
8/20/12: opened 10 in 1H</t>
        </r>
      </text>
    </comment>
    <comment ref="W600" authorId="22">
      <text>
        <r>
          <rPr>
            <b/>
            <sz val="8"/>
            <color indexed="81"/>
            <rFont val="Tahoma"/>
            <family val="2"/>
          </rPr>
          <t>solejay:</t>
        </r>
        <r>
          <rPr>
            <sz val="8"/>
            <color indexed="81"/>
            <rFont val="Tahoma"/>
            <family val="2"/>
          </rPr>
          <t xml:space="preserve">
adjusted for wholesale</t>
        </r>
      </text>
    </comment>
    <comment ref="G601" authorId="21">
      <text>
        <r>
          <rPr>
            <b/>
            <sz val="8"/>
            <color indexed="81"/>
            <rFont val="Tahoma"/>
            <family val="2"/>
          </rPr>
          <t>kimberlg:</t>
        </r>
        <r>
          <rPr>
            <sz val="8"/>
            <color indexed="81"/>
            <rFont val="Tahoma"/>
            <family val="2"/>
          </rPr>
          <t xml:space="preserve">
+1-2%</t>
        </r>
      </text>
    </comment>
    <comment ref="K601" authorId="0">
      <text>
        <r>
          <rPr>
            <b/>
            <sz val="8"/>
            <color indexed="81"/>
            <rFont val="Tahoma"/>
            <family val="2"/>
          </rPr>
          <t xml:space="preserve">From the URBN 3Q mgmt commentary PDF - </t>
        </r>
        <r>
          <rPr>
            <sz val="8"/>
            <color indexed="81"/>
            <rFont val="Tahoma"/>
            <family val="2"/>
          </rPr>
          <t>The brand opened 5 new stores during the quarter bringing the total store count to 77. Square footage increased 39% over the prior year period to 105,470.</t>
        </r>
      </text>
    </comment>
    <comment ref="W601" authorId="22">
      <text>
        <r>
          <rPr>
            <b/>
            <sz val="8"/>
            <color indexed="81"/>
            <rFont val="Tahoma"/>
            <family val="2"/>
          </rPr>
          <t>solejay:</t>
        </r>
        <r>
          <rPr>
            <sz val="8"/>
            <color indexed="81"/>
            <rFont val="Tahoma"/>
            <family val="2"/>
          </rPr>
          <t xml:space="preserve">
adjusted for wholesale</t>
        </r>
      </text>
    </comment>
    <comment ref="AE601" authorId="0">
      <text>
        <r>
          <rPr>
            <b/>
            <sz val="8"/>
            <color indexed="81"/>
            <rFont val="Tahoma"/>
            <family val="2"/>
          </rPr>
          <t xml:space="preserve">From the URBN 3Q mgmt commentary PDF - </t>
        </r>
        <r>
          <rPr>
            <sz val="8"/>
            <color indexed="81"/>
            <rFont val="Tahoma"/>
            <family val="2"/>
          </rPr>
          <t>The brand opened 5 new stores during the quarter bringing the total store count to 77. Square footage increased 39% over the prior year period to 105,470.</t>
        </r>
      </text>
    </comment>
    <comment ref="G602" authorId="21">
      <text>
        <r>
          <rPr>
            <b/>
            <sz val="8"/>
            <color indexed="81"/>
            <rFont val="Tahoma"/>
            <family val="2"/>
          </rPr>
          <t>kimberlg:</t>
        </r>
        <r>
          <rPr>
            <sz val="8"/>
            <color indexed="81"/>
            <rFont val="Tahoma"/>
            <family val="2"/>
          </rPr>
          <t xml:space="preserve">
+HSD to LDD</t>
        </r>
      </text>
    </comment>
    <comment ref="K602" authorId="0">
      <text>
        <r>
          <rPr>
            <b/>
            <sz val="8"/>
            <color indexed="81"/>
            <rFont val="Tahoma"/>
            <family val="2"/>
          </rPr>
          <t xml:space="preserve">From the URBN 4Q mgmt commentary PDF - </t>
        </r>
        <r>
          <rPr>
            <sz val="8"/>
            <color indexed="81"/>
            <rFont val="Tahoma"/>
            <family val="2"/>
          </rPr>
          <t>The brand did not open any new stores during the quarter. Total store count remained at 77.</t>
        </r>
      </text>
    </comment>
    <comment ref="W602" authorId="22">
      <text>
        <r>
          <rPr>
            <b/>
            <sz val="8"/>
            <color indexed="81"/>
            <rFont val="Tahoma"/>
            <family val="2"/>
          </rPr>
          <t>solejay:</t>
        </r>
        <r>
          <rPr>
            <sz val="8"/>
            <color indexed="81"/>
            <rFont val="Tahoma"/>
            <family val="2"/>
          </rPr>
          <t xml:space="preserve">
adjusted for wholesale</t>
        </r>
      </text>
    </comment>
    <comment ref="AE602" authorId="22">
      <text>
        <r>
          <rPr>
            <b/>
            <sz val="8"/>
            <color indexed="81"/>
            <rFont val="Tahoma"/>
            <family val="2"/>
          </rPr>
          <t>from the 4Q mgmt commentary PDF</t>
        </r>
        <r>
          <rPr>
            <sz val="8"/>
            <color indexed="81"/>
            <rFont val="Tahoma"/>
            <family val="2"/>
          </rPr>
          <t xml:space="preserve">
Square footage increased 24% over the prior year period to 105,470.</t>
        </r>
      </text>
    </comment>
    <comment ref="K606" authorId="15">
      <text>
        <r>
          <rPr>
            <b/>
            <sz val="8"/>
            <color indexed="81"/>
            <rFont val="Tahoma"/>
            <family val="2"/>
          </rPr>
          <t>turleamb:</t>
        </r>
        <r>
          <rPr>
            <sz val="8"/>
            <color indexed="81"/>
            <rFont val="Tahoma"/>
            <family val="2"/>
          </rPr>
          <t xml:space="preserve">
From 1Q management commentary:The brand opened 3 new stores during the quarter bringing the total store count to 80.</t>
        </r>
      </text>
    </comment>
    <comment ref="AE606" authorId="15">
      <text>
        <r>
          <rPr>
            <b/>
            <sz val="8"/>
            <color indexed="81"/>
            <rFont val="Tahoma"/>
            <family val="2"/>
          </rPr>
          <t>turleamb:</t>
        </r>
        <r>
          <rPr>
            <sz val="8"/>
            <color indexed="81"/>
            <rFont val="Tahoma"/>
            <family val="2"/>
          </rPr>
          <t xml:space="preserve">
From 1Q management commentary: Square footage increased 14% over the prior year period to 109,406</t>
        </r>
      </text>
    </comment>
    <comment ref="K607" authorId="15">
      <text>
        <r>
          <rPr>
            <b/>
            <sz val="8"/>
            <color indexed="81"/>
            <rFont val="Tahoma"/>
            <family val="2"/>
          </rPr>
          <t>turleamb:</t>
        </r>
        <r>
          <rPr>
            <sz val="8"/>
            <color indexed="81"/>
            <rFont val="Tahoma"/>
            <family val="2"/>
          </rPr>
          <t xml:space="preserve">
from 2Q management commentary: The brand opened 3 new stores during the quarter bringing the total store count to 83</t>
        </r>
      </text>
    </comment>
    <comment ref="AE607" authorId="15">
      <text>
        <r>
          <rPr>
            <b/>
            <sz val="8"/>
            <color indexed="81"/>
            <rFont val="Tahoma"/>
            <family val="2"/>
          </rPr>
          <t>turleamb:</t>
        </r>
        <r>
          <rPr>
            <sz val="8"/>
            <color indexed="81"/>
            <rFont val="Tahoma"/>
            <family val="2"/>
          </rPr>
          <t xml:space="preserve">
From 2Q management commentary: Square footage increased 16% over the prior year period to 114,497.</t>
        </r>
      </text>
    </comment>
    <comment ref="K608" authorId="15">
      <text>
        <r>
          <rPr>
            <b/>
            <sz val="8"/>
            <color indexed="81"/>
            <rFont val="Tahoma"/>
            <family val="2"/>
          </rPr>
          <t>turleamb:</t>
        </r>
        <r>
          <rPr>
            <sz val="8"/>
            <color indexed="81"/>
            <rFont val="Tahoma"/>
            <family val="2"/>
          </rPr>
          <t xml:space="preserve">
sells to 1400 specialty and dept stores. Has 86 retail stores; 84 in the US and 2 in Canada. YTD opened 9 new stores in the US. </t>
        </r>
      </text>
    </comment>
    <comment ref="W608" authorId="15">
      <text>
        <r>
          <rPr>
            <b/>
            <sz val="8"/>
            <color indexed="81"/>
            <rFont val="Tahoma"/>
            <family val="2"/>
          </rPr>
          <t>turleamb:</t>
        </r>
        <r>
          <rPr>
            <sz val="8"/>
            <color indexed="81"/>
            <rFont val="Tahoma"/>
            <family val="2"/>
          </rPr>
          <t xml:space="preserve">
11/18/13: West was the strongest with all regions posting strong growth. Traditional malls the strongest with all venues posting +DD growth. All merchandise categories delivered significant positive comp sales</t>
        </r>
      </text>
    </comment>
    <comment ref="AE608" authorId="15">
      <text>
        <r>
          <rPr>
            <b/>
            <sz val="8"/>
            <color indexed="81"/>
            <rFont val="Tahoma"/>
            <family val="2"/>
          </rPr>
          <t>turleamb:</t>
        </r>
        <r>
          <rPr>
            <sz val="8"/>
            <color indexed="81"/>
            <rFont val="Tahoma"/>
            <family val="2"/>
          </rPr>
          <t xml:space="preserve">
11/18/13: square footage +22%</t>
        </r>
      </text>
    </comment>
    <comment ref="K609" authorId="15">
      <text>
        <r>
          <rPr>
            <b/>
            <sz val="8"/>
            <color indexed="81"/>
            <rFont val="Tahoma"/>
            <family val="2"/>
          </rPr>
          <t>turleamb:</t>
        </r>
        <r>
          <rPr>
            <sz val="8"/>
            <color indexed="81"/>
            <rFont val="Tahoma"/>
            <family val="2"/>
          </rPr>
          <t xml:space="preserve">
2/9/14: 90 FP stores in US and Canada
11/18/13: 4Q13: Expect to open 10 new stores (4 new Urban Outfitters (2 in Europe), 4 new Free People, and 2 new Anthropologie). </t>
        </r>
      </text>
    </comment>
    <comment ref="K613" authorId="15">
      <text>
        <r>
          <rPr>
            <b/>
            <sz val="9"/>
            <color indexed="81"/>
            <rFont val="Tahoma"/>
            <family val="2"/>
          </rPr>
          <t>turleamb:</t>
        </r>
        <r>
          <rPr>
            <sz val="9"/>
            <color indexed="81"/>
            <rFont val="Tahoma"/>
            <family val="2"/>
          </rPr>
          <t xml:space="preserve">
5/19/14: opened 2 new stores
90 US stores and 2 Canada stores</t>
        </r>
      </text>
    </comment>
    <comment ref="W613" authorId="15">
      <text>
        <r>
          <rPr>
            <b/>
            <sz val="9"/>
            <color indexed="81"/>
            <rFont val="Tahoma"/>
            <family val="2"/>
          </rPr>
          <t>turleamb:</t>
        </r>
        <r>
          <rPr>
            <sz val="9"/>
            <color indexed="81"/>
            <rFont val="Tahoma"/>
            <family val="2"/>
          </rPr>
          <t xml:space="preserve">
5/19/14: sales strongest in West with all regions ahving positive comps. By venue store sales were strongest in metropolotan locations with all venues posting positive comps. All merchandise categories delivered significant positive comps
FP US comprised 9.1% of net sales</t>
        </r>
      </text>
    </comment>
    <comment ref="K614" authorId="19">
      <text>
        <r>
          <rPr>
            <b/>
            <sz val="9"/>
            <color indexed="81"/>
            <rFont val="Tahoma"/>
            <family val="2"/>
          </rPr>
          <t>Turley, Amber (Research):</t>
        </r>
        <r>
          <rPr>
            <sz val="9"/>
            <color indexed="81"/>
            <rFont val="Tahoma"/>
            <family val="2"/>
          </rPr>
          <t xml:space="preserve">
97 FP stores: 95 in US, 2 in Canada</t>
        </r>
      </text>
    </comment>
    <comment ref="AE616" authorId="19">
      <text>
        <r>
          <rPr>
            <b/>
            <sz val="9"/>
            <color indexed="81"/>
            <rFont val="Tahoma"/>
            <family val="2"/>
          </rPr>
          <t>Turley, Amber (Research):</t>
        </r>
        <r>
          <rPr>
            <sz val="9"/>
            <color indexed="81"/>
            <rFont val="Tahoma"/>
            <family val="2"/>
          </rPr>
          <t xml:space="preserve">
4/1/15 10-K: stores avg 1600 selling sq.ft. </t>
        </r>
      </text>
    </comment>
    <comment ref="K620" authorId="17">
      <text>
        <r>
          <rPr>
            <b/>
            <sz val="9"/>
            <color indexed="81"/>
            <rFont val="Tahoma"/>
            <family val="2"/>
          </rPr>
          <t>Mains, Spencer (Research):</t>
        </r>
        <r>
          <rPr>
            <sz val="9"/>
            <color indexed="81"/>
            <rFont val="Tahoma"/>
            <family val="2"/>
          </rPr>
          <t xml:space="preserve">
5/18/15: The company opened 4 Free People stores.</t>
        </r>
      </text>
    </comment>
    <comment ref="K621" authorId="17">
      <text>
        <r>
          <rPr>
            <b/>
            <sz val="9"/>
            <color indexed="81"/>
            <rFont val="Tahoma"/>
            <family val="2"/>
          </rPr>
          <t>Mains, Spencer (Research):</t>
        </r>
        <r>
          <rPr>
            <sz val="9"/>
            <color indexed="81"/>
            <rFont val="Tahoma"/>
            <family val="2"/>
          </rPr>
          <t xml:space="preserve">
8/17/15: Opened 2 FP stores.</t>
        </r>
      </text>
    </comment>
    <comment ref="K623" authorId="19">
      <text>
        <r>
          <rPr>
            <b/>
            <sz val="9"/>
            <color indexed="81"/>
            <rFont val="Tahoma"/>
            <family val="2"/>
          </rPr>
          <t>Turley, Amber (Research):</t>
        </r>
        <r>
          <rPr>
            <sz val="9"/>
            <color indexed="81"/>
            <rFont val="Tahoma"/>
            <family val="2"/>
          </rPr>
          <t xml:space="preserve">
5/18/15: Plan to open 14 new Free People stores in NAm this year.
4/1/15 10-K: Plan to open15 new stores
3/7/16
ended year with 114 free people, 13 new opennings in 2016</t>
        </r>
      </text>
    </comment>
    <comment ref="K627" authorId="16">
      <text>
        <r>
          <rPr>
            <b/>
            <sz val="9"/>
            <color indexed="81"/>
            <rFont val="Tahoma"/>
            <family val="2"/>
          </rPr>
          <t>Baglione, Gregory  (Research):</t>
        </r>
        <r>
          <rPr>
            <sz val="9"/>
            <color indexed="81"/>
            <rFont val="Tahoma"/>
            <family val="2"/>
          </rPr>
          <t xml:space="preserve">
11/16/15
Model 15 total new FP doors in 2016
3/7/16
For the first quarter, we are planning three new Free People stores in North America and will close one Urban Outfitters store.
5/18/16
During the three months ended April 30, 2016, the Company opened a total of 4 new stores including 3 Free People stores and 1 Anthropologie Group store; and closed 2 stores including: 1 Urban Outfitters store and 1 Anthropologie Group store. During the three months ended April 30, 2016, the Company acquired 6 Vetri Family restaurants. </t>
        </r>
      </text>
    </comment>
    <comment ref="K628" authorId="16">
      <text>
        <r>
          <rPr>
            <b/>
            <sz val="9"/>
            <color indexed="81"/>
            <rFont val="Tahoma"/>
            <family val="2"/>
          </rPr>
          <t>Baglione, Gregory  (Research):</t>
        </r>
        <r>
          <rPr>
            <sz val="9"/>
            <color indexed="81"/>
            <rFont val="Tahoma"/>
            <family val="2"/>
          </rPr>
          <t xml:space="preserve">
11/16/15
Model 15 total new FP doors in 2016
5/18/16
Planning 6 new free people stores for 2Q</t>
        </r>
      </text>
    </comment>
    <comment ref="K629" authorId="16">
      <text>
        <r>
          <rPr>
            <b/>
            <sz val="9"/>
            <color indexed="81"/>
            <rFont val="Tahoma"/>
            <family val="2"/>
          </rPr>
          <t>Baglione, Gregory  (Research):</t>
        </r>
        <r>
          <rPr>
            <sz val="9"/>
            <color indexed="81"/>
            <rFont val="Tahoma"/>
            <family val="2"/>
          </rPr>
          <t xml:space="preserve">
11/16/15
Model 15 total new FP doors in 2016
</t>
        </r>
      </text>
    </comment>
    <comment ref="K630" authorId="16">
      <text>
        <r>
          <rPr>
            <b/>
            <sz val="9"/>
            <color indexed="81"/>
            <rFont val="Tahoma"/>
            <family val="2"/>
          </rPr>
          <t>Baglione, Gregory  (Research):</t>
        </r>
        <r>
          <rPr>
            <sz val="9"/>
            <color indexed="81"/>
            <rFont val="Tahoma"/>
            <family val="2"/>
          </rPr>
          <t xml:space="preserve">
11/16/15
Model 15 total new FP doors in 2016
8/16/16
For the third quarter, we are planning six new Anthropologie stores, including one new Anthropologie store in Europe, two new urban outfitter stores and thr ee new Free People stores. For the year, we are planning on opening three net new urban outfitter stores including one in Europe, seven net new Anthropologie stores including two in Europe, and 13 net new Free People store</t>
        </r>
      </text>
    </comment>
    <comment ref="K634" authorId="24">
      <text>
        <r>
          <rPr>
            <b/>
            <sz val="9"/>
            <color indexed="81"/>
            <rFont val="Tahoma"/>
            <family val="2"/>
          </rPr>
          <t>Cassel, Lauren (Research):</t>
        </r>
        <r>
          <rPr>
            <sz val="9"/>
            <color indexed="81"/>
            <rFont val="Tahoma"/>
            <family val="2"/>
          </rPr>
          <t xml:space="preserve">
3/7/17: planning on open 5 new stores in NA and one FP closing </t>
        </r>
      </text>
    </comment>
    <comment ref="K636" authorId="23">
      <text>
        <r>
          <rPr>
            <b/>
            <sz val="9"/>
            <color indexed="81"/>
            <rFont val="Tahoma"/>
            <family val="2"/>
          </rPr>
          <t>Roberts, Cynthia (Research):</t>
        </r>
        <r>
          <rPr>
            <sz val="9"/>
            <color indexed="81"/>
            <rFont val="Tahoma"/>
            <family val="2"/>
          </rPr>
          <t xml:space="preserve">
8/15/17 Plan to open 9 FP and close 4 FP</t>
        </r>
      </text>
    </comment>
    <comment ref="K653" authorId="16">
      <text>
        <r>
          <rPr>
            <b/>
            <sz val="9"/>
            <color indexed="81"/>
            <rFont val="Tahoma"/>
            <family val="2"/>
          </rPr>
          <t>Baglione, Gregory  (Research):</t>
        </r>
        <r>
          <rPr>
            <sz val="9"/>
            <color indexed="81"/>
            <rFont val="Tahoma"/>
            <family val="2"/>
          </rPr>
          <t xml:space="preserve">
11/16/15
Model 15 total new FP doors in 2016
</t>
        </r>
      </text>
    </comment>
    <comment ref="K717" authorId="8">
      <text>
        <r>
          <rPr>
            <b/>
            <sz val="8"/>
            <color indexed="81"/>
            <rFont val="Tahoma"/>
            <family val="2"/>
          </rPr>
          <t>mm98285:</t>
        </r>
        <r>
          <rPr>
            <sz val="8"/>
            <color indexed="81"/>
            <rFont val="Tahoma"/>
            <family val="2"/>
          </rPr>
          <t xml:space="preserve">
7/30/08: 1-2 stores in 2008 and potentially 3-4 stores by end of 2009</t>
        </r>
      </text>
    </comment>
    <comment ref="K724" authorId="8">
      <text>
        <r>
          <rPr>
            <b/>
            <sz val="8"/>
            <color indexed="81"/>
            <rFont val="Tahoma"/>
            <family val="2"/>
          </rPr>
          <t>mm98285:</t>
        </r>
        <r>
          <rPr>
            <sz val="8"/>
            <color indexed="81"/>
            <rFont val="Tahoma"/>
            <family val="2"/>
          </rPr>
          <t xml:space="preserve">
7/30/08: 1-2 stores in 2008 and potentially 3-4 stores by end of 2009</t>
        </r>
      </text>
    </comment>
    <comment ref="G728" authorId="25">
      <text>
        <r>
          <rPr>
            <b/>
            <sz val="8"/>
            <color indexed="81"/>
            <rFont val="Tahoma"/>
            <family val="2"/>
          </rPr>
          <t>KG51925:</t>
        </r>
        <r>
          <rPr>
            <sz val="8"/>
            <color indexed="81"/>
            <rFont val="Tahoma"/>
            <family val="2"/>
          </rPr>
          <t xml:space="preserve">
est +15%
company stopped reporting stores comps. This comp INCLUDES direct sales beginning in 1Q10</t>
        </r>
      </text>
    </comment>
    <comment ref="K737" authorId="14">
      <text>
        <r>
          <rPr>
            <b/>
            <sz val="8"/>
            <color indexed="81"/>
            <rFont val="Tahoma"/>
            <family val="2"/>
          </rPr>
          <t>lauraro:</t>
        </r>
        <r>
          <rPr>
            <sz val="8"/>
            <color indexed="81"/>
            <rFont val="Tahoma"/>
            <family val="2"/>
          </rPr>
          <t xml:space="preserve">
11/7: 1 Terrain store (total)
Expect to open a second store next year</t>
        </r>
      </text>
    </comment>
    <comment ref="G742" authorId="21">
      <text>
        <r>
          <rPr>
            <b/>
            <sz val="8"/>
            <color indexed="81"/>
            <rFont val="Tahoma"/>
            <family val="2"/>
          </rPr>
          <t>kimberlg:</t>
        </r>
        <r>
          <rPr>
            <sz val="8"/>
            <color indexed="81"/>
            <rFont val="Tahoma"/>
            <family val="2"/>
          </rPr>
          <t xml:space="preserve">
6/1/12: est +25%</t>
        </r>
      </text>
    </comment>
    <comment ref="G743" authorId="0">
      <text>
        <r>
          <rPr>
            <sz val="8"/>
            <color indexed="81"/>
            <rFont val="Tahoma"/>
            <family val="2"/>
          </rPr>
          <t>8/20/12: requires input from KG/IR - actual reported numbers in segSales tab</t>
        </r>
      </text>
    </comment>
    <comment ref="K743" authorId="14">
      <text>
        <r>
          <rPr>
            <b/>
            <sz val="8"/>
            <color indexed="81"/>
            <rFont val="Tahoma"/>
            <family val="2"/>
          </rPr>
          <t xml:space="preserve">8/20/12: </t>
        </r>
        <r>
          <rPr>
            <sz val="8"/>
            <color indexed="81"/>
            <rFont val="Tahoma"/>
            <family val="2"/>
          </rPr>
          <t>opened 1in 1H</t>
        </r>
        <r>
          <rPr>
            <b/>
            <sz val="8"/>
            <color indexed="81"/>
            <rFont val="Tahoma"/>
            <family val="2"/>
          </rPr>
          <t xml:space="preserve">
lauraro:</t>
        </r>
        <r>
          <rPr>
            <sz val="8"/>
            <color indexed="81"/>
            <rFont val="Tahoma"/>
            <family val="2"/>
          </rPr>
          <t xml:space="preserve">
Expect to open another in 1H12</t>
        </r>
      </text>
    </comment>
    <comment ref="K745" authorId="0">
      <text>
        <r>
          <rPr>
            <b/>
            <sz val="8"/>
            <color indexed="81"/>
            <rFont val="Tahoma"/>
            <family val="2"/>
          </rPr>
          <t>casselau:</t>
        </r>
        <r>
          <rPr>
            <sz val="8"/>
            <color indexed="81"/>
            <rFont val="Tahoma"/>
            <family val="2"/>
          </rPr>
          <t xml:space="preserve">
one new for the year</t>
        </r>
      </text>
    </comment>
    <comment ref="K752" authorId="0">
      <text>
        <r>
          <rPr>
            <b/>
            <sz val="8"/>
            <color indexed="81"/>
            <rFont val="Tahoma"/>
            <family val="2"/>
          </rPr>
          <t>casselau:</t>
        </r>
        <r>
          <rPr>
            <sz val="8"/>
            <color indexed="81"/>
            <rFont val="Tahoma"/>
            <family val="2"/>
          </rPr>
          <t xml:space="preserve">
one new for the year</t>
        </r>
      </text>
    </comment>
    <comment ref="Z757" authorId="19">
      <text>
        <r>
          <rPr>
            <b/>
            <sz val="9"/>
            <color indexed="81"/>
            <rFont val="Tahoma"/>
            <family val="2"/>
          </rPr>
          <t>Turley, Amber (Research):</t>
        </r>
        <r>
          <rPr>
            <sz val="9"/>
            <color indexed="81"/>
            <rFont val="Tahoma"/>
            <family val="2"/>
          </rPr>
          <t xml:space="preserve">
2Q 10-Q: Terrain’s Retail segment net sales accounted for less than 1.0% of consolidated net sales for the six months ended July 31, 2014 and 2013, respectively. 
</t>
        </r>
      </text>
    </comment>
    <comment ref="Z758" authorId="19">
      <text>
        <r>
          <rPr>
            <b/>
            <sz val="9"/>
            <color indexed="81"/>
            <rFont val="Tahoma"/>
            <family val="2"/>
          </rPr>
          <t>Turley, Amber (Research):</t>
        </r>
        <r>
          <rPr>
            <sz val="9"/>
            <color indexed="81"/>
            <rFont val="Tahoma"/>
            <family val="2"/>
          </rPr>
          <t xml:space="preserve">
Terrain’s Retail segment net sales accounted for less than 1.0% of consolidated net sales for the nine months ended October 31, 2014 and 2013, respectively. 
</t>
        </r>
      </text>
    </comment>
    <comment ref="K781" authorId="13">
      <text>
        <r>
          <rPr>
            <b/>
            <sz val="8"/>
            <color indexed="81"/>
            <rFont val="Tahoma"/>
            <family val="2"/>
          </rPr>
          <t>nicholjs:</t>
        </r>
        <r>
          <rPr>
            <sz val="8"/>
            <color indexed="81"/>
            <rFont val="Tahoma"/>
            <family val="2"/>
          </rPr>
          <t xml:space="preserve">
5/2011: third quarter store opening in Houston
Expect to open a second store next year</t>
        </r>
      </text>
    </comment>
    <comment ref="K786" authorId="14">
      <text>
        <r>
          <rPr>
            <b/>
            <sz val="8"/>
            <color indexed="81"/>
            <rFont val="Tahoma"/>
            <family val="2"/>
          </rPr>
          <t>lauraro:</t>
        </r>
        <r>
          <rPr>
            <sz val="8"/>
            <color indexed="81"/>
            <rFont val="Tahoma"/>
            <family val="2"/>
          </rPr>
          <t xml:space="preserve">
4/2/2012: Opened one in chicago in 1Q12</t>
        </r>
      </text>
    </comment>
    <comment ref="K787" authorId="0">
      <text>
        <r>
          <rPr>
            <b/>
            <sz val="8"/>
            <color indexed="81"/>
            <rFont val="Tahoma"/>
            <family val="2"/>
          </rPr>
          <t>casselau:</t>
        </r>
        <r>
          <rPr>
            <sz val="8"/>
            <color indexed="81"/>
            <rFont val="Tahoma"/>
            <family val="2"/>
          </rPr>
          <t xml:space="preserve">
8/20/12: opened 1in 1H</t>
        </r>
      </text>
    </comment>
    <comment ref="K789" authorId="0">
      <text>
        <r>
          <rPr>
            <b/>
            <sz val="8"/>
            <color indexed="81"/>
            <rFont val="Tahoma"/>
            <family val="2"/>
          </rPr>
          <t>casselau:</t>
        </r>
        <r>
          <rPr>
            <sz val="8"/>
            <color indexed="81"/>
            <rFont val="Tahoma"/>
            <family val="2"/>
          </rPr>
          <t xml:space="preserve">
one new for the year </t>
        </r>
      </text>
    </comment>
    <comment ref="X790" authorId="21">
      <text>
        <r>
          <rPr>
            <b/>
            <sz val="8"/>
            <color indexed="81"/>
            <rFont val="Tahoma"/>
            <family val="2"/>
          </rPr>
          <t>kimberlg:</t>
        </r>
        <r>
          <rPr>
            <sz val="8"/>
            <color indexed="81"/>
            <rFont val="Tahoma"/>
            <family val="2"/>
          </rPr>
          <t xml:space="preserve">
6/1/12: $12-15M est for 2012
e-comm ahead of expectations
stores have started off slower</t>
        </r>
      </text>
    </comment>
    <comment ref="X793" authorId="0">
      <text>
        <r>
          <rPr>
            <b/>
            <sz val="8"/>
            <color indexed="81"/>
            <rFont val="Tahoma"/>
            <family val="2"/>
          </rPr>
          <t>casselau:</t>
        </r>
        <r>
          <rPr>
            <sz val="8"/>
            <color indexed="81"/>
            <rFont val="Tahoma"/>
            <family val="2"/>
          </rPr>
          <t xml:space="preserve">
5/20/13: estimate
</t>
        </r>
      </text>
    </comment>
    <comment ref="K796" authorId="0">
      <text>
        <r>
          <rPr>
            <b/>
            <sz val="8"/>
            <color indexed="81"/>
            <rFont val="Tahoma"/>
            <family val="2"/>
          </rPr>
          <t>casselau:</t>
        </r>
        <r>
          <rPr>
            <sz val="8"/>
            <color indexed="81"/>
            <rFont val="Tahoma"/>
            <family val="2"/>
          </rPr>
          <t xml:space="preserve">
one new for the year </t>
        </r>
      </text>
    </comment>
    <comment ref="X797" authorId="21">
      <text>
        <r>
          <rPr>
            <b/>
            <sz val="8"/>
            <color indexed="81"/>
            <rFont val="Tahoma"/>
            <family val="2"/>
          </rPr>
          <t>kimberlg:</t>
        </r>
        <r>
          <rPr>
            <sz val="8"/>
            <color indexed="81"/>
            <rFont val="Tahoma"/>
            <family val="2"/>
          </rPr>
          <t xml:space="preserve">
6/1/12: $12-15M est for 2012
e-comm ahead of expectations
stores have started off slower</t>
        </r>
      </text>
    </comment>
  </commentList>
</comments>
</file>

<file path=xl/comments5.xml><?xml version="1.0" encoding="utf-8"?>
<comments xmlns="http://schemas.openxmlformats.org/spreadsheetml/2006/main">
  <authors>
    <author>dong2</author>
    <author>Lehman Brothers</author>
    <author>dliu</author>
    <author>Corinna Freedman</author>
    <author>lr73192</author>
    <author>kimberlg</author>
    <author>nicholjs</author>
    <author>turleamb</author>
    <author>Mains, Spencer (Research)</author>
    <author>Turley, Amber (Research)</author>
    <author>Baglione, Gregory  (Research)</author>
    <author>Roberts, Cynthia (Research)</author>
    <author>Cassel, Lauren (Research)</author>
    <author>kg51925</author>
    <author>NS66486</author>
    <author>casselau</author>
    <author>mm98285</author>
    <author>Baglione, Gregory (Research)</author>
    <author>kgreenbe</author>
    <author>Kimberly Greenberger</author>
    <author>lauraro</author>
    <author>oc48540</author>
    <author>TI23070</author>
    <author>ns66486</author>
    <author>Morry Brown</author>
    <author>MB33100</author>
    <author>Melissa Sefl</author>
  </authors>
  <commentList>
    <comment ref="V6" authorId="0">
      <text>
        <r>
          <rPr>
            <b/>
            <sz val="8"/>
            <color indexed="81"/>
            <rFont val="Tahoma"/>
            <family val="2"/>
          </rPr>
          <t>dong2:</t>
        </r>
        <r>
          <rPr>
            <sz val="8"/>
            <color indexed="81"/>
            <rFont val="Tahoma"/>
            <family val="2"/>
          </rPr>
          <t xml:space="preserve">
In 98, Co. revised reporting of gross profit to group certain buying, distrib. and occup. costs with costs of sales instead of SG&amp;A. financials restated 98,97 and 96, but not 95 and 94.</t>
        </r>
      </text>
    </comment>
    <comment ref="AF10" authorId="0">
      <text>
        <r>
          <rPr>
            <b/>
            <sz val="8"/>
            <color indexed="81"/>
            <rFont val="Tahoma"/>
            <family val="2"/>
          </rPr>
          <t>dong2:</t>
        </r>
        <r>
          <rPr>
            <sz val="8"/>
            <color indexed="81"/>
            <rFont val="Tahoma"/>
            <family val="2"/>
          </rPr>
          <t xml:space="preserve">
wholesale biz declined 31% due to production problems</t>
        </r>
      </text>
    </comment>
    <comment ref="AJ10" authorId="1">
      <text>
        <r>
          <rPr>
            <b/>
            <sz val="8"/>
            <color indexed="81"/>
            <rFont val="Tahoma"/>
            <family val="2"/>
          </rPr>
          <t>Lehman Brothers:</t>
        </r>
        <r>
          <rPr>
            <sz val="8"/>
            <color indexed="81"/>
            <rFont val="Tahoma"/>
            <family val="2"/>
          </rPr>
          <t xml:space="preserve">
had 85</t>
        </r>
      </text>
    </comment>
    <comment ref="AN10" authorId="2">
      <text>
        <r>
          <rPr>
            <b/>
            <sz val="8"/>
            <color indexed="81"/>
            <rFont val="Tahoma"/>
            <family val="2"/>
          </rPr>
          <t>dliu:</t>
        </r>
        <r>
          <rPr>
            <sz val="8"/>
            <color indexed="81"/>
            <rFont val="Tahoma"/>
            <family val="2"/>
          </rPr>
          <t xml:space="preserve">
had 108.8</t>
        </r>
      </text>
    </comment>
    <comment ref="AY10" authorId="3">
      <text>
        <r>
          <rPr>
            <b/>
            <sz val="8"/>
            <color indexed="81"/>
            <rFont val="Tahoma"/>
            <family val="2"/>
          </rPr>
          <t>Corinna Freedman:</t>
        </r>
        <r>
          <rPr>
            <sz val="8"/>
            <color indexed="81"/>
            <rFont val="Tahoma"/>
            <family val="2"/>
          </rPr>
          <t xml:space="preserve">
226.5</t>
        </r>
      </text>
    </comment>
    <comment ref="BA10" authorId="3">
      <text>
        <r>
          <rPr>
            <b/>
            <sz val="8"/>
            <color indexed="81"/>
            <rFont val="Tahoma"/>
            <family val="2"/>
          </rPr>
          <t>Corinna Freedman:</t>
        </r>
        <r>
          <rPr>
            <sz val="8"/>
            <color indexed="81"/>
            <rFont val="Tahoma"/>
            <family val="2"/>
          </rPr>
          <t xml:space="preserve">
11</t>
        </r>
      </text>
    </comment>
    <comment ref="BS10" authorId="4">
      <text>
        <r>
          <rPr>
            <b/>
            <sz val="8"/>
            <color indexed="81"/>
            <rFont val="Tahoma"/>
            <family val="2"/>
          </rPr>
          <t>lr73192:</t>
        </r>
        <r>
          <rPr>
            <sz val="8"/>
            <color indexed="81"/>
            <rFont val="Tahoma"/>
            <family val="2"/>
          </rPr>
          <t xml:space="preserve">
5/5/10: prior est $479.6</t>
        </r>
      </text>
    </comment>
    <comment ref="BT10" authorId="4">
      <text>
        <r>
          <rPr>
            <b/>
            <sz val="8"/>
            <color indexed="81"/>
            <rFont val="Tahoma"/>
            <family val="2"/>
          </rPr>
          <t>lr73192:</t>
        </r>
        <r>
          <rPr>
            <sz val="8"/>
            <color indexed="81"/>
            <rFont val="Tahoma"/>
            <family val="2"/>
          </rPr>
          <t xml:space="preserve">
5/5/10: prv est +24.6%</t>
        </r>
      </text>
    </comment>
    <comment ref="BU10" authorId="4">
      <text>
        <r>
          <rPr>
            <b/>
            <sz val="8"/>
            <color indexed="81"/>
            <rFont val="Tahoma"/>
            <family val="2"/>
          </rPr>
          <t>lr73192:</t>
        </r>
        <r>
          <rPr>
            <sz val="8"/>
            <color indexed="81"/>
            <rFont val="Tahoma"/>
            <family val="2"/>
          </rPr>
          <t xml:space="preserve">
5/5/10: prv est 13.8%</t>
        </r>
      </text>
    </comment>
    <comment ref="BW10" authorId="5">
      <text>
        <r>
          <rPr>
            <b/>
            <sz val="8"/>
            <color indexed="81"/>
            <rFont val="Tahoma"/>
            <family val="2"/>
          </rPr>
          <t>kimberlg:</t>
        </r>
        <r>
          <rPr>
            <sz val="8"/>
            <color indexed="81"/>
            <rFont val="Tahoma"/>
            <family val="2"/>
          </rPr>
          <t xml:space="preserve">
3/9/11 $540M sales good ballpark</t>
        </r>
      </text>
    </comment>
    <comment ref="BY10" authorId="6">
      <text>
        <r>
          <rPr>
            <b/>
            <sz val="8"/>
            <color indexed="81"/>
            <rFont val="Tahoma"/>
            <family val="2"/>
          </rPr>
          <t>nicholjs:</t>
        </r>
        <r>
          <rPr>
            <sz val="8"/>
            <color indexed="81"/>
            <rFont val="Tahoma"/>
            <family val="2"/>
          </rPr>
          <t xml:space="preserve">
5/16/11: The comparable store net sales decline was driven by decreases in average unit selling prices, average number of units per
transaction, and total transaction counts of 2%, 1% and 3% respectively. Direct to consumer revenue increased 19% to $102
million.
4/27/2011: QTD comparable retail segment sales through the Easter holiday weekend were LSD negative, consistent with the update provided in 10K.  likely lower end or -3%. (see column CF)
4/1/2011: thus far during 1Q comparable retail segment net sales are low single digit negative.  We estimate retail segment -3% and stores only -7 to -8%.  This is only through Mon, 3/28 and does not include the more Easter shift impacted week 5 (so comp could get worse this week).  Europe rebounding slightly (traffic improving) from the -HDD/-Hteens declines in Jan/Feb.
3/7/2011: QTD trend consistent w/ 4Q (so +4% total retail segment and -2% decline stores only) excluding UK.  With UK, a little worse.</t>
        </r>
      </text>
    </comment>
    <comment ref="CC10" authorId="6">
      <text>
        <r>
          <rPr>
            <b/>
            <sz val="8"/>
            <color indexed="81"/>
            <rFont val="Tahoma"/>
            <family val="2"/>
          </rPr>
          <t xml:space="preserve">5/21/12: </t>
        </r>
        <r>
          <rPr>
            <sz val="8"/>
            <color indexed="81"/>
            <rFont val="Tahoma"/>
            <family val="2"/>
          </rPr>
          <t>Total Company comparable store net sales declined by 1%, driven by a 1% decrease in transactions and a 2% decrease in average number of units
per transaction, partially offset by a 2% increase in the average unit selling price.</t>
        </r>
        <r>
          <rPr>
            <b/>
            <sz val="8"/>
            <color indexed="81"/>
            <rFont val="Tahoma"/>
            <family val="2"/>
          </rPr>
          <t xml:space="preserve">
4/2/12: </t>
        </r>
        <r>
          <rPr>
            <sz val="8"/>
            <color indexed="81"/>
            <rFont val="Tahoma"/>
            <family val="2"/>
          </rPr>
          <t xml:space="preserve">thus far during 1Q comparable retail segment net sales are low single digit positive.  We estimate retail segment +3% and stores slightly positive.  This is through Sat 3/31.
March benefits from Easter shift, Leap Day, extra Fri/Sat in the calendar and warmer weather
</t>
        </r>
        <r>
          <rPr>
            <b/>
            <sz val="8"/>
            <color indexed="81"/>
            <rFont val="Tahoma"/>
            <family val="2"/>
          </rPr>
          <t>nicholjs:</t>
        </r>
        <r>
          <rPr>
            <sz val="8"/>
            <color indexed="81"/>
            <rFont val="Tahoma"/>
            <family val="2"/>
          </rPr>
          <t xml:space="preserve">
8/15/2011: expect gradual improvements in comparable sales over the balance of the year and into Spring 2012</t>
        </r>
      </text>
    </comment>
    <comment ref="CG10" authorId="6">
      <text>
        <r>
          <rPr>
            <b/>
            <sz val="8"/>
            <color indexed="81"/>
            <rFont val="Tahoma"/>
            <family val="2"/>
          </rPr>
          <t xml:space="preserve">5/20/13: </t>
        </r>
        <r>
          <rPr>
            <sz val="8"/>
            <color indexed="81"/>
            <rFont val="Tahoma"/>
            <family val="2"/>
          </rPr>
          <t>Direct-to-consumer growth was driven by an increase in visitors and improved conversion rate. Positive comp store sales resulted from increased
transactions, partially offset by lower average unit selling prices, while units per transaction were flat.</t>
        </r>
        <r>
          <rPr>
            <b/>
            <sz val="8"/>
            <color indexed="81"/>
            <rFont val="Tahoma"/>
            <family val="2"/>
          </rPr>
          <t xml:space="preserve">
4/2/12: </t>
        </r>
        <r>
          <rPr>
            <sz val="8"/>
            <color indexed="81"/>
            <rFont val="Tahoma"/>
            <family val="2"/>
          </rPr>
          <t xml:space="preserve">thus far during 1Q comparable retail segment net sales are low single digit positive.  We estimate retail segment +3% and stores slightly positive.  This is through Sat 3/31.
March benefits from Easter shift, Leap Day, extra Fri/Sat in the calendar and warmer weather
</t>
        </r>
        <r>
          <rPr>
            <b/>
            <sz val="8"/>
            <color indexed="81"/>
            <rFont val="Tahoma"/>
            <family val="2"/>
          </rPr>
          <t>nicholjs:</t>
        </r>
        <r>
          <rPr>
            <sz val="8"/>
            <color indexed="81"/>
            <rFont val="Tahoma"/>
            <family val="2"/>
          </rPr>
          <t xml:space="preserve">
8/15/2011: expect gradual improvements in comparable sales over the balance of the year and into Spring 2012</t>
        </r>
      </text>
    </comment>
    <comment ref="CK10" authorId="7">
      <text>
        <r>
          <rPr>
            <b/>
            <sz val="9"/>
            <color indexed="81"/>
            <rFont val="Tahoma"/>
            <family val="2"/>
          </rPr>
          <t>turleamb:</t>
        </r>
        <r>
          <rPr>
            <sz val="9"/>
            <color indexed="81"/>
            <rFont val="Tahoma"/>
            <family val="2"/>
          </rPr>
          <t xml:space="preserve">
5/19/14: Negative comparable store sales resulted from reduction in transactions and UPT, which were partially offset by an increase in avg unit selling price. Direct to consumer sales were driven by higher avg order value and increase in website/mobile app traffic. Regular price comps +LDD. Note 1QTD as of 4/1/14 was -LSD but April ran positive getting to 1Q flat comp. 
4/1/14: 1QTD comps -LSD, in-line with MS and cons. Weather differential 7-10% comp. </t>
        </r>
      </text>
    </comment>
    <comment ref="CN10" authorId="8">
      <text>
        <r>
          <rPr>
            <b/>
            <sz val="9"/>
            <color indexed="81"/>
            <rFont val="Tahoma"/>
            <family val="2"/>
          </rPr>
          <t>Mains, Spencer (Research):</t>
        </r>
        <r>
          <rPr>
            <sz val="9"/>
            <color indexed="81"/>
            <rFont val="Tahoma"/>
            <family val="2"/>
          </rPr>
          <t xml:space="preserve">
5/18/15: currency impacted sales by 140 bps in 1Q</t>
        </r>
      </text>
    </comment>
    <comment ref="CO10" authorId="9">
      <text>
        <r>
          <rPr>
            <b/>
            <sz val="9"/>
            <color indexed="81"/>
            <rFont val="Tahoma"/>
            <family val="2"/>
          </rPr>
          <t>Turley, Amber (Research):</t>
        </r>
        <r>
          <rPr>
            <sz val="9"/>
            <color indexed="81"/>
            <rFont val="Tahoma"/>
            <family val="2"/>
          </rPr>
          <t xml:space="preserve">
5/18/15: DTC channel continued to outperform stores driven by increases in sessions, average order value, and session conversion.  Negative comp store sales resulted from decreased transactions and UPT, partially offset by higher average unit selling prices.
3/9/15: Comps running QTD +MSD (likely ~5% in line with our estimate and consensus 5.2% but below buyside 6-7% est) with all brands positive. IR cited weather differential as worst she's ever seen it (LY they cited 7-10% comp differential in weather affected areas in 1QTD)</t>
        </r>
      </text>
    </comment>
    <comment ref="CS10" authorId="10">
      <text>
        <r>
          <rPr>
            <b/>
            <sz val="9"/>
            <color indexed="81"/>
            <rFont val="Tahoma"/>
            <family val="2"/>
          </rPr>
          <t>Baglione, Gregory  (Research):</t>
        </r>
        <r>
          <rPr>
            <sz val="9"/>
            <color indexed="81"/>
            <rFont val="Tahoma"/>
            <family val="2"/>
          </rPr>
          <t xml:space="preserve">
Expect comps to stay negative in 1Q, UO could turn positive in 2Q
Includes leap year benefit</t>
        </r>
      </text>
    </comment>
    <comment ref="CV10" authorId="11">
      <text>
        <r>
          <rPr>
            <b/>
            <sz val="9"/>
            <color indexed="81"/>
            <rFont val="Tahoma"/>
            <family val="2"/>
          </rPr>
          <t>Roberts, Cynthia (Research):</t>
        </r>
        <r>
          <rPr>
            <sz val="9"/>
            <color indexed="81"/>
            <rFont val="Tahoma"/>
            <family val="2"/>
          </rPr>
          <t xml:space="preserve">
5/16/17: negatively impacted by 
-100 bps from FX</t>
        </r>
      </text>
    </comment>
    <comment ref="CW10" authorId="12">
      <text>
        <r>
          <rPr>
            <b/>
            <sz val="9"/>
            <color indexed="81"/>
            <rFont val="Tahoma"/>
            <family val="2"/>
          </rPr>
          <t xml:space="preserve">Cassel, Lauren (Research):
</t>
        </r>
        <r>
          <rPr>
            <sz val="9"/>
            <color indexed="81"/>
            <rFont val="Tahoma"/>
            <family val="2"/>
          </rPr>
          <t xml:space="preserve">5/16/17 : Comp metrics AUR down, UPT up, Transactions down
</t>
        </r>
        <r>
          <rPr>
            <b/>
            <sz val="9"/>
            <color indexed="81"/>
            <rFont val="Tahoma"/>
            <family val="2"/>
          </rPr>
          <t xml:space="preserve">
4/3/2017:QTD comp -MSD</t>
        </r>
        <r>
          <rPr>
            <sz val="9"/>
            <color indexed="81"/>
            <rFont val="Tahoma"/>
            <family val="2"/>
          </rPr>
          <t xml:space="preserve">
3/7/17: "right now the trends wouldnt suggest that either UP or Anthro are going to comp postiive" </t>
        </r>
      </text>
    </comment>
    <comment ref="DA10" authorId="11">
      <text>
        <r>
          <rPr>
            <b/>
            <sz val="9"/>
            <color indexed="81"/>
            <rFont val="Tahoma"/>
            <family val="2"/>
          </rPr>
          <t>Roberts, Cynthia (Research):
4/2/18: +LDD positive QTD (through Easter day - benefitted from Easter shift)</t>
        </r>
        <r>
          <rPr>
            <sz val="9"/>
            <color indexed="81"/>
            <rFont val="Tahoma"/>
            <family val="2"/>
          </rPr>
          <t xml:space="preserve">
3/6/18: "positive customer reaction to the new spring fashion offerings at all of our brands  has been strong and makes us optimistic regarding the first half of the year" ; comps running "very" +HSD </t>
        </r>
      </text>
    </comment>
    <comment ref="AB11" authorId="0">
      <text>
        <r>
          <rPr>
            <b/>
            <sz val="8"/>
            <color indexed="81"/>
            <rFont val="Tahoma"/>
            <family val="2"/>
          </rPr>
          <t>dong2:</t>
        </r>
        <r>
          <rPr>
            <sz val="8"/>
            <color indexed="81"/>
            <rFont val="Tahoma"/>
            <family val="2"/>
          </rPr>
          <t xml:space="preserve">
EITF 00-10: amts billed to customer in a sale transaction related to shipping and handling should be classified as revenue. Co. adopted EITF 00-10 during 4Q00 and restated all prior period statements. So now co. includes shipping and handling revenues in net sales and shipping and handling costs in COGS. The co. previously offset S&amp;H revs. agst. S&amp;H costs within COGS. Also, revs. from delivery transactions generated by retail stores were offset agst. store level costs within SG&amp;A.</t>
        </r>
      </text>
    </comment>
    <comment ref="AJ11" authorId="1">
      <text>
        <r>
          <rPr>
            <b/>
            <sz val="8"/>
            <color indexed="81"/>
            <rFont val="Tahoma"/>
            <family val="2"/>
          </rPr>
          <t>Lehman Brothers:</t>
        </r>
        <r>
          <rPr>
            <sz val="8"/>
            <color indexed="81"/>
            <rFont val="Tahoma"/>
            <family val="2"/>
          </rPr>
          <t xml:space="preserve">
had 94.6 mm</t>
        </r>
      </text>
    </comment>
    <comment ref="AU11" authorId="3">
      <text>
        <r>
          <rPr>
            <b/>
            <sz val="8"/>
            <color indexed="81"/>
            <rFont val="Tahoma"/>
            <family val="2"/>
          </rPr>
          <t>Corinna Freedman:</t>
        </r>
        <r>
          <rPr>
            <sz val="8"/>
            <color indexed="81"/>
            <rFont val="Tahoma"/>
            <family val="2"/>
          </rPr>
          <t xml:space="preserve">
177.8</t>
        </r>
      </text>
    </comment>
    <comment ref="BC11" authorId="13">
      <text>
        <r>
          <rPr>
            <b/>
            <sz val="8"/>
            <color indexed="81"/>
            <rFont val="Tahoma"/>
            <family val="2"/>
          </rPr>
          <t>kg51925:</t>
        </r>
        <r>
          <rPr>
            <sz val="8"/>
            <color indexed="81"/>
            <rFont val="Tahoma"/>
            <family val="2"/>
          </rPr>
          <t xml:space="preserve">
$302.6mm @ -1.5% comp</t>
        </r>
      </text>
    </comment>
    <comment ref="BQ11" authorId="13">
      <text>
        <r>
          <rPr>
            <b/>
            <sz val="8"/>
            <color indexed="81"/>
            <rFont val="Tahoma"/>
            <family val="2"/>
          </rPr>
          <t>kg51925:</t>
        </r>
        <r>
          <rPr>
            <sz val="8"/>
            <color indexed="81"/>
            <rFont val="Tahoma"/>
            <family val="2"/>
          </rPr>
          <t xml:space="preserve">
6/9/09 per 10-Q 2Q QTD comp neg, but modestly impvd from 1Q rate</t>
        </r>
      </text>
    </comment>
    <comment ref="BU11" authorId="14">
      <text>
        <r>
          <rPr>
            <b/>
            <sz val="8"/>
            <color indexed="81"/>
            <rFont val="Tahoma"/>
            <family val="2"/>
          </rPr>
          <t>NS66486:</t>
        </r>
        <r>
          <rPr>
            <sz val="8"/>
            <color indexed="81"/>
            <rFont val="Tahoma"/>
            <family val="2"/>
          </rPr>
          <t xml:space="preserve">
8/16/10: For stores,
transaction counts increased 6%. Units per transaction increased 1%. And average unit selling prices were flat.
6/8/2010: 10Q indicates comps are "favorable" to last year, we assume total comps including direct +HSD (9% range) and store comps ~+6% on ~25% direct growth</t>
        </r>
      </text>
    </comment>
    <comment ref="BW11" authorId="5">
      <text>
        <r>
          <rPr>
            <b/>
            <sz val="8"/>
            <color indexed="81"/>
            <rFont val="Tahoma"/>
            <family val="2"/>
          </rPr>
          <t>kimberlg:</t>
        </r>
        <r>
          <rPr>
            <sz val="8"/>
            <color indexed="81"/>
            <rFont val="Tahoma"/>
            <family val="2"/>
          </rPr>
          <t xml:space="preserve">
6/8/2011: around $600 good
5/16/2011: closer to $600 probably good
$625M sales safe, but cut this on 4/28, now thinking around $610M</t>
        </r>
      </text>
    </comment>
    <comment ref="BY11" authorId="5">
      <text>
        <r>
          <rPr>
            <b/>
            <sz val="8"/>
            <color indexed="81"/>
            <rFont val="Tahoma"/>
            <family val="2"/>
          </rPr>
          <t>kimberlg:</t>
        </r>
        <r>
          <rPr>
            <sz val="8"/>
            <color indexed="81"/>
            <rFont val="Tahoma"/>
            <family val="2"/>
          </rPr>
          <t xml:space="preserve">
8/15/11: The comparable store net sales decline was driven by decreases in total transactions and average number of units per transactions
of 3.1% and 0.7%, respectively, these decreases being partially offset by a 1.6% increase in average unit selling prices.
6/8/2011: thus far during 2Q, comparable retail segment net sales are -LSD negative (we est. -1%).  
-5% stores comp good.
retail seg flat comp sounds ok for now
</t>
        </r>
      </text>
    </comment>
    <comment ref="CA11" authorId="15">
      <text>
        <r>
          <rPr>
            <b/>
            <sz val="8"/>
            <color indexed="81"/>
            <rFont val="Tahoma"/>
            <family val="2"/>
          </rPr>
          <t>casselau:</t>
        </r>
        <r>
          <rPr>
            <sz val="8"/>
            <color indexed="81"/>
            <rFont val="Tahoma"/>
            <family val="2"/>
          </rPr>
          <t xml:space="preserve">
8/20/12: driven by newly opened stores, strong DTC demand, and a robust wholesale business</t>
        </r>
      </text>
    </comment>
    <comment ref="CC11" authorId="6">
      <text>
        <r>
          <rPr>
            <b/>
            <sz val="8"/>
            <color indexed="81"/>
            <rFont val="Tahoma"/>
            <family val="2"/>
          </rPr>
          <t xml:space="preserve">casselau: </t>
        </r>
        <r>
          <rPr>
            <sz val="8"/>
            <color indexed="81"/>
            <rFont val="Tahoma"/>
            <family val="2"/>
          </rPr>
          <t xml:space="preserve">May was our strongest month followed by July and then June. July and June being relatively
comparable. May was the easiest comparison of the Q. </t>
        </r>
        <r>
          <rPr>
            <b/>
            <sz val="8"/>
            <color indexed="81"/>
            <rFont val="Tahoma"/>
            <family val="2"/>
          </rPr>
          <t xml:space="preserve">
8/20/12: </t>
        </r>
        <r>
          <rPr>
            <sz val="8"/>
            <color indexed="81"/>
            <rFont val="Tahoma"/>
            <family val="2"/>
          </rPr>
          <t>driven by a 4% decrease in the average unit selling price and a 1% decrease in units
per transaction, each of which were partially offset by a 4% increase in transactions</t>
        </r>
        <r>
          <rPr>
            <b/>
            <sz val="8"/>
            <color indexed="81"/>
            <rFont val="Tahoma"/>
            <family val="2"/>
          </rPr>
          <t xml:space="preserve">
6/11/2012: </t>
        </r>
        <r>
          <rPr>
            <sz val="8"/>
            <color indexed="81"/>
            <rFont val="Tahoma"/>
            <family val="2"/>
          </rPr>
          <t xml:space="preserve">thus far during 2Q, comparable retail segment net sales are +LSD positive (we est. +3%).  
</t>
        </r>
        <r>
          <rPr>
            <b/>
            <sz val="8"/>
            <color indexed="81"/>
            <rFont val="Tahoma"/>
            <family val="2"/>
          </rPr>
          <t>nicholjs:</t>
        </r>
        <r>
          <rPr>
            <sz val="8"/>
            <color indexed="81"/>
            <rFont val="Tahoma"/>
            <family val="2"/>
          </rPr>
          <t xml:space="preserve">
8/15/2011: expect gradual improvements in comparable sales over the balance of the year and into Spring 2012
</t>
        </r>
      </text>
    </comment>
    <comment ref="CG11" authorId="7">
      <text>
        <r>
          <rPr>
            <b/>
            <sz val="8"/>
            <color indexed="81"/>
            <rFont val="Tahoma"/>
            <family val="2"/>
          </rPr>
          <t>turleamb:</t>
        </r>
        <r>
          <rPr>
            <sz val="8"/>
            <color indexed="81"/>
            <rFont val="Tahoma"/>
            <family val="2"/>
          </rPr>
          <t xml:space="preserve">
6/10/13: 10-K update ~ (+HSD)
turleamb: 8/19 2Q EPS call: Direct-to-consumer growth resulted from an increase in visitors and improved conversion rate. Positive comp store sales were driven by increased transactions and units per transaction which were partially offset by lower average unit selling prices. 
DTC traffic +16%, conversion +51bps = total # of DTC orders up by 40%</t>
        </r>
      </text>
    </comment>
    <comment ref="CK11" authorId="9">
      <text>
        <r>
          <rPr>
            <b/>
            <sz val="9"/>
            <color indexed="81"/>
            <rFont val="Tahoma"/>
            <family val="2"/>
          </rPr>
          <t>Turley, Amber (Research):</t>
        </r>
        <r>
          <rPr>
            <sz val="9"/>
            <color indexed="81"/>
            <rFont val="Tahoma"/>
            <family val="2"/>
          </rPr>
          <t xml:space="preserve">
10-Q 9/9/14 pg. 22: driven by negative comparable store sales largely offset by positive DTC. Negative comp store sales due to decreased transactions partially offset by increased ASP while UPT was flat. 
6/9/14 10-Q: Comp QTD is flattish. We think UO's comp was slgihtly improved (-9sih) and Antho/FP both resilient. We est Anthro QTD +8% and FP +20%. </t>
        </r>
      </text>
    </comment>
    <comment ref="CN11" authorId="8">
      <text>
        <r>
          <rPr>
            <b/>
            <sz val="9"/>
            <color indexed="81"/>
            <rFont val="Tahoma"/>
            <family val="2"/>
          </rPr>
          <t>Mains, Spencer (Research):</t>
        </r>
        <r>
          <rPr>
            <sz val="9"/>
            <color indexed="81"/>
            <rFont val="Tahoma"/>
            <family val="2"/>
          </rPr>
          <t xml:space="preserve">
8/17/15: FX translation resulted in ~165 bps reduction to sales</t>
        </r>
      </text>
    </comment>
    <comment ref="CO11" authorId="8">
      <text>
        <r>
          <rPr>
            <b/>
            <sz val="9"/>
            <color indexed="81"/>
            <rFont val="Tahoma"/>
            <family val="2"/>
          </rPr>
          <t>Mains, Spencer (Research):</t>
        </r>
        <r>
          <rPr>
            <sz val="9"/>
            <color indexed="81"/>
            <rFont val="Tahoma"/>
            <family val="2"/>
          </rPr>
          <t xml:space="preserve">
8/17/15: The DTC channel continued to outperform stores posting positive gains drivne by increases in sessions, average order value, and session conversion.
Negative comp store sales resulted from decreased transactions and UPT partially offset by higher AUR.
Strongest in May followed by June and July which came in fairly consistent with each other.</t>
        </r>
      </text>
    </comment>
    <comment ref="CS11" authorId="10">
      <text>
        <r>
          <rPr>
            <b/>
            <sz val="9"/>
            <color indexed="81"/>
            <rFont val="Tahoma"/>
            <family val="2"/>
          </rPr>
          <t>Baglione, Gregory  (Research):</t>
        </r>
        <r>
          <rPr>
            <sz val="9"/>
            <color indexed="81"/>
            <rFont val="Tahoma"/>
            <family val="2"/>
          </rPr>
          <t xml:space="preserve">
Expect comps to stay negative in 1Q, UO could turn positive in 2Q
Quarter to date, May sales have started out slower than what we delivered for the first quarter and
slower than what we had originally planned at each of our brands.</t>
        </r>
      </text>
    </comment>
    <comment ref="CW11" authorId="11">
      <text>
        <r>
          <rPr>
            <b/>
            <sz val="9"/>
            <color indexed="81"/>
            <rFont val="Tahoma"/>
            <family val="2"/>
          </rPr>
          <t xml:space="preserve">Roberts, Cynthia (Research):
8/15/17: </t>
        </r>
        <r>
          <rPr>
            <sz val="9"/>
            <color indexed="81"/>
            <rFont val="Tahoma"/>
            <family val="2"/>
          </rPr>
          <t xml:space="preserve">The decline in comparable Retail segment net sales was due to negative retail store sales, which was partially offset by continued sales growth in our direct-to-consumer channel. 
</t>
        </r>
        <r>
          <rPr>
            <b/>
            <sz val="9"/>
            <color indexed="81"/>
            <rFont val="Tahoma"/>
            <family val="2"/>
          </rPr>
          <t>Stores: AUR down, UPT down, transactions down; DTC: sessions up, conversion rate up, AOV down</t>
        </r>
        <r>
          <rPr>
            <sz val="9"/>
            <color indexed="81"/>
            <rFont val="Tahoma"/>
            <family val="2"/>
          </rPr>
          <t xml:space="preserve">
</t>
        </r>
        <r>
          <rPr>
            <b/>
            <sz val="9"/>
            <color indexed="81"/>
            <rFont val="Tahoma"/>
            <family val="2"/>
          </rPr>
          <t xml:space="preserve">  </t>
        </r>
        <r>
          <rPr>
            <sz val="9"/>
            <color indexed="81"/>
            <rFont val="Tahoma"/>
            <family val="2"/>
          </rPr>
          <t xml:space="preserve">
6/8/17: QTD comps -HSD  per 10-Q 
5/16/17: 2QTD  store traffic and sales at all brands continue to be challenged
"Short term I believe the trends established in 1Q will likely persist in 2Q" </t>
        </r>
      </text>
    </comment>
    <comment ref="DA11" authorId="11">
      <text>
        <r>
          <rPr>
            <b/>
            <sz val="9"/>
            <color indexed="81"/>
            <rFont val="Tahoma"/>
            <family val="2"/>
          </rPr>
          <t>Roberts, Cynthia (Research):</t>
        </r>
        <r>
          <rPr>
            <sz val="9"/>
            <color indexed="81"/>
            <rFont val="Tahoma"/>
            <family val="2"/>
          </rPr>
          <t xml:space="preserve">
3/6/18: "positive customer reaction to the new spring fashion offerings at all of our brands  has been strong and makes us optimistic regarding the first half of the year" </t>
        </r>
      </text>
    </comment>
    <comment ref="AJ12" authorId="1">
      <text>
        <r>
          <rPr>
            <b/>
            <sz val="8"/>
            <color indexed="81"/>
            <rFont val="Tahoma"/>
            <family val="2"/>
          </rPr>
          <t>Lehman Brothers:</t>
        </r>
        <r>
          <rPr>
            <sz val="8"/>
            <color indexed="81"/>
            <rFont val="Tahoma"/>
            <family val="2"/>
          </rPr>
          <t xml:space="preserve">
106.9</t>
        </r>
      </text>
    </comment>
    <comment ref="AN12" authorId="1">
      <text>
        <r>
          <rPr>
            <b/>
            <sz val="8"/>
            <color indexed="81"/>
            <rFont val="Tahoma"/>
            <family val="2"/>
          </rPr>
          <t>Lehman Brothers:</t>
        </r>
        <r>
          <rPr>
            <sz val="8"/>
            <color indexed="81"/>
            <rFont val="Tahoma"/>
            <family val="2"/>
          </rPr>
          <t xml:space="preserve">
more (135)</t>
        </r>
      </text>
    </comment>
    <comment ref="AO12" authorId="1">
      <text>
        <r>
          <rPr>
            <b/>
            <sz val="8"/>
            <color indexed="81"/>
            <rFont val="Tahoma"/>
            <family val="2"/>
          </rPr>
          <t>Lehman Brothers:</t>
        </r>
        <r>
          <rPr>
            <sz val="8"/>
            <color indexed="81"/>
            <rFont val="Tahoma"/>
            <family val="2"/>
          </rPr>
          <t xml:space="preserve">
growth over 20% in 3Q and 4Q</t>
        </r>
      </text>
    </comment>
    <comment ref="AU12" authorId="3">
      <text>
        <r>
          <rPr>
            <b/>
            <sz val="8"/>
            <color indexed="81"/>
            <rFont val="Tahoma"/>
            <family val="2"/>
          </rPr>
          <t>Corinna Freedman:</t>
        </r>
        <r>
          <rPr>
            <sz val="8"/>
            <color indexed="81"/>
            <rFont val="Tahoma"/>
            <family val="2"/>
          </rPr>
          <t xml:space="preserve">
209.5 prev est</t>
        </r>
      </text>
    </comment>
    <comment ref="BQ12" authorId="16">
      <text>
        <r>
          <rPr>
            <b/>
            <sz val="8"/>
            <color indexed="81"/>
            <rFont val="Tahoma"/>
            <family val="2"/>
          </rPr>
          <t>mm98285:</t>
        </r>
        <r>
          <rPr>
            <sz val="8"/>
            <color indexed="81"/>
            <rFont val="Tahoma"/>
            <family val="2"/>
          </rPr>
          <t xml:space="preserve">
9/9/09: comps QTD consistent with 2Q trends but compares get 12% easier in Sept and 5% easier in Oct</t>
        </r>
      </text>
    </comment>
    <comment ref="BS12" authorId="5">
      <text>
        <r>
          <rPr>
            <b/>
            <sz val="8"/>
            <color indexed="81"/>
            <rFont val="Tahoma"/>
            <family val="2"/>
          </rPr>
          <t>kimberlg:</t>
        </r>
        <r>
          <rPr>
            <sz val="8"/>
            <color indexed="81"/>
            <rFont val="Tahoma"/>
            <family val="2"/>
          </rPr>
          <t xml:space="preserve">
$581 - take $5m out…$579M likely ok $1-2mm take out</t>
        </r>
      </text>
    </comment>
    <comment ref="BU12" authorId="6">
      <text>
        <r>
          <rPr>
            <b/>
            <sz val="8"/>
            <color indexed="81"/>
            <rFont val="Tahoma"/>
            <family val="2"/>
          </rPr>
          <t>nicholjs:</t>
        </r>
        <r>
          <rPr>
            <sz val="8"/>
            <color indexed="81"/>
            <rFont val="Tahoma"/>
            <family val="2"/>
          </rPr>
          <t xml:space="preserve">
11/15/10: For stores, average unit
selling prices decreased 2% while units per transaction and transaction counts each increased 1%. Direct-to-consumer revenue
increased 32% to $105 million. The penetration of direct-to-consumer sales to net sales as a whole increased more than 2
percentage points to 18.4% with results largely driven by a 32% increase in website traffic to nearly 30 million visits. For retail
segment sales, footwear and accessories were strongest at Urban Outfitters and Free People while women's apparel was
strongest at Anthropologie. Wholesale segment sales for the quarter increased 13% to $34 million, driven by a 17% increase at
Free People.
9/2010: Thus far during the third quarter of fiscal 2011, comparable retail segment net sales are high single digit positive.</t>
        </r>
      </text>
    </comment>
    <comment ref="BW12" authorId="6">
      <text>
        <r>
          <rPr>
            <b/>
            <sz val="8"/>
            <color indexed="81"/>
            <rFont val="Tahoma"/>
            <family val="2"/>
          </rPr>
          <t xml:space="preserve">11/7: </t>
        </r>
        <r>
          <rPr>
            <sz val="8"/>
            <color indexed="81"/>
            <rFont val="Tahoma"/>
            <family val="2"/>
          </rPr>
          <t>net sales +6% vs. LY to $610 million</t>
        </r>
        <r>
          <rPr>
            <b/>
            <sz val="8"/>
            <color indexed="81"/>
            <rFont val="Tahoma"/>
            <family val="2"/>
          </rPr>
          <t xml:space="preserve">
nicholjs:</t>
        </r>
        <r>
          <rPr>
            <sz val="8"/>
            <color indexed="81"/>
            <rFont val="Tahoma"/>
            <family val="2"/>
          </rPr>
          <t xml:space="preserve">
8/15: $642.5 sounds okay</t>
        </r>
      </text>
    </comment>
    <comment ref="BY12" authorId="6">
      <text>
        <r>
          <rPr>
            <b/>
            <sz val="8"/>
            <color indexed="81"/>
            <rFont val="Tahoma"/>
            <family val="2"/>
          </rPr>
          <t>11/14/11:</t>
        </r>
        <r>
          <rPr>
            <sz val="8"/>
            <color indexed="81"/>
            <rFont val="Tahoma"/>
            <family val="2"/>
          </rPr>
          <t xml:space="preserve"> The comparable store net sales decline was driven by a 1.3% decrease in average unit selling prices, a 1.5% decrease in the
average number of units per transaction, and a 4.5% decrease in total transactions. Direct-to-consumer revenue increased 17%
to $123 million, including a 15% increase in comparable sales.The penetration of direct-to-consumer net sales to total Company
net sales increased 180 basis points to 20% with results largely driven by a 31% increase in website traffic to over 37 million
visits</t>
        </r>
        <r>
          <rPr>
            <b/>
            <sz val="8"/>
            <color indexed="81"/>
            <rFont val="Tahoma"/>
            <family val="2"/>
          </rPr>
          <t xml:space="preserve">
11/7: </t>
        </r>
        <r>
          <rPr>
            <sz val="8"/>
            <color indexed="81"/>
            <rFont val="Tahoma"/>
            <family val="2"/>
          </rPr>
          <t xml:space="preserve">Comparable retail segment net sales (incl eComm), decreased 3%, while comparable store net sales decreased 7%
</t>
        </r>
        <r>
          <rPr>
            <b/>
            <sz val="8"/>
            <color indexed="81"/>
            <rFont val="Tahoma"/>
            <family val="2"/>
          </rPr>
          <t xml:space="preserve">10Q: </t>
        </r>
        <r>
          <rPr>
            <sz val="8"/>
            <color indexed="81"/>
            <rFont val="Tahoma"/>
            <family val="2"/>
          </rPr>
          <t xml:space="preserve"> Lower comp driven by lower transactions, fewer UPT, and lower AUR</t>
        </r>
        <r>
          <rPr>
            <b/>
            <sz val="8"/>
            <color indexed="81"/>
            <rFont val="Tahoma"/>
            <family val="2"/>
          </rPr>
          <t xml:space="preserve">
nicholjs:</t>
        </r>
        <r>
          <rPr>
            <sz val="8"/>
            <color indexed="81"/>
            <rFont val="Tahoma"/>
            <family val="2"/>
          </rPr>
          <t xml:space="preserve">
9/6/2011: thus far during 3Q, comparable retail segment net sales are low single digit negative.  Anthro retail segment -6%, UO +1%, or total -2%.
Sept 500 bps easier compare vs. Aug, Oct 200-300 bps easier
8/15/2011: expect gradual improvements in comparable sales over the balance of the year and into Spring 2012
6/10/2011: +1 range fine. $652 okay.
5/17: could be flat to up slightly </t>
        </r>
      </text>
    </comment>
    <comment ref="CA12" authorId="15">
      <text>
        <r>
          <rPr>
            <b/>
            <sz val="8"/>
            <color indexed="81"/>
            <rFont val="Tahoma"/>
            <family val="2"/>
          </rPr>
          <t>casselau:</t>
        </r>
        <r>
          <rPr>
            <sz val="8"/>
            <color indexed="81"/>
            <rFont val="Tahoma"/>
            <family val="2"/>
          </rPr>
          <t xml:space="preserve">
11/20: includes 4 days of hurrican sandy (106 stores affected)</t>
        </r>
      </text>
    </comment>
    <comment ref="CC12" authorId="15">
      <text>
        <r>
          <rPr>
            <b/>
            <sz val="8"/>
            <color indexed="81"/>
            <rFont val="Tahoma"/>
            <family val="2"/>
          </rPr>
          <t>casselau:</t>
        </r>
        <r>
          <rPr>
            <sz val="8"/>
            <color indexed="81"/>
            <rFont val="Tahoma"/>
            <family val="2"/>
          </rPr>
          <t xml:space="preserve">
11/20: 2% decrease in the average unit selling price and a 3% decrease in units per transaction, each of which was partially offset by a 4% increase in transactions; if it were not for DTC returns at the stores, comparable store net sales would have been +LSD; Sept best month, followed by August, then October</t>
        </r>
      </text>
    </comment>
    <comment ref="CG12" authorId="7">
      <text>
        <r>
          <rPr>
            <b/>
            <sz val="8"/>
            <color indexed="81"/>
            <rFont val="Tahoma"/>
            <family val="2"/>
          </rPr>
          <t>turleamb:</t>
        </r>
        <r>
          <rPr>
            <sz val="8"/>
            <color indexed="81"/>
            <rFont val="Tahoma"/>
            <family val="2"/>
          </rPr>
          <t xml:space="preserve">
11/18/13: Comps driven by increase in UPT partially offset by decrease in avg unit selling price &amp; transactions were flat. DTC driven by 7% increase in website traffic to ~53m visitors, a higher avg order value and +34 bps improved conversion</t>
        </r>
      </text>
    </comment>
    <comment ref="CK12" authorId="9">
      <text>
        <r>
          <rPr>
            <b/>
            <sz val="9"/>
            <color indexed="81"/>
            <rFont val="Tahoma"/>
            <family val="2"/>
          </rPr>
          <t>Turley, Amber (Research):</t>
        </r>
        <r>
          <rPr>
            <sz val="9"/>
            <color indexed="81"/>
            <rFont val="Tahoma"/>
            <family val="2"/>
          </rPr>
          <t xml:space="preserve">
12/10/14 10-Q: The decrease in comparable net sales was driven by negative comparable store net sales largely offset by continued growth in the direct-to-consumer channel. The negative comparable store net sales resulted from a reduction in transactions and units per transaction, partially offset by an increase in average unit selling price. Growth in direct-to-consumer net sales was driven by a higher average order value and an increase in website and mobile traffic.</t>
        </r>
      </text>
    </comment>
    <comment ref="CO12" authorId="8">
      <text>
        <r>
          <rPr>
            <b/>
            <sz val="9"/>
            <color indexed="81"/>
            <rFont val="Tahoma"/>
            <family val="2"/>
          </rPr>
          <t>Mains, Spencer (Research):</t>
        </r>
        <r>
          <rPr>
            <sz val="9"/>
            <color indexed="81"/>
            <rFont val="Tahoma"/>
            <family val="2"/>
          </rPr>
          <t xml:space="preserve">
8/17/15: The DTC channel continued to outperform stores posting positive gains drivne by increases in sessions, average order value, and session conversion.
Negative comp store sales resulted from decreased transactions and UPT partially offset by higher AUR.
Strongest in May followed by June and July which came in fairly consistent with each other.</t>
        </r>
      </text>
    </comment>
    <comment ref="CS12" authorId="10">
      <text>
        <r>
          <rPr>
            <b/>
            <sz val="9"/>
            <color indexed="81"/>
            <rFont val="Tahoma"/>
            <family val="2"/>
          </rPr>
          <t>Baglione, Gregory  (Research):</t>
        </r>
        <r>
          <rPr>
            <sz val="9"/>
            <color indexed="81"/>
            <rFont val="Tahoma"/>
            <family val="2"/>
          </rPr>
          <t xml:space="preserve">
11/22/16
"This sales increase included a 1% retail segment comp, a 30% increase in wholesale segment sales, and a $12 million increase in non-comp sales,
including the opening of 12 net new stores in the quarter and sales from the newly acquired Vetri Family Restaurants.
Please keep in mind that the</t>
        </r>
        <r>
          <rPr>
            <b/>
            <sz val="9"/>
            <color indexed="81"/>
            <rFont val="Tahoma"/>
            <family val="2"/>
          </rPr>
          <t xml:space="preserve"> third quarter last year was negatively impacted by approximately $9 million of wholesale shipments that slipped into
the fourth quarter</t>
        </r>
        <r>
          <rPr>
            <sz val="9"/>
            <color indexed="81"/>
            <rFont val="Tahoma"/>
            <family val="2"/>
          </rPr>
          <t xml:space="preserve"> due to delays at our recently opened east coast fulfillment center. Additionally, please note that </t>
        </r>
        <r>
          <rPr>
            <b/>
            <sz val="9"/>
            <color indexed="81"/>
            <rFont val="Tahoma"/>
            <family val="2"/>
          </rPr>
          <t>foreign currency translation
negatively impacted our sales growth by approximately 120 basis points in the quarter.
Our URBN retail segment comp was strongest in September, followed by October, with August being the weakest.</t>
        </r>
        <r>
          <rPr>
            <sz val="9"/>
            <color indexed="81"/>
            <rFont val="Tahoma"/>
            <family val="2"/>
          </rPr>
          <t xml:space="preserve">
Comp metrics
-AUR Down
-UPT up
-Transactions down
-Store Traffic up
DTC:
Sessions Up
Conversion Up
AOV Down
9/8/16
Thus far during the third quarter of fiscal 2017, comparable Retail segment net sales are flat.
8/16/16
For the third quarter, we are planning six new Anthropologie stores, including one new Anthropologie store in Europe, two new urban outfitter stores and throw new Free People stores. For the year, we are planning on opening three net new urban outfitter stores including one in Europe, seven net new Anthropologie stores including two in Europe, and 13 net new Free People stores. 
8/16/16
Expect spread to wide 100 to 150 bps from 2Q ~200 bps.
</t>
        </r>
      </text>
    </comment>
    <comment ref="CW12" authorId="12">
      <text>
        <r>
          <rPr>
            <b/>
            <sz val="9"/>
            <color indexed="81"/>
            <rFont val="Tahoma"/>
            <family val="2"/>
          </rPr>
          <t>Cassel, Lauren (Research):</t>
        </r>
        <r>
          <rPr>
            <sz val="9"/>
            <color indexed="81"/>
            <rFont val="Tahoma"/>
            <family val="2"/>
          </rPr>
          <t xml:space="preserve">
11/20/17: +1% comp including hurricane impact, comp -LSD in August, positive in September, and accelerating in October; in eComm sessions and conversion up, AOV down. In stores transactions, aur, upt  down.
9/6/17: QTD -LSD</t>
        </r>
      </text>
    </comment>
    <comment ref="DD12" authorId="17">
      <text>
        <r>
          <rPr>
            <b/>
            <sz val="9"/>
            <color indexed="81"/>
            <rFont val="Tahoma"/>
            <family val="2"/>
          </rPr>
          <t>Baglione, Gregory (Research):</t>
        </r>
        <r>
          <rPr>
            <sz val="9"/>
            <color indexed="81"/>
            <rFont val="Tahoma"/>
            <family val="2"/>
          </rPr>
          <t xml:space="preserve">
FX -120 bps
Narrower</t>
        </r>
      </text>
    </comment>
    <comment ref="X13" authorId="0">
      <text>
        <r>
          <rPr>
            <b/>
            <sz val="8"/>
            <color indexed="81"/>
            <rFont val="Tahoma"/>
            <family val="2"/>
          </rPr>
          <t>dong2:</t>
        </r>
        <r>
          <rPr>
            <sz val="8"/>
            <color indexed="81"/>
            <rFont val="Tahoma"/>
            <family val="2"/>
          </rPr>
          <t xml:space="preserve">
the 4Q99 press release does not match the 4q00 press release - because of EITF-00-10?</t>
        </r>
      </text>
    </comment>
    <comment ref="AH13" authorId="1">
      <text>
        <r>
          <rPr>
            <b/>
            <sz val="8"/>
            <color indexed="81"/>
            <rFont val="Tahoma"/>
            <family val="2"/>
          </rPr>
          <t>Lehman Brothers:</t>
        </r>
        <r>
          <rPr>
            <sz val="8"/>
            <color indexed="81"/>
            <rFont val="Tahoma"/>
            <family val="2"/>
          </rPr>
          <t xml:space="preserve">
8/02: 4Q01 color: co seemed to have had a good Nov, better Dec, and a great Jan in F01</t>
        </r>
      </text>
    </comment>
    <comment ref="AN13" authorId="1">
      <text>
        <r>
          <rPr>
            <b/>
            <sz val="8"/>
            <color indexed="81"/>
            <rFont val="Tahoma"/>
            <family val="2"/>
          </rPr>
          <t>Lehman Brothers:</t>
        </r>
        <r>
          <rPr>
            <sz val="8"/>
            <color indexed="81"/>
            <rFont val="Tahoma"/>
            <family val="2"/>
          </rPr>
          <t xml:space="preserve">
142, 161.5</t>
        </r>
      </text>
    </comment>
    <comment ref="AU13" authorId="3">
      <text>
        <r>
          <rPr>
            <b/>
            <sz val="8"/>
            <color indexed="81"/>
            <rFont val="Tahoma"/>
            <family val="2"/>
          </rPr>
          <t>Corinna Freedman:</t>
        </r>
        <r>
          <rPr>
            <sz val="8"/>
            <color indexed="81"/>
            <rFont val="Tahoma"/>
            <family val="2"/>
          </rPr>
          <t xml:space="preserve">
Nov/Dec $194.6mm, 77.3% of 4Q sales
244</t>
        </r>
      </text>
    </comment>
    <comment ref="AY13" authorId="16">
      <text>
        <r>
          <rPr>
            <b/>
            <sz val="8"/>
            <color indexed="81"/>
            <rFont val="Tahoma"/>
            <family val="2"/>
          </rPr>
          <t>mm98285:</t>
        </r>
        <r>
          <rPr>
            <sz val="8"/>
            <color indexed="81"/>
            <rFont val="Tahoma"/>
            <family val="2"/>
          </rPr>
          <t xml:space="preserve">
Nov/Dec: $246mm, 77.2% of 4Q sales</t>
        </r>
      </text>
    </comment>
    <comment ref="BC13" authorId="16">
      <text>
        <r>
          <rPr>
            <b/>
            <sz val="8"/>
            <color indexed="81"/>
            <rFont val="Tahoma"/>
            <family val="2"/>
          </rPr>
          <t>mm98285:</t>
        </r>
        <r>
          <rPr>
            <sz val="8"/>
            <color indexed="81"/>
            <rFont val="Tahoma"/>
            <family val="2"/>
          </rPr>
          <t xml:space="preserve">
Nov/Dec: $278mm, 77.1% of 4Q sales</t>
        </r>
      </text>
    </comment>
    <comment ref="BE13" authorId="16">
      <text>
        <r>
          <rPr>
            <b/>
            <sz val="8"/>
            <color indexed="81"/>
            <rFont val="Tahoma"/>
            <family val="2"/>
          </rPr>
          <t>mm98285:</t>
        </r>
        <r>
          <rPr>
            <sz val="8"/>
            <color indexed="81"/>
            <rFont val="Tahoma"/>
            <family val="2"/>
          </rPr>
          <t xml:space="preserve">
Nov/Dec comp -5%</t>
        </r>
      </text>
    </comment>
    <comment ref="BG13" authorId="16">
      <text>
        <r>
          <rPr>
            <b/>
            <sz val="8"/>
            <color indexed="81"/>
            <rFont val="Tahoma"/>
            <family val="2"/>
          </rPr>
          <t>mm98285:</t>
        </r>
        <r>
          <rPr>
            <sz val="8"/>
            <color indexed="81"/>
            <rFont val="Tahoma"/>
            <family val="2"/>
          </rPr>
          <t xml:space="preserve">
Nov/Dec: $356, 76.5% of 4Q sales</t>
        </r>
      </text>
    </comment>
    <comment ref="BI13" authorId="16">
      <text>
        <r>
          <rPr>
            <b/>
            <sz val="8"/>
            <color indexed="81"/>
            <rFont val="Tahoma"/>
            <family val="2"/>
          </rPr>
          <t>mm98285:</t>
        </r>
        <r>
          <rPr>
            <sz val="8"/>
            <color indexed="81"/>
            <rFont val="Tahoma"/>
            <family val="2"/>
          </rPr>
          <t xml:space="preserve">
1/08: Nov/Dec comps +16%, +17%, +5% at Anthro, Free People &amp; U. O., respectively, for combined +9% vs. a combined -5% LY
12/05/07: 10Q indicates QTD trends are running above 3Q</t>
        </r>
      </text>
    </comment>
    <comment ref="BK13" authorId="16">
      <text>
        <r>
          <rPr>
            <b/>
            <sz val="8"/>
            <color indexed="81"/>
            <rFont val="Tahoma"/>
            <family val="2"/>
          </rPr>
          <t>mm98285:</t>
        </r>
        <r>
          <rPr>
            <sz val="8"/>
            <color indexed="81"/>
            <rFont val="Tahoma"/>
            <family val="2"/>
          </rPr>
          <t xml:space="preserve">
Nov/Dec: $389, 76.6% of 4Q sales</t>
        </r>
      </text>
    </comment>
    <comment ref="BS13" authorId="9">
      <text>
        <r>
          <rPr>
            <b/>
            <sz val="9"/>
            <color indexed="81"/>
            <rFont val="Tahoma"/>
            <family val="2"/>
          </rPr>
          <t>Turley, Amber (Research):</t>
        </r>
        <r>
          <rPr>
            <sz val="9"/>
            <color indexed="81"/>
            <rFont val="Tahoma"/>
            <family val="2"/>
          </rPr>
          <t xml:space="preserve">
holiday sales $520M
holiday comp +5%</t>
        </r>
      </text>
    </comment>
    <comment ref="BU13" authorId="6">
      <text>
        <r>
          <rPr>
            <b/>
            <sz val="8"/>
            <color indexed="81"/>
            <rFont val="Tahoma"/>
            <family val="2"/>
          </rPr>
          <t>nicholjs:</t>
        </r>
        <r>
          <rPr>
            <sz val="8"/>
            <color indexed="81"/>
            <rFont val="Tahoma"/>
            <family val="2"/>
          </rPr>
          <t xml:space="preserve">
3/7/11: For stores the average number of units per transaction increased 2%, while average unit selling prices and transaction counts
decreased 3% and 1%, respectively.
Direct-to-Consumer revenue increased 29% to $145 million. The penetration of Direct-to-Consumer net sales to total Company
net sales increased 270 basis points to 21.7%, with results largely driven by a 34% increase in website traffic to over 35 million
visits.
1/2011: probably good to assume flat comp
12/10/10: Thus far during the fourth quarter of fiscal 2011, comparable retail segment net sales are mid single digit positive.
11/2010: planning SSS consistent w/ 3Q.  "+MSD" total including direct reasonable</t>
        </r>
      </text>
    </comment>
    <comment ref="BW13" authorId="9">
      <text>
        <r>
          <rPr>
            <b/>
            <sz val="9"/>
            <color indexed="81"/>
            <rFont val="Tahoma"/>
            <family val="2"/>
          </rPr>
          <t>Turley, Amber (Research):</t>
        </r>
        <r>
          <rPr>
            <sz val="9"/>
            <color indexed="81"/>
            <rFont val="Tahoma"/>
            <family val="2"/>
          </rPr>
          <t xml:space="preserve">
holiday sales $577M
holiday comp +4%</t>
        </r>
      </text>
    </comment>
    <comment ref="BY13" authorId="6">
      <text>
        <r>
          <rPr>
            <b/>
            <sz val="8"/>
            <color indexed="81"/>
            <rFont val="Tahoma"/>
            <family val="2"/>
          </rPr>
          <t>3/12/12:</t>
        </r>
        <r>
          <rPr>
            <sz val="8"/>
            <color indexed="81"/>
            <rFont val="Tahoma"/>
            <family val="2"/>
          </rPr>
          <t xml:space="preserve"> 3/12/12: The total company comparable store net
sales decline of 1% was driven by a 5.2% decrease in average unit selling prices, a 1.5% increase in the average number of units per transaction,
and a 2.5% increase in total transactions. Direct-to-consumer comparable net sales increased 14% to $167 million with the penetration at total net
sales accelerating 110 basis points to 23%.These results were largely driven by a 34% increase in website traffic to over 47 million visits.
</t>
        </r>
        <r>
          <rPr>
            <b/>
            <sz val="8"/>
            <color indexed="81"/>
            <rFont val="Tahoma"/>
            <family val="2"/>
          </rPr>
          <t xml:space="preserve">
3/12/12: </t>
        </r>
        <r>
          <rPr>
            <sz val="8"/>
            <color indexed="81"/>
            <rFont val="Tahoma"/>
            <family val="2"/>
          </rPr>
          <t>we think Jan stores comps fell 6% Direct sales in Jan likely grew low single digits and Jan retail segment comp was around -4%</t>
        </r>
        <r>
          <rPr>
            <b/>
            <sz val="8"/>
            <color indexed="81"/>
            <rFont val="Tahoma"/>
            <family val="2"/>
          </rPr>
          <t xml:space="preserve">
2/9/12: </t>
        </r>
        <r>
          <rPr>
            <sz val="8"/>
            <color indexed="81"/>
            <rFont val="Tahoma"/>
            <family val="2"/>
          </rPr>
          <t>Comparable retail segment net sales, incl eComm, +2%; comp store sales -1%</t>
        </r>
        <r>
          <rPr>
            <b/>
            <sz val="8"/>
            <color indexed="81"/>
            <rFont val="Tahoma"/>
            <family val="2"/>
          </rPr>
          <t xml:space="preserve">
1/5/12: </t>
        </r>
        <r>
          <rPr>
            <sz val="8"/>
            <color indexed="81"/>
            <rFont val="Tahoma"/>
            <family val="2"/>
          </rPr>
          <t>Comparable retail segment net sales, which include our direct-to-consumer channels, increased 4% while comparable store net sales were flat.</t>
        </r>
        <r>
          <rPr>
            <b/>
            <sz val="8"/>
            <color indexed="81"/>
            <rFont val="Tahoma"/>
            <family val="2"/>
          </rPr>
          <t xml:space="preserve">
10Q: </t>
        </r>
        <r>
          <rPr>
            <sz val="8"/>
            <color indexed="81"/>
            <rFont val="Tahoma"/>
            <family val="2"/>
          </rPr>
          <t>thus far retail seg comps +MSD, we est +5% w/5-600bps eComm driven, and -1% store comps</t>
        </r>
        <r>
          <rPr>
            <b/>
            <sz val="8"/>
            <color indexed="81"/>
            <rFont val="Tahoma"/>
            <family val="2"/>
          </rPr>
          <t xml:space="preserve">
nicholjs:</t>
        </r>
        <r>
          <rPr>
            <sz val="8"/>
            <color indexed="81"/>
            <rFont val="Tahoma"/>
            <family val="2"/>
          </rPr>
          <t xml:space="preserve">
8/15/2011: expect gradual improvements in comparable sales over the balance of the year and into Spring 2012
6/10/2011: +3% range okay
5/17: could be +LSD</t>
        </r>
      </text>
    </comment>
    <comment ref="CA13" authorId="15">
      <text>
        <r>
          <rPr>
            <b/>
            <sz val="8"/>
            <color indexed="81"/>
            <rFont val="Tahoma"/>
            <family val="2"/>
          </rPr>
          <t>casselau:</t>
        </r>
        <r>
          <rPr>
            <sz val="8"/>
            <color indexed="81"/>
            <rFont val="Tahoma"/>
            <family val="2"/>
          </rPr>
          <t xml:space="preserve">
1/10/13:  holiday sales $666M</t>
        </r>
      </text>
    </comment>
    <comment ref="CB13" authorId="15">
      <text>
        <r>
          <rPr>
            <b/>
            <sz val="8"/>
            <color indexed="81"/>
            <rFont val="Tahoma"/>
            <family val="2"/>
          </rPr>
          <t>casselau:</t>
        </r>
        <r>
          <rPr>
            <sz val="8"/>
            <color indexed="81"/>
            <rFont val="Tahoma"/>
            <family val="2"/>
          </rPr>
          <t xml:space="preserve">
1/10/13: holiday sales +15%</t>
        </r>
      </text>
    </comment>
    <comment ref="CC13" authorId="15">
      <text>
        <r>
          <rPr>
            <b/>
            <sz val="8"/>
            <color indexed="81"/>
            <rFont val="Tahoma"/>
            <family val="2"/>
          </rPr>
          <t xml:space="preserve">3/11/13: </t>
        </r>
        <r>
          <rPr>
            <sz val="8"/>
            <color indexed="81"/>
            <rFont val="Tahoma"/>
            <family val="2"/>
          </rPr>
          <t>comp store sales were flat due to a 2% increase in transactions which was offset by a 2% decrease in the avg unit selling price with no changes in UPT</t>
        </r>
        <r>
          <rPr>
            <b/>
            <sz val="8"/>
            <color indexed="81"/>
            <rFont val="Tahoma"/>
            <family val="2"/>
          </rPr>
          <t xml:space="preserve">
casselau:</t>
        </r>
        <r>
          <rPr>
            <sz val="8"/>
            <color indexed="81"/>
            <rFont val="Tahoma"/>
            <family val="2"/>
          </rPr>
          <t xml:space="preserve">
1/10/13: holiday comp +9% retail segment, -1% store only (ex online returns +LSD)</t>
        </r>
      </text>
    </comment>
    <comment ref="CE13" authorId="7">
      <text>
        <r>
          <rPr>
            <b/>
            <sz val="8"/>
            <color indexed="81"/>
            <rFont val="Tahoma"/>
            <family val="2"/>
          </rPr>
          <t>turleamb:</t>
        </r>
        <r>
          <rPr>
            <sz val="8"/>
            <color indexed="81"/>
            <rFont val="Tahoma"/>
            <family val="2"/>
          </rPr>
          <t xml:space="preserve">
1/9/14: holiday sales $716m
3/10/14: This increase was driven by a $31 million increase in non-comparable sales, including the opening of 11 net new stores, a 24% jump in wholesale sales and a 1% increase in our retail segment comp. Direct-to-consumer growth resulted from higher average order value and increased visitors. Negative comp store sales resulted from a reduction in transactions which were partially offset by increases in units per transaction and average unit selling price</t>
        </r>
      </text>
    </comment>
    <comment ref="CG13" authorId="7">
      <text>
        <r>
          <rPr>
            <b/>
            <sz val="8"/>
            <color indexed="81"/>
            <rFont val="Tahoma"/>
            <family val="2"/>
          </rPr>
          <t>turleamb:</t>
        </r>
        <r>
          <rPr>
            <sz val="8"/>
            <color indexed="81"/>
            <rFont val="Tahoma"/>
            <family val="2"/>
          </rPr>
          <t xml:space="preserve">
3/10/14: driven by strong DTC growth that offset negative store sales. Direct-to-consumer growth resulted from higher average order value and increased visitors. Negative comp store sales resulted from a reduction in transactions which were partially offset by increases in units per transaction and average unit selling price
1/9/14: Holiday comp +3%</t>
        </r>
      </text>
    </comment>
    <comment ref="CI13" authorId="9">
      <text>
        <r>
          <rPr>
            <b/>
            <sz val="9"/>
            <color indexed="81"/>
            <rFont val="Tahoma"/>
            <family val="2"/>
          </rPr>
          <t>Turley, Amber (Research):</t>
        </r>
        <r>
          <rPr>
            <sz val="9"/>
            <color indexed="81"/>
            <rFont val="Tahoma"/>
            <family val="2"/>
          </rPr>
          <t xml:space="preserve">
Nov/Dec holiday sales $785M. Typically Jan is 21-22% of sales. If that holds true this year that would suggest total sales could be $993M-$1006M</t>
        </r>
      </text>
    </comment>
    <comment ref="CJ13" authorId="9">
      <text>
        <r>
          <rPr>
            <b/>
            <sz val="9"/>
            <color indexed="81"/>
            <rFont val="Tahoma"/>
            <family val="2"/>
          </rPr>
          <t>Turley, Amber (Research):</t>
        </r>
        <r>
          <rPr>
            <sz val="9"/>
            <color indexed="81"/>
            <rFont val="Tahoma"/>
            <family val="2"/>
          </rPr>
          <t xml:space="preserve">
11/17/14: sales to comp spread should look similar to 3Q</t>
        </r>
      </text>
    </comment>
    <comment ref="CK13" authorId="9">
      <text>
        <r>
          <rPr>
            <b/>
            <sz val="9"/>
            <color indexed="81"/>
            <rFont val="Tahoma"/>
            <family val="2"/>
          </rPr>
          <t>Turley, Amber (Research):</t>
        </r>
        <r>
          <rPr>
            <sz val="9"/>
            <color indexed="81"/>
            <rFont val="Tahoma"/>
            <family val="2"/>
          </rPr>
          <t xml:space="preserve">
3/9/15: 6% comp driven by strong DTC growth which more than offset negative comparable store sales. January strongest, followed by November then December. Direct-to-consumer growth resulted from increases in sessions, orders, average order value and conversion. Negative comparable store net sales resulted from a reduction in transactions and units per transaction, which were partially offset by an increase in average unit selling price.
1/8/15: Holiday comp +4%
12/11/14: 4QTD comp +LSD (2-3%)</t>
        </r>
      </text>
    </comment>
    <comment ref="CO13" authorId="10">
      <text>
        <r>
          <rPr>
            <b/>
            <sz val="9"/>
            <color indexed="81"/>
            <rFont val="Tahoma"/>
            <family val="2"/>
          </rPr>
          <t xml:space="preserve">3/7/16
Apparel sales underperformed during 4Q
1/7/16: Holiday comp -2%, Holiday sales flat
</t>
        </r>
        <r>
          <rPr>
            <sz val="9"/>
            <color indexed="81"/>
            <rFont val="Tahoma"/>
            <family val="2"/>
          </rPr>
          <t xml:space="preserve">
11/16/15
Prior estimatse +2.4%
</t>
        </r>
      </text>
    </comment>
    <comment ref="CR13" authorId="17">
      <text>
        <r>
          <rPr>
            <b/>
            <sz val="9"/>
            <color indexed="81"/>
            <rFont val="Tahoma"/>
            <family val="2"/>
          </rPr>
          <t>3/7/17: FX negatively impacted sales by 1.5% 
Baglione, Gregory (Research):</t>
        </r>
        <r>
          <rPr>
            <sz val="9"/>
            <color indexed="81"/>
            <rFont val="Tahoma"/>
            <family val="2"/>
          </rPr>
          <t xml:space="preserve">
1/9/17: Holiday sales +3%
12/12/16
Our $1.04B is fine per management
11/22/16
Management noted the 4Q sales spread would be much more narrow than 3Q, which was boosted by at least 1.5% from the timing of wholesale shipments. We model +1.5% spread. </t>
        </r>
      </text>
    </comment>
    <comment ref="CS13" authorId="17">
      <text>
        <r>
          <rPr>
            <b/>
            <sz val="9"/>
            <color indexed="81"/>
            <rFont val="Tahoma"/>
            <family val="2"/>
          </rPr>
          <t xml:space="preserve">3/7/17: store comps: transactions and AUR down, UPT flat; eComm +DD (driven by increases in sessions and converstion rate, offset by decrease in average order value); strongest in November (shift from cyber monday; December and January negative) 
</t>
        </r>
        <r>
          <rPr>
            <sz val="9"/>
            <color indexed="81"/>
            <rFont val="Tahoma"/>
            <family val="2"/>
          </rPr>
          <t xml:space="preserve">
1/9/17: Holiday comp +1.5%
12/12/16
Thus far during the fourth quarter of fiscal 2017, comparable Retail segment net
sales are low single-digit positive.
Callback with mgmt --  UO +5%, Anthro -3%, FP +1% assumptions in-line with trend QTD and 4Q expectations; Saw a strong Weds-Cyber Monday. Since then have seen a lull. Limited visibility into next few weeks. 
</t>
        </r>
      </text>
    </comment>
    <comment ref="CV13" authorId="11">
      <text>
        <r>
          <rPr>
            <b/>
            <sz val="9"/>
            <color indexed="81"/>
            <rFont val="Tahoma"/>
            <family val="2"/>
          </rPr>
          <t>Roberts, Cynthia (Research):</t>
        </r>
        <r>
          <rPr>
            <sz val="9"/>
            <color indexed="81"/>
            <rFont val="Tahoma"/>
            <family val="2"/>
          </rPr>
          <t xml:space="preserve">
1/8/18: Holiday sales +3.6%</t>
        </r>
      </text>
    </comment>
    <comment ref="CW13" authorId="11">
      <text>
        <r>
          <rPr>
            <b/>
            <sz val="9"/>
            <color indexed="81"/>
            <rFont val="Tahoma"/>
            <family val="2"/>
          </rPr>
          <t>Roberts, Cynthia (Research):</t>
        </r>
        <r>
          <rPr>
            <sz val="9"/>
            <color indexed="81"/>
            <rFont val="Tahoma"/>
            <family val="2"/>
          </rPr>
          <t xml:space="preserve">
2/8/17: comps driven by stronger apparel sales with January registering particularly powerful y/y results
1/8/18  Holiday comp +2%; deceleration driven entirely by UO  N.America, where tech &amp; media within Home declined  more than anticipated and penetration for this category is double in December
12/11/17: QTD comps  +MSD,
11/20/17: 3Q trends continuing into 4Q QTD </t>
        </r>
      </text>
    </comment>
    <comment ref="BH14" authorId="16">
      <text>
        <r>
          <rPr>
            <b/>
            <sz val="8"/>
            <color indexed="81"/>
            <rFont val="Tahoma"/>
            <family val="2"/>
          </rPr>
          <t>mm98285:</t>
        </r>
        <r>
          <rPr>
            <sz val="8"/>
            <color indexed="81"/>
            <rFont val="Tahoma"/>
            <family val="2"/>
          </rPr>
          <t xml:space="preserve">
3/07: expect 20% growth</t>
        </r>
      </text>
    </comment>
    <comment ref="BY14" authorId="6">
      <text>
        <r>
          <rPr>
            <b/>
            <sz val="8"/>
            <color indexed="81"/>
            <rFont val="Tahoma"/>
            <family val="2"/>
          </rPr>
          <t xml:space="preserve">2/9/11: </t>
        </r>
        <r>
          <rPr>
            <sz val="8"/>
            <color indexed="81"/>
            <rFont val="Tahoma"/>
            <family val="2"/>
          </rPr>
          <t>retail comps flat; store comps -4%</t>
        </r>
        <r>
          <rPr>
            <b/>
            <sz val="8"/>
            <color indexed="81"/>
            <rFont val="Tahoma"/>
            <family val="2"/>
          </rPr>
          <t xml:space="preserve">
nicholjs:</t>
        </r>
        <r>
          <rPr>
            <sz val="8"/>
            <color indexed="81"/>
            <rFont val="Tahoma"/>
            <family val="2"/>
          </rPr>
          <t xml:space="preserve">
11/2010: planning to +LSD stores SSS</t>
        </r>
      </text>
    </comment>
    <comment ref="CG14" authorId="7">
      <text>
        <r>
          <rPr>
            <b/>
            <sz val="9"/>
            <color indexed="81"/>
            <rFont val="Tahoma"/>
            <family val="2"/>
          </rPr>
          <t>turleamb:</t>
        </r>
        <r>
          <rPr>
            <sz val="9"/>
            <color indexed="81"/>
            <rFont val="Tahoma"/>
            <family val="2"/>
          </rPr>
          <t xml:space="preserve">
10-K: The positive comparable store net sales resulted from increases in units per transaction and transactions, which were partially offset by a decrease in average unit selling price.</t>
        </r>
      </text>
    </comment>
    <comment ref="CN14" authorId="9">
      <text>
        <r>
          <rPr>
            <b/>
            <sz val="9"/>
            <color indexed="81"/>
            <rFont val="Tahoma"/>
            <family val="2"/>
          </rPr>
          <t>Turley, Amber (Research):</t>
        </r>
        <r>
          <rPr>
            <sz val="9"/>
            <color indexed="81"/>
            <rFont val="Tahoma"/>
            <family val="2"/>
          </rPr>
          <t xml:space="preserve">
estimate F/X has ~2% sales hit based on 3/9/15 forward rates</t>
        </r>
      </text>
    </comment>
    <comment ref="CV14" authorId="17">
      <text>
        <r>
          <rPr>
            <b/>
            <sz val="9"/>
            <color indexed="81"/>
            <rFont val="Tahoma"/>
            <family val="2"/>
          </rPr>
          <t>Baglione, Gregory (Research):</t>
        </r>
        <r>
          <rPr>
            <sz val="9"/>
            <color indexed="81"/>
            <rFont val="Tahoma"/>
            <family val="2"/>
          </rPr>
          <t xml:space="preserve">
1/16/17
Model the sales to comp spread in-line with 2016 given 1) continued FX headwinds  early in 2017 and 2) lower square footage growth y/y.</t>
        </r>
      </text>
    </comment>
    <comment ref="AC18" authorId="0">
      <text>
        <r>
          <rPr>
            <b/>
            <sz val="8"/>
            <color indexed="81"/>
            <rFont val="Tahoma"/>
            <family val="2"/>
          </rPr>
          <t>dong2:</t>
        </r>
        <r>
          <rPr>
            <sz val="8"/>
            <color indexed="81"/>
            <rFont val="Tahoma"/>
            <family val="2"/>
          </rPr>
          <t xml:space="preserve">
Anthro, Urban and Wholesale have separate senior mgmt group, buying staff, visual mdsing group and operation mgmt. They share distribution, MIS, inventory mgmt, sales/audit, control/acctg and admin.</t>
        </r>
      </text>
    </comment>
    <comment ref="BK18" authorId="7">
      <text>
        <r>
          <rPr>
            <b/>
            <sz val="9"/>
            <color indexed="81"/>
            <rFont val="Tahoma"/>
            <family val="2"/>
          </rPr>
          <t>turleamb:</t>
        </r>
        <r>
          <rPr>
            <sz val="9"/>
            <color indexed="81"/>
            <rFont val="Tahoma"/>
            <family val="2"/>
          </rPr>
          <t xml:space="preserve">
Cost of sales includes the following: the cost of merchandise; obsolescence and shrink provisions; store occupancy costs including rent and depreciation; delivery expense; in-bound and outbound freight; customs related taxes and duties; inventory acquisition and purchasing costs; design costs; warehousing and handling costs and other inventory acquisition related costs.</t>
        </r>
      </text>
    </comment>
    <comment ref="CI18" authorId="7">
      <text>
        <r>
          <rPr>
            <b/>
            <sz val="9"/>
            <color indexed="81"/>
            <rFont val="Tahoma"/>
            <family val="2"/>
          </rPr>
          <t>turleamb:</t>
        </r>
        <r>
          <rPr>
            <sz val="9"/>
            <color indexed="81"/>
            <rFont val="Tahoma"/>
            <family val="2"/>
          </rPr>
          <t xml:space="preserve">
Cost of sales includes the following: the cost of merchandise; obsolescence and shrink provisions; store occupancy costs including rent and depreciation; delivery expense; in-bound and outbound freight; customs related taxes and duties; inventory acquisition and purchasing costs; design costs; warehousing and handling costs and other inventory acquisition related costs.</t>
        </r>
      </text>
    </comment>
    <comment ref="AG20" authorId="0">
      <text>
        <r>
          <rPr>
            <b/>
            <sz val="8"/>
            <color indexed="81"/>
            <rFont val="Tahoma"/>
            <family val="2"/>
          </rPr>
          <t>dong2:</t>
        </r>
        <r>
          <rPr>
            <sz val="8"/>
            <color indexed="81"/>
            <rFont val="Tahoma"/>
            <family val="2"/>
          </rPr>
          <t xml:space="preserve">
declined from 35.3% to 30.0%. 1) Higher occupancy costs of new stores and impact of occupancy from negative comp contributed 330 bps of decline. 2) Increased MDs of Wholesale Spring and Summer segments contributed 120 bps of decline. 3) Reduction of retail gross margins due to a small change in the mix toward branded goods carrying a slightly lower initial markon, offset in part by a reduction in clearance markdowns</t>
        </r>
      </text>
    </comment>
    <comment ref="AK20" authorId="1">
      <text>
        <r>
          <rPr>
            <b/>
            <sz val="8"/>
            <color indexed="81"/>
            <rFont val="Tahoma"/>
            <family val="2"/>
          </rPr>
          <t>Lehman Brothers:</t>
        </r>
        <r>
          <rPr>
            <sz val="8"/>
            <color indexed="81"/>
            <rFont val="Tahoma"/>
            <family val="2"/>
          </rPr>
          <t xml:space="preserve">
had $58.2 and 31.6%</t>
        </r>
      </text>
    </comment>
    <comment ref="AO20" authorId="1">
      <text>
        <r>
          <rPr>
            <b/>
            <sz val="8"/>
            <color indexed="81"/>
            <rFont val="Tahoma"/>
            <family val="2"/>
          </rPr>
          <t>Lehman Brothers:</t>
        </r>
        <r>
          <rPr>
            <sz val="8"/>
            <color indexed="81"/>
            <rFont val="Tahoma"/>
            <family val="2"/>
          </rPr>
          <t xml:space="preserve">
1/03: mgmt looking for GM impv. Thru modestly higher MU and modestly lower MD</t>
        </r>
      </text>
    </comment>
    <comment ref="AQ20" authorId="18">
      <text>
        <r>
          <rPr>
            <b/>
            <sz val="8"/>
            <color indexed="81"/>
            <rFont val="Tahoma"/>
            <family val="2"/>
          </rPr>
          <t>kgreenbe:</t>
        </r>
        <r>
          <rPr>
            <sz val="8"/>
            <color indexed="81"/>
            <rFont val="Tahoma"/>
            <family val="2"/>
          </rPr>
          <t xml:space="preserve">
check from COGS component analysis on 'marge' tab</t>
        </r>
      </text>
    </comment>
    <comment ref="BA20" authorId="19">
      <text>
        <r>
          <rPr>
            <b/>
            <sz val="8"/>
            <color indexed="81"/>
            <rFont val="Tahoma"/>
            <family val="2"/>
          </rPr>
          <t>Kimberly Greenberger:</t>
        </r>
        <r>
          <rPr>
            <sz val="8"/>
            <color indexed="81"/>
            <rFont val="Tahoma"/>
            <family val="2"/>
          </rPr>
          <t xml:space="preserve">
GM +116 bps incl. Mdse Margin +40 bps (IMU +107 bps offset by MD's 64 bps higher) 
</t>
        </r>
      </text>
    </comment>
    <comment ref="BC20" authorId="13">
      <text>
        <r>
          <rPr>
            <b/>
            <sz val="8"/>
            <color indexed="81"/>
            <rFont val="Tahoma"/>
            <family val="2"/>
          </rPr>
          <t>kg51925:</t>
        </r>
        <r>
          <rPr>
            <sz val="8"/>
            <color indexed="81"/>
            <rFont val="Tahoma"/>
            <family val="2"/>
          </rPr>
          <t xml:space="preserve">
added $2mm obsolescence reserve in 1Q06 to what was already a $2mm bal at end of 4Q (likely $1mm in 3Q and $1mm in 4Q)</t>
        </r>
      </text>
    </comment>
    <comment ref="BE20" authorId="13">
      <text>
        <r>
          <rPr>
            <b/>
            <sz val="8"/>
            <color indexed="81"/>
            <rFont val="Tahoma"/>
            <family val="2"/>
          </rPr>
          <t>kg51925: ?? 7.3.06 ??</t>
        </r>
        <r>
          <rPr>
            <sz val="8"/>
            <color indexed="81"/>
            <rFont val="Tahoma"/>
            <family val="2"/>
          </rPr>
          <t xml:space="preserve">
147 bps neg lvg on occup
150 bps inv obsol chg (MDs)
336 bps mdse marg (MDs)</t>
        </r>
      </text>
    </comment>
    <comment ref="BH20" authorId="16">
      <text>
        <r>
          <rPr>
            <b/>
            <sz val="8"/>
            <color indexed="81"/>
            <rFont val="Tahoma"/>
            <family val="2"/>
          </rPr>
          <t>mm98285:</t>
        </r>
        <r>
          <rPr>
            <sz val="8"/>
            <color indexed="81"/>
            <rFont val="Tahoma"/>
            <family val="2"/>
          </rPr>
          <t xml:space="preserve">
GM was flat as ~10 incrse in IMU &amp; ~50 bps incrse in MMU (fewer MDs) was offset by 60 bps of store &amp; occupancy delvge given -2% comp </t>
        </r>
      </text>
    </comment>
    <comment ref="BL20" authorId="16">
      <text>
        <r>
          <rPr>
            <b/>
            <sz val="8"/>
            <color indexed="81"/>
            <rFont val="Tahoma"/>
            <family val="2"/>
          </rPr>
          <t>mm98285:</t>
        </r>
        <r>
          <rPr>
            <sz val="8"/>
            <color indexed="81"/>
            <rFont val="Tahoma"/>
            <family val="2"/>
          </rPr>
          <t xml:space="preserve">
+285 bps reduced MDs
+75 bps improved IMU (cost) 
+80 bps store occupancy leverage on the +10% comp</t>
        </r>
      </text>
    </comment>
    <comment ref="BP20" authorId="16">
      <text>
        <r>
          <rPr>
            <b/>
            <sz val="8"/>
            <color indexed="81"/>
            <rFont val="Tahoma"/>
            <family val="2"/>
          </rPr>
          <t>mm98285:</t>
        </r>
        <r>
          <rPr>
            <sz val="8"/>
            <color indexed="81"/>
            <rFont val="Tahoma"/>
            <family val="2"/>
          </rPr>
          <t xml:space="preserve">
5/09: we est. 170 bps occup. deleverage on -9.6% comp and we est. -130 bps lower merch. margins (incl. +90 bps gain from obsolescence reserve reversal) given higher MDs to clear seasonal product.  Recall 4Q08’s -550 bps decline included -170 bps hit from an increase in obsolescence reserve (anticipated markdowns)</t>
        </r>
      </text>
    </comment>
    <comment ref="BQ20" authorId="13">
      <text>
        <r>
          <rPr>
            <b/>
            <sz val="8"/>
            <color indexed="81"/>
            <rFont val="Tahoma"/>
            <family val="2"/>
          </rPr>
          <t>kg51925:</t>
        </r>
        <r>
          <rPr>
            <sz val="8"/>
            <color indexed="81"/>
            <rFont val="Tahoma"/>
            <family val="2"/>
          </rPr>
          <t xml:space="preserve">
will get some boost from the reversal of the 4Q08 obsolescence reserve</t>
        </r>
      </text>
    </comment>
    <comment ref="BT20" authorId="6">
      <text>
        <r>
          <rPr>
            <b/>
            <sz val="8"/>
            <color indexed="81"/>
            <rFont val="Tahoma"/>
            <family val="2"/>
          </rPr>
          <t>nicholjs:</t>
        </r>
        <r>
          <rPr>
            <sz val="8"/>
            <color indexed="81"/>
            <rFont val="Tahoma"/>
            <family val="2"/>
          </rPr>
          <t xml:space="preserve">
GM +459 bps aided by significant gains in IMU, reductions in merch markdowns and a lower rate of occupancy expense</t>
        </r>
      </text>
    </comment>
    <comment ref="BU20" authorId="13">
      <text>
        <r>
          <rPr>
            <b/>
            <sz val="8"/>
            <color indexed="81"/>
            <rFont val="Tahoma"/>
            <family val="2"/>
          </rPr>
          <t>kg51925:</t>
        </r>
        <r>
          <rPr>
            <sz val="8"/>
            <color indexed="81"/>
            <rFont val="Tahoma"/>
            <family val="2"/>
          </rPr>
          <t xml:space="preserve">
prior final estimate 5/5 was +440bps
yes, 400 bps increase sounds right</t>
        </r>
      </text>
    </comment>
    <comment ref="BW20" authorId="5">
      <text>
        <r>
          <rPr>
            <b/>
            <sz val="8"/>
            <color indexed="81"/>
            <rFont val="Tahoma"/>
            <family val="2"/>
          </rPr>
          <t>kimberlg:</t>
        </r>
        <r>
          <rPr>
            <sz val="8"/>
            <color indexed="81"/>
            <rFont val="Tahoma"/>
            <family val="2"/>
          </rPr>
          <t xml:space="preserve">
excludes $2.1M or 40bps inventory writeoff from Leiffsdottir</t>
        </r>
      </text>
    </comment>
    <comment ref="BX20" authorId="6">
      <text>
        <r>
          <rPr>
            <b/>
            <sz val="8"/>
            <color indexed="81"/>
            <rFont val="Tahoma"/>
            <family val="2"/>
          </rPr>
          <t>nicholjs:</t>
        </r>
        <r>
          <rPr>
            <sz val="8"/>
            <color indexed="81"/>
            <rFont val="Tahoma"/>
            <family val="2"/>
          </rPr>
          <t xml:space="preserve">
The decrease in the gross profit percentage was principally due to increased merchandise markdowns to clear slow-moving inventory, primarily associated with women’s apparel at Anthropologie and Urban Outfitters and Leifsdottir wholesale inventories.
4/27/2011: because missed sales plan in April, probably incrementally more pressure on GM line than the -380 bps
4/2011: could be more risk to GM number than sales line, could be worse than -300bps
3/2011: could be down -200bps if similar markdown rates as 4Q, but also tough occupancy comparison so 200-300bps</t>
        </r>
      </text>
    </comment>
    <comment ref="CB20" authorId="20">
      <text>
        <r>
          <rPr>
            <b/>
            <sz val="8"/>
            <color indexed="81"/>
            <rFont val="Tahoma"/>
            <family val="2"/>
          </rPr>
          <t>lauraro:</t>
        </r>
        <r>
          <rPr>
            <sz val="8"/>
            <color indexed="81"/>
            <rFont val="Tahoma"/>
            <family val="2"/>
          </rPr>
          <t xml:space="preserve">
5/21/12: driven by occ delvg related to an increased number of store openings vs. LY and an increased number of new and non-comp Euro stores. Also, slightly higher MDs on a few women's apparel categories across all brands.</t>
        </r>
      </text>
    </comment>
    <comment ref="CC20" authorId="5">
      <text>
        <r>
          <rPr>
            <b/>
            <sz val="8"/>
            <color indexed="81"/>
            <rFont val="Tahoma"/>
            <family val="2"/>
          </rPr>
          <t>kimberlg:</t>
        </r>
        <r>
          <rPr>
            <sz val="8"/>
            <color indexed="81"/>
            <rFont val="Tahoma"/>
            <family val="2"/>
          </rPr>
          <t xml:space="preserve">
We show -170bps, but mgmt talked to -131bps which includes the 40bps hit from Leifsdottir inventory write down LY</t>
        </r>
      </text>
    </comment>
    <comment ref="CF20" authorId="20">
      <text>
        <r>
          <rPr>
            <b/>
            <sz val="8"/>
            <color indexed="81"/>
            <rFont val="Tahoma"/>
            <family val="2"/>
          </rPr>
          <t xml:space="preserve">5/20/12: </t>
        </r>
        <r>
          <rPr>
            <sz val="8"/>
            <color indexed="81"/>
            <rFont val="Tahoma"/>
            <family val="2"/>
          </rPr>
          <t xml:space="preserve">improvement primarily due to a reduction in merchandise markdowns primarily driven by improvements at the Anthropologie brand; improved our initial merchandise margins and leveraged store occupancy expenses.  These improvements were partially offset by a deleveraging of delivery expense primarily related to an increase in DTC net sales penetration. 
</t>
        </r>
        <r>
          <rPr>
            <b/>
            <sz val="8"/>
            <color indexed="81"/>
            <rFont val="Tahoma"/>
            <family val="2"/>
          </rPr>
          <t>We est 30bps of occup lvg.</t>
        </r>
        <r>
          <rPr>
            <b/>
            <sz val="8"/>
            <color indexed="81"/>
            <rFont val="Tahoma"/>
            <family val="2"/>
          </rPr>
          <t xml:space="preserve">
</t>
        </r>
      </text>
    </comment>
    <comment ref="CJ20" authorId="7">
      <text>
        <r>
          <rPr>
            <b/>
            <sz val="8"/>
            <color indexed="81"/>
            <rFont val="Tahoma"/>
            <family val="2"/>
          </rPr>
          <t>turleamb:</t>
        </r>
        <r>
          <rPr>
            <sz val="8"/>
            <color indexed="81"/>
            <rFont val="Tahoma"/>
            <family val="2"/>
          </rPr>
          <t xml:space="preserve">
5/19/14: GM decline primarily due to a de-leverage in store occupancy costs driven by negative comp at UO and pre-opening rent expenses related to new stores. Lower merch margins at the UO brand resulting from poor performing product also contributed to the decline. 
3/10/14: Guidance likely able to achieve y/y GM improvement but dependent on lower UO markdowns. GM now lapping tougher Anthro and FP compares so less opportunity for them to provide more cover
"We believe we have opportunity for year-over-year gross margin growth but this opportunity will largely depend on the timing of the sales and margin improvement at the Urban Outfitters brand in North America. The majority of the improvement opportunity for this year is related to our achievement of lower markdown rates at the Urban Outfitters brand. As Dick discussed earlier on the call, if the current trends continue, our gross margin for the First Quarter will de leverage versus prior year due to increased merchandise markdowns at the Urban Outfitters brand despite the continued momentum at the Anthropology and Free People brands. Additionally I want to point out that in Q1 we will continue to be burdened by significant pre-opening occupancy expense related to our three new New York City Urban Outfitters brand locations which will open in the first half of Fiscal 2015. "</t>
        </r>
      </text>
    </comment>
    <comment ref="CN20" authorId="9">
      <text>
        <r>
          <rPr>
            <b/>
            <sz val="9"/>
            <color indexed="81"/>
            <rFont val="Tahoma"/>
            <family val="2"/>
          </rPr>
          <t>Turley, Amber (Research):</t>
        </r>
        <r>
          <rPr>
            <sz val="9"/>
            <color indexed="81"/>
            <rFont val="Tahoma"/>
            <family val="2"/>
          </rPr>
          <t xml:space="preserve">
5/18/15: Decline in gross profit rate primarily due to lower initial merchandise margins at UO and higher delivery and fulfillment expenses across the entire company.  The de-leverageing and delivery fullfillment expenses were partially due to the increases in DTC penetration and incremental costs associated with the fulfillment center transition.
As DTC grows, additional expense is incurred with marketing and delivery, but in general a more profitable channel than store.
MS note: assumes ~60 bps ROD leverage offset by -70 bps lower merch margin
3/9/15: Guidance: de-leverage. "believe the brand can begin to deliver markdown improvement in the first quarter but much, if not all of this improvement could be offset by unfavorable IMU which we believe will not start to show meaningful improvement until the second quarter. Based on the possible IMU deleverage at the urban brand and delivery sensitive deleverage based were fulfillment center relocation, it is possible that our first quarter gross profit margin could deleverage at the URBN level
1/13/15 at ICR: UO still facing IMU challenges in 1Q - opportunity for markdown rate to offset IMU pressure but will give more color on 1Q call
MS note: LY GM deleveraged on occupancy from negative UO comp plus pre-opening rent expense on UO stores. Lower merch margin at UO also contributed. TY we expect with a positive comp occpancy won't de-leverage plus less pre-opening rent. </t>
        </r>
      </text>
    </comment>
    <comment ref="CR20" authorId="10">
      <text>
        <r>
          <rPr>
            <b/>
            <sz val="9"/>
            <color indexed="81"/>
            <rFont val="Tahoma"/>
            <family val="2"/>
          </rPr>
          <t>Baglione, Gregory  (Research):</t>
        </r>
        <r>
          <rPr>
            <sz val="9"/>
            <color indexed="81"/>
            <rFont val="Tahoma"/>
            <family val="2"/>
          </rPr>
          <t xml:space="preserve">
5/18/16A:
The increase in gross profit rate was primarily driven by improvement in the Urban Outfitters and Anthropologie Group brands maintained margins, with Urban Outfitters delivering significantly lower markdowns compared to prior year. The increase was partially offset by a lower gross profit rate at the Free People brand which was primarily driven by higher markdowns.
3/7/16 Guidance
Gross margin rate for the quarter could improve slightly versus the prior year. The improvement could come from improved maintained margin driven primarily by the Urban Outfitters brand which could be partially offset by a maintained margin decline at the Free People brand and store occupancy deleverage for all of URBN if negative store comps continue. 
Excluding impairments in 4Q, GPM would have improved 50 bps. Think they can do something similar in 1Q. 
Last year ~40bps GM headwind from DC, 1Q/4Q ~20 bps, 2Q/3Q about 40 bps. Expect to get most of this back in 2016.
For 1Q: We model ~20 bps of DC recovery +30 bps merchandise margin recovery</t>
        </r>
        <r>
          <rPr>
            <b/>
            <sz val="9"/>
            <color indexed="81"/>
            <rFont val="Tahoma"/>
            <family val="2"/>
          </rPr>
          <t xml:space="preserve">
</t>
        </r>
      </text>
    </comment>
    <comment ref="CW20" authorId="12">
      <text>
        <r>
          <rPr>
            <b/>
            <sz val="9"/>
            <color indexed="81"/>
            <rFont val="Tahoma"/>
            <family val="2"/>
          </rPr>
          <t xml:space="preserve">Cassel, Lauren (Research):
5/16/17: </t>
        </r>
        <r>
          <rPr>
            <sz val="9"/>
            <color indexed="81"/>
            <rFont val="Tahoma"/>
            <family val="2"/>
          </rPr>
          <t xml:space="preserve">decline driven by higher markdowns in underperforming W's apparel and accesories at Anthr +UO, deleverage in delivery and logistics from increased DTC penetration and deleverage in occupancy from negative store comps
</t>
        </r>
        <r>
          <rPr>
            <b/>
            <sz val="9"/>
            <color indexed="81"/>
            <rFont val="Tahoma"/>
            <family val="2"/>
          </rPr>
          <t xml:space="preserve">
4/6/17:</t>
        </r>
        <r>
          <rPr>
            <sz val="9"/>
            <color indexed="81"/>
            <rFont val="Tahoma"/>
            <family val="2"/>
          </rPr>
          <t xml:space="preserve"> per Oona, will be down more than 100-150 bps, at least -200 bps
3/7/17: could decline y/y  due to increased delivery and logistics expenses related to increase in DTC; there is also a chance that mark down rate could be higher on y/y basis in order to keep inventory clean at Anthro at UO;  **we do believe 1Q could decline similar to what we saw in 4Q. (DTC expenses, occupancy deleverage (negative store comps and 12 net new openings), deleverage on IMU and higher UP and Anthro markdowns</t>
        </r>
      </text>
    </comment>
    <comment ref="DA20" authorId="11">
      <text>
        <r>
          <rPr>
            <b/>
            <sz val="9"/>
            <color indexed="81"/>
            <rFont val="Tahoma"/>
            <family val="2"/>
          </rPr>
          <t>Roberts, Cynthia (Research):</t>
        </r>
        <r>
          <rPr>
            <sz val="9"/>
            <color indexed="81"/>
            <rFont val="Tahoma"/>
            <family val="2"/>
          </rPr>
          <t xml:space="preserve">
3/6/18: Gross margin could improve approximately 100 bps</t>
        </r>
      </text>
    </comment>
    <comment ref="AK21" authorId="1">
      <text>
        <r>
          <rPr>
            <b/>
            <sz val="8"/>
            <color indexed="81"/>
            <rFont val="Tahoma"/>
            <family val="2"/>
          </rPr>
          <t>Lehman Brothers:</t>
        </r>
        <r>
          <rPr>
            <sz val="8"/>
            <color indexed="81"/>
            <rFont val="Tahoma"/>
            <family val="2"/>
          </rPr>
          <t xml:space="preserve">
had 33.2</t>
        </r>
      </text>
    </comment>
    <comment ref="AO21" authorId="18">
      <text>
        <r>
          <rPr>
            <b/>
            <sz val="10"/>
            <color indexed="81"/>
            <rFont val="Tahoma"/>
            <family val="2"/>
          </rPr>
          <t>kgreenbe:</t>
        </r>
        <r>
          <rPr>
            <sz val="10"/>
            <color indexed="81"/>
            <rFont val="Tahoma"/>
            <family val="2"/>
          </rPr>
          <t xml:space="preserve">
8/7/03 est little occup lvg, but more IMU impvmt from lower costs and PL at Anthro</t>
        </r>
      </text>
    </comment>
    <comment ref="AV21" authorId="18">
      <text>
        <r>
          <rPr>
            <b/>
            <sz val="10"/>
            <color indexed="81"/>
            <rFont val="Tahoma"/>
            <family val="2"/>
          </rPr>
          <t>kgreenbe:</t>
        </r>
        <r>
          <rPr>
            <sz val="10"/>
            <color indexed="81"/>
            <rFont val="Tahoma"/>
            <family val="2"/>
          </rPr>
          <t xml:space="preserve">
8/7/03 est little occup lvg, but more IMU impvmt from lower costs and PL at Anthro</t>
        </r>
      </text>
    </comment>
    <comment ref="AZ21" authorId="19">
      <text>
        <r>
          <rPr>
            <b/>
            <sz val="8"/>
            <color indexed="81"/>
            <rFont val="Tahoma"/>
            <family val="2"/>
          </rPr>
          <t>Kimberly Greenberger:</t>
        </r>
        <r>
          <rPr>
            <sz val="8"/>
            <color indexed="81"/>
            <rFont val="Tahoma"/>
            <family val="2"/>
          </rPr>
          <t xml:space="preserve">
8/11/05:
+23 bps IMU (1Q impvmt not sustained)
+15 bps lower MD's
+63 bps lower shrink &amp; obsolescence
+30 bps lvg occup
-40 bps incr cost change acctg for occup (T.I.)
-15 bps incr mdse handle &amp; DC costs
-15 bps incr freight exp</t>
        </r>
      </text>
    </comment>
    <comment ref="BA21" authorId="19">
      <text>
        <r>
          <rPr>
            <b/>
            <sz val="8"/>
            <color indexed="81"/>
            <rFont val="Tahoma"/>
            <family val="2"/>
          </rPr>
          <t>Kimberly Greenberger:</t>
        </r>
        <r>
          <rPr>
            <sz val="8"/>
            <color indexed="81"/>
            <rFont val="Tahoma"/>
            <family val="2"/>
          </rPr>
          <t xml:space="preserve">
+23 bps IMU (1Q impvmt not sustained)
+15 bps lower MD's
+63 bps lower shrink &amp; obsolescence
+30 bps lvg occup
-40 bps incr cost change acctg for occup (T.I.)
-15 bps incr mdse handle &amp; DC costs
-15 bps incr freight exp
5/12/05 the 107 bps impvt in IMU in 1Q05 should be sustained thru year b/c due to incr purch power and China Quota benefit.</t>
        </r>
      </text>
    </comment>
    <comment ref="BE21" authorId="13">
      <text>
        <r>
          <rPr>
            <b/>
            <sz val="8"/>
            <color indexed="81"/>
            <rFont val="Tahoma"/>
            <family val="2"/>
          </rPr>
          <t>mb33100:</t>
        </r>
        <r>
          <rPr>
            <sz val="8"/>
            <color indexed="81"/>
            <rFont val="Tahoma"/>
            <family val="2"/>
          </rPr>
          <t xml:space="preserve">
162 bps on MDs
100 bps inv obsol rsv
210 on occupancy delvge
mgmt thinks should be down less than 300 bps in 2Q</t>
        </r>
      </text>
    </comment>
    <comment ref="BH21" authorId="21">
      <text>
        <r>
          <rPr>
            <b/>
            <sz val="8"/>
            <color indexed="81"/>
            <rFont val="Tahoma"/>
            <family val="2"/>
          </rPr>
          <t>oc48540:</t>
        </r>
        <r>
          <rPr>
            <sz val="8"/>
            <color indexed="81"/>
            <rFont val="Tahoma"/>
            <family val="2"/>
          </rPr>
          <t xml:space="preserve">
+30 bps merch. margins (MDs down at Anthro &amp; FP), partially offset by higher U.O. MDs &amp; a decrease in IMU across all 3 brands. 
+25 bps fav. material handling &amp; delivery 
+10 bps occupcy. lvge (~+40 bps store occ lvge, part offset by ~-30 bps corp. occ delvg) 
July sales: +30bps (given lower MD's at Anthro &amp; FP)</t>
        </r>
      </text>
    </comment>
    <comment ref="BI21" authorId="13">
      <text>
        <r>
          <rPr>
            <b/>
            <sz val="8"/>
            <color indexed="81"/>
            <rFont val="Tahoma"/>
            <family val="2"/>
          </rPr>
          <t>kg51925:</t>
        </r>
        <r>
          <rPr>
            <sz val="8"/>
            <color indexed="81"/>
            <rFont val="Tahoma"/>
            <family val="2"/>
          </rPr>
          <t xml:space="preserve">
Anthro +230 bps in 1Q07
Anthro's best qtr LY was 2Q
GM s/b up vs. LY
UO 2Q06 margin was 34%, but 1Q07 was 30%</t>
        </r>
      </text>
    </comment>
    <comment ref="BL21" authorId="16">
      <text>
        <r>
          <rPr>
            <b/>
            <sz val="8"/>
            <color indexed="81"/>
            <rFont val="Tahoma"/>
            <family val="2"/>
          </rPr>
          <t>mm98285:</t>
        </r>
        <r>
          <rPr>
            <sz val="8"/>
            <color indexed="81"/>
            <rFont val="Tahoma"/>
            <family val="2"/>
          </rPr>
          <t xml:space="preserve">
+200 bps lower initial merchandise costs (higher IMU) 
+25 bps lower markdowns (net of obsolescence charge)
+150 bps store occupancy leverage</t>
        </r>
      </text>
    </comment>
    <comment ref="BP21" authorId="13">
      <text>
        <r>
          <rPr>
            <b/>
            <sz val="8"/>
            <color indexed="81"/>
            <rFont val="Tahoma"/>
            <family val="2"/>
          </rPr>
          <t>kg51925:</t>
        </r>
        <r>
          <rPr>
            <sz val="8"/>
            <color indexed="81"/>
            <rFont val="Tahoma"/>
            <family val="2"/>
          </rPr>
          <t xml:space="preserve">
8/13/09 -26bps
we est ~200bps IMU impvmt
we est ~150bps higher MD's
we est ~80bps rent delvg
we est some small benefit from obsolescence reserve ~1/2 of 1Q
6/09 could beat 37.5%</t>
        </r>
      </text>
    </comment>
    <comment ref="BQ21" authorId="13">
      <text>
        <r>
          <rPr>
            <b/>
            <sz val="8"/>
            <color indexed="81"/>
            <rFont val="Tahoma"/>
            <family val="2"/>
          </rPr>
          <t>kg51925:</t>
        </r>
        <r>
          <rPr>
            <sz val="8"/>
            <color indexed="81"/>
            <rFont val="Tahoma"/>
            <family val="2"/>
          </rPr>
          <t xml:space="preserve">
our -260 bps estimate assumes 50/50 rent exp and mdse margin decline (130 bps of pressure from each factor)</t>
        </r>
      </text>
    </comment>
    <comment ref="BT21" authorId="6">
      <text>
        <r>
          <rPr>
            <b/>
            <sz val="8"/>
            <color indexed="81"/>
            <rFont val="Tahoma"/>
            <family val="2"/>
          </rPr>
          <t>nicholjs:</t>
        </r>
        <r>
          <rPr>
            <sz val="8"/>
            <color indexed="81"/>
            <rFont val="Tahoma"/>
            <family val="2"/>
          </rPr>
          <t xml:space="preserve">
GM +173 bps, driven by lower rate of markdowns to clear seasonal inventories (80-90 bps), leverage store occupancy expense (~60 bps) and improvements in IMU (~30 bps)</t>
        </r>
      </text>
    </comment>
    <comment ref="BX21" authorId="6">
      <text>
        <r>
          <rPr>
            <b/>
            <sz val="8"/>
            <color indexed="81"/>
            <rFont val="Tahoma"/>
            <family val="2"/>
          </rPr>
          <t>nicholjs:</t>
        </r>
        <r>
          <rPr>
            <sz val="8"/>
            <color indexed="81"/>
            <rFont val="Tahoma"/>
            <family val="2"/>
          </rPr>
          <t xml:space="preserve">
primarily due to increased merchandise markdowns to clear slow moving women's apparel inventory at both Anthro and UO, as well as occupancy dlvg caused by negative comps
6/8/2011: sales trend in line w/ their expectations, nothing new to update here, qtr playing out as anticipated
5/16/2011: similar rate as 1Q including Leifsdottir charge, or 490 bps
4/27/2011: safe to assume not where they wanted to be w/ productivity, so will continue to markdown to work through inventory.
10K: expect to complete phase II of supply chain mgt during 2Q11
3/2011: could moderate quite a bit hopefully from 1Q erosion</t>
        </r>
      </text>
    </comment>
    <comment ref="CB21" authorId="20">
      <text>
        <r>
          <rPr>
            <b/>
            <sz val="8"/>
            <color indexed="81"/>
            <rFont val="Tahoma"/>
            <family val="2"/>
          </rPr>
          <t>lauraro:</t>
        </r>
        <r>
          <rPr>
            <sz val="8"/>
            <color indexed="81"/>
            <rFont val="Tahoma"/>
            <family val="2"/>
          </rPr>
          <t xml:space="preserve">
5/21/12: Expect GM rate similar to 1Q</t>
        </r>
      </text>
    </comment>
    <comment ref="CC21" authorId="15">
      <text>
        <r>
          <rPr>
            <b/>
            <sz val="8"/>
            <color indexed="81"/>
            <rFont val="Tahoma"/>
            <family val="2"/>
          </rPr>
          <t>casselau:</t>
        </r>
        <r>
          <rPr>
            <sz val="8"/>
            <color indexed="81"/>
            <rFont val="Tahoma"/>
            <family val="2"/>
          </rPr>
          <t xml:space="preserve">
8/20/12: primarily due to the deleveraging of initial merchandise costs and store occupancy costs both of which were partially offset by a reduction in merchandise markdowns; deleverage of initial merchandise cost is due in part to the mix of our assortment as well as an increase in web exclusive product sold through our direct-to-consumer channel; deleverage of store occupancy costs was related to negative comparable store net sales as well as an increased number of store openings versus the prior year comparable quarter</t>
        </r>
      </text>
    </comment>
    <comment ref="CF21" authorId="15">
      <text>
        <r>
          <rPr>
            <b/>
            <sz val="8"/>
            <color indexed="81"/>
            <rFont val="Tahoma"/>
            <family val="2"/>
          </rPr>
          <t>casselau:</t>
        </r>
        <r>
          <rPr>
            <sz val="8"/>
            <color indexed="81"/>
            <rFont val="Tahoma"/>
            <family val="2"/>
          </rPr>
          <t xml:space="preserve">
8/20/12: primarily due to the deleveraging of initial merchandise costs and store occupancy costs both of which were partially offset by a reduction in merchandise markdowns; deleverage of initial merchandise cost is due in part to the mix of our assortment as well as an increase in web exclusive product sold through our direct-to-consumer channel; deleverage of store occupancy costs was related to negative comparable store net sales as well as an increased number of store openings versus the prior year comparable quarter</t>
        </r>
      </text>
    </comment>
    <comment ref="CJ21" authorId="7">
      <text>
        <r>
          <rPr>
            <b/>
            <sz val="9"/>
            <color indexed="81"/>
            <rFont val="Tahoma"/>
            <family val="2"/>
          </rPr>
          <t>turleamb:</t>
        </r>
        <r>
          <rPr>
            <sz val="9"/>
            <color indexed="81"/>
            <rFont val="Tahoma"/>
            <family val="2"/>
          </rPr>
          <t xml:space="preserve">
9/9/14 10-Q pg 22: decrease primarily driven by lwoer merch margins in UO related to underperforming product and UO store occupancy de-leverage resulting from negative comp store sales. 
8/18/14: Decline driven by underperformance at UO leading to lower merch margin due to poor performing product and store occupancy deleverage resulting from negative store comp
*we estimate 30-40 bps ROD de-leverage; we estimate 130-140 bps de-leverage from mix shift to home at UO which has lower IMU; estimate 10-20 bps de-leverage from UO markdowns
5/19/14: If sales trends continue GM could de-leverage vs. LY similar to 1Q due to lower product margins and property expense de-leverage resulting from continued weakness at UO. De-leverage could happen despite strong performance at Anthro and FP. 
5/19/14 commentary from conversation with mgmt: won't have the pre-openning costs (and as high of store occupancy de-leverage) but expect higher mark downs from 1Q inventory overhang at UO</t>
        </r>
      </text>
    </comment>
    <comment ref="CN21" authorId="9">
      <text>
        <r>
          <rPr>
            <sz val="9"/>
            <color indexed="81"/>
            <rFont val="Tahoma"/>
            <family val="2"/>
          </rPr>
          <t xml:space="preserve">8/17/15: Decline in gross profit rate primarily driven by higher delivery and fulfillment center expenses largely related to the increase in direct-to-consumer sales penetration as well as incremental costs associated with the transition of our South Carolina fulfillment center to Gap, Pennsylvania, which we believe only negatively affected the 2Q GM by ~40 bps.
UO - 400+ bps improvement y/y in markdown rate more than offset IMU decrease and resulted in significant merchandise margin improvement for the brand.
5/18/15: GM rate for 2Q could deleverage vs. the prior year similar to the rate of deleverage experienced in 1Q.  Driven primarily by costs associated with the transition of our East Coast DTC fulfillment center.  Despite planned UO brand improvement, this could be offset by increased markdowns at Anthropologie while they address some product misses in a few women's apparel classes.  Due to slowdown in April and uptick experienced in May to date it is not clear at this point what level of markdowns Anthropolgie will incur during 2Q.  
2Q expected to be most negatively affected by DTC fulfillment center transition (expect it to affect annual gross profit margin by approximately 25 to 50 bps).  
3/9/15: "gross profit margin for URBN will be negatively affected by approximately 50 basis points and FY16, relating to the transition of our East Coast fulfillment center from Trenton, South Carolina to gap, Pennsylvania. Our new state-of-the-art, when million-square-foot facility will begin phasing and outbound service to the customer in June . Therefore the majority of this deleverage's plan to occur in the second and third quarters by both the first and fourth quarters will be modestly affected, as well."
1/13/15: At ICR mentioned on small impact from moving a DC out of SC and into PA There will be an overlap in labor for a few months in addition to some split shipment costs. UO still facing IMU challenges but opportunity for markdown rate to offset IMU pressure. </t>
        </r>
      </text>
    </comment>
    <comment ref="CR21" authorId="10">
      <text>
        <r>
          <rPr>
            <b/>
            <sz val="9"/>
            <color indexed="81"/>
            <rFont val="Tahoma"/>
            <family val="2"/>
          </rPr>
          <t>Baglione, Gregory  (Research):</t>
        </r>
        <r>
          <rPr>
            <sz val="9"/>
            <color indexed="81"/>
            <rFont val="Tahoma"/>
            <family val="2"/>
          </rPr>
          <t xml:space="preserve">
8/16/16A:
Now moving on to gross profit, total URBN gross profit for the quarter increased 8% to $343 million. Gross profit rate improved by 179 basis points to 38.5%. The improvement in gross profit rate was primarily driven by improvement in the Urban Outfitters and Anthropologie Group brand
maintained margins, with both brands delivering higher initial markups and lower merchandise markdowns versus the previous year. Partially offsetting these improvements was a lower gross profit rate at the Free People brand, primarily driven by lower maintained margins due to higher
markdowns to clear slow-moving products.
6/9/16
Per management on 2QTD callback, ~30 bps GM improvement sounds fine
5/18/16: Guidance
GM could improve slightly URBN's gross margin rate for the second quarter could improve slightly versus the prior year. This improvement could come from improved maintained margin driven largely by the Urban Outfitters brand which could be partially offset by a maintained margin decline at the Free People brand to clear through slow-moving product. This improvement would require the current May sales trend to recover closer to where we are forecasting our business for the second quarter. Quarter to date, May sales have started out slower than what we delivered for the first quarter and slower than what we had originally planned at each of our brands.
</t>
        </r>
        <r>
          <rPr>
            <b/>
            <sz val="9"/>
            <color indexed="81"/>
            <rFont val="Tahoma"/>
            <family val="2"/>
          </rPr>
          <t xml:space="preserve">
</t>
        </r>
      </text>
    </comment>
    <comment ref="CW21" authorId="11">
      <text>
        <r>
          <rPr>
            <b/>
            <sz val="9"/>
            <color indexed="81"/>
            <rFont val="Tahoma"/>
            <family val="2"/>
          </rPr>
          <t xml:space="preserve">Roberts, Cynthia (Research):
8/15/17: </t>
        </r>
        <r>
          <rPr>
            <sz val="9"/>
            <color indexed="81"/>
            <rFont val="Tahoma"/>
            <family val="2"/>
          </rPr>
          <t>driven by higher markdowns due to underperforming women's apparel and accessories product at Anthro and UO, deleverage in delivery and logistics expenses primarily due to the penetration of the direct-to-consumer channel and deleverage in initial merchandise mark-ups at the Anthropologie and Urban Outfitters brands due to a change in product mix.
2/3 of the decline driven by MMU (higher markdowns and lower IMU); other 1/3 driven by delivery and logistics expenses etc.
5/16/17 : GM could decline at a rate greater than the y/y 1Q decline</t>
        </r>
      </text>
    </comment>
    <comment ref="AK22" authorId="1">
      <text>
        <r>
          <rPr>
            <b/>
            <sz val="8"/>
            <color indexed="81"/>
            <rFont val="Tahoma"/>
            <family val="2"/>
          </rPr>
          <t>Lehman Brothers:</t>
        </r>
        <r>
          <rPr>
            <sz val="8"/>
            <color indexed="81"/>
            <rFont val="Tahoma"/>
            <family val="2"/>
          </rPr>
          <t xml:space="preserve">
co. indicated margins would be only 'couple hundred bps' up b/c aggressive w/ MDs during qtr, particularly at Urban</t>
        </r>
      </text>
    </comment>
    <comment ref="BA22" authorId="19">
      <text>
        <r>
          <rPr>
            <b/>
            <sz val="8"/>
            <color indexed="81"/>
            <rFont val="Tahoma"/>
            <family val="2"/>
          </rPr>
          <t>mb33100:</t>
        </r>
        <r>
          <rPr>
            <sz val="8"/>
            <color indexed="81"/>
            <rFont val="Tahoma"/>
            <family val="2"/>
          </rPr>
          <t xml:space="preserve">
MDs pressure 141 bps
Inv obsoles rsv -71 bps
Net MD's = -70 bps
Occup flat
Buying/merch payroll -16 bps
5/12/05 the 107 bps impvt in IMU in 1Q05 should be sustained thru year b/c due to incr purch power and China Quota benefit.</t>
        </r>
      </text>
    </comment>
    <comment ref="BE22" authorId="16">
      <text>
        <r>
          <rPr>
            <b/>
            <sz val="8"/>
            <color indexed="81"/>
            <rFont val="Tahoma"/>
            <family val="2"/>
          </rPr>
          <t>mm98285:</t>
        </r>
        <r>
          <rPr>
            <sz val="8"/>
            <color indexed="81"/>
            <rFont val="Tahoma"/>
            <family val="2"/>
          </rPr>
          <t xml:space="preserve">
11/06: -220 bps fixed occup. exp delvge 
-220 bps incrse in MDs (incl. 100 bps incrse in inventory valuation reserves)
+110 bps increase in IMU</t>
        </r>
      </text>
    </comment>
    <comment ref="BH22" authorId="13">
      <text>
        <r>
          <rPr>
            <b/>
            <sz val="8"/>
            <color indexed="81"/>
            <rFont val="Tahoma"/>
            <family val="2"/>
          </rPr>
          <t>kg51925:</t>
        </r>
        <r>
          <rPr>
            <sz val="8"/>
            <color indexed="81"/>
            <rFont val="Tahoma"/>
            <family val="2"/>
          </rPr>
          <t xml:space="preserve">
+60 bps merch margins (lower Anthro &amp; FP MDs, partially offset by higher UO MDs)
+70 bps occupancy leverage
est +90 bps as est Anthro gets back ~half of 2 yr cum loss of 750 bps or 375 bps, while est U.O. is down another 200 bps</t>
        </r>
      </text>
    </comment>
    <comment ref="BL22" authorId="13">
      <text>
        <r>
          <rPr>
            <b/>
            <sz val="8"/>
            <color indexed="81"/>
            <rFont val="Tahoma"/>
            <family val="2"/>
          </rPr>
          <t>kg51925:</t>
        </r>
        <r>
          <rPr>
            <sz val="8"/>
            <color indexed="81"/>
            <rFont val="Tahoma"/>
            <family val="2"/>
          </rPr>
          <t xml:space="preserve">
11/08: occupancy leverage on +10% comp, lower MDs. and lower initial merchandise costs (higher IMU).
expect 3Q GM above 2Q
11/08: We est. up</t>
        </r>
      </text>
    </comment>
    <comment ref="BM22" authorId="13">
      <text>
        <r>
          <rPr>
            <b/>
            <sz val="8"/>
            <color indexed="81"/>
            <rFont val="Tahoma"/>
            <family val="2"/>
          </rPr>
          <t>kg51925:</t>
        </r>
        <r>
          <rPr>
            <sz val="8"/>
            <color indexed="81"/>
            <rFont val="Tahoma"/>
            <family val="2"/>
          </rPr>
          <t xml:space="preserve">
expect 60-70bps occup lvg on +10% comp</t>
        </r>
      </text>
    </comment>
    <comment ref="BP22" authorId="16">
      <text>
        <r>
          <rPr>
            <b/>
            <sz val="8"/>
            <color indexed="81"/>
            <rFont val="Tahoma"/>
            <family val="2"/>
          </rPr>
          <t>mm98285:</t>
        </r>
        <r>
          <rPr>
            <sz val="8"/>
            <color indexed="81"/>
            <rFont val="Tahoma"/>
            <family val="2"/>
          </rPr>
          <t xml:space="preserve">
we estimate:
+280 bps initial merchandise margins 
-160 bps higher markdowns to clear seasonal invty ~-25 bps store occupancy delev'ge on -2% comp 
~-30 bps slight negative obsolescence </t>
        </r>
      </text>
    </comment>
    <comment ref="BQ22" authorId="13">
      <text>
        <r>
          <rPr>
            <b/>
            <sz val="8"/>
            <color indexed="81"/>
            <rFont val="Tahoma"/>
            <family val="2"/>
          </rPr>
          <t>kg51925: 8/13/09</t>
        </r>
        <r>
          <rPr>
            <sz val="8"/>
            <color indexed="81"/>
            <rFont val="Tahoma"/>
            <family val="2"/>
          </rPr>
          <t xml:space="preserve">
-20 bps est assumes:
-70bps occup delvg
+200bps IMU
-150bps higher MD's</t>
        </r>
      </text>
    </comment>
    <comment ref="BS22" authorId="5">
      <text>
        <r>
          <rPr>
            <b/>
            <sz val="8"/>
            <color indexed="81"/>
            <rFont val="Tahoma"/>
            <family val="2"/>
          </rPr>
          <t>kimberlg:</t>
        </r>
        <r>
          <rPr>
            <sz val="8"/>
            <color indexed="81"/>
            <rFont val="Tahoma"/>
            <family val="2"/>
          </rPr>
          <t xml:space="preserve">
$344M likely</t>
        </r>
      </text>
    </comment>
    <comment ref="BT22" authorId="6">
      <text>
        <r>
          <rPr>
            <b/>
            <sz val="8"/>
            <color indexed="81"/>
            <rFont val="Tahoma"/>
            <family val="2"/>
          </rPr>
          <t>nicholjs:</t>
        </r>
        <r>
          <rPr>
            <sz val="8"/>
            <color indexed="81"/>
            <rFont val="Tahoma"/>
            <family val="2"/>
          </rPr>
          <t xml:space="preserve">
merchandise margin flat
higher shipping costs associated w/ increased penetration of int'l DTC, as well as pre-opening costs from 11 addt'l store openings in 2H vs. LY
8/2010: opening 29 stores in 2H this year (11 more than 2H LY), so will see pre-opening costs specifically in 3Q on occupancy line
10/10: flat to modest IMU impvmt, occup no lvg, MD's have been oppty but likely pause in impvmt in 3Q10</t>
        </r>
      </text>
    </comment>
    <comment ref="BX22" authorId="6">
      <text>
        <r>
          <rPr>
            <b/>
            <sz val="8"/>
            <color indexed="81"/>
            <rFont val="Tahoma"/>
            <family val="2"/>
          </rPr>
          <t xml:space="preserve">11/14: </t>
        </r>
        <r>
          <rPr>
            <sz val="8"/>
            <color indexed="81"/>
            <rFont val="Tahoma"/>
            <family val="2"/>
          </rPr>
          <t>Decline primarily due to increased MDs to clear slow moving women’s apparel inventory at Anthro and UO, as well as occ delvg caused by negative comparable STORE sales.</t>
        </r>
        <r>
          <rPr>
            <b/>
            <sz val="8"/>
            <color indexed="81"/>
            <rFont val="Tahoma"/>
            <family val="2"/>
          </rPr>
          <t xml:space="preserve">
nicholjs:</t>
        </r>
        <r>
          <rPr>
            <sz val="8"/>
            <color indexed="81"/>
            <rFont val="Tahoma"/>
            <family val="2"/>
          </rPr>
          <t xml:space="preserve">
9/7/2011: at GS, could be down -450 or mid-36%
9/6/2011: could be closer to down 450-500
6/10/2011: 150 bps still good
5/17: could be down 100-150bps</t>
        </r>
      </text>
    </comment>
    <comment ref="CB22" authorId="15">
      <text>
        <r>
          <rPr>
            <b/>
            <sz val="8"/>
            <color indexed="81"/>
            <rFont val="Tahoma"/>
            <family val="2"/>
          </rPr>
          <t xml:space="preserve">11/19: </t>
        </r>
        <r>
          <rPr>
            <sz val="8"/>
            <color indexed="81"/>
            <rFont val="Tahoma"/>
            <family val="2"/>
          </rPr>
          <t>the increase was primarily due to a reduction in merchandise markdowns</t>
        </r>
        <r>
          <rPr>
            <b/>
            <sz val="8"/>
            <color indexed="81"/>
            <rFont val="Tahoma"/>
            <family val="2"/>
          </rPr>
          <t xml:space="preserve">
casselau:</t>
        </r>
        <r>
          <rPr>
            <sz val="8"/>
            <color indexed="81"/>
            <rFont val="Tahoma"/>
            <family val="2"/>
          </rPr>
          <t xml:space="preserve">
8/20/12: "We do not extrapolate our second-quarter margin rate into third-quarter performance as they are distinctly separate
seasons. Our margin rate plans depend upon the improvement in our product content and ultimately lower markdown rates"</t>
        </r>
      </text>
    </comment>
    <comment ref="CF22" authorId="7">
      <text>
        <r>
          <rPr>
            <b/>
            <sz val="8"/>
            <color indexed="81"/>
            <rFont val="Tahoma"/>
            <family val="2"/>
          </rPr>
          <t>turleamb:</t>
        </r>
        <r>
          <rPr>
            <sz val="8"/>
            <color indexed="81"/>
            <rFont val="Tahoma"/>
            <family val="2"/>
          </rPr>
          <t xml:space="preserve">
11/18/13: improvement primarily due to a reduction in merch markdowns and improved initial merchandise margins at Anthro and FP. Partially offset by increase in merch markdowns at UO in North America.  Increased penetration of DTC continued to drive store occupancy and leverage and delivery expense de-leverage
8/19/13 2Q EPS call: Remain committed to investing in the business increase $$ in IT and talent for web based initiatives; customer analytics and marketing spend for customer acquisition. SG&amp;A increase in the mid teens
</t>
        </r>
      </text>
    </comment>
    <comment ref="CJ22" authorId="9">
      <text>
        <r>
          <rPr>
            <b/>
            <sz val="9"/>
            <color indexed="81"/>
            <rFont val="Tahoma"/>
            <family val="2"/>
          </rPr>
          <t>Turley, Amber (Research):</t>
        </r>
        <r>
          <rPr>
            <sz val="9"/>
            <color indexed="81"/>
            <rFont val="Tahoma"/>
            <family val="2"/>
          </rPr>
          <t xml:space="preserve">
11/17/14: The
deleverage in both periods occurred primarily due to lower initial merchandise markup followed by
higher markdowns at the stores and store occupancy expense deleverage due to negative store
comparable net sales, which were all primarily driven by the poor performance at the Urban
Outfitters brand.
8/17/14: Possible 3Q could de-leverage y/y due to UO from store de-leverage (perhaps negative comp) and also due to lean inventory buys
* we estimate ~30 bps ROD de-leverage; 
</t>
        </r>
      </text>
    </comment>
    <comment ref="CN22" authorId="8">
      <text>
        <r>
          <rPr>
            <b/>
            <sz val="9"/>
            <color indexed="81"/>
            <rFont val="Tahoma"/>
            <family val="2"/>
          </rPr>
          <t>Mains, Spencer (Research):</t>
        </r>
        <r>
          <rPr>
            <sz val="9"/>
            <color indexed="81"/>
            <rFont val="Tahoma"/>
            <family val="2"/>
          </rPr>
          <t xml:space="preserve">
11/16/15
Improvement in GP driven by 150 bps of improvement in URBN maintain margin, due to better UO markdown rate but offset by lower margin at Anthro/FP. 100 bps of delverage in delivery and fulfillment center expenses and increased penetration of DTC. Half of deleverage in delivery and fulfillment center. More deleverage than we originally expected. This deleverage will continue in 4Q.
8/17/15: GM for 3Q could increase vs. prior year, driven by UO brand continuing to progress favorably.
UO's product delieveries throughout 2Q and into 3Q continue to show addl IMU improvement
Forecasting ~25 bps of incremental expense in 3Q related to the DC transition, but overall expense and deleverage for the year is trending lower than we had initially planned.
</t>
        </r>
      </text>
    </comment>
    <comment ref="CR22" authorId="10">
      <text>
        <r>
          <rPr>
            <b/>
            <sz val="9"/>
            <color indexed="81"/>
            <rFont val="Tahoma"/>
            <family val="2"/>
          </rPr>
          <t>Baglione, Gregory  (Research):</t>
        </r>
        <r>
          <rPr>
            <sz val="9"/>
            <color indexed="81"/>
            <rFont val="Tahoma"/>
            <family val="2"/>
          </rPr>
          <t xml:space="preserve">
11/22/16
For the three months ended October 31, 2016, the gross profit rate decreased by 15 basis points versus the prior year's comparable period. </t>
        </r>
        <r>
          <rPr>
            <b/>
            <sz val="9"/>
            <color indexed="81"/>
            <rFont val="Tahoma"/>
            <family val="2"/>
          </rPr>
          <t xml:space="preserve">The reduction in gross profit rate was primarily driven by the increased penetration of the direct-to-consumer channel resulting in increased customer delivery and overall logistics expense rates. </t>
        </r>
        <r>
          <rPr>
            <sz val="9"/>
            <color indexed="81"/>
            <rFont val="Tahoma"/>
            <family val="2"/>
          </rPr>
          <t>Within gross profit, maintained margins for the quarter were approximately flat compared to the prior year comparable period with initial mark-up lower on a year over year basis and markdowns coming in favorable on a year over year basis. Initial mark-up was lower due to increased penetration of the Wholesale segment sales at Free People which has a lower initial mark-up compared to the Retail segment. Initial mark-up in the Retail segment increased due to improvements at each of the brands. Markdowns were favorable due to lower markdowns at the Urban Outfitters brand which were partially offset by higher markdowns at the Free People and Anthropologie brands
8/16/16 Guidance 
Now on to gross margin, we believe our third-quarter gross margin rate could improve versus the prior year, with that improvement in rate being
slightly lower than the 142 basis points we achieved in the first half of the year. Our third-quarter gross margin improvement could be largely
driven by higher maintained margins at the Anthropologie Group and Urban Outfitters brands, which could be partially offset by declining gross
profit rate at the Free People brand.
3/7/16
Last year ~40bps GM headwind from DC, 1Q/4Q ~20 bps, 2Q/3Q about 40 bps. Expect to get most of this back in 2016.
Per conversation with management ~40-50 bps of GM recovery is a good starting point</t>
        </r>
        <r>
          <rPr>
            <b/>
            <sz val="9"/>
            <color indexed="81"/>
            <rFont val="Tahoma"/>
            <family val="2"/>
          </rPr>
          <t xml:space="preserve">. </t>
        </r>
        <r>
          <rPr>
            <sz val="9"/>
            <color indexed="81"/>
            <rFont val="Tahoma"/>
            <family val="2"/>
          </rPr>
          <t>Should recover ~3/4 of DC headwind (40-50) bps + some potential upside from merchandise margin imporvement</t>
        </r>
      </text>
    </comment>
    <comment ref="CS22" authorId="10">
      <text>
        <r>
          <rPr>
            <b/>
            <sz val="9"/>
            <color indexed="81"/>
            <rFont val="Tahoma"/>
            <family val="2"/>
          </rPr>
          <t>Baglione, Gregory  (Research):</t>
        </r>
        <r>
          <rPr>
            <sz val="9"/>
            <color indexed="81"/>
            <rFont val="Tahoma"/>
            <family val="2"/>
          </rPr>
          <t xml:space="preserve">
11/22/16
11/22/16
For the three months ended October 31, 2016, the gross profit rate decreased by 15 basis points versus the prior year's comparable period. The reduction in gross profit rate was primarily driven by the increased penetration of the direct-to-consumer channel resulting in increased customer delivery and overall logistics expense rates. Within gross profit, maintained margins for the quarter were approximately flat compared to the prior year comparable period with initial mark-up lower on a year over year basis and markdowns coming in favorable on a year over year basis. Initial mark-up was lower due to increased penetration of the Wholesale segment sales at Free People which has a lower initial mark-up compared to the Retail segment. Initial mark-up in the Retail segment increased due to improvements at each of the brands. Markdowns were favorable due to lower markdowns at the Urban Outfitters brand which were partially offset by higher markdowns at the Free People and Anthropologie brands
8/16/16
3Q GM could increase +100 bps)</t>
        </r>
      </text>
    </comment>
    <comment ref="CW22" authorId="12">
      <text>
        <r>
          <rPr>
            <b/>
            <sz val="9"/>
            <color indexed="81"/>
            <rFont val="Tahoma"/>
            <family val="2"/>
          </rPr>
          <t>Cassel, Lauren (Research):</t>
        </r>
        <r>
          <rPr>
            <sz val="9"/>
            <color indexed="81"/>
            <rFont val="Tahoma"/>
            <family val="2"/>
          </rPr>
          <t xml:space="preserve">
11/20/17: decline driven by deleverae in delivery and logistics expenses due to increased penetration in eComm, Intl, and furniture
8/15/17: Could decline at a lesser rate of 1H; driven by deleverage in delivery and logistics related to increased  eComm penetration and store deleverage on negative store comps. (1/3 of deleverage in 1H); assumes flattish MMU</t>
        </r>
      </text>
    </comment>
    <comment ref="T23" authorId="0">
      <text>
        <r>
          <rPr>
            <b/>
            <sz val="8"/>
            <color indexed="81"/>
            <rFont val="Tahoma"/>
            <family val="2"/>
          </rPr>
          <t>dong2:</t>
        </r>
        <r>
          <rPr>
            <sz val="8"/>
            <color indexed="81"/>
            <rFont val="Tahoma"/>
            <family val="2"/>
          </rPr>
          <t xml:space="preserve">
did this get reclassified TWICE??? Once in 4Q98 and once in 4Q99??</t>
        </r>
      </text>
    </comment>
    <comment ref="AJ23" authorId="1">
      <text>
        <r>
          <rPr>
            <b/>
            <sz val="8"/>
            <color indexed="81"/>
            <rFont val="Tahoma"/>
            <family val="2"/>
          </rPr>
          <t>Lehman Brothers:</t>
        </r>
        <r>
          <rPr>
            <sz val="8"/>
            <color indexed="81"/>
            <rFont val="Tahoma"/>
            <family val="2"/>
          </rPr>
          <t xml:space="preserve">
76.8 after 3Q conf call w/ gm rate of 34.9%</t>
        </r>
      </text>
    </comment>
    <comment ref="AO23" authorId="2">
      <text>
        <r>
          <rPr>
            <b/>
            <sz val="8"/>
            <color indexed="81"/>
            <rFont val="Tahoma"/>
            <family val="2"/>
          </rPr>
          <t>dliu:</t>
        </r>
        <r>
          <rPr>
            <sz val="8"/>
            <color indexed="81"/>
            <rFont val="Tahoma"/>
            <family val="2"/>
          </rPr>
          <t xml:space="preserve">
10/23: LY in 4Q there was not enough transition mdse- went right into Spring. Margins were great but didn't have enough to sell. TY- they will have best gift product delivering around Thanksgiving. Also, they made sure transition mdse was wearable in Nov/Dec/Jan - this is mdse in Winter Essentials book. Spring still delivers in late Dec, but will have more product to sell than did LY.</t>
        </r>
      </text>
    </comment>
    <comment ref="AU23" authorId="3">
      <text>
        <r>
          <rPr>
            <b/>
            <sz val="8"/>
            <color indexed="81"/>
            <rFont val="Tahoma"/>
            <family val="2"/>
          </rPr>
          <t>Corinna Freedman:</t>
        </r>
        <r>
          <rPr>
            <sz val="8"/>
            <color indexed="81"/>
            <rFont val="Tahoma"/>
            <family val="2"/>
          </rPr>
          <t xml:space="preserve">
prior to restatement = 143.506
excluding lease reclass. GM would have been +43.0%</t>
        </r>
      </text>
    </comment>
    <comment ref="BA23" authorId="19">
      <text>
        <r>
          <rPr>
            <b/>
            <sz val="8"/>
            <color indexed="81"/>
            <rFont val="Tahoma"/>
            <family val="2"/>
          </rPr>
          <t>mb33100:</t>
        </r>
        <r>
          <rPr>
            <sz val="8"/>
            <color indexed="81"/>
            <rFont val="Tahoma"/>
            <family val="2"/>
          </rPr>
          <t xml:space="preserve">
-295 bps merchandise margins (-35 bps IMU, +190 bps increase in MDs and +10 increased freight costs, +60 bps inv obsolesc rsv)
+60 bps occupancy costs due to rent expense during construction period,
offset by 310 bps improvement due to an accounting lease charge included last year but not this year.
11/10/05 since GM in 3Q down 63 bps, lower 4Q assumption to -50 bps. Also, mgmt indicated 3Q GM did not include an increase in IMU. Instead it was down due mostly to fuel surcharges in freight and slightly more items aired in vs. ocean freight.
11/3/05 assume GM flat at 43.0% to LY's 43.0% ex lease charge
5/12/05 the 107 bps impvt in IMU in 1Q05 should be sustained thru year b/c due to incr purch power and China Quota benefit.</t>
        </r>
      </text>
    </comment>
    <comment ref="BE23" authorId="16">
      <text>
        <r>
          <rPr>
            <b/>
            <sz val="8"/>
            <color indexed="81"/>
            <rFont val="Tahoma"/>
            <family val="2"/>
          </rPr>
          <t>mm98285:</t>
        </r>
        <r>
          <rPr>
            <sz val="8"/>
            <color indexed="81"/>
            <rFont val="Tahoma"/>
            <family val="2"/>
          </rPr>
          <t xml:space="preserve">
3/07: -245 bps for add'l MDs &amp; price adjs to clear seasonal inventory (incl. flat valuation reserve) 
-55 bps delvge on occup given neg. comp
+20 bps decrease in buying &amp; freight exp  </t>
        </r>
      </text>
    </comment>
    <comment ref="BH23" authorId="16">
      <text>
        <r>
          <rPr>
            <b/>
            <sz val="8"/>
            <color indexed="81"/>
            <rFont val="Tahoma"/>
            <family val="2"/>
          </rPr>
          <t>mm98285:</t>
        </r>
        <r>
          <rPr>
            <sz val="8"/>
            <color indexed="81"/>
            <rFont val="Tahoma"/>
            <family val="2"/>
          </rPr>
          <t xml:space="preserve">
+220 merch margin (+176 markdown, +25 handling, +19 freight) - up at Anthro and FP and flat at U.O.
+70 bps occupancy leveg</t>
        </r>
      </text>
    </comment>
    <comment ref="BL23" authorId="22">
      <text>
        <r>
          <rPr>
            <b/>
            <sz val="8"/>
            <color indexed="81"/>
            <rFont val="Tahoma"/>
            <family val="2"/>
          </rPr>
          <t>TI23070:</t>
        </r>
        <r>
          <rPr>
            <sz val="8"/>
            <color indexed="81"/>
            <rFont val="Tahoma"/>
            <family val="2"/>
          </rPr>
          <t xml:space="preserve">
-550 bps from higher rate of applied &amp; anticipated MDs to clear seasonal inventory &amp; a greater portion of FP wholesale sales to close out customers. 
we est. -170 bps hit to GM from increase in obsolescence reserve (anticipated markdowns)
Flat occupancy exp. as % of sales despite -1% comp
GM -550bps was relatively equal across all 3 div's
2/09: Merch margin down
1/09: December Mdse mgn down</t>
        </r>
      </text>
    </comment>
    <comment ref="BQ23" authorId="23">
      <text>
        <r>
          <rPr>
            <b/>
            <sz val="8"/>
            <color indexed="81"/>
            <rFont val="Tahoma"/>
            <family val="2"/>
          </rPr>
          <t>ns66486:</t>
        </r>
        <r>
          <rPr>
            <sz val="8"/>
            <color indexed="81"/>
            <rFont val="Tahoma"/>
            <family val="2"/>
          </rPr>
          <t xml:space="preserve">
CIRA estimates:
+375 merch IMU
+325 merch markdowns
+70 occupancy lvg</t>
        </r>
      </text>
    </comment>
    <comment ref="BS23" authorId="5">
      <text>
        <r>
          <rPr>
            <b/>
            <sz val="8"/>
            <color indexed="81"/>
            <rFont val="Tahoma"/>
            <family val="2"/>
          </rPr>
          <t>kimberlg:</t>
        </r>
        <r>
          <rPr>
            <sz val="8"/>
            <color indexed="81"/>
            <rFont val="Tahoma"/>
            <family val="2"/>
          </rPr>
          <t xml:space="preserve">
likely $395M</t>
        </r>
      </text>
    </comment>
    <comment ref="BT23" authorId="6">
      <text>
        <r>
          <rPr>
            <b/>
            <sz val="8"/>
            <color indexed="81"/>
            <rFont val="Tahoma"/>
            <family val="2"/>
          </rPr>
          <t>nicholjs:</t>
        </r>
        <r>
          <rPr>
            <sz val="8"/>
            <color indexed="81"/>
            <rFont val="Tahoma"/>
            <family val="2"/>
          </rPr>
          <t xml:space="preserve">
rate decrease primarily due to increased markdown volume to clear seasonal merchandise associated w/ changin women's apparel fashion trends, along with higher shipping costs related to increased penetration of int'l DTC</t>
        </r>
      </text>
    </comment>
    <comment ref="BX23" authorId="6">
      <text>
        <r>
          <rPr>
            <b/>
            <sz val="8"/>
            <color indexed="81"/>
            <rFont val="Tahoma"/>
            <family val="2"/>
          </rPr>
          <t xml:space="preserve">3/12/12: </t>
        </r>
        <r>
          <rPr>
            <sz val="8"/>
            <color indexed="81"/>
            <rFont val="Tahoma"/>
            <family val="2"/>
          </rPr>
          <t>primarily due to increased merchandise markdowns to clear slow-moving women's apparel inventory at both Anthropologie and Urban Outfitters, as well as occupancy deleverage caused by negative comparable store net sales.</t>
        </r>
        <r>
          <rPr>
            <b/>
            <sz val="8"/>
            <color indexed="81"/>
            <rFont val="Tahoma"/>
            <family val="2"/>
          </rPr>
          <t xml:space="preserve">
1/5/12: </t>
        </r>
        <r>
          <rPr>
            <sz val="8"/>
            <color indexed="81"/>
            <rFont val="Tahoma"/>
            <family val="2"/>
          </rPr>
          <t>The highly promotional environment coupled with our goal to reduce our overall inventory levels by the end of the fourth quarter led to more promotional offerings than originally anticipated</t>
        </r>
        <r>
          <rPr>
            <b/>
            <sz val="8"/>
            <color indexed="81"/>
            <rFont val="Tahoma"/>
            <family val="2"/>
          </rPr>
          <t xml:space="preserve">
11/14/11: </t>
        </r>
        <r>
          <rPr>
            <sz val="8"/>
            <color indexed="81"/>
            <rFont val="Tahoma"/>
            <family val="2"/>
          </rPr>
          <t>4Q GM could be lower than what we experienced in 3Q on an absolute basis.
4Q GM less than 35.4%</t>
        </r>
        <r>
          <rPr>
            <b/>
            <sz val="8"/>
            <color indexed="81"/>
            <rFont val="Tahoma"/>
            <family val="2"/>
          </rPr>
          <t xml:space="preserve">
nicholjs:</t>
        </r>
        <r>
          <rPr>
            <sz val="8"/>
            <color indexed="81"/>
            <rFont val="Tahoma"/>
            <family val="2"/>
          </rPr>
          <t xml:space="preserve">
10/3/2011: 4Q GM rate could be similar to 3Q rate
9/7/2011: at GS, expect sequential improvement from 3Q rate of ~36.5%
5/17: could see GM improvement</t>
        </r>
      </text>
    </comment>
    <comment ref="CB23" authorId="15">
      <text>
        <r>
          <rPr>
            <b/>
            <sz val="8"/>
            <color indexed="81"/>
            <rFont val="Tahoma"/>
            <family val="2"/>
          </rPr>
          <t>casselau:</t>
        </r>
        <r>
          <rPr>
            <sz val="8"/>
            <color indexed="81"/>
            <rFont val="Tahoma"/>
            <family val="2"/>
          </rPr>
          <t xml:space="preserve">
3/11/13: the increase in gross profit rate was primiarily due to a reduction in merchandise markdowns across all brands; the company also improved initial merch margins and store occupancy leverage, partially offset by deleverage in delivery expense primarily related to higher DTC</t>
        </r>
      </text>
    </comment>
    <comment ref="CC23" authorId="15">
      <text>
        <r>
          <rPr>
            <b/>
            <sz val="8"/>
            <color indexed="81"/>
            <rFont val="Tahoma"/>
            <family val="2"/>
          </rPr>
          <t>casselau:</t>
        </r>
        <r>
          <rPr>
            <sz val="8"/>
            <color indexed="81"/>
            <rFont val="Tahoma"/>
            <family val="2"/>
          </rPr>
          <t xml:space="preserve">
8/10/12: expect improvement to be better in 4Q than 3Q based on comparability</t>
        </r>
      </text>
    </comment>
    <comment ref="CF23" authorId="7">
      <text>
        <r>
          <rPr>
            <b/>
            <sz val="8"/>
            <color indexed="81"/>
            <rFont val="Tahoma"/>
            <family val="2"/>
          </rPr>
          <t>turleamb:</t>
        </r>
        <r>
          <rPr>
            <sz val="8"/>
            <color indexed="81"/>
            <rFont val="Tahoma"/>
            <family val="2"/>
          </rPr>
          <t xml:space="preserve">
3/10/14: gross profit rate improved by 4 basis points versus the prior year's comparable period. The improvement in gross profit rate was primarily due
to improved merchandise margins primarily from significant improvement in the Anthropologie brand markdown rate.  This improvement was mostly offset by increased markdowns at the Urban Outfitters
brand. Store occupancy de-leveraged due to negative store comps and a large amount of pre-opening occupancy expense related to 3 large NYC UO stores scheduled to open 1H14.</t>
        </r>
        <r>
          <rPr>
            <sz val="8"/>
            <color indexed="81"/>
            <rFont val="Tahoma"/>
            <family val="2"/>
          </rPr>
          <t xml:space="preserve"> </t>
        </r>
        <r>
          <rPr>
            <b/>
            <sz val="8"/>
            <color indexed="81"/>
            <rFont val="Tahoma"/>
            <family val="2"/>
          </rPr>
          <t>The occupancy charge related to the pre occupancy hit related to the three large New York City stores in the Fourth Quarter was about $3 million (30 bps impact)</t>
        </r>
        <r>
          <rPr>
            <sz val="8"/>
            <color indexed="81"/>
            <rFont val="Tahoma"/>
            <family val="2"/>
          </rPr>
          <t xml:space="preserve">
11/18/13: Due to what we believe could be an increasingly promotional holiday environment, we're planning inventory conservatively. This promotional environment could negatively impact our gross profit margins for the fourth quarter.</t>
        </r>
      </text>
    </comment>
    <comment ref="CJ23" authorId="9">
      <text>
        <r>
          <rPr>
            <b/>
            <sz val="9"/>
            <color indexed="81"/>
            <rFont val="Tahoma"/>
            <family val="2"/>
          </rPr>
          <t>Turley, Amber (Research):</t>
        </r>
        <r>
          <rPr>
            <sz val="9"/>
            <color indexed="81"/>
            <rFont val="Tahoma"/>
            <family val="2"/>
          </rPr>
          <t xml:space="preserve">
3/9/15: de-leverage primarily due to lower IMU followed by higher markdowns, primarily driven by underperformance at UO. 
1/13/19 at ICR: Anthro is only 10 bps away from record merch margins
1/8/15: Dick Hayne's comment from holiday sales release: "This year's holiday environment in the fashion apparel industry was more promotional than any I can recall". We think Anthro/FP inventory very lean, Anthro probably not record merch margin but still good. UO inventory dollars probably still a bit high due to IMU pressure and UO inventory not as clean as they would like. 
easier merch margin compares, better UO product flow - assume transition back to apaprel from home raising IMU
*we estimate about flat ROD</t>
        </r>
      </text>
    </comment>
    <comment ref="CN23" authorId="10">
      <text>
        <r>
          <rPr>
            <b/>
            <sz val="9"/>
            <color indexed="81"/>
            <rFont val="Tahoma"/>
            <family val="2"/>
          </rPr>
          <t>Baglione, Gregory  (Research):</t>
        </r>
        <r>
          <rPr>
            <sz val="9"/>
            <color indexed="81"/>
            <rFont val="Tahoma"/>
            <family val="2"/>
          </rPr>
          <t xml:space="preserve">
3/7/16
The gross profit rate declined by 12 basis points versus the prior year's comparable period. The decline in gross profit rate was driven by approximately 100 basis points of deleverage in delivery and fulfillment center expense, primarily related to the increased direct-to-consumer sales penetration and the impact of the transition of our South Carolina fulfillment center to Gap, Pennsylvania. Gross margin rate was further impacted by additional deleverage related to higher store occupancy costs, store impairment charges and the negative impact of foreign currency. These decreases were almost entirely offset by approximately 200 basis points of improvement in maintained margins primarily driven by significant improvement in the Urban Outfitters brand markdown rate.
3/7/16
During the three months ended January 31, 2016, the Company incurred store impairment charges of $9 million, with $7 million of this charge negatively affecting gross profit and $2 million negatively affecting selling, general and administrative expenses.
2/9/16
Reducing GM to -50 bps from -100 bps 
11/16/15
4Q expected to have similar pressure from B&amp;O, DC, and FX headwinds
We model:
Fullfillment center: 150 bps was planned (ask mgmt)
FX: 50 bps
Markdowns: ~30 bps from 
</t>
        </r>
      </text>
    </comment>
    <comment ref="CR23" authorId="10">
      <text>
        <r>
          <rPr>
            <b/>
            <sz val="9"/>
            <color indexed="81"/>
            <rFont val="Tahoma"/>
            <family val="2"/>
          </rPr>
          <t>Baglione, Gregory  (Research):</t>
        </r>
        <r>
          <rPr>
            <sz val="9"/>
            <color indexed="81"/>
            <rFont val="Tahoma"/>
            <family val="2"/>
          </rPr>
          <t xml:space="preserve">
1/7/17: Per Oona -100 bps, maybe even a little more to be conservative
12/12/16
Management noted our -20 bps fine if trends stay consistent with where they are "would not expect upside from there".  They have seen a pick up in promotional activity across the mall  due to weak traffic, not elevated inventory. 
We are maintaing our -20 bps GM estimate. 
11/22/16
GM could decrease vs. LY due to higher markdowns at Anthro and UO
We model 34.3% GM, down 20 bps y/y.
3/7/16
Lapping ~70 bps of headwinds from GM impairments
4Q15 would have increased ~50 bps excluding impairments, should get this back next year. 
Per conversation with management. ~$7M COGS recapture next year (~70 bps) and  ~20 bps DC recovery. Leads to our 35.4% GM or +90 bps</t>
        </r>
      </text>
    </comment>
    <comment ref="CS23" authorId="17">
      <text>
        <r>
          <rPr>
            <b/>
            <sz val="9"/>
            <color indexed="81"/>
            <rFont val="Tahoma"/>
            <family val="2"/>
          </rPr>
          <t>3/7/2017: driven by deleverage in customer delivery and logistics expense rates primarily due to the increased penetration of the DTC channel and deleverage in maintained margins due to lower IMU and higher markdowns at both the Anthro and UO brands; store occupancy rate was flat, including $4M of store impairment charges vs. $7M LY (1 UO and 2 FP stores)
UO IMU -55 bps; FP merch margins +200 bps
Baglione, Gregory (Research):</t>
        </r>
        <r>
          <rPr>
            <sz val="9"/>
            <color indexed="81"/>
            <rFont val="Tahoma"/>
            <family val="2"/>
          </rPr>
          <t xml:space="preserve">
12/12/16
Management noted our -20 bps fine if trends stay consistent with where they are "would not expect upside from there".  They have seen a pick up in promotional activity across the mall  due to weak traffic, not elevated inventory. 
We are maintaing our -20 bps GM estimate. 
11/22/16
Now onto gross margin, we believe our fourth quarter gross margin rate could decrease versus the prior year, primarily due to higher markdowns. These markdowns could be driven by higher markdowns at Anthropologie related to their women’s apparel performance and slightly higher markdowns at Urban Outfitters related to marginally higher inventory. 
* Per callback management said -10-20 bps 
We model GM 34.3% vs. prev 35.6%</t>
        </r>
      </text>
    </comment>
    <comment ref="CW23" authorId="11">
      <text>
        <r>
          <rPr>
            <b/>
            <sz val="9"/>
            <color indexed="81"/>
            <rFont val="Tahoma"/>
            <family val="2"/>
          </rPr>
          <t>Roberts, Cynthia (Research):</t>
        </r>
        <r>
          <rPr>
            <sz val="9"/>
            <color indexed="81"/>
            <rFont val="Tahoma"/>
            <family val="2"/>
          </rPr>
          <t xml:space="preserve">
3/6/18: decline was primarily driven by deleverage in delivery and logistics expenses and initial mark ups. Deleverage in delivery and logostics was due to increased penetration of digital,  increased expedited shipments around Holiday in order to hit guaranteed delivery dates. and penetration of international and furniture shipments. 
1/8/18: gross margin guidance maintained
11/20/17: Guidance, decline of 1/2 the magnitude of 3Q driven by deleverage in delivery and logistics costs with increased eComm penetration offset by store occupancy leverage and lower markdowns</t>
        </r>
      </text>
    </comment>
    <comment ref="U24" authorId="0">
      <text>
        <r>
          <rPr>
            <b/>
            <sz val="8"/>
            <color indexed="81"/>
            <rFont val="Tahoma"/>
            <family val="2"/>
          </rPr>
          <t>dong2:</t>
        </r>
        <r>
          <rPr>
            <sz val="8"/>
            <color indexed="81"/>
            <rFont val="Tahoma"/>
            <family val="2"/>
          </rPr>
          <t xml:space="preserve">
GM increased from 35.0% to 38.0% due to higher IMUs and lower MDs in both U and A. Comp increases offset the higher occup. costs of new stores. Reduced sales in wholesale necessitated increased portion of mdse to be sold in "off-price" sector, offsetting in part the higher retail pfce.</t>
        </r>
      </text>
    </comment>
    <comment ref="Y24" authorId="0">
      <text>
        <r>
          <rPr>
            <b/>
            <sz val="8"/>
            <color indexed="81"/>
            <rFont val="Tahoma"/>
            <family val="2"/>
          </rPr>
          <t>dong2:</t>
        </r>
        <r>
          <rPr>
            <sz val="8"/>
            <color indexed="81"/>
            <rFont val="Tahoma"/>
            <family val="2"/>
          </rPr>
          <t xml:space="preserve">
IN 10-K, says GM increased slightly to 37.8% of sales in 99 from 37.6% in 98.</t>
        </r>
      </text>
    </comment>
    <comment ref="BH24" authorId="16">
      <text>
        <r>
          <rPr>
            <b/>
            <sz val="8"/>
            <color indexed="81"/>
            <rFont val="Tahoma"/>
            <family val="2"/>
          </rPr>
          <t>mm98285:</t>
        </r>
        <r>
          <rPr>
            <sz val="8"/>
            <color indexed="81"/>
            <rFont val="Tahoma"/>
            <family val="2"/>
          </rPr>
          <t xml:space="preserve">
3/08: lower MDs, and levg of store occupancy exp </t>
        </r>
      </text>
    </comment>
    <comment ref="BL24" authorId="16">
      <text>
        <r>
          <rPr>
            <b/>
            <sz val="8"/>
            <color indexed="81"/>
            <rFont val="Tahoma"/>
            <family val="2"/>
          </rPr>
          <t>mm98285:</t>
        </r>
        <r>
          <rPr>
            <sz val="8"/>
            <color indexed="81"/>
            <rFont val="Tahoma"/>
            <family val="2"/>
          </rPr>
          <t xml:space="preserve">
10K: leveraging store occupancy expenses and improvements in IMU which are partially offset by adjustments to record anticipated 4Q MDs</t>
        </r>
      </text>
    </comment>
    <comment ref="CB24" authorId="15">
      <text>
        <r>
          <rPr>
            <b/>
            <sz val="8"/>
            <color indexed="81"/>
            <rFont val="Tahoma"/>
            <family val="2"/>
          </rPr>
          <t xml:space="preserve">3/11/13: </t>
        </r>
        <r>
          <rPr>
            <sz val="8"/>
            <color indexed="81"/>
            <rFont val="Tahoma"/>
            <family val="2"/>
          </rPr>
          <t>the increase in the rate was primarily due to a reduction in merch markdowns</t>
        </r>
        <r>
          <rPr>
            <b/>
            <sz val="8"/>
            <color indexed="81"/>
            <rFont val="Tahoma"/>
            <family val="2"/>
          </rPr>
          <t xml:space="preserve">
casselau:</t>
        </r>
        <r>
          <rPr>
            <sz val="8"/>
            <color indexed="81"/>
            <rFont val="Tahoma"/>
            <family val="2"/>
          </rPr>
          <t xml:space="preserve">
8/20/12: expect gradual y/y margin improvement</t>
        </r>
      </text>
    </comment>
    <comment ref="CC24" authorId="20">
      <text>
        <r>
          <rPr>
            <sz val="8"/>
            <color indexed="81"/>
            <rFont val="Tahoma"/>
            <family val="2"/>
          </rPr>
          <t>7/8/13: LY delivered 210 bps GM impvmt driven by:
merchandise margin improvement
deleveraged occupancy in 1H12 (a few expensive Euro stores pressured occupancy exp), but leveraged in 2H12. net for year occupancy was roughly flat.
11/19: reit +200-250bps
8/20/12: reit +200-250bps</t>
        </r>
        <r>
          <rPr>
            <b/>
            <sz val="8"/>
            <color indexed="81"/>
            <rFont val="Tahoma"/>
            <family val="2"/>
          </rPr>
          <t xml:space="preserve">
lauraro:</t>
        </r>
        <r>
          <rPr>
            <sz val="8"/>
            <color indexed="81"/>
            <rFont val="Tahoma"/>
            <family val="2"/>
          </rPr>
          <t xml:space="preserve">
5/21/12: mgmt plans 200-250 bps improvement for the year</t>
        </r>
      </text>
    </comment>
    <comment ref="CF24" authorId="15">
      <text>
        <r>
          <rPr>
            <b/>
            <sz val="8"/>
            <color indexed="81"/>
            <rFont val="Tahoma"/>
            <family val="2"/>
          </rPr>
          <t>casselau:</t>
        </r>
        <r>
          <rPr>
            <sz val="8"/>
            <color indexed="81"/>
            <rFont val="Tahoma"/>
            <family val="2"/>
          </rPr>
          <t xml:space="preserve">
10-K:  The increase in the gross profit rate was primarily due to improved merchandise margins largely due to significant improvement in the Anthropologie brand markdown rate. This improvement was partially offset by increased markdowns at the Urban Outfitters brand in North America. The increased penetration of the direct-to-consumer channel continued to drive store occupancy leverage and delivery expense deleverage
3/11/13: guidance: at least 50 bps improvement (lower markdowns and higher IMU)
2013 GM -
Headwinds
1. Delivery expense for DTC
2.  Increase international through DTC
3.  Increase of package per order, landed West coast center w/o all product - get stuff faster to customer is the goal
Tailwinds
1.  Merch markdowns
2.  IMU gains
3.  Store occupancy
</t>
        </r>
        <r>
          <rPr>
            <b/>
            <sz val="8"/>
            <color indexed="81"/>
            <rFont val="Tahoma"/>
            <family val="2"/>
          </rPr>
          <t>turleamb:</t>
        </r>
        <r>
          <rPr>
            <sz val="8"/>
            <color indexed="81"/>
            <rFont val="Tahoma"/>
            <family val="2"/>
          </rPr>
          <t xml:space="preserve"> 8/19 2Q EPS:
We are planning for continued year-over-year gross margin growth with a goal of producing at least 50 basis points of margin improvement for the second half of the fiscal year. We believe our gross margin growth opportunities will primarily be driven by lower markdown rates and higher initial margins, resulting from improved product execution and continued focus on inventory management.</t>
        </r>
      </text>
    </comment>
    <comment ref="CJ24" authorId="7">
      <text>
        <r>
          <rPr>
            <b/>
            <sz val="8"/>
            <color indexed="81"/>
            <rFont val="Tahoma"/>
            <family val="2"/>
          </rPr>
          <t>turleamb:</t>
        </r>
        <r>
          <rPr>
            <sz val="8"/>
            <color indexed="81"/>
            <rFont val="Tahoma"/>
            <family val="2"/>
          </rPr>
          <t xml:space="preserve">
3/9/15: de-leverage primarily due to lower IMU, store occupancy de-leverage due to negative store comps and higher markdowns, which were primarily driven by underperformance at UO. 
3/10/14: GM likely to achieve y/y growth</t>
        </r>
      </text>
    </comment>
    <comment ref="CN24" authorId="10">
      <text>
        <r>
          <rPr>
            <b/>
            <sz val="9"/>
            <color indexed="81"/>
            <rFont val="Tahoma"/>
            <family val="2"/>
          </rPr>
          <t>Baglione, Gregory  (Research):</t>
        </r>
        <r>
          <rPr>
            <sz val="9"/>
            <color indexed="81"/>
            <rFont val="Tahoma"/>
            <family val="2"/>
          </rPr>
          <t xml:space="preserve">
3/7/16
FY ~ 40bps GM headwind from DC, 1Q/4Q ~20 bps, 2Q/3Q about 40 bps. Expect to get most of this back in 2016.</t>
        </r>
      </text>
    </comment>
    <comment ref="CO24" authorId="9">
      <text>
        <r>
          <rPr>
            <b/>
            <sz val="9"/>
            <color indexed="81"/>
            <rFont val="Tahoma"/>
            <family val="2"/>
          </rPr>
          <t xml:space="preserve">5/18/15: </t>
        </r>
        <r>
          <rPr>
            <sz val="9"/>
            <color indexed="81"/>
            <rFont val="Tahoma"/>
            <family val="2"/>
          </rPr>
          <t>expect 25 to 50 bps of yoy improvement in the gross profit margin.  This is inclusive of the one-time fulfillment center transition costs.  Based on our current plan, we believe the DTC fulfillment center transition will negatively affect our annual gross profit margin by approximately 50 bps."</t>
        </r>
        <r>
          <rPr>
            <b/>
            <sz val="9"/>
            <color indexed="81"/>
            <rFont val="Tahoma"/>
            <family val="2"/>
          </rPr>
          <t xml:space="preserve">
Turley, Amber (Research):</t>
        </r>
        <r>
          <rPr>
            <sz val="9"/>
            <color indexed="81"/>
            <rFont val="Tahoma"/>
            <family val="2"/>
          </rPr>
          <t xml:space="preserve">
3/9/15: Guidance roughly +100 bps weighted to 2H. 
"Our gross profit margin growth opportunity largely depends on the timing of the margin progress at the Urban Outfitters brand in North America. The majority of the improvement opportunity for the year is related to lower Mark on rates from improved product execution, better inventory control and allocation, and improved initial markups. As Dickon the team will discuss later on the call, the urban brand is in a much better position versus this time last year but while progress has been made, we are still a work in progress with much more to come. We believe the brand can begin to deliver markdown improvement in the first quarter but much, if not all of this improvement could be offset by unfavorable I you which we believe will not start to show meaningful improvement until the second quarter. Based on the possible IMU deleverage at the urban brand and delivery sensitive deleverage based were fulfillment center relocation, it is possible that our first quarter gross profit margin could deleverage at the URBN level. As I mentioned earlier, please note that gross profit margin for URBN will be negatively affected by approximately 50 basis points and FY16, relating to the transition of our East Coast fulfillment center from Trenton, South Carolina to gap, Pennsylvania. Our new state-of-the-art, when million-square-foot facility will begin phasing and outbound service to the customer in June . Therefore the majority of this deleverage's plan to occur in the second and third quarters by both the first and fourth quarters will be modestly affected, as well."</t>
        </r>
      </text>
    </comment>
    <comment ref="CS24" authorId="12">
      <text>
        <r>
          <rPr>
            <b/>
            <sz val="9"/>
            <color indexed="81"/>
            <rFont val="Tahoma"/>
            <family val="2"/>
          </rPr>
          <t>Cassel, Lauren (Research):</t>
        </r>
        <r>
          <rPr>
            <sz val="9"/>
            <color indexed="81"/>
            <rFont val="Tahoma"/>
            <family val="2"/>
          </rPr>
          <t xml:space="preserve">
3/7/17: increase primarily driven by improvement in the UO maintained margins due to lower merchandise markdowns compared to the prior year; this increase was partially offset by a lower gross profit rate at FP which was primarily driven by lower maintained margins due to higher merchandise markdowns, and total company deleverage in customer delivery and logistics expense primarily related to the increased penetration of DTC</t>
        </r>
      </text>
    </comment>
    <comment ref="BK28" authorId="7">
      <text>
        <r>
          <rPr>
            <b/>
            <sz val="9"/>
            <color indexed="81"/>
            <rFont val="Tahoma"/>
            <family val="2"/>
          </rPr>
          <t>turleamb:</t>
        </r>
        <r>
          <rPr>
            <sz val="9"/>
            <color indexed="81"/>
            <rFont val="Tahoma"/>
            <family val="2"/>
          </rPr>
          <t xml:space="preserve">
Selling, general and administrative expenses includes expenses such as: direct selling and selling supervisory expenses; marketing expenses; various corporate expenses such as information systems, finance, loss prevention, talent acquisition, home office and executive management expenses; share-based compensation expense; and other associated general expenses.</t>
        </r>
      </text>
    </comment>
    <comment ref="CI28" authorId="7">
      <text>
        <r>
          <rPr>
            <b/>
            <sz val="9"/>
            <color indexed="81"/>
            <rFont val="Tahoma"/>
            <family val="2"/>
          </rPr>
          <t>turleamb:</t>
        </r>
        <r>
          <rPr>
            <sz val="9"/>
            <color indexed="81"/>
            <rFont val="Tahoma"/>
            <family val="2"/>
          </rPr>
          <t xml:space="preserve">
Selling, general and administrative expenses includes expenses such as: direct selling and selling supervisory expenses; marketing expenses; various corporate expenses such as information systems, finance, loss prevention, talent acquisition, home office and executive management expenses; share-based compensation expense; and other associated general expenses.
***used to be able to leverage about 10 bps store occupancy costs for every percent above a 1% comp. Shift to eComm has changed that somehwat</t>
        </r>
      </text>
    </comment>
    <comment ref="AK30" authorId="1">
      <text>
        <r>
          <rPr>
            <b/>
            <sz val="8"/>
            <color indexed="81"/>
            <rFont val="Tahoma"/>
            <family val="2"/>
          </rPr>
          <t>Lehman Brothers:</t>
        </r>
        <r>
          <rPr>
            <sz val="8"/>
            <color indexed="81"/>
            <rFont val="Tahoma"/>
            <family val="2"/>
          </rPr>
          <t xml:space="preserve">
had $22.7 and 26.7%</t>
        </r>
      </text>
    </comment>
    <comment ref="AN30" authorId="1">
      <text>
        <r>
          <rPr>
            <b/>
            <sz val="8"/>
            <color indexed="81"/>
            <rFont val="Tahoma"/>
            <family val="2"/>
          </rPr>
          <t>Lehman Brothers:</t>
        </r>
        <r>
          <rPr>
            <sz val="8"/>
            <color indexed="81"/>
            <rFont val="Tahoma"/>
            <family val="2"/>
          </rPr>
          <t xml:space="preserve">
28.5</t>
        </r>
      </text>
    </comment>
    <comment ref="AO30" authorId="1">
      <text>
        <r>
          <rPr>
            <b/>
            <sz val="8"/>
            <color indexed="81"/>
            <rFont val="Tahoma"/>
            <family val="2"/>
          </rPr>
          <t>Lehman Brothers:</t>
        </r>
        <r>
          <rPr>
            <sz val="8"/>
            <color indexed="81"/>
            <rFont val="Tahoma"/>
            <family val="2"/>
          </rPr>
          <t xml:space="preserve">
plan up b/c doing A catalog test. Offsetting moderate lvg on corporate exp</t>
        </r>
      </text>
    </comment>
    <comment ref="AU30" authorId="2">
      <text>
        <r>
          <rPr>
            <b/>
            <sz val="8"/>
            <color indexed="81"/>
            <rFont val="Tahoma"/>
            <family val="2"/>
          </rPr>
          <t>dliu:</t>
        </r>
        <r>
          <rPr>
            <sz val="8"/>
            <color indexed="81"/>
            <rFont val="Tahoma"/>
            <family val="2"/>
          </rPr>
          <t xml:space="preserve">
36mm</t>
        </r>
      </text>
    </comment>
    <comment ref="AW30" authorId="18">
      <text>
        <r>
          <rPr>
            <b/>
            <sz val="10"/>
            <color indexed="81"/>
            <rFont val="Tahoma"/>
            <family val="2"/>
          </rPr>
          <t>kgreenbe:</t>
        </r>
        <r>
          <rPr>
            <sz val="10"/>
            <color indexed="81"/>
            <rFont val="Tahoma"/>
            <family val="2"/>
          </rPr>
          <t xml:space="preserve">
increased catalog, very large (too large) bonus accrual, increased store base</t>
        </r>
      </text>
    </comment>
    <comment ref="BC30" authorId="13">
      <text>
        <r>
          <rPr>
            <b/>
            <sz val="8"/>
            <color indexed="81"/>
            <rFont val="Tahoma"/>
            <family val="2"/>
          </rPr>
          <t>kg51925:</t>
        </r>
        <r>
          <rPr>
            <sz val="8"/>
            <color indexed="81"/>
            <rFont val="Tahoma"/>
            <family val="2"/>
          </rPr>
          <t xml:space="preserve">
3/9/06 we think sg&amp;a dollars s/b $67-68mm in 1Q06</t>
        </r>
      </text>
    </comment>
    <comment ref="BE30" authorId="16">
      <text>
        <r>
          <rPr>
            <b/>
            <sz val="8"/>
            <color indexed="81"/>
            <rFont val="Tahoma"/>
            <family val="2"/>
          </rPr>
          <t>mm98285:</t>
        </r>
        <r>
          <rPr>
            <sz val="8"/>
            <color indexed="81"/>
            <rFont val="Tahoma"/>
            <family val="2"/>
          </rPr>
          <t xml:space="preserve">
+140 bps due to delvge from neg comp &amp; addition of options exp (~16 bps)</t>
        </r>
      </text>
    </comment>
    <comment ref="BH30" authorId="13">
      <text>
        <r>
          <rPr>
            <b/>
            <sz val="8"/>
            <color indexed="81"/>
            <rFont val="Tahoma"/>
            <family val="2"/>
          </rPr>
          <t>kg51925:</t>
        </r>
        <r>
          <rPr>
            <sz val="8"/>
            <color indexed="81"/>
            <rFont val="Tahoma"/>
            <family val="2"/>
          </rPr>
          <t xml:space="preserve">
+20 bps primarily due to delvg of corp fixed exp given -2% comp
est 19%</t>
        </r>
      </text>
    </comment>
    <comment ref="BK30" authorId="16">
      <text>
        <r>
          <rPr>
            <b/>
            <sz val="8"/>
            <color indexed="81"/>
            <rFont val="Tahoma"/>
            <family val="2"/>
          </rPr>
          <t>mm98285:</t>
        </r>
        <r>
          <rPr>
            <sz val="8"/>
            <color indexed="81"/>
            <rFont val="Tahoma"/>
            <family val="2"/>
          </rPr>
          <t xml:space="preserve">
5/08: includes $4mm (100 bps) in costs that will not be repeated in future qtrs ($2.6mm for Terrain and Leiffsdottir)</t>
        </r>
      </text>
    </comment>
    <comment ref="BL30" authorId="16">
      <text>
        <r>
          <rPr>
            <b/>
            <sz val="8"/>
            <color indexed="81"/>
            <rFont val="Tahoma"/>
            <family val="2"/>
          </rPr>
          <t>mm98285:</t>
        </r>
        <r>
          <rPr>
            <sz val="8"/>
            <color indexed="81"/>
            <rFont val="Tahoma"/>
            <family val="2"/>
          </rPr>
          <t xml:space="preserve">
-direct store controllable costs levge 
+65 bps 1-time pre-opening exp's for Terrain store launch and development exp's for Leiffsdottir (~$2.6mm)
+additional bonus accruals 
we should only expect ~$500K per qtr going forward. ~$4mm in 1Q SG&amp;A expenses will not be repeated in future quarters</t>
        </r>
      </text>
    </comment>
    <comment ref="BM30" authorId="16">
      <text>
        <r>
          <rPr>
            <b/>
            <sz val="8"/>
            <color indexed="81"/>
            <rFont val="Tahoma"/>
            <family val="2"/>
          </rPr>
          <t>mm98285:</t>
        </r>
        <r>
          <rPr>
            <sz val="8"/>
            <color indexed="81"/>
            <rFont val="Tahoma"/>
            <family val="2"/>
          </rPr>
          <t xml:space="preserve">
19.8% growth ex $4mm in costs that will not be repeated</t>
        </r>
      </text>
    </comment>
    <comment ref="BO30" authorId="13">
      <text>
        <r>
          <rPr>
            <b/>
            <sz val="8"/>
            <color indexed="81"/>
            <rFont val="Tahoma"/>
            <family val="2"/>
          </rPr>
          <t>kg51925:</t>
        </r>
        <r>
          <rPr>
            <sz val="8"/>
            <color indexed="81"/>
            <rFont val="Tahoma"/>
            <family val="2"/>
          </rPr>
          <t xml:space="preserve">
4/09: $101 could happen with sales shortfall on flex of SG&amp;A 30% variable in SG&amp;A
2/09: $108 "not bad"
hope to come in below that </t>
        </r>
      </text>
    </comment>
    <comment ref="BP30" authorId="16">
      <text>
        <r>
          <rPr>
            <b/>
            <sz val="8"/>
            <color indexed="81"/>
            <rFont val="Tahoma"/>
            <family val="2"/>
          </rPr>
          <t>mm98285:</t>
        </r>
        <r>
          <rPr>
            <sz val="8"/>
            <color indexed="81"/>
            <rFont val="Tahoma"/>
            <family val="2"/>
          </rPr>
          <t xml:space="preserve">
5/09: SG&amp;A dollars +1.5% given fixed direct store exp. delevg. on -9.6% comp.  LY’s SG&amp;A incl. ~$4M in invm'ts/exp's:  ~$2M add'l bonus accruals &amp; ~$2M Terrain &amp; Leiffsdottir invm'ts. Ex. these exp's, 1Q09 SG&amp;A +5.9%, which we believe is a more sustainable rate going forward (if comps -HSD). </t>
        </r>
      </text>
    </comment>
    <comment ref="BQ30" authorId="13">
      <text>
        <r>
          <rPr>
            <b/>
            <sz val="8"/>
            <color indexed="81"/>
            <rFont val="Tahoma"/>
            <family val="2"/>
          </rPr>
          <t>kg51925:</t>
        </r>
        <r>
          <rPr>
            <sz val="8"/>
            <color indexed="81"/>
            <rFont val="Tahoma"/>
            <family val="2"/>
          </rPr>
          <t xml:space="preserve">
3/09: Mgmt thinks can keep SG&amp;A dollar growth at 6-9% (lower end if comps negative, higher end if comps flat)
EXCEPT 4Q when anniv big cuts and lower bonus accrual LY
4/09 SG&amp;A could grow 6% or less if comp down 8-9%</t>
        </r>
      </text>
    </comment>
    <comment ref="BS30" authorId="13">
      <text>
        <r>
          <rPr>
            <b/>
            <sz val="8"/>
            <color indexed="81"/>
            <rFont val="Tahoma"/>
            <family val="2"/>
          </rPr>
          <t>kg51925:</t>
        </r>
        <r>
          <rPr>
            <sz val="8"/>
            <color indexed="81"/>
            <rFont val="Tahoma"/>
            <family val="2"/>
          </rPr>
          <t xml:space="preserve">
$113 sounds right</t>
        </r>
      </text>
    </comment>
    <comment ref="BT30" authorId="6">
      <text>
        <r>
          <rPr>
            <b/>
            <sz val="8"/>
            <color indexed="81"/>
            <rFont val="Tahoma"/>
            <family val="2"/>
          </rPr>
          <t>nicholjs:</t>
        </r>
        <r>
          <rPr>
            <sz val="8"/>
            <color indexed="81"/>
            <rFont val="Tahoma"/>
            <family val="2"/>
          </rPr>
          <t xml:space="preserve">
55 bps of leverage driven by direct store fixed and controllable expenses, which more than offset increased accrual of IC expense</t>
        </r>
      </text>
    </comment>
    <comment ref="BW30" authorId="5">
      <text>
        <r>
          <rPr>
            <b/>
            <sz val="8"/>
            <color indexed="81"/>
            <rFont val="Tahoma"/>
            <family val="2"/>
          </rPr>
          <t>kimberlg:</t>
        </r>
        <r>
          <rPr>
            <sz val="8"/>
            <color indexed="81"/>
            <rFont val="Tahoma"/>
            <family val="2"/>
          </rPr>
          <t xml:space="preserve">
excludes $700K or 15bps severence and other expenses from shut down of Leifsdottir</t>
        </r>
      </text>
    </comment>
    <comment ref="BX30" authorId="6">
      <text>
        <r>
          <rPr>
            <b/>
            <sz val="8"/>
            <color indexed="81"/>
            <rFont val="Tahoma"/>
            <family val="2"/>
          </rPr>
          <t>nicholjs:</t>
        </r>
        <r>
          <rPr>
            <sz val="8"/>
            <color indexed="81"/>
            <rFont val="Tahoma"/>
            <family val="2"/>
          </rPr>
          <t xml:space="preserve">
The increase in % was primarily due to deleveraging of direct store operating costs driven by negative comparable store sales. Investments in new technology and planned transition costs for our new distribution and fulfillment facilities in Europe also contributed to the increase in percentage during 1Q11 compared to 1Q10.
4/27/2011: $134 might be a little light
4/2011: mid-130's good
3/2011: need 4% stores-only comp to leverage SG&amp;A in 1H11 (could come down in 2H11)</t>
        </r>
      </text>
    </comment>
    <comment ref="CB30" authorId="20">
      <text>
        <r>
          <rPr>
            <b/>
            <sz val="8"/>
            <color indexed="81"/>
            <rFont val="Tahoma"/>
            <family val="2"/>
          </rPr>
          <t>lauraro:</t>
        </r>
        <r>
          <rPr>
            <sz val="8"/>
            <color indexed="81"/>
            <rFont val="Tahoma"/>
            <family val="2"/>
          </rPr>
          <t xml:space="preserve">
5/21/12: Delvg on a neg comp</t>
        </r>
      </text>
    </comment>
    <comment ref="CC30" authorId="20">
      <text>
        <r>
          <rPr>
            <b/>
            <sz val="8"/>
            <color indexed="81"/>
            <rFont val="Tahoma"/>
            <family val="2"/>
          </rPr>
          <t>lauraro:</t>
        </r>
        <r>
          <rPr>
            <sz val="8"/>
            <color indexed="81"/>
            <rFont val="Tahoma"/>
            <family val="2"/>
          </rPr>
          <t xml:space="preserve">
</t>
        </r>
        <r>
          <rPr>
            <b/>
            <sz val="8"/>
            <color indexed="81"/>
            <rFont val="Tahoma"/>
            <family val="2"/>
          </rPr>
          <t>3/12/12:</t>
        </r>
        <r>
          <rPr>
            <sz val="8"/>
            <color indexed="81"/>
            <rFont val="Tahoma"/>
            <family val="2"/>
          </rPr>
          <t xml:space="preserve"> mid-teens SG&amp;A $ growth to start the year accelerating to high-teens through the year</t>
        </r>
      </text>
    </comment>
    <comment ref="CF30" authorId="20">
      <text>
        <r>
          <rPr>
            <sz val="8"/>
            <color indexed="81"/>
            <rFont val="Tahoma"/>
            <family val="2"/>
          </rPr>
          <t>5/20/13: leverage primarily due to improvements in direct store controllable and selling support expenses driven by the strong positive retail segment sales</t>
        </r>
        <r>
          <rPr>
            <b/>
            <sz val="8"/>
            <color indexed="81"/>
            <rFont val="Tahoma"/>
            <family val="2"/>
          </rPr>
          <t xml:space="preserve">
</t>
        </r>
      </text>
    </comment>
    <comment ref="CJ30" authorId="7">
      <text>
        <r>
          <rPr>
            <b/>
            <sz val="8"/>
            <color indexed="81"/>
            <rFont val="Tahoma"/>
            <family val="2"/>
          </rPr>
          <t>turleamb:</t>
        </r>
        <r>
          <rPr>
            <sz val="8"/>
            <color indexed="81"/>
            <rFont val="Tahoma"/>
            <family val="2"/>
          </rPr>
          <t xml:space="preserve">
5/19/14:increased primarily due to higher marketing expenses which drove higher DTC traffic.
Incremental $2m due to pre-opening expense</t>
        </r>
      </text>
    </comment>
    <comment ref="CK30" authorId="7">
      <text>
        <r>
          <rPr>
            <b/>
            <sz val="9"/>
            <color indexed="81"/>
            <rFont val="Tahoma"/>
            <family val="2"/>
          </rPr>
          <t>turleamb:</t>
        </r>
        <r>
          <rPr>
            <sz val="9"/>
            <color indexed="81"/>
            <rFont val="Tahoma"/>
            <family val="2"/>
          </rPr>
          <t xml:space="preserve">
5/19/14: increase primarily due to increased marketing expenses which drove higher retail traffic</t>
        </r>
      </text>
    </comment>
    <comment ref="CN30" authorId="8">
      <text>
        <r>
          <rPr>
            <b/>
            <sz val="9"/>
            <color indexed="81"/>
            <rFont val="Tahoma"/>
            <family val="2"/>
          </rPr>
          <t>Mains, Spencer (Research):</t>
        </r>
        <r>
          <rPr>
            <sz val="9"/>
            <color indexed="81"/>
            <rFont val="Tahoma"/>
            <family val="2"/>
          </rPr>
          <t xml:space="preserve">
5/18/15: minor SG&amp;A deleverage was primarily due to increased marketing expenses, which were used to drive higher DTC traffic.</t>
        </r>
      </text>
    </comment>
    <comment ref="CR30" authorId="10">
      <text>
        <r>
          <rPr>
            <b/>
            <sz val="9"/>
            <color indexed="81"/>
            <rFont val="Tahoma"/>
            <family val="2"/>
          </rPr>
          <t>Baglione, Gregory  (Research):</t>
        </r>
        <r>
          <rPr>
            <sz val="9"/>
            <color indexed="81"/>
            <rFont val="Tahoma"/>
            <family val="2"/>
          </rPr>
          <t xml:space="preserve">
3/7/16
SG&amp;A could grow at a high single digit rate for the first quarter.</t>
        </r>
      </text>
    </comment>
    <comment ref="CS30" authorId="10">
      <text>
        <r>
          <rPr>
            <b/>
            <sz val="9"/>
            <color indexed="81"/>
            <rFont val="Tahoma"/>
            <family val="2"/>
          </rPr>
          <t>Baglione, Gregory  (Research):</t>
        </r>
        <r>
          <rPr>
            <sz val="9"/>
            <color indexed="81"/>
            <rFont val="Tahoma"/>
            <family val="2"/>
          </rPr>
          <t xml:space="preserve">
5/18/16
The deleverage is primarily due to an increase in marketing expense to support our customer acquisition and retention efforts, deleverage in direct store controllable expenses related to negative store comparable sales, and an increase in technology related expenses used to support our omni-channel initiatives.
3/7/16
Use ~8% SG&amp;A growth per management</t>
        </r>
      </text>
    </comment>
    <comment ref="CW30" authorId="17">
      <text>
        <r>
          <rPr>
            <b/>
            <sz val="9"/>
            <color indexed="81"/>
            <rFont val="Tahoma"/>
            <family val="2"/>
          </rPr>
          <t xml:space="preserve">5/16/17: </t>
        </r>
        <r>
          <rPr>
            <sz val="9"/>
            <color indexed="81"/>
            <rFont val="Tahoma"/>
            <family val="2"/>
          </rPr>
          <t xml:space="preserve">77 bps ($5.9M) of nonreccuring expenses related to severance and fees associated with announced reorganization.
</t>
        </r>
        <r>
          <rPr>
            <b/>
            <sz val="9"/>
            <color indexed="81"/>
            <rFont val="Tahoma"/>
            <family val="2"/>
          </rPr>
          <t xml:space="preserve">
4/3/17: </t>
        </r>
        <r>
          <rPr>
            <sz val="9"/>
            <color indexed="81"/>
            <rFont val="Tahoma"/>
            <family val="2"/>
          </rPr>
          <t>per Oona, could be slightly less than 4% growth given top-line shortfall</t>
        </r>
        <r>
          <rPr>
            <b/>
            <sz val="9"/>
            <color indexed="81"/>
            <rFont val="Tahoma"/>
            <family val="2"/>
          </rPr>
          <t xml:space="preserve">
3/7/17: +5% guidance (direct store related expenses to support our non-comp store growth largely due to expanded format at Anthropologie and Free People)
Baglione, Gregory (Research):</t>
        </r>
        <r>
          <rPr>
            <sz val="9"/>
            <color indexed="81"/>
            <rFont val="Tahoma"/>
            <family val="2"/>
          </rPr>
          <t xml:space="preserve">
1/16/17
Company noted at CIR ~5% SG&amp;A growth target for 2017, implies LDD two-year growth. We try to keep 2-year trend close to that level on initial 2017 model roll out. </t>
        </r>
      </text>
    </comment>
    <comment ref="DA30" authorId="11">
      <text>
        <r>
          <rPr>
            <b/>
            <sz val="9"/>
            <color indexed="81"/>
            <rFont val="Tahoma"/>
            <family val="2"/>
          </rPr>
          <t>Roberts, Cynthia (Research):</t>
        </r>
        <r>
          <rPr>
            <sz val="9"/>
            <color indexed="81"/>
            <rFont val="Tahoma"/>
            <family val="2"/>
          </rPr>
          <t xml:space="preserve">
3/6/18: Guidance +5% growth</t>
        </r>
      </text>
    </comment>
    <comment ref="AJ31" authorId="1">
      <text>
        <r>
          <rPr>
            <b/>
            <sz val="8"/>
            <color indexed="81"/>
            <rFont val="Tahoma"/>
            <family val="2"/>
          </rPr>
          <t>Lehman Brothers:</t>
        </r>
        <r>
          <rPr>
            <sz val="8"/>
            <color indexed="81"/>
            <rFont val="Tahoma"/>
            <family val="2"/>
          </rPr>
          <t xml:space="preserve">
23.7</t>
        </r>
      </text>
    </comment>
    <comment ref="AN31" authorId="1">
      <text>
        <r>
          <rPr>
            <b/>
            <sz val="8"/>
            <color indexed="81"/>
            <rFont val="Tahoma"/>
            <family val="2"/>
          </rPr>
          <t>Lehman Brothers:</t>
        </r>
        <r>
          <rPr>
            <sz val="8"/>
            <color indexed="81"/>
            <rFont val="Tahoma"/>
            <family val="2"/>
          </rPr>
          <t xml:space="preserve">
$29.5, 29.8</t>
        </r>
      </text>
    </comment>
    <comment ref="AW31" authorId="18">
      <text>
        <r>
          <rPr>
            <b/>
            <sz val="10"/>
            <color indexed="81"/>
            <rFont val="Tahoma"/>
            <family val="2"/>
          </rPr>
          <t>kgreenbe:</t>
        </r>
        <r>
          <rPr>
            <sz val="10"/>
            <color indexed="81"/>
            <rFont val="Tahoma"/>
            <family val="2"/>
          </rPr>
          <t xml:space="preserve">
per John, prob sg&amp;a grow 40% or so</t>
        </r>
      </text>
    </comment>
    <comment ref="AZ31" authorId="19">
      <text>
        <r>
          <rPr>
            <b/>
            <sz val="8"/>
            <color indexed="81"/>
            <rFont val="Tahoma"/>
            <family val="2"/>
          </rPr>
          <t>Kimberly Greenberger:</t>
        </r>
        <r>
          <rPr>
            <sz val="8"/>
            <color indexed="81"/>
            <rFont val="Tahoma"/>
            <family val="2"/>
          </rPr>
          <t xml:space="preserve">
8/11/05:
55 bps lvg store P/R &amp; store related costs
46 bps lvg fixed corp exp
-20 bps lvg incr IT exp for all new systems work</t>
        </r>
      </text>
    </comment>
    <comment ref="BA31" authorId="19">
      <text>
        <r>
          <rPr>
            <b/>
            <sz val="8"/>
            <color indexed="81"/>
            <rFont val="Tahoma"/>
            <family val="2"/>
          </rPr>
          <t>Kimberly Greenberger:</t>
        </r>
        <r>
          <rPr>
            <sz val="8"/>
            <color indexed="81"/>
            <rFont val="Tahoma"/>
            <family val="2"/>
          </rPr>
          <t xml:space="preserve">
5/12/05 Mgmt indicated rate of # growth approx inline w/ 1Q (27%)
plus add $250k exp 2Q and 3Q for incidental payroll costs assoc w/ relo of DC (severance, relo, retention pay, etc.)
also add $100k exp 2Q for maint exp to get DC equip back up and running after relo
Equals $54.9mm 2Q SG&amp;A on 7.5% comp and $61.6mm 3Q SG&amp;A on 7.5% comp</t>
        </r>
      </text>
    </comment>
    <comment ref="BC31" authorId="13">
      <text>
        <r>
          <rPr>
            <b/>
            <sz val="8"/>
            <color indexed="81"/>
            <rFont val="Tahoma"/>
            <family val="2"/>
          </rPr>
          <t>kg51925:</t>
        </r>
        <r>
          <rPr>
            <sz val="8"/>
            <color indexed="81"/>
            <rFont val="Tahoma"/>
            <family val="2"/>
          </rPr>
          <t xml:space="preserve">
3.9.06 estimate SG&amp;A 2Q at $69mm</t>
        </r>
      </text>
    </comment>
    <comment ref="BE31" authorId="13">
      <text>
        <r>
          <rPr>
            <b/>
            <sz val="8"/>
            <color indexed="81"/>
            <rFont val="Tahoma"/>
            <family val="2"/>
          </rPr>
          <t>kg51925:</t>
        </r>
        <r>
          <rPr>
            <sz val="8"/>
            <color indexed="81"/>
            <rFont val="Tahoma"/>
            <family val="2"/>
          </rPr>
          <t xml:space="preserve">
+128 bps due to delvge on neg comp on fixed store related exps, while variable store labor exps &amp; other SG&amp;A categories were flat as a % of sales  
expect 23-25% growth rate depending on comp (lower end if neg comp, mid to upper end if flat to pos comp)</t>
        </r>
      </text>
    </comment>
    <comment ref="BG31" authorId="13">
      <text>
        <r>
          <rPr>
            <b/>
            <sz val="8"/>
            <color indexed="81"/>
            <rFont val="Tahoma"/>
            <family val="2"/>
          </rPr>
          <t>kg51925:</t>
        </r>
        <r>
          <rPr>
            <sz val="8"/>
            <color indexed="81"/>
            <rFont val="Tahoma"/>
            <family val="2"/>
          </rPr>
          <t xml:space="preserve">
$80mm or 20% growth assuming comps +HSD range
increased catalog circ &amp; increased P/R for Anthro</t>
        </r>
      </text>
    </comment>
    <comment ref="BH31" authorId="16">
      <text>
        <r>
          <rPr>
            <b/>
            <sz val="8"/>
            <color indexed="81"/>
            <rFont val="Tahoma"/>
            <family val="2"/>
          </rPr>
          <t>mm98285:</t>
        </r>
        <r>
          <rPr>
            <sz val="8"/>
            <color indexed="81"/>
            <rFont val="Tahoma"/>
            <family val="2"/>
          </rPr>
          <t xml:space="preserve">
~+30 bps incremental exp's to operate new HQs (the Navy Yard ~$1mm)
~+30 bps non-recurring legal fees for intellectual property defense (~$1.2mm)
~+20 bps incrs'd catalog circ in 2Q (~7.2mm vs. 6mm LY) 
-partially offset by favorable rate reductions from controlling store related exp. &amp; other smaller gains    
</t>
        </r>
      </text>
    </comment>
    <comment ref="BI31" authorId="13">
      <text>
        <r>
          <rPr>
            <b/>
            <sz val="8"/>
            <color indexed="81"/>
            <rFont val="Tahoma"/>
            <family val="2"/>
          </rPr>
          <t>kg51925:</t>
        </r>
        <r>
          <rPr>
            <sz val="8"/>
            <color indexed="81"/>
            <rFont val="Tahoma"/>
            <family val="2"/>
          </rPr>
          <t xml:space="preserve">
23.5%-23.6% excl. $1.2mm litigation
20% fine, hope can do better</t>
        </r>
      </text>
    </comment>
    <comment ref="BL31" authorId="16">
      <text>
        <r>
          <rPr>
            <b/>
            <sz val="8"/>
            <color indexed="81"/>
            <rFont val="Tahoma"/>
            <family val="2"/>
          </rPr>
          <t>mm98285:</t>
        </r>
        <r>
          <rPr>
            <sz val="8"/>
            <color indexed="81"/>
            <rFont val="Tahoma"/>
            <family val="2"/>
          </rPr>
          <t xml:space="preserve">
-leverage of direct store related costs and other fixed corp exp's, partially offset by increased performance based comp and investments in new startup businesses: Terrain &amp; Leifsdottir (~$800K by our estimate)</t>
        </r>
      </text>
    </comment>
    <comment ref="BO31" authorId="13">
      <text>
        <r>
          <rPr>
            <b/>
            <sz val="8"/>
            <color indexed="81"/>
            <rFont val="Tahoma"/>
            <family val="2"/>
          </rPr>
          <t>kg51925:</t>
        </r>
        <r>
          <rPr>
            <sz val="8"/>
            <color indexed="81"/>
            <rFont val="Tahoma"/>
            <family val="2"/>
          </rPr>
          <t xml:space="preserve">
could come in at $108 level</t>
        </r>
      </text>
    </comment>
    <comment ref="BP31" authorId="13">
      <text>
        <r>
          <rPr>
            <b/>
            <sz val="8"/>
            <color indexed="81"/>
            <rFont val="Tahoma"/>
            <family val="2"/>
          </rPr>
          <t>kg51925:</t>
        </r>
        <r>
          <rPr>
            <sz val="8"/>
            <color indexed="81"/>
            <rFont val="Tahoma"/>
            <family val="2"/>
          </rPr>
          <t xml:space="preserve">
~+80 bps on fixed direct store exp. delvge on -6% comp 
~+10 bps due to 1-time site development exp. related to prospective Terrain location 
No delvg on bonus accrual despite accruing in 2Q for 1Q &amp; 2Q b/c 2Q08 accrual was at max. bonus accrual levels 
LY’s SG&amp;A included ~$800k 1-time invstm'ts/exp’s incl. add'l bonus accruals &amp; Terrain/Leiffsdottir investments &amp; ex these 1-time exp's, 2Q09’s SG&amp;A +5.7%.
8/13/09 we est majority of -89bps from store exp delvg, small amt cost on Terrain site forfeiture
NO delvg on bonus accrual despite accruing in 2Q09 for both 1Q and 2Q since 2Q08 accrual was at max bonus accrual
</t>
        </r>
      </text>
    </comment>
    <comment ref="BQ31" authorId="13">
      <text>
        <r>
          <rPr>
            <b/>
            <sz val="8"/>
            <color indexed="81"/>
            <rFont val="Tahoma"/>
            <family val="2"/>
          </rPr>
          <t>kg51925:</t>
        </r>
        <r>
          <rPr>
            <sz val="8"/>
            <color indexed="81"/>
            <rFont val="Tahoma"/>
            <family val="2"/>
          </rPr>
          <t xml:space="preserve">
3/09: Mgmt thinks can keep SG&amp;A dollar growth at 6-9% (lower end if comps negative, higher end if comps flat)
EXCEPT 4Q when anniv big cuts and lower bonus accrual LY</t>
        </r>
      </text>
    </comment>
    <comment ref="BS31" authorId="13">
      <text>
        <r>
          <rPr>
            <b/>
            <sz val="8"/>
            <color indexed="81"/>
            <rFont val="Tahoma"/>
            <family val="2"/>
          </rPr>
          <t>kg51925:</t>
        </r>
        <r>
          <rPr>
            <sz val="8"/>
            <color indexed="81"/>
            <rFont val="Tahoma"/>
            <family val="2"/>
          </rPr>
          <t xml:space="preserve">
incentive accruals LY:
2Q09 accrued $6-7mm
3Q09 accrued $6-7mm
4Q09 accrued $4.5mm</t>
        </r>
      </text>
    </comment>
    <comment ref="BW31" authorId="5">
      <text>
        <r>
          <rPr>
            <b/>
            <sz val="8"/>
            <color indexed="81"/>
            <rFont val="Tahoma"/>
            <family val="2"/>
          </rPr>
          <t>kimberlg:</t>
        </r>
        <r>
          <rPr>
            <sz val="8"/>
            <color indexed="81"/>
            <rFont val="Tahoma"/>
            <family val="2"/>
          </rPr>
          <t xml:space="preserve">
5/17: $142.5 good 
$148-149M dollars sound ok</t>
        </r>
      </text>
    </comment>
    <comment ref="BX31" authorId="6">
      <text>
        <r>
          <rPr>
            <b/>
            <sz val="8"/>
            <color indexed="81"/>
            <rFont val="Tahoma"/>
            <family val="2"/>
          </rPr>
          <t>nicholjs:</t>
        </r>
        <r>
          <rPr>
            <sz val="8"/>
            <color indexed="81"/>
            <rFont val="Tahoma"/>
            <family val="2"/>
          </rPr>
          <t xml:space="preserve">
primarily to ecommerce and related catalog investments, investments in both technology and distribution and fulfillment facilities in Europe also contributed to the increase.
5/16/2011: 4% stores only comp to leverage SG&amp;A
3/2011: need 4% stores-only comp to leverage SG&amp;A in 1H11 (could come down in 2H11)</t>
        </r>
      </text>
    </comment>
    <comment ref="BY31" authorId="6">
      <text>
        <r>
          <rPr>
            <b/>
            <sz val="8"/>
            <color indexed="81"/>
            <rFont val="Tahoma"/>
            <family val="2"/>
          </rPr>
          <t>nicholjs:</t>
        </r>
        <r>
          <rPr>
            <sz val="8"/>
            <color indexed="81"/>
            <rFont val="Tahoma"/>
            <family val="2"/>
          </rPr>
          <t xml:space="preserve">
6/8/2011: LDD growth rate good (~11% ok)</t>
        </r>
      </text>
    </comment>
    <comment ref="CB31" authorId="15">
      <text>
        <r>
          <rPr>
            <b/>
            <sz val="8"/>
            <color indexed="81"/>
            <rFont val="Tahoma"/>
            <family val="2"/>
          </rPr>
          <t>casselau:</t>
        </r>
        <r>
          <rPr>
            <sz val="8"/>
            <color indexed="81"/>
            <rFont val="Tahoma"/>
            <family val="2"/>
          </rPr>
          <t xml:space="preserve">
8/20/12: +25bps over six months; increase primarily due to deleveraging of direct store controllable expenses driven by the negative comparable store net sales </t>
        </r>
      </text>
    </comment>
    <comment ref="CC31" authorId="20">
      <text>
        <r>
          <rPr>
            <b/>
            <sz val="8"/>
            <color indexed="81"/>
            <rFont val="Tahoma"/>
            <family val="2"/>
          </rPr>
          <t xml:space="preserve">8/20/12: </t>
        </r>
        <r>
          <rPr>
            <sz val="8"/>
            <color indexed="81"/>
            <rFont val="Tahoma"/>
            <family val="2"/>
          </rPr>
          <t>reiterated +high-teens</t>
        </r>
        <r>
          <rPr>
            <b/>
            <sz val="8"/>
            <color indexed="81"/>
            <rFont val="Tahoma"/>
            <family val="2"/>
          </rPr>
          <t xml:space="preserve">
lauraro:</t>
        </r>
        <r>
          <rPr>
            <sz val="8"/>
            <color indexed="81"/>
            <rFont val="Tahoma"/>
            <family val="2"/>
          </rPr>
          <t xml:space="preserve">
</t>
        </r>
        <r>
          <rPr>
            <b/>
            <sz val="8"/>
            <color indexed="81"/>
            <rFont val="Tahoma"/>
            <family val="2"/>
          </rPr>
          <t>5/21/12:</t>
        </r>
        <r>
          <rPr>
            <sz val="8"/>
            <color indexed="81"/>
            <rFont val="Tahoma"/>
            <family val="2"/>
          </rPr>
          <t xml:space="preserve"> high-teens SG&amp;A $ growth
</t>
        </r>
        <r>
          <rPr>
            <b/>
            <sz val="8"/>
            <color indexed="81"/>
            <rFont val="Tahoma"/>
            <family val="2"/>
          </rPr>
          <t>3/12/12:</t>
        </r>
        <r>
          <rPr>
            <sz val="8"/>
            <color indexed="81"/>
            <rFont val="Tahoma"/>
            <family val="2"/>
          </rPr>
          <t xml:space="preserve"> mid-teens SG&amp;A $ growth to start the year accelerating to high-teens through the year</t>
        </r>
      </text>
    </comment>
    <comment ref="CF31" authorId="7">
      <text>
        <r>
          <rPr>
            <b/>
            <sz val="8"/>
            <color indexed="81"/>
            <rFont val="Tahoma"/>
            <family val="2"/>
          </rPr>
          <t>turleamb:</t>
        </r>
        <r>
          <rPr>
            <sz val="8"/>
            <color indexed="81"/>
            <rFont val="Tahoma"/>
            <family val="2"/>
          </rPr>
          <t xml:space="preserve">
8/19 2Q EPS: SG&amp;A deleverage was primarily due to increased marketing expenses to support sales growth and customer acquisition initiatives</t>
        </r>
      </text>
    </comment>
    <comment ref="CJ31" authorId="9">
      <text>
        <r>
          <rPr>
            <b/>
            <sz val="9"/>
            <color indexed="81"/>
            <rFont val="Tahoma"/>
            <family val="2"/>
          </rPr>
          <t>Turley, Amber (Research):</t>
        </r>
        <r>
          <rPr>
            <sz val="9"/>
            <color indexed="81"/>
            <rFont val="Tahoma"/>
            <family val="2"/>
          </rPr>
          <t xml:space="preserve">
9/9/14 10-Q pg 22: $19.2m dollar increase y/y primarily related to increased marketing and technology expenses used to drive higher eComm traffic. 
8/18/14: increase in SG&amp;A due priarmily to increased marketing and technology expenses which drove higher DTC traffic. </t>
        </r>
      </text>
    </comment>
    <comment ref="CN31" authorId="9">
      <text>
        <r>
          <rPr>
            <b/>
            <sz val="9"/>
            <color indexed="81"/>
            <rFont val="Tahoma"/>
            <family val="2"/>
          </rPr>
          <t>8/17/15:</t>
        </r>
        <r>
          <rPr>
            <sz val="9"/>
            <color indexed="81"/>
            <rFont val="Tahoma"/>
            <family val="2"/>
          </rPr>
          <t xml:space="preserve"> Increase primarily due to increased marketing and technology expenses which drove higher DTC traffic.</t>
        </r>
        <r>
          <rPr>
            <b/>
            <sz val="9"/>
            <color indexed="81"/>
            <rFont val="Tahoma"/>
            <family val="2"/>
          </rPr>
          <t xml:space="preserve">
5/18/15: </t>
        </r>
        <r>
          <rPr>
            <sz val="9"/>
            <color indexed="81"/>
            <rFont val="Tahoma"/>
            <family val="2"/>
          </rPr>
          <t>could be cushion here</t>
        </r>
        <r>
          <rPr>
            <b/>
            <sz val="9"/>
            <color indexed="81"/>
            <rFont val="Tahoma"/>
            <family val="2"/>
          </rPr>
          <t xml:space="preserve">
</t>
        </r>
        <r>
          <rPr>
            <sz val="9"/>
            <color indexed="81"/>
            <rFont val="Tahoma"/>
            <family val="2"/>
          </rPr>
          <t xml:space="preserve">
1/13/15: At ICR mentioned on small impact from moving a DC out of SC and into PA There will be an overlap in labor for a few months in addition to some split shipment costs. </t>
        </r>
      </text>
    </comment>
    <comment ref="CR31" authorId="10">
      <text>
        <r>
          <rPr>
            <b/>
            <sz val="9"/>
            <color indexed="81"/>
            <rFont val="Tahoma"/>
            <family val="2"/>
          </rPr>
          <t>Baglione, Gregory  (Research):</t>
        </r>
        <r>
          <rPr>
            <sz val="9"/>
            <color indexed="81"/>
            <rFont val="Tahoma"/>
            <family val="2"/>
          </rPr>
          <t xml:space="preserve">
</t>
        </r>
        <r>
          <rPr>
            <b/>
            <sz val="9"/>
            <color indexed="81"/>
            <rFont val="Tahoma"/>
            <family val="2"/>
          </rPr>
          <t>8/16/16</t>
        </r>
        <r>
          <rPr>
            <sz val="9"/>
            <color indexed="81"/>
            <rFont val="Tahoma"/>
            <family val="2"/>
          </rPr>
          <t xml:space="preserve">
Total SG&amp;A expenses for the quarter were up 5% to $224 million. Total SG&amp;A as a percentage of sales deleveraged by 48 basis points to 25.2%. This SG&amp;A deleverage was primarily due to an increase in direct marketing and technology-related expenses to support our strong direct-to-consumer growth. Direct store controllable expenses also increased in the quarter in order to support our square-footage growth of 4% in the quarter.
6/9/16
2QTD callback-- per management $224M SG&amp;A guidance
5/18/16
Based on our current plan, we believe SG&amp;A could grow at the high end of a low single-digit rate for the second quarter.
</t>
        </r>
      </text>
    </comment>
    <comment ref="CS31" authorId="10">
      <text>
        <r>
          <rPr>
            <b/>
            <sz val="9"/>
            <color indexed="81"/>
            <rFont val="Tahoma"/>
            <family val="2"/>
          </rPr>
          <t>Baglione, Gregory  (Research):</t>
        </r>
        <r>
          <rPr>
            <sz val="9"/>
            <color indexed="81"/>
            <rFont val="Tahoma"/>
            <family val="2"/>
          </rPr>
          <t xml:space="preserve">
5/18/16
For the year, we believe SG&amp;A could grow at a high mid-single-digit rate with the third quarter potentially coming in higher than the annual rate due to some large incentive compensation reversals in the prior year.
3/7/16
Per conversation with mgmt. Model ~6-6.5% SG&amp;A growth for full year. 
</t>
        </r>
      </text>
    </comment>
    <comment ref="CV31" authorId="12">
      <text>
        <r>
          <rPr>
            <b/>
            <sz val="9"/>
            <color indexed="81"/>
            <rFont val="Tahoma"/>
            <family val="2"/>
          </rPr>
          <t>Cassel, Lauren (Research):</t>
        </r>
        <r>
          <rPr>
            <sz val="9"/>
            <color indexed="81"/>
            <rFont val="Tahoma"/>
            <family val="2"/>
          </rPr>
          <t xml:space="preserve">
8/15/17: deleverage driven by the negative comparative Retail segment net sales and increased spending in digital marketing</t>
        </r>
      </text>
    </comment>
    <comment ref="CW31" authorId="17">
      <text>
        <r>
          <rPr>
            <b/>
            <sz val="9"/>
            <color indexed="81"/>
            <rFont val="Tahoma"/>
            <family val="2"/>
          </rPr>
          <t xml:space="preserve">8/15/17: primarily due to the net benefit of the store organization project. 
6/8/17: </t>
        </r>
        <r>
          <rPr>
            <sz val="9"/>
            <color indexed="81"/>
            <rFont val="Tahoma"/>
            <family val="2"/>
          </rPr>
          <t>Still expecting 1-2% dollar growth, which includes $2-4&lt; in one-time costs, exluding that dollars would be roughly flat</t>
        </r>
        <r>
          <rPr>
            <b/>
            <sz val="9"/>
            <color indexed="81"/>
            <rFont val="Tahoma"/>
            <family val="2"/>
          </rPr>
          <t xml:space="preserve">
5/16/17: </t>
        </r>
        <r>
          <rPr>
            <sz val="9"/>
            <color indexed="81"/>
            <rFont val="Tahoma"/>
            <family val="2"/>
          </rPr>
          <t>Guidance +2% dollars</t>
        </r>
        <r>
          <rPr>
            <b/>
            <sz val="9"/>
            <color indexed="81"/>
            <rFont val="Tahoma"/>
            <family val="2"/>
          </rPr>
          <t xml:space="preserve">
3/7/17: SG&amp;A growth could be slightly higher than that in 1H given more store openings 
Baglione, Gregory (Research):</t>
        </r>
        <r>
          <rPr>
            <sz val="9"/>
            <color indexed="81"/>
            <rFont val="Tahoma"/>
            <family val="2"/>
          </rPr>
          <t xml:space="preserve">
1/16/17
Company noted at CIR ~5% SG&amp;A growth target for 2017, implies LDD two-year growth. We try to keep 2-year trend close to that level on initial 2017 model roll out. </t>
        </r>
      </text>
    </comment>
    <comment ref="AJ32" authorId="1">
      <text>
        <r>
          <rPr>
            <b/>
            <sz val="8"/>
            <color indexed="81"/>
            <rFont val="Tahoma"/>
            <family val="2"/>
          </rPr>
          <t>Lehman Brothers:</t>
        </r>
        <r>
          <rPr>
            <sz val="8"/>
            <color indexed="81"/>
            <rFont val="Tahoma"/>
            <family val="2"/>
          </rPr>
          <t xml:space="preserve">
26.4</t>
        </r>
      </text>
    </comment>
    <comment ref="AN32" authorId="1">
      <text>
        <r>
          <rPr>
            <b/>
            <sz val="8"/>
            <color indexed="81"/>
            <rFont val="Tahoma"/>
            <family val="2"/>
          </rPr>
          <t>Lehman Brothers:</t>
        </r>
        <r>
          <rPr>
            <sz val="8"/>
            <color indexed="81"/>
            <rFont val="Tahoma"/>
            <family val="2"/>
          </rPr>
          <t xml:space="preserve">
grow sga inline w. rev growth</t>
        </r>
      </text>
    </comment>
    <comment ref="AW32" authorId="18">
      <text>
        <r>
          <rPr>
            <b/>
            <sz val="10"/>
            <color indexed="81"/>
            <rFont val="Tahoma"/>
            <family val="2"/>
          </rPr>
          <t>kgreenbe:</t>
        </r>
        <r>
          <rPr>
            <sz val="10"/>
            <color indexed="81"/>
            <rFont val="Tahoma"/>
            <family val="2"/>
          </rPr>
          <t xml:space="preserve">
per John, prob sg&amp;a grow 35% or so</t>
        </r>
      </text>
    </comment>
    <comment ref="AY32" authorId="24">
      <text>
        <r>
          <rPr>
            <b/>
            <sz val="8"/>
            <color indexed="81"/>
            <rFont val="Tahoma"/>
            <family val="2"/>
          </rPr>
          <t>Morry Brown:</t>
        </r>
        <r>
          <rPr>
            <sz val="8"/>
            <color indexed="81"/>
            <rFont val="Tahoma"/>
            <family val="2"/>
          </rPr>
          <t xml:space="preserve">
11/10/05 $1.6mm gain in SG&amp;A for sale of building. Gain offset partially by DC move to SC, hurricane costs, and Anthro HQ move. So maybe $300-400k net gain. SG&amp;A would have been 21.1% of sales or 26.8% higher than prior year SG&amp;A excluding this gain.
</t>
        </r>
      </text>
    </comment>
    <comment ref="BA32" authorId="19">
      <text>
        <r>
          <rPr>
            <b/>
            <sz val="8"/>
            <color indexed="81"/>
            <rFont val="Tahoma"/>
            <family val="2"/>
          </rPr>
          <t>Kimberly Greenberger:</t>
        </r>
        <r>
          <rPr>
            <sz val="8"/>
            <color indexed="81"/>
            <rFont val="Tahoma"/>
            <family val="2"/>
          </rPr>
          <t xml:space="preserve">
11/10/05 $1.6mm gain in SG&amp;A for sale of building. SG&amp;A would have been 21.1% of sales or 26.8% higher than prior year SG&amp;A excluding this gain. But some one time hits (HQ move, hurricanes, and relo exp's for DC)
5/12/05 Mgmt indicated rate of # growth approx inline w/ 1Q (27%)
plus add $250k exp 2Q and 3Q for incidental payroll costs assoc w/ relo of DC (severance, relo, retention pay, etc.)
also add $100k exp 2Q for maint exp to get DC equip back up and running after relo
Equals $54.9mm 2Q SG&amp;A on 7.5% comp and $61.6mm 3Q SG&amp;A on 7.5% comp</t>
        </r>
      </text>
    </comment>
    <comment ref="BE32" authorId="19">
      <text>
        <r>
          <rPr>
            <b/>
            <sz val="8"/>
            <color indexed="81"/>
            <rFont val="Tahoma"/>
            <family val="2"/>
          </rPr>
          <t>Kimberly Greenberger:</t>
        </r>
        <r>
          <rPr>
            <sz val="8"/>
            <color indexed="81"/>
            <rFont val="Tahoma"/>
            <family val="2"/>
          </rPr>
          <t xml:space="preserve">
11/09/06: includes $1.2mm from naval yard move vs. LY’s SG&amp;A includes a one-time gain on the sale of property of $1.6 mm, excl these items, SG&amp;A increased 16.5% or 190 bps primarily as a result of deleverage from the negative comp
grow in line w/ $ growth in 1Q and 2Q excl the $1.6mm gain in 3Q05</t>
        </r>
      </text>
    </comment>
    <comment ref="BG32" authorId="13">
      <text>
        <r>
          <rPr>
            <b/>
            <sz val="8"/>
            <color indexed="81"/>
            <rFont val="Tahoma"/>
            <family val="2"/>
          </rPr>
          <t>kg51925:</t>
        </r>
        <r>
          <rPr>
            <sz val="8"/>
            <color indexed="81"/>
            <rFont val="Tahoma"/>
            <family val="2"/>
          </rPr>
          <t xml:space="preserve">
8/3/07 should be $87-88mm</t>
        </r>
      </text>
    </comment>
    <comment ref="BH32" authorId="13">
      <text>
        <r>
          <rPr>
            <b/>
            <sz val="8"/>
            <color indexed="81"/>
            <rFont val="Tahoma"/>
            <family val="2"/>
          </rPr>
          <t>kg51925:</t>
        </r>
        <r>
          <rPr>
            <sz val="8"/>
            <color indexed="81"/>
            <rFont val="Tahoma"/>
            <family val="2"/>
          </rPr>
          <t xml:space="preserve">
11/07
-lvg on direct controllable store exp
+incremental exp to operate URBN's new home office facility (Navy Yard)
URBN will fully anniversary the opening of the Navy Yard in 4Q, and expects SG&amp;A dollar growth to decelerate to ~20-21% 
est 18-19%</t>
        </r>
      </text>
    </comment>
    <comment ref="BI32" authorId="25">
      <text>
        <r>
          <rPr>
            <b/>
            <sz val="8"/>
            <color indexed="81"/>
            <rFont val="Tahoma"/>
            <family val="2"/>
          </rPr>
          <t>MB33100:</t>
        </r>
        <r>
          <rPr>
            <sz val="8"/>
            <color indexed="81"/>
            <rFont val="Tahoma"/>
            <family val="2"/>
          </rPr>
          <t xml:space="preserve">
up ~20% excluding the $1.2mm charge for navy yard move</t>
        </r>
      </text>
    </comment>
    <comment ref="BK32" authorId="13">
      <text>
        <r>
          <rPr>
            <b/>
            <sz val="8"/>
            <color indexed="81"/>
            <rFont val="Tahoma"/>
            <family val="2"/>
          </rPr>
          <t>kg51925:</t>
        </r>
        <r>
          <rPr>
            <sz val="8"/>
            <color indexed="81"/>
            <rFont val="Tahoma"/>
            <family val="2"/>
          </rPr>
          <t xml:space="preserve">
11/6/08 hope could be slight better than $109mm
mid Sept $110mm estimate "sounds reasonable" - could be a bit high</t>
        </r>
      </text>
    </comment>
    <comment ref="BL32" authorId="16">
      <text>
        <r>
          <rPr>
            <b/>
            <sz val="8"/>
            <color indexed="81"/>
            <rFont val="Tahoma"/>
            <family val="2"/>
          </rPr>
          <t>mm98285:</t>
        </r>
        <r>
          <rPr>
            <sz val="8"/>
            <color indexed="81"/>
            <rFont val="Tahoma"/>
            <family val="2"/>
          </rPr>
          <t xml:space="preserve">
11/08: increase driven by control &amp; leveraging of direct store related costs &amp; other fixed corporate costs helped by +10% comp, partially offset by results-based bonus comp and investments in new startup businesses, Terrain &amp; Leifsdottir</t>
        </r>
      </text>
    </comment>
    <comment ref="BM32" authorId="13">
      <text>
        <r>
          <rPr>
            <b/>
            <sz val="8"/>
            <color indexed="81"/>
            <rFont val="Tahoma"/>
            <family val="2"/>
          </rPr>
          <t>kg51925:</t>
        </r>
        <r>
          <rPr>
            <sz val="8"/>
            <color indexed="81"/>
            <rFont val="Tahoma"/>
            <family val="2"/>
          </rPr>
          <t xml:space="preserve">
8/08 expect 25% $ growth if comps continue +13%</t>
        </r>
      </text>
    </comment>
    <comment ref="BO32" authorId="21">
      <text>
        <r>
          <rPr>
            <b/>
            <sz val="8"/>
            <color indexed="81"/>
            <rFont val="Tahoma"/>
            <family val="2"/>
          </rPr>
          <t>oc48540:</t>
        </r>
        <r>
          <rPr>
            <sz val="8"/>
            <color indexed="81"/>
            <rFont val="Tahoma"/>
            <family val="2"/>
          </rPr>
          <t xml:space="preserve">
with flat comp, SG&amp;A rate to sales could be flat to LY at 22.0%
but if comp down 5% our $112-113 is in ballpark</t>
        </r>
      </text>
    </comment>
    <comment ref="BP32" authorId="21">
      <text>
        <r>
          <rPr>
            <b/>
            <sz val="8"/>
            <color indexed="81"/>
            <rFont val="Tahoma"/>
            <family val="2"/>
          </rPr>
          <t>oc48540:</t>
        </r>
        <r>
          <rPr>
            <sz val="8"/>
            <color indexed="81"/>
            <rFont val="Tahoma"/>
            <family val="2"/>
          </rPr>
          <t xml:space="preserve">
increase primarily due to fixed store costs deleverage on -2% comp offset by expense cuts (net neutral). We estimate the accrual of additional incentive-based bonus related to mgmt's expectation to meet targeted improvements in annual performance and earnings negatively impacted SG&amp;A rate by +60 bps
8/13/09: 2H SG&amp;A growth ~+5-10%</t>
        </r>
      </text>
    </comment>
    <comment ref="BQ32" authorId="13">
      <text>
        <r>
          <rPr>
            <b/>
            <sz val="8"/>
            <color indexed="81"/>
            <rFont val="Tahoma"/>
            <family val="2"/>
          </rPr>
          <t>kg51925:</t>
        </r>
        <r>
          <rPr>
            <sz val="8"/>
            <color indexed="81"/>
            <rFont val="Tahoma"/>
            <family val="2"/>
          </rPr>
          <t xml:space="preserve">
3/09: Mgmt thinks can keep SG&amp;A dollar growth at 6-9% (lower end if comps negative, higher end if comps flat)
EXCEPT 4Q when anniv big cuts and lower bonus accrual LY</t>
        </r>
      </text>
    </comment>
    <comment ref="BS32" authorId="13">
      <text>
        <r>
          <rPr>
            <b/>
            <sz val="8"/>
            <color indexed="81"/>
            <rFont val="Tahoma"/>
            <family val="2"/>
          </rPr>
          <t>kg51925:</t>
        </r>
        <r>
          <rPr>
            <sz val="8"/>
            <color indexed="81"/>
            <rFont val="Tahoma"/>
            <family val="2"/>
          </rPr>
          <t xml:space="preserve">
10/10 we think ~$134M
incentive accruals LY:
2Q09 accrued $6-7mm
3Q09 accrued $6-7mm
4Q09 accrued $4.5mm</t>
        </r>
      </text>
    </comment>
    <comment ref="BT32" authorId="6">
      <text>
        <r>
          <rPr>
            <b/>
            <sz val="8"/>
            <color indexed="81"/>
            <rFont val="Tahoma"/>
            <family val="2"/>
          </rPr>
          <t>nicholjs:</t>
        </r>
        <r>
          <rPr>
            <sz val="8"/>
            <color indexed="81"/>
            <rFont val="Tahoma"/>
            <family val="2"/>
          </rPr>
          <t xml:space="preserve">
8/2010: focus will be to continue to leverage SG&amp;A but by less so in 2H (offsets include: DC and fulfillment center in Europe, international infrastructure, especially in Asia, Navy Yard building for Free People = could affect 20-30 bps in 2H)</t>
        </r>
      </text>
    </comment>
    <comment ref="BU32" authorId="6">
      <text>
        <r>
          <rPr>
            <b/>
            <sz val="8"/>
            <color indexed="81"/>
            <rFont val="Tahoma"/>
            <family val="2"/>
          </rPr>
          <t>nicholjs:</t>
        </r>
        <r>
          <rPr>
            <sz val="8"/>
            <color indexed="81"/>
            <rFont val="Tahoma"/>
            <family val="2"/>
          </rPr>
          <t xml:space="preserve">
The percentage increase (as a % of sales) was primarily due to higher fulfillment costs related to
the increased penetration of international direct-to-consumer sales, investments in systems and international infrastructure.</t>
        </r>
      </text>
    </comment>
    <comment ref="BW32" authorId="6">
      <text>
        <r>
          <rPr>
            <b/>
            <sz val="8"/>
            <color indexed="81"/>
            <rFont val="Tahoma"/>
            <family val="2"/>
          </rPr>
          <t>nicholjs:</t>
        </r>
        <r>
          <rPr>
            <sz val="8"/>
            <color indexed="81"/>
            <rFont val="Tahoma"/>
            <family val="2"/>
          </rPr>
          <t xml:space="preserve">
8/15: $149.5-150 fine
6/11/2011: $151 good
5/17: $150-1 good</t>
        </r>
      </text>
    </comment>
    <comment ref="BX32" authorId="6">
      <text>
        <r>
          <rPr>
            <b/>
            <sz val="8"/>
            <color indexed="81"/>
            <rFont val="Tahoma"/>
            <family val="2"/>
          </rPr>
          <t xml:space="preserve">11/14: </t>
        </r>
        <r>
          <rPr>
            <sz val="8"/>
            <color indexed="81"/>
            <rFont val="Tahoma"/>
            <family val="2"/>
          </rPr>
          <t>delvg of direct selling and supervisory costs driven by negative comparable sales</t>
        </r>
        <r>
          <rPr>
            <b/>
            <sz val="8"/>
            <color indexed="81"/>
            <rFont val="Tahoma"/>
            <family val="2"/>
          </rPr>
          <t xml:space="preserve">
nicholjs:</t>
        </r>
        <r>
          <rPr>
            <sz val="8"/>
            <color indexed="81"/>
            <rFont val="Tahoma"/>
            <family val="2"/>
          </rPr>
          <t xml:space="preserve">
5/16/2011: likely 1-2% stores comp to leverage SG&amp;A in 2H11
3/2011: need 4% stores-only comp to leverage SG&amp;A in 1H11 (could come down in 2H11)</t>
        </r>
      </text>
    </comment>
    <comment ref="CA32" authorId="5">
      <text>
        <r>
          <rPr>
            <b/>
            <sz val="8"/>
            <color indexed="81"/>
            <rFont val="Tahoma"/>
            <family val="2"/>
          </rPr>
          <t>kimberlg:</t>
        </r>
        <r>
          <rPr>
            <sz val="8"/>
            <color indexed="81"/>
            <rFont val="Tahoma"/>
            <family val="2"/>
          </rPr>
          <t xml:space="preserve">
8/20/12: target $170M - could be $1-2M below $170M - will depend on bonus level (accrual)</t>
        </r>
      </text>
    </comment>
    <comment ref="CB32" authorId="15">
      <text>
        <r>
          <rPr>
            <b/>
            <sz val="8"/>
            <color indexed="81"/>
            <rFont val="Tahoma"/>
            <family val="2"/>
          </rPr>
          <t>casselau:</t>
        </r>
        <r>
          <rPr>
            <sz val="8"/>
            <color indexed="81"/>
            <rFont val="Tahoma"/>
            <family val="2"/>
          </rPr>
          <t xml:space="preserve">
11/19: the increase was primarily due to higher incentive-based compensation; total company marketing expense rose by 21% compared to LY</t>
        </r>
      </text>
    </comment>
    <comment ref="CC32" authorId="20">
      <text>
        <r>
          <rPr>
            <b/>
            <sz val="8"/>
            <color indexed="81"/>
            <rFont val="Tahoma"/>
            <family val="2"/>
          </rPr>
          <t xml:space="preserve">8/20/12: </t>
        </r>
        <r>
          <rPr>
            <sz val="8"/>
            <color indexed="81"/>
            <rFont val="Tahoma"/>
            <family val="2"/>
          </rPr>
          <t>reiterated +high-teen</t>
        </r>
        <r>
          <rPr>
            <b/>
            <sz val="8"/>
            <color indexed="81"/>
            <rFont val="Tahoma"/>
            <family val="2"/>
          </rPr>
          <t xml:space="preserve">
lauraro:</t>
        </r>
        <r>
          <rPr>
            <sz val="8"/>
            <color indexed="81"/>
            <rFont val="Tahoma"/>
            <family val="2"/>
          </rPr>
          <t xml:space="preserve">
</t>
        </r>
        <r>
          <rPr>
            <b/>
            <sz val="8"/>
            <color indexed="81"/>
            <rFont val="Tahoma"/>
            <family val="2"/>
          </rPr>
          <t>5/21/12:</t>
        </r>
        <r>
          <rPr>
            <sz val="8"/>
            <color indexed="81"/>
            <rFont val="Tahoma"/>
            <family val="2"/>
          </rPr>
          <t xml:space="preserve"> high-teens SG&amp;A $ growth
</t>
        </r>
        <r>
          <rPr>
            <b/>
            <sz val="8"/>
            <color indexed="81"/>
            <rFont val="Tahoma"/>
            <family val="2"/>
          </rPr>
          <t>3/12/12:</t>
        </r>
        <r>
          <rPr>
            <sz val="8"/>
            <color indexed="81"/>
            <rFont val="Tahoma"/>
            <family val="2"/>
          </rPr>
          <t xml:space="preserve"> mid-teens SG&amp;A $ growth to start the year accelerating to high-teens through the year</t>
        </r>
      </text>
    </comment>
    <comment ref="CF32" authorId="7">
      <text>
        <r>
          <rPr>
            <b/>
            <sz val="8"/>
            <color indexed="81"/>
            <rFont val="Tahoma"/>
            <family val="2"/>
          </rPr>
          <t>turleamb:</t>
        </r>
        <r>
          <rPr>
            <sz val="8"/>
            <color indexed="81"/>
            <rFont val="Tahoma"/>
            <family val="2"/>
          </rPr>
          <t xml:space="preserve">
11/18/13: leveraged direct selling controllable expenses driven by strong positive Retail segment sales. Partially offset by marketing expenses. Primarily spend to support DTC growth and new store growth</t>
        </r>
      </text>
    </comment>
    <comment ref="CJ32" authorId="9">
      <text>
        <r>
          <rPr>
            <b/>
            <sz val="9"/>
            <color indexed="81"/>
            <rFont val="Tahoma"/>
            <family val="2"/>
          </rPr>
          <t>Turley, Amber (Research):</t>
        </r>
        <r>
          <rPr>
            <sz val="9"/>
            <color indexed="81"/>
            <rFont val="Tahoma"/>
            <family val="2"/>
          </rPr>
          <t xml:space="preserve">
11/17/14: primarily due to increased marketing and technology expenses which drove higher
direct-to-consumer traffic.
</t>
        </r>
      </text>
    </comment>
    <comment ref="CK32" authorId="9">
      <text>
        <r>
          <rPr>
            <b/>
            <sz val="9"/>
            <color indexed="81"/>
            <rFont val="Tahoma"/>
            <family val="2"/>
          </rPr>
          <t>Turley, Amber (Research):</t>
        </r>
        <r>
          <rPr>
            <sz val="9"/>
            <color indexed="81"/>
            <rFont val="Tahoma"/>
            <family val="2"/>
          </rPr>
          <t xml:space="preserve">
12/10/14 10-Q: primarily related to increased marketing and technology expenses as noted above and the operating expenses of new stores</t>
        </r>
      </text>
    </comment>
    <comment ref="CO32" authorId="8">
      <text>
        <r>
          <rPr>
            <b/>
            <sz val="9"/>
            <color indexed="81"/>
            <rFont val="Tahoma"/>
            <family val="2"/>
          </rPr>
          <t>Mains, Spencer (Research):</t>
        </r>
        <r>
          <rPr>
            <sz val="9"/>
            <color indexed="81"/>
            <rFont val="Tahoma"/>
            <family val="2"/>
          </rPr>
          <t xml:space="preserve">
8/17/15: Based on current plan, believe 3Q SG&amp;A growth rate looking fairly similar to 2Q (8-9% range)
</t>
        </r>
      </text>
    </comment>
    <comment ref="CR32" authorId="10">
      <text>
        <r>
          <rPr>
            <b/>
            <sz val="9"/>
            <color indexed="81"/>
            <rFont val="Tahoma"/>
            <family val="2"/>
          </rPr>
          <t>Baglione, Gregory  (Research):</t>
        </r>
        <r>
          <rPr>
            <sz val="9"/>
            <color indexed="81"/>
            <rFont val="Tahoma"/>
            <family val="2"/>
          </rPr>
          <t xml:space="preserve">
11/22/16
For the three and nine months ended October 31, 2016, selling, general and administrative expenses, expressed as a percentage of net sales, increased by 143 basis points and 114 basis points when compared to the prior year's comparable periods, respectively.  The deleverage in the three months ended October 31, 2016 was partially due to the net effect of one-time legal settlements, which accounted for approximately 50 basis points of deleverage.  The remaining deleverage related to an increase in direct store controllable expenses largely due to pre-opening expenses and initial staffing levels for several large format Anthropologie stores recently opened or opened in the quarter.
</t>
        </r>
        <r>
          <rPr>
            <b/>
            <sz val="9"/>
            <color indexed="81"/>
            <rFont val="Tahoma"/>
            <family val="2"/>
          </rPr>
          <t>8/16/16</t>
        </r>
        <r>
          <rPr>
            <sz val="9"/>
            <color indexed="81"/>
            <rFont val="Tahoma"/>
            <family val="2"/>
          </rPr>
          <t xml:space="preserve">
Based on our current plan, we believe SG&amp;A could grow at a low double-digit rate for the third quarter. Please note that we recorded lower incentive-based and share-based compensation in the third quarter of the prior year, which is contributing to the increase in our SG&amp;A growth rate for the third quarter of this year.</t>
        </r>
      </text>
    </comment>
    <comment ref="CS32" authorId="10">
      <text>
        <r>
          <rPr>
            <b/>
            <sz val="9"/>
            <color indexed="81"/>
            <rFont val="Tahoma"/>
            <family val="2"/>
          </rPr>
          <t>Baglione, Gregory  (Research):</t>
        </r>
        <r>
          <rPr>
            <sz val="9"/>
            <color indexed="81"/>
            <rFont val="Tahoma"/>
            <family val="2"/>
          </rPr>
          <t xml:space="preserve">
11/22/16
Total SG&amp;A expenses for the quarter were up 10.5% to $230 million. Total SG&amp;A, as a
percentage of sales, deleveraged by 143 basis points to 26.6%. This SG&amp;A deleverage was
partially due to one-time legal settlements, which accounted for approximately 20% of our yearover-year
growth or almost 50 basis points of deleverage.
The remaining increase in SG&amp;A primarily related to an increase in direct store controllable
expenses. A large portion of these expenses were due to the several large format Anthropologie
stores recently opened or opened in the quarter. While we are extremely pleased with the topline
performance of these stores, we have invested a considerable amount to ensure the hiring,
training and overall execution of the stores were second to none. Many of these expenses, preopening
and initial staffing levels, we believe we can reduce and leverage in the upcoming year
through improved control and planning based on our current year’s learnings. 
8/16/16
SG&amp;A could increase at a LDD rateBased on our current plan, we believe ‘SG&amp;A’ could grow at a low, double-digit rate for the third quarter. Please note, that we recorded lower incentive based and share based compensation in the third quarter of the prior year which is contributing to the increase in our SG&amp;A growth rate for the third quarter of this year.
* We model +12-12.5% growth per discussion w/ mgmt.
5/18/16
For the year, we believe SG&amp;A could grow at a high mid-single-digit rate with the third quarter potentially coming in higher than the annual rate due to some large incentive compensation reversals in the prior year.
3/7/16
Per conversation with mgmt. Model ~6-6.5% SG&amp;A growth for full year. 
</t>
        </r>
      </text>
    </comment>
    <comment ref="CW32" authorId="17">
      <text>
        <r>
          <rPr>
            <sz val="9"/>
            <color indexed="81"/>
            <rFont val="Tahoma"/>
            <family val="2"/>
          </rPr>
          <t xml:space="preserve">11/20/17: leverage driven by savings in store organization project and lower share based compensation expense partially offset by investments in marketing to drive sales
</t>
        </r>
        <r>
          <rPr>
            <b/>
            <sz val="9"/>
            <color indexed="81"/>
            <rFont val="Tahoma"/>
            <family val="2"/>
          </rPr>
          <t xml:space="preserve">
</t>
        </r>
        <r>
          <rPr>
            <sz val="9"/>
            <color indexed="81"/>
            <rFont val="Tahoma"/>
            <family val="2"/>
          </rPr>
          <t>8/15/17: guidance -1%
3/7/17: anniversaring one time legal settlement in 3Q17 (~$4.5M)</t>
        </r>
        <r>
          <rPr>
            <b/>
            <sz val="9"/>
            <color indexed="81"/>
            <rFont val="Tahoma"/>
            <family val="2"/>
          </rPr>
          <t xml:space="preserve">
Baglione, Gregory (Research):</t>
        </r>
        <r>
          <rPr>
            <sz val="9"/>
            <color indexed="81"/>
            <rFont val="Tahoma"/>
            <family val="2"/>
          </rPr>
          <t xml:space="preserve">
1/16/17
Company noted at CIR ~5% SG&amp;A growth target for 2017, implies LDD two-year growth. We try to keep 2-year trend close to that level on initial 2017 model roll out. </t>
        </r>
      </text>
    </comment>
    <comment ref="AJ33" authorId="1">
      <text>
        <r>
          <rPr>
            <b/>
            <sz val="8"/>
            <color indexed="81"/>
            <rFont val="Tahoma"/>
            <family val="2"/>
          </rPr>
          <t>Lehman Brothers:</t>
        </r>
        <r>
          <rPr>
            <sz val="8"/>
            <color indexed="81"/>
            <rFont val="Tahoma"/>
            <family val="2"/>
          </rPr>
          <t xml:space="preserve">
was 28.5, change to 28.8 after 3Q conf call. 28.7</t>
        </r>
      </text>
    </comment>
    <comment ref="AN33" authorId="1">
      <text>
        <r>
          <rPr>
            <b/>
            <sz val="8"/>
            <color indexed="81"/>
            <rFont val="Tahoma"/>
            <family val="2"/>
          </rPr>
          <t>Lehman Brothers:</t>
        </r>
        <r>
          <rPr>
            <sz val="8"/>
            <color indexed="81"/>
            <rFont val="Tahoma"/>
            <family val="2"/>
          </rPr>
          <t xml:space="preserve">
grow sga inline w. rev growth. 38.4, 39.5</t>
        </r>
      </text>
    </comment>
    <comment ref="AW33" authorId="18">
      <text>
        <r>
          <rPr>
            <b/>
            <sz val="10"/>
            <color indexed="81"/>
            <rFont val="Tahoma"/>
            <family val="2"/>
          </rPr>
          <t>kgreenbe:</t>
        </r>
        <r>
          <rPr>
            <sz val="10"/>
            <color indexed="81"/>
            <rFont val="Tahoma"/>
            <family val="2"/>
          </rPr>
          <t xml:space="preserve">
per John, sg&amp;a prob grow only 10-15% (more likely 15%) in dollars 4Q04</t>
        </r>
      </text>
    </comment>
    <comment ref="BA33" authorId="19">
      <text>
        <r>
          <rPr>
            <b/>
            <sz val="8"/>
            <color indexed="81"/>
            <rFont val="Tahoma"/>
            <family val="2"/>
          </rPr>
          <t>Kimberly Greenberger:</t>
        </r>
        <r>
          <rPr>
            <sz val="8"/>
            <color indexed="81"/>
            <rFont val="Tahoma"/>
            <family val="2"/>
          </rPr>
          <t xml:space="preserve">
5/12/05 Mgmt indicated rate of # growth approx inline w/ 1Q (27%)
plus add $250k exp 2Q and 3Q for incidental payroll costs assoc w/ relo of DC (severance, relo, retention pay, etc.)
also add $100k exp 2Q for maint exp to get DC equip back up and running after relo</t>
        </r>
      </text>
    </comment>
    <comment ref="BE33" authorId="16">
      <text>
        <r>
          <rPr>
            <b/>
            <sz val="8"/>
            <color indexed="81"/>
            <rFont val="Tahoma"/>
            <family val="2"/>
          </rPr>
          <t>mm98285:</t>
        </r>
        <r>
          <rPr>
            <sz val="8"/>
            <color indexed="81"/>
            <rFont val="Tahoma"/>
            <family val="2"/>
          </rPr>
          <t xml:space="preserve">
3/07: +40 primarily due to delvge from negative comp.  </t>
        </r>
      </text>
    </comment>
    <comment ref="BG33" authorId="13">
      <text>
        <r>
          <rPr>
            <b/>
            <sz val="8"/>
            <color indexed="81"/>
            <rFont val="Tahoma"/>
            <family val="2"/>
          </rPr>
          <t>kg51925:</t>
        </r>
        <r>
          <rPr>
            <sz val="8"/>
            <color indexed="81"/>
            <rFont val="Tahoma"/>
            <family val="2"/>
          </rPr>
          <t xml:space="preserve">
8/3/07 should be ~$102mm with caveat that mgmt doesn't know exactly what the SG&amp;A expense for concept 4 will be. Concept 4 planned to open March 2008.</t>
        </r>
      </text>
    </comment>
    <comment ref="BH33" authorId="16">
      <text>
        <r>
          <rPr>
            <b/>
            <sz val="8"/>
            <color indexed="81"/>
            <rFont val="Tahoma"/>
            <family val="2"/>
          </rPr>
          <t>mm98285:</t>
        </r>
        <r>
          <rPr>
            <sz val="8"/>
            <color indexed="81"/>
            <rFont val="Tahoma"/>
            <family val="2"/>
          </rPr>
          <t xml:space="preserve">
3/08: -102 bps given store costs levg (from +11% comp) and reduction of corp. exp.  LY’s corp. exp. incl. non-recurring legal fee related to protecting co.’s intellectual property which resulted in a 19 bps neg. impact for the qtr. </t>
        </r>
      </text>
    </comment>
    <comment ref="BI33" authorId="16">
      <text>
        <r>
          <rPr>
            <b/>
            <sz val="8"/>
            <color indexed="81"/>
            <rFont val="Tahoma"/>
            <family val="2"/>
          </rPr>
          <t>mm98285:</t>
        </r>
        <r>
          <rPr>
            <sz val="8"/>
            <color indexed="81"/>
            <rFont val="Tahoma"/>
            <family val="2"/>
          </rPr>
          <t xml:space="preserve">
11/07: expect 20-21%</t>
        </r>
      </text>
    </comment>
    <comment ref="BK33" authorId="16">
      <text>
        <r>
          <rPr>
            <b/>
            <sz val="8"/>
            <color indexed="81"/>
            <rFont val="Tahoma"/>
            <family val="2"/>
          </rPr>
          <t>mm98285:</t>
        </r>
        <r>
          <rPr>
            <sz val="8"/>
            <color indexed="81"/>
            <rFont val="Tahoma"/>
            <family val="2"/>
          </rPr>
          <t xml:space="preserve">
kg 3/09: benefitted from bonus accr reversal
12/10/08: JK says $123.5 if comps are positive, but could be below $123.5 if comps are neg. we think could see $122-$123mm</t>
        </r>
      </text>
    </comment>
    <comment ref="BL33" authorId="16">
      <text>
        <r>
          <rPr>
            <b/>
            <sz val="8"/>
            <color indexed="81"/>
            <rFont val="Tahoma"/>
            <family val="2"/>
          </rPr>
          <t>mm98285:</t>
        </r>
        <r>
          <rPr>
            <sz val="8"/>
            <color indexed="81"/>
            <rFont val="Tahoma"/>
            <family val="2"/>
          </rPr>
          <t xml:space="preserve">
decline driven by cost control across all areas of the business, w/ the most impact in direct store related expenses, slightly offset by continued investments in new startup businesses (Terrain &amp; Leifsdottir) 
Additionally, reversal of bonus accruals boosted SG&amp;A savings
</t>
        </r>
      </text>
    </comment>
    <comment ref="BM33" authorId="13">
      <text>
        <r>
          <rPr>
            <b/>
            <sz val="8"/>
            <color indexed="81"/>
            <rFont val="Tahoma"/>
            <family val="2"/>
          </rPr>
          <t>kg51925:</t>
        </r>
        <r>
          <rPr>
            <sz val="8"/>
            <color indexed="81"/>
            <rFont val="Tahoma"/>
            <family val="2"/>
          </rPr>
          <t xml:space="preserve">
8/08 expect 25% $ growth if comps continue +13%</t>
        </r>
      </text>
    </comment>
    <comment ref="BO33" authorId="13">
      <text>
        <r>
          <rPr>
            <b/>
            <sz val="8"/>
            <color indexed="81"/>
            <rFont val="Tahoma"/>
            <family val="2"/>
          </rPr>
          <t>kg51925:</t>
        </r>
        <r>
          <rPr>
            <sz val="8"/>
            <color indexed="81"/>
            <rFont val="Tahoma"/>
            <family val="2"/>
          </rPr>
          <t xml:space="preserve">
updated 1/7 - our new $125 est looks good
per John our $124mm est sounds good end of Nov</t>
        </r>
      </text>
    </comment>
    <comment ref="BP33" authorId="23">
      <text>
        <r>
          <rPr>
            <b/>
            <sz val="8"/>
            <color indexed="81"/>
            <rFont val="Tahoma"/>
            <family val="2"/>
          </rPr>
          <t>ns66486:</t>
        </r>
        <r>
          <rPr>
            <sz val="8"/>
            <color indexed="81"/>
            <rFont val="Tahoma"/>
            <family val="2"/>
          </rPr>
          <t xml:space="preserve">
declined one basis point for the period despite a significant accrual of additional incentive based compensation expense related to our annual performance in earnings.</t>
        </r>
      </text>
    </comment>
    <comment ref="BQ33" authorId="13">
      <text>
        <r>
          <rPr>
            <b/>
            <sz val="8"/>
            <color indexed="81"/>
            <rFont val="Tahoma"/>
            <family val="2"/>
          </rPr>
          <t>kg51925:</t>
        </r>
        <r>
          <rPr>
            <sz val="8"/>
            <color indexed="81"/>
            <rFont val="Tahoma"/>
            <family val="2"/>
          </rPr>
          <t xml:space="preserve">
3/09: Mgmt thinks can keep SG&amp;A dollar growth at 6-9% (lower end if comps negative, higher end if comps flat)
EXCEPT 4Q when anniv big cuts and lower bonus accrual LY</t>
        </r>
      </text>
    </comment>
    <comment ref="BS33" authorId="13">
      <text>
        <r>
          <rPr>
            <b/>
            <sz val="8"/>
            <color indexed="81"/>
            <rFont val="Tahoma"/>
            <family val="2"/>
          </rPr>
          <t>kg51925:</t>
        </r>
        <r>
          <rPr>
            <sz val="8"/>
            <color indexed="81"/>
            <rFont val="Tahoma"/>
            <family val="2"/>
          </rPr>
          <t xml:space="preserve">
10/10 we think ~$146M
incentive accruals LY:
2Q09 accrued $6-7mm
3Q09 accrued $6-7mm
4Q09 accrued $4.5mm</t>
        </r>
      </text>
    </comment>
    <comment ref="BT33" authorId="5">
      <text>
        <r>
          <rPr>
            <b/>
            <sz val="8"/>
            <color indexed="81"/>
            <rFont val="Tahoma"/>
            <family val="2"/>
          </rPr>
          <t>kimberlg:</t>
        </r>
        <r>
          <rPr>
            <sz val="8"/>
            <color indexed="81"/>
            <rFont val="Tahoma"/>
            <family val="2"/>
          </rPr>
          <t xml:space="preserve">
expect "flattish"</t>
        </r>
      </text>
    </comment>
    <comment ref="BU33" authorId="6">
      <text>
        <r>
          <rPr>
            <b/>
            <sz val="8"/>
            <color indexed="81"/>
            <rFont val="Tahoma"/>
            <family val="2"/>
          </rPr>
          <t>nicholjs:</t>
        </r>
        <r>
          <rPr>
            <sz val="8"/>
            <color indexed="81"/>
            <rFont val="Tahoma"/>
            <family val="2"/>
          </rPr>
          <t xml:space="preserve">
Disciplined expense control helped to offset deleverage resulting from investments in systems, int'l expansion, and start-up expenses for BHLDN launch.</t>
        </r>
      </text>
    </comment>
    <comment ref="BW33" authorId="6">
      <text>
        <r>
          <rPr>
            <b/>
            <sz val="8"/>
            <color indexed="81"/>
            <rFont val="Tahoma"/>
            <family val="2"/>
          </rPr>
          <t>nicholjs:</t>
        </r>
        <r>
          <rPr>
            <sz val="8"/>
            <color indexed="81"/>
            <rFont val="Tahoma"/>
            <family val="2"/>
          </rPr>
          <t xml:space="preserve">
2/9/12: $160-161M ok
1/5/12: $164M ok
11/11: $161M ok, better than $159-160M (higher than $159-160M)
8/11: $168 feels heavy - planned compensation has come down
6/11: $168 good
5/17: $168 good</t>
        </r>
      </text>
    </comment>
    <comment ref="BX33" authorId="6">
      <text>
        <r>
          <rPr>
            <b/>
            <sz val="8"/>
            <color indexed="81"/>
            <rFont val="Tahoma"/>
            <family val="2"/>
          </rPr>
          <t xml:space="preserve">3/12/12: </t>
        </r>
        <r>
          <rPr>
            <sz val="8"/>
            <color indexed="81"/>
            <rFont val="Tahoma"/>
            <family val="2"/>
          </rPr>
          <t xml:space="preserve"> total selling, general and administrative expenses, expressed as a percentage of net sales, decreased to 21.3%, or 37 basis points, versus the prior year comparable period. This decrease was primarily due to a one-time, non-recurring $6 million net benefit primarily related to equity compensation expense reversals.  This benefit was partially offset by the deleveraging of direct store controllable expenses driven by the negative comparable store net sales.
</t>
        </r>
        <r>
          <rPr>
            <b/>
            <sz val="8"/>
            <color indexed="81"/>
            <rFont val="Tahoma"/>
            <family val="2"/>
          </rPr>
          <t xml:space="preserve">11/14: </t>
        </r>
        <r>
          <rPr>
            <sz val="8"/>
            <color indexed="81"/>
            <rFont val="Tahoma"/>
            <family val="2"/>
          </rPr>
          <t>need ~2% stores comp to lvg SG&amp;A</t>
        </r>
        <r>
          <rPr>
            <b/>
            <sz val="8"/>
            <color indexed="81"/>
            <rFont val="Tahoma"/>
            <family val="2"/>
          </rPr>
          <t xml:space="preserve">
nicholjs:</t>
        </r>
        <r>
          <rPr>
            <sz val="8"/>
            <color indexed="81"/>
            <rFont val="Tahoma"/>
            <family val="2"/>
          </rPr>
          <t xml:space="preserve">
5/16/2011: likely 1-2% stores comp to leverage SG&amp;A in 2H11
3/2011: need 4% stores-only comp to leverage SG&amp;A in 1H11 (could come down in 2H11)</t>
        </r>
      </text>
    </comment>
    <comment ref="CA33" authorId="5">
      <text>
        <r>
          <rPr>
            <b/>
            <sz val="8"/>
            <color indexed="81"/>
            <rFont val="Tahoma"/>
            <family val="2"/>
          </rPr>
          <t>kimberlg:</t>
        </r>
        <r>
          <rPr>
            <sz val="8"/>
            <color indexed="81"/>
            <rFont val="Tahoma"/>
            <family val="2"/>
          </rPr>
          <t xml:space="preserve">
8/20/12: target $185M</t>
        </r>
      </text>
    </comment>
    <comment ref="CB33" authorId="15">
      <text>
        <r>
          <rPr>
            <b/>
            <sz val="8"/>
            <color indexed="81"/>
            <rFont val="Tahoma"/>
            <family val="2"/>
          </rPr>
          <t>casselau:</t>
        </r>
        <r>
          <rPr>
            <sz val="8"/>
            <color indexed="81"/>
            <rFont val="Tahoma"/>
            <family val="2"/>
          </rPr>
          <t xml:space="preserve">
3/11/13: positive retail segment comp drove leverage of direct store controllable and shared services expenses; partially offset by higher equity compensation expense as a result of an equity comp expense reversal in the prior year due to the departure of an executive officer </t>
        </r>
      </text>
    </comment>
    <comment ref="CC33" authorId="20">
      <text>
        <r>
          <rPr>
            <b/>
            <sz val="8"/>
            <color indexed="81"/>
            <rFont val="Tahoma"/>
            <family val="2"/>
          </rPr>
          <t xml:space="preserve">11/19: </t>
        </r>
        <r>
          <rPr>
            <sz val="8"/>
            <color indexed="81"/>
            <rFont val="Tahoma"/>
            <family val="2"/>
          </rPr>
          <t xml:space="preserve">reit +high-teen
</t>
        </r>
        <r>
          <rPr>
            <b/>
            <sz val="8"/>
            <color indexed="81"/>
            <rFont val="Tahoma"/>
            <family val="2"/>
          </rPr>
          <t xml:space="preserve">8/20/12: </t>
        </r>
        <r>
          <rPr>
            <sz val="8"/>
            <color indexed="81"/>
            <rFont val="Tahoma"/>
            <family val="2"/>
          </rPr>
          <t>reiterated +high-teen</t>
        </r>
        <r>
          <rPr>
            <b/>
            <sz val="8"/>
            <color indexed="81"/>
            <rFont val="Tahoma"/>
            <family val="2"/>
          </rPr>
          <t xml:space="preserve">
lauraro:</t>
        </r>
        <r>
          <rPr>
            <sz val="8"/>
            <color indexed="81"/>
            <rFont val="Tahoma"/>
            <family val="2"/>
          </rPr>
          <t xml:space="preserve">
</t>
        </r>
        <r>
          <rPr>
            <b/>
            <sz val="8"/>
            <color indexed="81"/>
            <rFont val="Tahoma"/>
            <family val="2"/>
          </rPr>
          <t>5/21/12:</t>
        </r>
        <r>
          <rPr>
            <sz val="8"/>
            <color indexed="81"/>
            <rFont val="Tahoma"/>
            <family val="2"/>
          </rPr>
          <t xml:space="preserve"> high-teens SG&amp;A $ growth
</t>
        </r>
        <r>
          <rPr>
            <b/>
            <sz val="8"/>
            <color indexed="81"/>
            <rFont val="Tahoma"/>
            <family val="2"/>
          </rPr>
          <t>3/12/12:</t>
        </r>
        <r>
          <rPr>
            <sz val="8"/>
            <color indexed="81"/>
            <rFont val="Tahoma"/>
            <family val="2"/>
          </rPr>
          <t xml:space="preserve"> mid-teens SG&amp;A $ growth to start the year accelerating to high-teens through the year</t>
        </r>
      </text>
    </comment>
    <comment ref="CE33" authorId="5">
      <text>
        <r>
          <rPr>
            <b/>
            <sz val="8"/>
            <color indexed="81"/>
            <rFont val="Tahoma"/>
            <family val="2"/>
          </rPr>
          <t>kimberlg:</t>
        </r>
        <r>
          <rPr>
            <sz val="8"/>
            <color indexed="81"/>
            <rFont val="Tahoma"/>
            <family val="2"/>
          </rPr>
          <t xml:space="preserve">
11/18/13: $205M</t>
        </r>
      </text>
    </comment>
    <comment ref="CF33" authorId="7">
      <text>
        <r>
          <rPr>
            <b/>
            <sz val="8"/>
            <color indexed="81"/>
            <rFont val="Tahoma"/>
            <family val="2"/>
          </rPr>
          <t>turleamb:</t>
        </r>
        <r>
          <rPr>
            <sz val="8"/>
            <color indexed="81"/>
            <rFont val="Tahoma"/>
            <family val="2"/>
          </rPr>
          <t xml:space="preserve">
3/10/14: Deleveraged by 119 bps due to increased variable expenses to support new store growth and increased spend in web marketing and technology investments to support DTC growth. The deleverage in direct and selling support store related expenses resulting from negative comp store sales.  "The increased penetration
of our direct-to-consumer channel continued to drive store occupancy leverage and delivery expense
deleverage."
11/18/13: We believe that SG&amp;A could grow at a low to mid-teens rate for the final quarter of the year. This increase would be driven by continued investments in technology systems and talent to support Web- and store-based initiatives and marketing and customer analytics to further customer acquisition and retention efforts. SG&amp;A in 4Q is more variable due to performance of the brands</t>
        </r>
      </text>
    </comment>
    <comment ref="CJ33" authorId="9">
      <text>
        <r>
          <rPr>
            <b/>
            <sz val="9"/>
            <color indexed="81"/>
            <rFont val="Tahoma"/>
            <family val="2"/>
          </rPr>
          <t>Turley, Amber (Research):</t>
        </r>
        <r>
          <rPr>
            <sz val="9"/>
            <color indexed="81"/>
            <rFont val="Tahoma"/>
            <family val="2"/>
          </rPr>
          <t xml:space="preserve">
11/17/14: guidance expect +LDD growth</t>
        </r>
      </text>
    </comment>
    <comment ref="CN33" authorId="10">
      <text>
        <r>
          <rPr>
            <b/>
            <sz val="9"/>
            <color indexed="81"/>
            <rFont val="Tahoma"/>
            <family val="2"/>
          </rPr>
          <t>Baglione, Gregory  (Research):</t>
        </r>
        <r>
          <rPr>
            <sz val="9"/>
            <color indexed="81"/>
            <rFont val="Tahoma"/>
            <family val="2"/>
          </rPr>
          <t xml:space="preserve">
3/7/16
For the three months ended January 31, 2016, selling, general and administrative expenses, expressed as a percentage of net sales, increased by 65 basis points when compared to the prior year period.  For the year ended January 31, 2016, selling, general and administrative expenses, expressed as a percentage of net sales, increased 26 basis points when compared to the prior year period.  The increase in both periods is primarily due to an increase in marketing expense to support our customer acquisition and retention efforts and an increase in technology related expenses used to support our omni-channel initiatives.
3/7/16
During the three months ended January 31, 2016, the Company incurred store impairment charges of $9 million, with $7 million of this charge negatively affecting gross profit and $2 million negatively affecting selling, general and administrative expenses.
20 bps of SG&amp;A rate headwind from the charge above, should reverse in 4Q16
2/9/16
Taking down SG&amp;A $2M to 23%
11/16/15
Per management's guidance ~4-5% SG&amp;A growth
</t>
        </r>
      </text>
    </comment>
    <comment ref="CO33" authorId="8">
      <text>
        <r>
          <rPr>
            <b/>
            <sz val="9"/>
            <color indexed="81"/>
            <rFont val="Tahoma"/>
            <family val="2"/>
          </rPr>
          <t>GB:
11/16/15: Expect SG&amp;A to grow +MSD for 4Q vs. Prior HSD
Previous estimates +8.2%
New Estimate+6.5%
Mains, Spencer (Research):</t>
        </r>
        <r>
          <rPr>
            <sz val="9"/>
            <color indexed="81"/>
            <rFont val="Tahoma"/>
            <family val="2"/>
          </rPr>
          <t xml:space="preserve">
8/17/15: Growth rate roughly consistent with 2Q (8-9% range)
</t>
        </r>
      </text>
    </comment>
    <comment ref="CR33" authorId="10">
      <text>
        <r>
          <rPr>
            <b/>
            <sz val="9"/>
            <color indexed="81"/>
            <rFont val="Tahoma"/>
            <family val="2"/>
          </rPr>
          <t>3/7/17: deleverage in the quarter related to an increase in direct store expenses primarily relating to expanded format Anthro and FP stores
Baglione, Gregory  (Research):</t>
        </r>
        <r>
          <rPr>
            <sz val="9"/>
            <color indexed="81"/>
            <rFont val="Tahoma"/>
            <family val="2"/>
          </rPr>
          <t xml:space="preserve">
11/22/16 
Based on our current plan, we believe SG&amp;A could grow at a mid-single digit rate for the fourth quarter. This increase would be largely driven by increased store related expenses to support our ‘non-comp’ store base growth. 
*We model +6.5% SG&amp;A dollar growth. Management noted this was reasonable. 
8/16/16
SG&amp;A +MSD rate for 4Q
Lap a 4Q 15$2M impairment. Model ~6% SG&amp;A growth -~$2M leads to 23.1% SG&amp;A rate</t>
        </r>
      </text>
    </comment>
    <comment ref="CS33" authorId="10">
      <text>
        <r>
          <rPr>
            <b/>
            <sz val="9"/>
            <color indexed="81"/>
            <rFont val="Tahoma"/>
            <family val="2"/>
          </rPr>
          <t>Baglione, Gregory  (Research):</t>
        </r>
        <r>
          <rPr>
            <sz val="9"/>
            <color indexed="81"/>
            <rFont val="Tahoma"/>
            <family val="2"/>
          </rPr>
          <t xml:space="preserve">
1/9/17: Per Oona - closer to +7%
11/22/16 
Based on our current plan, we believe SG&amp;A could grow at a mid-single digit rate for the fourth quarter. This increase would be largely driven by increased store related expenses to support our ‘non-comp’ store base growth. 
*We model +6.5% SG&amp;A dollar growth. Management noted this was reasonable. 
8/16/16
For the year, we believe SG&amp;A could grow at a high single digit rate. We believe the growth will be driven by increased investment in marketing
and technology expenses, hopefully helping to continue driving our double-digit direct-to-consumer channel sale gains. So our related expenses are also expected to increase in order to support our square-footage growth, which is planned at approximately 5% for FY17.
5/18/16
For the year, we believe SG&amp;A could grow at a high mid-single-digit rate with the third quarter potentially coming in higher than the annual rate due to some large incentive compensation reversals in the prior year.
3/7/16
Per conversation with mgmt. Model ~6-6.5% SG&amp;A growth for full year. 
</t>
        </r>
      </text>
    </comment>
    <comment ref="CW33" authorId="11">
      <text>
        <r>
          <rPr>
            <b/>
            <sz val="9"/>
            <color indexed="81"/>
            <rFont val="Tahoma"/>
            <family val="2"/>
          </rPr>
          <t>Roberts, Cynthia (Research):</t>
        </r>
        <r>
          <rPr>
            <sz val="9"/>
            <color indexed="81"/>
            <rFont val="Tahoma"/>
            <family val="2"/>
          </rPr>
          <t xml:space="preserve">
2/8/18: per Oona  +3%
1/8/18: pulled back on digital marketing a bit when they did not see return on investment
11/20/17: Guidance dollars +4% on digital marketing expense</t>
        </r>
      </text>
    </comment>
    <comment ref="U34" authorId="0">
      <text>
        <r>
          <rPr>
            <b/>
            <sz val="8"/>
            <color indexed="81"/>
            <rFont val="Tahoma"/>
            <family val="2"/>
          </rPr>
          <t>dong2:</t>
        </r>
        <r>
          <rPr>
            <sz val="8"/>
            <color indexed="81"/>
            <rFont val="Tahoma"/>
            <family val="2"/>
          </rPr>
          <t xml:space="preserve">
from 98 10-K : SG&amp;A increased from 22.3% to 26.0% of sales in 98 due to start up of catalog and European operations as well as substantial negative leverage assoc. with decline in Wholesale. Increase in SG&amp;A dollars is due to opening of new stores and catalog startup.
Advertising expenses were $4.486 mm in 98</t>
        </r>
      </text>
    </comment>
    <comment ref="X34" authorId="0">
      <text>
        <r>
          <rPr>
            <b/>
            <sz val="8"/>
            <color indexed="81"/>
            <rFont val="Tahoma"/>
            <family val="2"/>
          </rPr>
          <t>dong2:</t>
        </r>
        <r>
          <rPr>
            <sz val="8"/>
            <color indexed="81"/>
            <rFont val="Tahoma"/>
            <family val="2"/>
          </rPr>
          <t xml:space="preserve">
Advertising $6.309 mm or 2.3% of sales in F99</t>
        </r>
      </text>
    </comment>
    <comment ref="AB34" authorId="0">
      <text>
        <r>
          <rPr>
            <b/>
            <sz val="8"/>
            <color indexed="81"/>
            <rFont val="Tahoma"/>
            <family val="2"/>
          </rPr>
          <t>dong2:</t>
        </r>
        <r>
          <rPr>
            <sz val="8"/>
            <color indexed="81"/>
            <rFont val="Tahoma"/>
            <family val="2"/>
          </rPr>
          <t xml:space="preserve">
Advertising $9.171 mm or 3.1% of sales in F00</t>
        </r>
      </text>
    </comment>
    <comment ref="AC34" authorId="0">
      <text>
        <r>
          <rPr>
            <b/>
            <sz val="8"/>
            <color indexed="81"/>
            <rFont val="Tahoma"/>
            <family val="2"/>
          </rPr>
          <t>dong2:</t>
        </r>
        <r>
          <rPr>
            <sz val="8"/>
            <color indexed="81"/>
            <rFont val="Tahoma"/>
            <family val="2"/>
          </rPr>
          <t xml:space="preserve">
SG&amp;A decreased to 24.2% from 25.6% LY. Aggressive store cost containment combined with comp increases resulted in the leveraging of operating expenses in the retail segment. Additionally, direct response operating expenses declined due to a) significant increase in sales, 2) improvements in catalog production costs, and 3) efficiencies attributable to moving the catalog call center in-house during 2Q99. Increase in sales by Wholesale also contrib. to lvg'ing of op exp.</t>
        </r>
      </text>
    </comment>
    <comment ref="AG34" authorId="0">
      <text>
        <r>
          <rPr>
            <b/>
            <sz val="8"/>
            <color indexed="81"/>
            <rFont val="Tahoma"/>
            <family val="2"/>
          </rPr>
          <t>dong2:</t>
        </r>
        <r>
          <rPr>
            <sz val="8"/>
            <color indexed="81"/>
            <rFont val="Tahoma"/>
            <family val="2"/>
          </rPr>
          <t xml:space="preserve">
Advertising $8.1 mm or 2.3% of sales in F01</t>
        </r>
      </text>
    </comment>
    <comment ref="BH34" authorId="16">
      <text>
        <r>
          <rPr>
            <b/>
            <sz val="8"/>
            <color indexed="81"/>
            <rFont val="Tahoma"/>
            <family val="2"/>
          </rPr>
          <t>mm98285:</t>
        </r>
        <r>
          <rPr>
            <sz val="8"/>
            <color indexed="81"/>
            <rFont val="Tahoma"/>
            <family val="2"/>
          </rPr>
          <t xml:space="preserve">
3/08: lower given controlling store support related exp driven by increase in comps partially offset by non comparable exp to operate new home office facility</t>
        </r>
      </text>
    </comment>
    <comment ref="BL34" authorId="16">
      <text>
        <r>
          <rPr>
            <b/>
            <sz val="8"/>
            <color indexed="81"/>
            <rFont val="Tahoma"/>
            <family val="2"/>
          </rPr>
          <t>mm98285:</t>
        </r>
        <r>
          <rPr>
            <sz val="8"/>
            <color indexed="81"/>
            <rFont val="Tahoma"/>
            <family val="2"/>
          </rPr>
          <t xml:space="preserve">
10K: rate reduction primarily due to controlling selling and store support related exp's in addition to lower corp. exp's given non-recurring legal fees LY. 
SG&amp;A $ increase primarily related to the operating expenses of new and non-comparable stores.</t>
        </r>
      </text>
    </comment>
    <comment ref="BQ34" authorId="16">
      <text>
        <r>
          <rPr>
            <b/>
            <sz val="8"/>
            <color indexed="81"/>
            <rFont val="Tahoma"/>
            <family val="2"/>
          </rPr>
          <t>mm98285:</t>
        </r>
        <r>
          <rPr>
            <sz val="8"/>
            <color indexed="81"/>
            <rFont val="Tahoma"/>
            <family val="2"/>
          </rPr>
          <t xml:space="preserve">
3/09: Mgmt thinks can keep SG&amp;A dollar growth at 6-9% (lower end if comps negative, higher end if comps flat) EXCEPT 4Q when anniv big cuts and lower bonus accrual LY
2/09: 13% growth is mid-point of expected range</t>
        </r>
      </text>
    </comment>
    <comment ref="BU34" authorId="13">
      <text>
        <r>
          <rPr>
            <b/>
            <sz val="8"/>
            <color indexed="81"/>
            <rFont val="Tahoma"/>
            <family val="2"/>
          </rPr>
          <t>kg51925:</t>
        </r>
        <r>
          <rPr>
            <sz val="8"/>
            <color indexed="81"/>
            <rFont val="Tahoma"/>
            <family val="2"/>
          </rPr>
          <t xml:space="preserve">
sq ft +14% = +12% SG&amp;A growth
then +6.6% comp yield ~2-3% more SG&amp;A $ growth
so blend ~15% </t>
        </r>
      </text>
    </comment>
    <comment ref="BX34" authorId="20">
      <text>
        <r>
          <rPr>
            <b/>
            <sz val="8"/>
            <color indexed="81"/>
            <rFont val="Tahoma"/>
            <family val="2"/>
          </rPr>
          <t>lauraro:</t>
        </r>
        <r>
          <rPr>
            <sz val="8"/>
            <color indexed="81"/>
            <rFont val="Tahoma"/>
            <family val="2"/>
          </rPr>
          <t xml:space="preserve">
</t>
        </r>
        <r>
          <rPr>
            <b/>
            <sz val="8"/>
            <color indexed="81"/>
            <rFont val="Tahoma"/>
            <family val="2"/>
          </rPr>
          <t xml:space="preserve">3/12/12: </t>
        </r>
        <r>
          <rPr>
            <sz val="8"/>
            <color indexed="81"/>
            <rFont val="Tahoma"/>
            <family val="2"/>
          </rPr>
          <t>This increase was primarily due to higher e-commerce and related marketing investments, as well as, the deleveraging of direct store controllable expenses driven by negative comparable store net sales. The net benefit associated with equity compensation reversals and lower incentive compensation costs were partial offsets.</t>
        </r>
      </text>
    </comment>
    <comment ref="CA34" authorId="5">
      <text>
        <r>
          <rPr>
            <b/>
            <sz val="8"/>
            <color indexed="81"/>
            <rFont val="Tahoma"/>
            <family val="2"/>
          </rPr>
          <t>kimberlg:</t>
        </r>
        <r>
          <rPr>
            <sz val="8"/>
            <color indexed="81"/>
            <rFont val="Tahoma"/>
            <family val="2"/>
          </rPr>
          <t xml:space="preserve">
3/12/12: sounds like they think around $675M
5/21/12: $671M "too low"… I am going to $673 or $674M</t>
        </r>
      </text>
    </comment>
    <comment ref="CB34" authorId="15">
      <text>
        <r>
          <rPr>
            <b/>
            <sz val="8"/>
            <color indexed="81"/>
            <rFont val="Tahoma"/>
            <family val="2"/>
          </rPr>
          <t xml:space="preserve">3/11/13: </t>
        </r>
        <r>
          <rPr>
            <sz val="8"/>
            <color indexed="81"/>
            <rFont val="Tahoma"/>
            <family val="2"/>
          </rPr>
          <t>the y/y increase was primarily due to the deleveraging of direct store controllable expenses driven by the negative comp store net sales</t>
        </r>
        <r>
          <rPr>
            <b/>
            <sz val="8"/>
            <color indexed="81"/>
            <rFont val="Tahoma"/>
            <family val="2"/>
          </rPr>
          <t xml:space="preserve">
casselau:</t>
        </r>
        <r>
          <rPr>
            <sz val="8"/>
            <color indexed="81"/>
            <rFont val="Tahoma"/>
            <family val="2"/>
          </rPr>
          <t xml:space="preserve">
8/20/12: increased spending, partially driven by the opening of our new West Coast fulfillment center, increased marketing and customer acquisition efforts, and further investments in technology systems and people.</t>
        </r>
      </text>
    </comment>
    <comment ref="CF34" authorId="15">
      <text>
        <r>
          <rPr>
            <b/>
            <sz val="8"/>
            <color indexed="81"/>
            <rFont val="Tahoma"/>
            <family val="2"/>
          </rPr>
          <t>casselau:</t>
        </r>
        <r>
          <rPr>
            <sz val="8"/>
            <color indexed="81"/>
            <rFont val="Tahoma"/>
            <family val="2"/>
          </rPr>
          <t xml:space="preserve">
10-K: primarily due to increases in marketing expenses
3/10/14: increased 28 bps due to increases in marketing expenses
3/11/13: expect mid-teens (1H weighted) due to investment in IT, talent, and marketing spend
8/19/13 2Q EPS: expect mid-teens due to investment in IT systems and talent to boost web and store-based initiatives. Plan to increase marketing &amp; customer analytics &amp; marketing spend to further customer acquisition/retention efforts</t>
        </r>
      </text>
    </comment>
    <comment ref="CG34" authorId="7">
      <text>
        <r>
          <rPr>
            <b/>
            <sz val="9"/>
            <color indexed="81"/>
            <rFont val="Tahoma"/>
            <family val="2"/>
          </rPr>
          <t>turleamb:</t>
        </r>
        <r>
          <rPr>
            <sz val="9"/>
            <color indexed="81"/>
            <rFont val="Tahoma"/>
            <family val="2"/>
          </rPr>
          <t xml:space="preserve">
10-K: The dollar increase over the prior year was primarily related to the operating expenses of new stores and increased marketing expenses to support our customer acquisition and retention programs.</t>
        </r>
      </text>
    </comment>
    <comment ref="CJ34" authorId="7">
      <text>
        <r>
          <rPr>
            <b/>
            <sz val="8"/>
            <color indexed="81"/>
            <rFont val="Tahoma"/>
            <family val="2"/>
          </rPr>
          <t>turleamb:</t>
        </r>
        <r>
          <rPr>
            <sz val="8"/>
            <color indexed="81"/>
            <rFont val="Tahoma"/>
            <family val="2"/>
          </rPr>
          <t xml:space="preserve">
3/9/15: FY de-leverage primarily due to increased marketing and technology expenses which were used to drive
higher direct-to-consumer traffic
5/19/14: guidance +LDD. (prob some oppty to cut if sales is low). Increase driven by direct and selling support expenses to support new store growth and tech investments
3/10/14: Guided +LDD growth for the year -10-12% -
"The biggest chunk of that will be to support new stores. So, you are directing selling support services as we are looking to grow our square footages this year by roughly 8% on a year-over-year basis. And then the remaining two pieces to support marketing and technology investments that we have, primarily around support the direct-to-consumer channel growth rates. But between 10% to 12% for the year and fairly consistent among each quarters."
"We believe that is G &amp; A could grow at a low double digit rate for the year. This increase would primarily be driven by increases related to direct and selling support expenses to support our new store growth and continued investments in technology systems and Marketing expenditures to further customer acquisition and retention efforts. Some of the systems investments include expanding our mobile offerings by adding additional web and in store customer applications and capabilities, adding additional OmniChannel functionalities such as pick up in store, same day delivery, and ship through store which we plan on testing in the second half of Fiscal 2015, enhancing our international direct-to-consumer experience through adding more languages and more local payment options"</t>
        </r>
      </text>
    </comment>
    <comment ref="CK34" authorId="9">
      <text>
        <r>
          <rPr>
            <b/>
            <sz val="9"/>
            <color indexed="81"/>
            <rFont val="Tahoma"/>
            <family val="2"/>
          </rPr>
          <t>Turley, Amber (Research):</t>
        </r>
        <r>
          <rPr>
            <sz val="9"/>
            <color indexed="81"/>
            <rFont val="Tahoma"/>
            <family val="2"/>
          </rPr>
          <t xml:space="preserve">
11/19/14: conf: likely around 10% this year</t>
        </r>
      </text>
    </comment>
    <comment ref="CN34" authorId="10">
      <text>
        <r>
          <rPr>
            <b/>
            <sz val="9"/>
            <color indexed="81"/>
            <rFont val="Tahoma"/>
            <family val="2"/>
          </rPr>
          <t>Baglione, Gregory  (Research):</t>
        </r>
        <r>
          <rPr>
            <sz val="9"/>
            <color indexed="81"/>
            <rFont val="Tahoma"/>
            <family val="2"/>
          </rPr>
          <t xml:space="preserve">
3/7/16
For the three months ended January 31, 2016, selling, general and administrative expenses, expressed as a percentage of net sales, increased by 65 basis points when compared to the prior year period.  For the year ended January 31, 2016, selling, general and administrative expenses, expressed as a percentage of net sales, increased 26 basis points when compared to the prior year period.  The increase in both periods is primarily due to an increase in marketing expense to support our customer acquisition and retention efforts and an increase in technology related expenses used to support our omni-channel initiatives.</t>
        </r>
      </text>
    </comment>
    <comment ref="CO34" authorId="9">
      <text>
        <r>
          <rPr>
            <sz val="9"/>
            <color indexed="81"/>
            <rFont val="Tahoma"/>
            <family val="2"/>
          </rPr>
          <t xml:space="preserve">8/17/15: Based on current plan, believe SG&amp;A could grow at a HSD rate for the year, driven by DTC invenstment relating to marketing and technology and selling support investments to support new store growth.
5/18/15: expect very high +HSD, just below +LDD (KG: could be cushion here) 
3/9/15: Guidance +LDD dollar growth
1/13/15 at ICR: not guiding 2015 SG&amp;A yet but each year growth rate has been sequentially lower and no catch up investments to make like other years other than one time DC incremental expense in 2Q. </t>
        </r>
      </text>
    </comment>
    <comment ref="CR34" authorId="10">
      <text>
        <r>
          <rPr>
            <b/>
            <sz val="9"/>
            <color indexed="81"/>
            <rFont val="Tahoma"/>
            <family val="2"/>
          </rPr>
          <t>3/7/17: deleverage primarily due to direct store expenses to support sqftge growth and expanded format stores and an increase in direct marketing expenses to support DTC growth
Baglione, Gregory  (Research):</t>
        </r>
        <r>
          <rPr>
            <sz val="9"/>
            <color indexed="81"/>
            <rFont val="Tahoma"/>
            <family val="2"/>
          </rPr>
          <t xml:space="preserve">
8/16/16
For the year, we believe SG&amp;A could grow at a high single-digit rate. We believe the growth will be driven by increased investments in marketing and technology expenses, hopefully helping to continue driving our double-digit, direct-to-consumer channel sales gains
</t>
        </r>
      </text>
    </comment>
    <comment ref="CS34" authorId="10">
      <text>
        <r>
          <rPr>
            <b/>
            <sz val="9"/>
            <color indexed="81"/>
            <rFont val="Tahoma"/>
            <family val="2"/>
          </rPr>
          <t>Baglione, Gregory  (Research):</t>
        </r>
        <r>
          <rPr>
            <sz val="9"/>
            <color indexed="81"/>
            <rFont val="Tahoma"/>
            <family val="2"/>
          </rPr>
          <t xml:space="preserve">
8/16/16
For the year, we believe SG&amp;A could grow at a high single digit rate. We believe the growth will be driven by increased investment in marketing
and technology expenses, hopefully helping to continue driving our double-digit direct-to-consumer channel sale gains. So our related expenses are also expected to increase in order to support our square-footage growth, which is planned at approximately 5% for FY17.
5/18/16
For the year, we believe SG&amp;A could grow at a high mid-single-digit rate with the third quarter potentially coming in higher than the annual rate due to some large incentive compensation reversals in the prior year.
3/7/16
Per conversation with mgmt. Model ~6-6.5% SG&amp;A growth for full year. 
</t>
        </r>
      </text>
    </comment>
    <comment ref="CW34" authorId="17">
      <text>
        <r>
          <rPr>
            <b/>
            <sz val="9"/>
            <color indexed="81"/>
            <rFont val="Tahoma"/>
            <family val="2"/>
          </rPr>
          <t xml:space="preserve">8/15/17: guidance ~flat 
6/8/17: </t>
        </r>
        <r>
          <rPr>
            <sz val="9"/>
            <color indexed="81"/>
            <rFont val="Tahoma"/>
            <family val="2"/>
          </rPr>
          <t>1-2% dollar growth</t>
        </r>
        <r>
          <rPr>
            <b/>
            <sz val="9"/>
            <color indexed="81"/>
            <rFont val="Tahoma"/>
            <family val="2"/>
          </rPr>
          <t xml:space="preserve">
5/16/17: </t>
        </r>
        <r>
          <rPr>
            <sz val="9"/>
            <color indexed="81"/>
            <rFont val="Tahoma"/>
            <family val="2"/>
          </rPr>
          <t>Guidance +1% dollar growth</t>
        </r>
        <r>
          <rPr>
            <b/>
            <sz val="9"/>
            <color indexed="81"/>
            <rFont val="Tahoma"/>
            <family val="2"/>
          </rPr>
          <t xml:space="preserve">
3/7/17: +5% dollar growth (primarily relates to marketing and direct consumer technology invests to sport our direct to consumer channel growth)
</t>
        </r>
        <r>
          <rPr>
            <sz val="9"/>
            <color indexed="81"/>
            <rFont val="Tahoma"/>
            <family val="2"/>
          </rPr>
          <t>Looking forward into fiscal year 2018 we believe we have the opportunity to reduce our expense structure, improving our payroll leverage at the expanded format stores for each of our brands</t>
        </r>
        <r>
          <rPr>
            <b/>
            <sz val="9"/>
            <color indexed="81"/>
            <rFont val="Tahoma"/>
            <family val="2"/>
          </rPr>
          <t xml:space="preserve">
Baglione, Gregory (Research):</t>
        </r>
        <r>
          <rPr>
            <sz val="9"/>
            <color indexed="81"/>
            <rFont val="Tahoma"/>
            <family val="2"/>
          </rPr>
          <t xml:space="preserve">
1/16/17
Company noted at CIR ~5% SG&amp;A growth target for 2017, implies LDD two-year growth. We try to keep 2-year trend close to that level on initial 2017 model roll out. </t>
        </r>
      </text>
    </comment>
    <comment ref="BT53" authorId="6">
      <text>
        <r>
          <rPr>
            <b/>
            <sz val="8"/>
            <color indexed="81"/>
            <rFont val="Tahoma"/>
            <family val="2"/>
          </rPr>
          <t>nicholjs:</t>
        </r>
        <r>
          <rPr>
            <sz val="8"/>
            <color indexed="81"/>
            <rFont val="Tahoma"/>
            <family val="2"/>
          </rPr>
          <t xml:space="preserve">
11/2010: expect similar sequential op margin expansion from 3Q to 4Q as LY</t>
        </r>
      </text>
    </comment>
    <comment ref="X60" authorId="0">
      <text>
        <r>
          <rPr>
            <b/>
            <sz val="8"/>
            <color indexed="81"/>
            <rFont val="Tahoma"/>
            <family val="2"/>
          </rPr>
          <t>dong2:</t>
        </r>
        <r>
          <rPr>
            <sz val="8"/>
            <color indexed="81"/>
            <rFont val="Tahoma"/>
            <family val="2"/>
          </rPr>
          <t xml:space="preserve">
from 4/30/99 10-Q: $1 mm charge includes a reserve for the co's portion of operating losses relating to its investment in MXG media. offsetting this charge is (lower) interest income due to decrease in interest income as a result of lower avg. cash balances and lower interest rates vs. LY</t>
        </r>
      </text>
    </comment>
    <comment ref="X61" authorId="0">
      <text>
        <r>
          <rPr>
            <b/>
            <sz val="8"/>
            <color indexed="81"/>
            <rFont val="Tahoma"/>
            <family val="2"/>
          </rPr>
          <t>dong2:</t>
        </r>
        <r>
          <rPr>
            <sz val="8"/>
            <color indexed="81"/>
            <rFont val="Tahoma"/>
            <family val="2"/>
          </rPr>
          <t xml:space="preserve">
from 7/99 10-K = includes a $2.5 mm charge for 2Q and $3.5 mm for 1H02 related to MXG.</t>
        </r>
      </text>
    </comment>
    <comment ref="X62" authorId="0">
      <text>
        <r>
          <rPr>
            <b/>
            <sz val="8"/>
            <color indexed="81"/>
            <rFont val="Tahoma"/>
            <family val="2"/>
          </rPr>
          <t>dong2:</t>
        </r>
        <r>
          <rPr>
            <sz val="8"/>
            <color indexed="81"/>
            <rFont val="Tahoma"/>
            <family val="2"/>
          </rPr>
          <t xml:space="preserve">
from 10/99 10-K: net charge of $853K in 3Q and $4.4 mm for first 9 mos of 99 related to MXG.
Net charge incl. gross charge of $2.9 mm related to required reserves for MSG's oper. losses, offset by a $2 mm recovery of advances. In 10/99, MXG rec'd addtnl equity investment of $26 mm from USA Networks, reducing URBN's proportionate ownership. On 11/1/99, full amt. of bridge financing of $7.6 mm was repaid with interest and recorded in other current assets at 10/31/99.</t>
        </r>
      </text>
    </comment>
    <comment ref="AB62" authorId="0">
      <text>
        <r>
          <rPr>
            <b/>
            <sz val="8"/>
            <color indexed="81"/>
            <rFont val="Tahoma"/>
            <family val="2"/>
          </rPr>
          <t>dong2:</t>
        </r>
        <r>
          <rPr>
            <sz val="8"/>
            <color indexed="81"/>
            <rFont val="Tahoma"/>
            <family val="2"/>
          </rPr>
          <t xml:space="preserve">
on 9/13/00, MXG filed Ch 7 bankruptcy. Co expects ultimate recovery in MXG to be diminimus, if any.</t>
        </r>
      </text>
    </comment>
    <comment ref="CE62" authorId="7">
      <text>
        <r>
          <rPr>
            <b/>
            <sz val="8"/>
            <color indexed="81"/>
            <rFont val="Tahoma"/>
            <family val="2"/>
          </rPr>
          <t>turleamb:</t>
        </r>
        <r>
          <rPr>
            <sz val="8"/>
            <color indexed="81"/>
            <rFont val="Tahoma"/>
            <family val="2"/>
          </rPr>
          <t xml:space="preserve">
assume an interest rate on cash of 0.3% annually</t>
        </r>
      </text>
    </comment>
    <comment ref="X64" authorId="0">
      <text>
        <r>
          <rPr>
            <b/>
            <sz val="8"/>
            <color indexed="81"/>
            <rFont val="Tahoma"/>
            <family val="2"/>
          </rPr>
          <t>dong2:</t>
        </r>
        <r>
          <rPr>
            <sz val="8"/>
            <color indexed="81"/>
            <rFont val="Tahoma"/>
            <family val="2"/>
          </rPr>
          <t xml:space="preserve">
incl. net charge of $4.35 mm or $0.24 per diluted share to recognize acctg reserve for co's portion of operating losses related to minority investment in MXG Media</t>
        </r>
      </text>
    </comment>
    <comment ref="AN64" authorId="18">
      <text>
        <r>
          <rPr>
            <b/>
            <sz val="10"/>
            <color indexed="81"/>
            <rFont val="Tahoma"/>
            <family val="2"/>
          </rPr>
          <t>kgreenbe:</t>
        </r>
        <r>
          <rPr>
            <sz val="10"/>
            <color indexed="81"/>
            <rFont val="Tahoma"/>
            <family val="2"/>
          </rPr>
          <t xml:space="preserve">
3/04 co earned approx $1.5mm in pure interest income in 2003</t>
        </r>
      </text>
    </comment>
    <comment ref="BO64" authorId="13">
      <text>
        <r>
          <rPr>
            <b/>
            <sz val="8"/>
            <color indexed="81"/>
            <rFont val="Tahoma"/>
            <family val="2"/>
          </rPr>
          <t>kg51925:</t>
        </r>
        <r>
          <rPr>
            <sz val="8"/>
            <color indexed="81"/>
            <rFont val="Tahoma"/>
            <family val="2"/>
          </rPr>
          <t xml:space="preserve">
3/09: john thinks $7mm in '09</t>
        </r>
      </text>
    </comment>
    <comment ref="BD80" authorId="13">
      <text>
        <r>
          <rPr>
            <b/>
            <sz val="8"/>
            <color indexed="81"/>
            <rFont val="Tahoma"/>
            <family val="2"/>
          </rPr>
          <t>kg51925:</t>
        </r>
        <r>
          <rPr>
            <sz val="8"/>
            <color indexed="81"/>
            <rFont val="Tahoma"/>
            <family val="2"/>
          </rPr>
          <t xml:space="preserve">
3.9.06 use 38.5% tax rate in 1Q-3Q06
then lower 4Q so that full year 2006 is 38.0%</t>
        </r>
      </text>
    </comment>
    <comment ref="BH80" authorId="25">
      <text>
        <r>
          <rPr>
            <b/>
            <sz val="8"/>
            <color indexed="81"/>
            <rFont val="Tahoma"/>
            <family val="2"/>
          </rPr>
          <t>MB33100:</t>
        </r>
        <r>
          <rPr>
            <sz val="8"/>
            <color indexed="81"/>
            <rFont val="Tahoma"/>
            <family val="2"/>
          </rPr>
          <t xml:space="preserve">
4/07: 36% tax rate ex. $2mm tax credit which lowers tax rate to 31.3%
11/9: per kyees, expect 36% next year
</t>
        </r>
      </text>
    </comment>
    <comment ref="CJ80" authorId="7">
      <text>
        <r>
          <rPr>
            <b/>
            <sz val="9"/>
            <color indexed="81"/>
            <rFont val="Tahoma"/>
            <family val="2"/>
          </rPr>
          <t>turleamb:</t>
        </r>
        <r>
          <rPr>
            <sz val="9"/>
            <color indexed="81"/>
            <rFont val="Tahoma"/>
            <family val="2"/>
          </rPr>
          <t xml:space="preserve">
5/19/14: increase was a true up in state taxes</t>
        </r>
      </text>
    </comment>
    <comment ref="CR80" authorId="10">
      <text>
        <r>
          <rPr>
            <b/>
            <sz val="9"/>
            <color indexed="81"/>
            <rFont val="Tahoma"/>
            <family val="2"/>
          </rPr>
          <t>Baglione, Gregory  (Research):</t>
        </r>
        <r>
          <rPr>
            <sz val="9"/>
            <color indexed="81"/>
            <rFont val="Tahoma"/>
            <family val="2"/>
          </rPr>
          <t xml:space="preserve">
3/7/16
37% tax rate guidance for FY, expected to be similar across periods</t>
        </r>
      </text>
    </comment>
    <comment ref="CV80" authorId="17">
      <text>
        <r>
          <rPr>
            <b/>
            <sz val="9"/>
            <color indexed="81"/>
            <rFont val="Tahoma"/>
            <family val="2"/>
          </rPr>
          <t xml:space="preserve">5/17/16: </t>
        </r>
        <r>
          <rPr>
            <sz val="9"/>
            <color indexed="81"/>
            <rFont val="Tahoma"/>
            <family val="2"/>
          </rPr>
          <t>increase in tax rate driven by ratio of foreign taxable losses to global taxable profits</t>
        </r>
        <r>
          <rPr>
            <b/>
            <sz val="9"/>
            <color indexed="81"/>
            <rFont val="Tahoma"/>
            <family val="2"/>
          </rPr>
          <t xml:space="preserve">
3/7/17: tax rate higher in 1H than 2H due to the ratio of certain foreign profits and losses to global taxable profits in the period (expect higher than LY - could be in the low 40's 43%)
Baglione, Gregory (Research):</t>
        </r>
        <r>
          <rPr>
            <sz val="9"/>
            <color indexed="81"/>
            <rFont val="Tahoma"/>
            <family val="2"/>
          </rPr>
          <t xml:space="preserve">
1/16/17
Model 37% effective tax rate for 1Q-4Q, in-line with initial guidance for 2016. Look to update post 4Q with given more q/q visibility.</t>
        </r>
      </text>
    </comment>
    <comment ref="BD81" authorId="13">
      <text>
        <r>
          <rPr>
            <b/>
            <sz val="8"/>
            <color indexed="81"/>
            <rFont val="Tahoma"/>
            <family val="2"/>
          </rPr>
          <t>kg51925:</t>
        </r>
        <r>
          <rPr>
            <sz val="8"/>
            <color indexed="81"/>
            <rFont val="Tahoma"/>
            <family val="2"/>
          </rPr>
          <t xml:space="preserve">
2Q call: 37.5-38% for balance of 2006
3.9.06 use 38.5% tax rate in 1Q-3Q06
then lower 4Q so that full year 2006 is 38.0%</t>
        </r>
      </text>
    </comment>
    <comment ref="BH81" authorId="25">
      <text>
        <r>
          <rPr>
            <b/>
            <sz val="8"/>
            <color indexed="81"/>
            <rFont val="Tahoma"/>
            <family val="2"/>
          </rPr>
          <t>MB33100:</t>
        </r>
        <r>
          <rPr>
            <sz val="8"/>
            <color indexed="81"/>
            <rFont val="Tahoma"/>
            <family val="2"/>
          </rPr>
          <t xml:space="preserve">
11/9: per kyees, expect 36% next year</t>
        </r>
      </text>
    </comment>
    <comment ref="BP81" authorId="21">
      <text>
        <r>
          <rPr>
            <b/>
            <sz val="8"/>
            <color indexed="81"/>
            <rFont val="Tahoma"/>
            <family val="2"/>
          </rPr>
          <t>oc48540:</t>
        </r>
        <r>
          <rPr>
            <sz val="8"/>
            <color indexed="81"/>
            <rFont val="Tahoma"/>
            <family val="2"/>
          </rPr>
          <t xml:space="preserve">
biggest culprit is NYC</t>
        </r>
      </text>
    </comment>
    <comment ref="BT81" authorId="4">
      <text>
        <r>
          <rPr>
            <b/>
            <sz val="8"/>
            <color indexed="81"/>
            <rFont val="Tahoma"/>
            <family val="2"/>
          </rPr>
          <t>lr73192:</t>
        </r>
        <r>
          <rPr>
            <sz val="8"/>
            <color indexed="81"/>
            <rFont val="Tahoma"/>
            <family val="2"/>
          </rPr>
          <t xml:space="preserve">
5/13/2010: The Company's annual effective tax rate was 35.9% versus 36.1% for the prior comparable period. The company expects further improvement in the annual effective tax rate for the remainder of the current fiscal year.</t>
        </r>
      </text>
    </comment>
    <comment ref="CJ81" authorId="7">
      <text>
        <r>
          <rPr>
            <b/>
            <sz val="9"/>
            <color indexed="81"/>
            <rFont val="Tahoma"/>
            <family val="2"/>
          </rPr>
          <t>turleamb:</t>
        </r>
        <r>
          <rPr>
            <sz val="9"/>
            <color indexed="81"/>
            <rFont val="Tahoma"/>
            <family val="2"/>
          </rPr>
          <t xml:space="preserve">
5/19/14: Likely receive federal building rehabilitation credit from HQ expansion</t>
        </r>
      </text>
    </comment>
    <comment ref="CR81" authorId="10">
      <text>
        <r>
          <rPr>
            <b/>
            <sz val="9"/>
            <color indexed="81"/>
            <rFont val="Tahoma"/>
            <family val="2"/>
          </rPr>
          <t>Baglione, Gregory  (Research):</t>
        </r>
        <r>
          <rPr>
            <sz val="9"/>
            <color indexed="81"/>
            <rFont val="Tahoma"/>
            <family val="2"/>
          </rPr>
          <t xml:space="preserve">
3/7/16
37% tax rate guidance for FY, expected to be similar across periods</t>
        </r>
      </text>
    </comment>
    <comment ref="CV81" authorId="12">
      <text>
        <r>
          <rPr>
            <b/>
            <sz val="9"/>
            <color indexed="81"/>
            <rFont val="Tahoma"/>
            <family val="2"/>
          </rPr>
          <t>Cassel, Lauren (Research):</t>
        </r>
        <r>
          <rPr>
            <sz val="9"/>
            <color indexed="81"/>
            <rFont val="Tahoma"/>
            <family val="2"/>
          </rPr>
          <t xml:space="preserve">
8/15/17: The increase in the first half effective tax rate was due to the ratio of foreign taxable losses to global taxable profits in the first half and the prospective adoption of the new accounting standard related to share-based compensation.</t>
        </r>
      </text>
    </comment>
    <comment ref="BD82" authorId="13">
      <text>
        <r>
          <rPr>
            <b/>
            <sz val="8"/>
            <color indexed="81"/>
            <rFont val="Tahoma"/>
            <family val="2"/>
          </rPr>
          <t>kg51925:</t>
        </r>
        <r>
          <rPr>
            <sz val="8"/>
            <color indexed="81"/>
            <rFont val="Tahoma"/>
            <family val="2"/>
          </rPr>
          <t xml:space="preserve">
2Q call: 37.5-38% for balance of 2006
3.9.06 use 38.5% tax rate in 1Q-3Q06
then lower 4Q so that full year 2006 is 38.0%</t>
        </r>
      </text>
    </comment>
    <comment ref="BH82" authorId="25">
      <text>
        <r>
          <rPr>
            <b/>
            <sz val="8"/>
            <color indexed="81"/>
            <rFont val="Tahoma"/>
            <family val="2"/>
          </rPr>
          <t>MB33100:</t>
        </r>
        <r>
          <rPr>
            <sz val="8"/>
            <color indexed="81"/>
            <rFont val="Tahoma"/>
            <family val="2"/>
          </rPr>
          <t xml:space="preserve">
11/9: per kyees, expect 36% next year</t>
        </r>
      </text>
    </comment>
    <comment ref="BL82" authorId="13">
      <text>
        <r>
          <rPr>
            <b/>
            <sz val="8"/>
            <color indexed="81"/>
            <rFont val="Tahoma"/>
            <family val="2"/>
          </rPr>
          <t>kg51925:</t>
        </r>
        <r>
          <rPr>
            <sz val="8"/>
            <color indexed="81"/>
            <rFont val="Tahoma"/>
            <family val="2"/>
          </rPr>
          <t xml:space="preserve">
35.5% tax rate per John 10/1/08</t>
        </r>
      </text>
    </comment>
    <comment ref="BP82" authorId="21">
      <text>
        <r>
          <rPr>
            <b/>
            <sz val="8"/>
            <color indexed="81"/>
            <rFont val="Tahoma"/>
            <family val="2"/>
          </rPr>
          <t>oc48540:</t>
        </r>
        <r>
          <rPr>
            <sz val="8"/>
            <color indexed="81"/>
            <rFont val="Tahoma"/>
            <family val="2"/>
          </rPr>
          <t xml:space="preserve">
8/13: Guiding to YTD tax rate</t>
        </r>
      </text>
    </comment>
    <comment ref="BT82" authorId="6">
      <text>
        <r>
          <rPr>
            <b/>
            <sz val="8"/>
            <color indexed="81"/>
            <rFont val="Tahoma"/>
            <family val="2"/>
          </rPr>
          <t>nicholjs:</t>
        </r>
        <r>
          <rPr>
            <sz val="8"/>
            <color indexed="81"/>
            <rFont val="Tahoma"/>
            <family val="2"/>
          </rPr>
          <t xml:space="preserve">
use 35%</t>
        </r>
      </text>
    </comment>
    <comment ref="BX82" authorId="6">
      <text>
        <r>
          <rPr>
            <b/>
            <sz val="8"/>
            <color indexed="81"/>
            <rFont val="Tahoma"/>
            <family val="2"/>
          </rPr>
          <t>nicholjs:</t>
        </r>
        <r>
          <rPr>
            <sz val="8"/>
            <color indexed="81"/>
            <rFont val="Tahoma"/>
            <family val="2"/>
          </rPr>
          <t xml:space="preserve">
9/6/2011: tax rate could come up a bit b/c certain tax treatments do not change even on lower sales base</t>
        </r>
      </text>
    </comment>
    <comment ref="CF82" authorId="7">
      <text>
        <r>
          <rPr>
            <b/>
            <sz val="8"/>
            <color indexed="81"/>
            <rFont val="Tahoma"/>
            <family val="2"/>
          </rPr>
          <t>turleamb:</t>
        </r>
        <r>
          <rPr>
            <sz val="8"/>
            <color indexed="81"/>
            <rFont val="Tahoma"/>
            <family val="2"/>
          </rPr>
          <t xml:space="preserve">
8/19: per 2Q earnings call, plan 36.5%</t>
        </r>
      </text>
    </comment>
    <comment ref="CJ82" authorId="9">
      <text>
        <r>
          <rPr>
            <b/>
            <sz val="9"/>
            <color indexed="81"/>
            <rFont val="Tahoma"/>
            <family val="2"/>
          </rPr>
          <t>Turley, Amber (Research):</t>
        </r>
        <r>
          <rPr>
            <sz val="9"/>
            <color indexed="81"/>
            <rFont val="Tahoma"/>
            <family val="2"/>
          </rPr>
          <t xml:space="preserve">
8/17/14: likely get the tax rehab credit (from Navy Yards HQ) in 3Q; likely ~34%</t>
        </r>
      </text>
    </comment>
    <comment ref="CR82" authorId="10">
      <text>
        <r>
          <rPr>
            <b/>
            <sz val="9"/>
            <color indexed="81"/>
            <rFont val="Tahoma"/>
            <family val="2"/>
          </rPr>
          <t>Baglione, Gregory  (Research):</t>
        </r>
        <r>
          <rPr>
            <sz val="9"/>
            <color indexed="81"/>
            <rFont val="Tahoma"/>
            <family val="2"/>
          </rPr>
          <t xml:space="preserve">
11/22/16
The Company's effective tax rate for the third quarter of fiscal 2017 was 33.5% compared to 35.3% in the prior year period.  The decrease in the third quarter tax rate was due to the ratio of foreign taxable losses to global taxable profits for the year
8/16/16
Guidance implies 3Q will be above FY target of 37%
3/7/16
37% tax rate guidance for FY, expected to be similar across periods</t>
        </r>
      </text>
    </comment>
    <comment ref="CV82" authorId="12">
      <text>
        <r>
          <rPr>
            <b/>
            <sz val="9"/>
            <color indexed="81"/>
            <rFont val="Tahoma"/>
            <family val="2"/>
          </rPr>
          <t>Cassel, Lauren (Research):</t>
        </r>
        <r>
          <rPr>
            <sz val="9"/>
            <color indexed="81"/>
            <rFont val="Tahoma"/>
            <family val="2"/>
          </rPr>
          <t xml:space="preserve">
A little bit below 1H's ~40% </t>
        </r>
      </text>
    </comment>
    <comment ref="AU83" authorId="3">
      <text>
        <r>
          <rPr>
            <b/>
            <sz val="8"/>
            <color indexed="81"/>
            <rFont val="Tahoma"/>
            <family val="2"/>
          </rPr>
          <t>Corinna Freedman:</t>
        </r>
        <r>
          <rPr>
            <sz val="8"/>
            <color indexed="81"/>
            <rFont val="Tahoma"/>
            <family val="2"/>
          </rPr>
          <t xml:space="preserve">
prior to restatement = 19.615</t>
        </r>
      </text>
    </comment>
    <comment ref="BD83" authorId="13">
      <text>
        <r>
          <rPr>
            <b/>
            <sz val="8"/>
            <color indexed="81"/>
            <rFont val="Tahoma"/>
            <family val="2"/>
          </rPr>
          <t>kg51925:</t>
        </r>
        <r>
          <rPr>
            <sz val="8"/>
            <color indexed="81"/>
            <rFont val="Tahoma"/>
            <family val="2"/>
          </rPr>
          <t xml:space="preserve">
2Q call: 37.5-38% for balance of 2006
3.9.06 use 38.5% tax rate in 1Q-3Q06
then lower 4Q so that full year 2006 is 38.0%</t>
        </r>
      </text>
    </comment>
    <comment ref="BH83" authorId="25">
      <text>
        <r>
          <rPr>
            <b/>
            <sz val="8"/>
            <color indexed="81"/>
            <rFont val="Tahoma"/>
            <family val="2"/>
          </rPr>
          <t>MB33100:</t>
        </r>
        <r>
          <rPr>
            <sz val="8"/>
            <color indexed="81"/>
            <rFont val="Tahoma"/>
            <family val="2"/>
          </rPr>
          <t xml:space="preserve">
11/9: per kyees, expect 36% next year</t>
        </r>
      </text>
    </comment>
    <comment ref="BT83" authorId="6">
      <text>
        <r>
          <rPr>
            <b/>
            <sz val="8"/>
            <color indexed="81"/>
            <rFont val="Tahoma"/>
            <family val="2"/>
          </rPr>
          <t>nicholjs:</t>
        </r>
        <r>
          <rPr>
            <sz val="8"/>
            <color indexed="81"/>
            <rFont val="Tahoma"/>
            <family val="2"/>
          </rPr>
          <t xml:space="preserve">
</t>
        </r>
        <r>
          <rPr>
            <sz val="8"/>
            <color indexed="81"/>
            <rFont val="Tahoma"/>
            <family val="2"/>
          </rPr>
          <t>increase was due to change in final composition of domestic/international earnings, as well as unfavorable revisions to state tax estimates resulting from tax filings during the qtr</t>
        </r>
        <r>
          <rPr>
            <sz val="8"/>
            <color indexed="81"/>
            <rFont val="Tahoma"/>
            <family val="2"/>
          </rPr>
          <t xml:space="preserve">
11/2010: expect 34%</t>
        </r>
      </text>
    </comment>
    <comment ref="BX83" authorId="6">
      <text>
        <r>
          <rPr>
            <b/>
            <sz val="8"/>
            <color indexed="81"/>
            <rFont val="Tahoma"/>
            <family val="2"/>
          </rPr>
          <t xml:space="preserve">11/14: </t>
        </r>
        <r>
          <rPr>
            <sz val="8"/>
            <color indexed="81"/>
            <rFont val="Tahoma"/>
            <family val="2"/>
          </rPr>
          <t>annual effective tax 36%, resulting in estimated 4Q 38%.</t>
        </r>
        <r>
          <rPr>
            <b/>
            <sz val="8"/>
            <color indexed="81"/>
            <rFont val="Tahoma"/>
            <family val="2"/>
          </rPr>
          <t xml:space="preserve">
nicholjs:</t>
        </r>
        <r>
          <rPr>
            <sz val="8"/>
            <color indexed="81"/>
            <rFont val="Tahoma"/>
            <family val="2"/>
          </rPr>
          <t xml:space="preserve">
9/6/2011: tax rate could come up a bit b/c certain tax treatments do not change even on lower sales base</t>
        </r>
      </text>
    </comment>
    <comment ref="CF83" authorId="7">
      <text>
        <r>
          <rPr>
            <b/>
            <sz val="8"/>
            <color indexed="81"/>
            <rFont val="Tahoma"/>
            <family val="2"/>
          </rPr>
          <t>turleamb:</t>
        </r>
        <r>
          <rPr>
            <sz val="8"/>
            <color indexed="81"/>
            <rFont val="Tahoma"/>
            <family val="2"/>
          </rPr>
          <t xml:space="preserve">
3/10/14: Lower tax primarily due to federal rehabilitation credit received related to expansion of the company's HQ and the release of intl valuation allowances</t>
        </r>
      </text>
    </comment>
    <comment ref="CJ83" authorId="9">
      <text>
        <r>
          <rPr>
            <b/>
            <sz val="9"/>
            <color indexed="81"/>
            <rFont val="Tahoma"/>
            <family val="2"/>
          </rPr>
          <t>Turley, Amber (Research):</t>
        </r>
        <r>
          <rPr>
            <sz val="9"/>
            <color indexed="81"/>
            <rFont val="Tahoma"/>
            <family val="2"/>
          </rPr>
          <t xml:space="preserve">
3/9/15: Lower tax rate due to favorable one time benefit pertaining to federal rehabilitation credit received related to expansion of the HQ abnd release of foreign valuation allowances. 
2/9/15: model ~36%
11/17/14: model 36.5%</t>
        </r>
      </text>
    </comment>
    <comment ref="CN83" authorId="10">
      <text>
        <r>
          <rPr>
            <b/>
            <sz val="9"/>
            <color indexed="81"/>
            <rFont val="Tahoma"/>
            <family val="2"/>
          </rPr>
          <t>Baglione, Gregory  (Research):</t>
        </r>
        <r>
          <rPr>
            <sz val="9"/>
            <color indexed="81"/>
            <rFont val="Tahoma"/>
            <family val="2"/>
          </rPr>
          <t xml:space="preserve">
Change to 37%</t>
        </r>
      </text>
    </comment>
    <comment ref="CR83" authorId="10">
      <text>
        <r>
          <rPr>
            <b/>
            <sz val="9"/>
            <color indexed="81"/>
            <rFont val="Tahoma"/>
            <family val="2"/>
          </rPr>
          <t>3/7/17: decrease due to a change in the ratio of certain foreign profits to global taxable profits 
Baglione, Gregory  (Research):</t>
        </r>
        <r>
          <rPr>
            <sz val="9"/>
            <color indexed="81"/>
            <rFont val="Tahoma"/>
            <family val="2"/>
          </rPr>
          <t xml:space="preserve">
11/22/16
We are still planning our Fiscal Year 2017 annual effective tax rate to be 36% for the year and believe our Fourth Quarter tax rate will be lower than our annual planned rate.
8/16/16
Believe 4Q will be lower than FY 37% Rate
3/7/16
37% tax rate guidance for FY, expected to be similar across periods
Expect lower 4Q tax rate
</t>
        </r>
      </text>
    </comment>
    <comment ref="CV83" authorId="12">
      <text>
        <r>
          <rPr>
            <b/>
            <sz val="9"/>
            <color indexed="81"/>
            <rFont val="Tahoma"/>
            <family val="2"/>
          </rPr>
          <t>Cassel, Lauren (Research):</t>
        </r>
        <r>
          <rPr>
            <sz val="9"/>
            <color indexed="81"/>
            <rFont val="Tahoma"/>
            <family val="2"/>
          </rPr>
          <t xml:space="preserve">
2/8/18: per Oona 32-33%
1/8/18: assumes 200 bps benefit from tax reform
11/20/17: Guidance 32.3%
8/15/17: lowest rate of the year; low 30s</t>
        </r>
      </text>
    </comment>
    <comment ref="BD84" authorId="13">
      <text>
        <r>
          <rPr>
            <b/>
            <sz val="8"/>
            <color indexed="81"/>
            <rFont val="Tahoma"/>
            <family val="2"/>
          </rPr>
          <t>kg51925:</t>
        </r>
        <r>
          <rPr>
            <sz val="8"/>
            <color indexed="81"/>
            <rFont val="Tahoma"/>
            <family val="2"/>
          </rPr>
          <t xml:space="preserve">
3.9.06 use 38.5% tax rate in 1Q-3Q06
then lower 4Q so that full year 2006 is 38.0%</t>
        </r>
      </text>
    </comment>
    <comment ref="BL84" authorId="16">
      <text>
        <r>
          <rPr>
            <b/>
            <sz val="8"/>
            <color indexed="81"/>
            <rFont val="Tahoma"/>
            <family val="2"/>
          </rPr>
          <t>mm98285:</t>
        </r>
        <r>
          <rPr>
            <sz val="8"/>
            <color indexed="81"/>
            <rFont val="Tahoma"/>
            <family val="2"/>
          </rPr>
          <t xml:space="preserve">
10K: expect to settle at 36.5% in 2008
3/08: expect 36-36.5%</t>
        </r>
      </text>
    </comment>
    <comment ref="BP84" authorId="16">
      <text>
        <r>
          <rPr>
            <b/>
            <sz val="8"/>
            <color indexed="81"/>
            <rFont val="Tahoma"/>
            <family val="2"/>
          </rPr>
          <t>mm98285:</t>
        </r>
        <r>
          <rPr>
            <sz val="8"/>
            <color indexed="81"/>
            <rFont val="Tahoma"/>
            <family val="2"/>
          </rPr>
          <t xml:space="preserve">
3/10: increase primarily attributable to lower proportion of tax-interest income due to a strategic shift to a mix of lower-risk securities versus the prior year's holdings.
3/09: expect ~35.5%</t>
        </r>
      </text>
    </comment>
    <comment ref="BT84" authorId="6">
      <text>
        <r>
          <rPr>
            <b/>
            <sz val="8"/>
            <color indexed="81"/>
            <rFont val="Tahoma"/>
            <family val="2"/>
          </rPr>
          <t>nicholjs:</t>
        </r>
        <r>
          <rPr>
            <sz val="8"/>
            <color indexed="81"/>
            <rFont val="Tahoma"/>
            <family val="2"/>
          </rPr>
          <t xml:space="preserve">
decrease was due to favorable mix of earnings in foreign jurisdictions and current year federal rehab credit 
11/2010: expects 34% for the full year</t>
        </r>
      </text>
    </comment>
    <comment ref="BX84" authorId="6">
      <text>
        <r>
          <rPr>
            <b/>
            <sz val="8"/>
            <color indexed="81"/>
            <rFont val="Tahoma"/>
            <family val="2"/>
          </rPr>
          <t xml:space="preserve">11/14: </t>
        </r>
        <r>
          <rPr>
            <sz val="8"/>
            <color indexed="81"/>
            <rFont val="Tahoma"/>
            <family val="2"/>
          </rPr>
          <t>annual effective tax 36%.</t>
        </r>
        <r>
          <rPr>
            <b/>
            <sz val="8"/>
            <color indexed="81"/>
            <rFont val="Tahoma"/>
            <family val="2"/>
          </rPr>
          <t xml:space="preserve">
nicholjs:</t>
        </r>
        <r>
          <rPr>
            <sz val="8"/>
            <color indexed="81"/>
            <rFont val="Tahoma"/>
            <family val="2"/>
          </rPr>
          <t xml:space="preserve">
9/7/2011 (10-Q): expect 36.5%
3/2011: expect 36.5%
11/2010: use 35%</t>
        </r>
      </text>
    </comment>
    <comment ref="CB84" authorId="20">
      <text>
        <r>
          <rPr>
            <sz val="8"/>
            <color indexed="81"/>
            <rFont val="Tahoma"/>
            <family val="2"/>
          </rPr>
          <t>3/11/13: the increase was partially due to certain nonrecurring state and foreign tax adjustments
11/20: 36%
8/20/12: reit. 36.5%</t>
        </r>
        <r>
          <rPr>
            <b/>
            <sz val="8"/>
            <color indexed="81"/>
            <rFont val="Tahoma"/>
            <family val="2"/>
          </rPr>
          <t xml:space="preserve">
lauraro:</t>
        </r>
        <r>
          <rPr>
            <sz val="8"/>
            <color indexed="81"/>
            <rFont val="Tahoma"/>
            <family val="2"/>
          </rPr>
          <t xml:space="preserve">
5/21/12: 36.5%</t>
        </r>
      </text>
    </comment>
    <comment ref="CF84" authorId="15">
      <text>
        <r>
          <rPr>
            <b/>
            <sz val="8"/>
            <color indexed="81"/>
            <rFont val="Tahoma"/>
            <family val="2"/>
          </rPr>
          <t>casselau:</t>
        </r>
        <r>
          <rPr>
            <sz val="8"/>
            <color indexed="81"/>
            <rFont val="Tahoma"/>
            <family val="2"/>
          </rPr>
          <t xml:space="preserve">
11/18/13: fiscal year 2014 annual effective tax rate is planned to be approximately 35.5%
3/11/13: guidance 36.5%</t>
        </r>
      </text>
    </comment>
    <comment ref="CJ84" authorId="7">
      <text>
        <r>
          <rPr>
            <b/>
            <sz val="8"/>
            <color indexed="81"/>
            <rFont val="Tahoma"/>
            <family val="2"/>
          </rPr>
          <t>turleamb:</t>
        </r>
        <r>
          <rPr>
            <sz val="8"/>
            <color indexed="81"/>
            <rFont val="Tahoma"/>
            <family val="2"/>
          </rPr>
          <t xml:space="preserve">
8/18/14: 35% taxes FY
5/19/14: Guidance ~35%. Includes favorable nonrecurring federal building rehab credit related to HQ expansion which could be received in 2Q
3/10/14: Guided ~35%
"This planned 2015 effective rate includes a planned favorable rate adjustment for federal rehabilitation credit related to our home office expansion." However that benefit will come as a chunk likely in 2Q or 3Q and be a large tax benefit</t>
        </r>
      </text>
    </comment>
    <comment ref="CN84" authorId="9">
      <text>
        <r>
          <rPr>
            <b/>
            <sz val="9"/>
            <color indexed="81"/>
            <rFont val="Tahoma"/>
            <family val="2"/>
          </rPr>
          <t xml:space="preserve">11/16/15: Guidance ~36%
8/17/15: </t>
        </r>
        <r>
          <rPr>
            <sz val="9"/>
            <color indexed="81"/>
            <rFont val="Tahoma"/>
            <family val="2"/>
          </rPr>
          <t>Guidance: ~36%</t>
        </r>
        <r>
          <rPr>
            <b/>
            <sz val="9"/>
            <color indexed="81"/>
            <rFont val="Tahoma"/>
            <family val="2"/>
          </rPr>
          <t xml:space="preserve">
</t>
        </r>
        <r>
          <rPr>
            <sz val="9"/>
            <color indexed="81"/>
            <rFont val="Tahoma"/>
            <family val="2"/>
          </rPr>
          <t xml:space="preserve">5/18/15: tax rate 36.25%
3/9/15: Guidance 36.5%
</t>
        </r>
      </text>
    </comment>
    <comment ref="CR84" authorId="10">
      <text>
        <r>
          <rPr>
            <b/>
            <sz val="9"/>
            <color indexed="81"/>
            <rFont val="Tahoma"/>
            <family val="2"/>
          </rPr>
          <t>Baglione, Gregory  (Research):</t>
        </r>
        <r>
          <rPr>
            <sz val="9"/>
            <color indexed="81"/>
            <rFont val="Tahoma"/>
            <family val="2"/>
          </rPr>
          <t xml:space="preserve">
8/16/16
Guidance for 37% effective tax rate 
5/18/16
Still expect 37% tax rate</t>
        </r>
      </text>
    </comment>
    <comment ref="CV84" authorId="12">
      <text>
        <r>
          <rPr>
            <b/>
            <sz val="9"/>
            <color indexed="81"/>
            <rFont val="Tahoma"/>
            <family val="2"/>
          </rPr>
          <t>Cassel, Lauren (Research):</t>
        </r>
        <r>
          <rPr>
            <sz val="9"/>
            <color indexed="81"/>
            <rFont val="Tahoma"/>
            <family val="2"/>
          </rPr>
          <t xml:space="preserve">
5/16/17: Guidance 36.5%
3/7/17: ~37% guidance (due to new stock comp rules)</t>
        </r>
      </text>
    </comment>
    <comment ref="AJ100" authorId="1">
      <text>
        <r>
          <rPr>
            <b/>
            <sz val="8"/>
            <color indexed="81"/>
            <rFont val="Tahoma"/>
            <family val="2"/>
          </rPr>
          <t>Lehman Brothers:</t>
        </r>
        <r>
          <rPr>
            <sz val="8"/>
            <color indexed="81"/>
            <rFont val="Tahoma"/>
            <family val="2"/>
          </rPr>
          <t xml:space="preserve">
had $0.14</t>
        </r>
      </text>
    </comment>
    <comment ref="AN100" authorId="2">
      <text>
        <r>
          <rPr>
            <b/>
            <sz val="8"/>
            <color indexed="81"/>
            <rFont val="Tahoma"/>
            <family val="2"/>
          </rPr>
          <t>dliu:</t>
        </r>
        <r>
          <rPr>
            <sz val="8"/>
            <color indexed="81"/>
            <rFont val="Tahoma"/>
            <family val="2"/>
          </rPr>
          <t xml:space="preserve">
0.27</t>
        </r>
      </text>
    </comment>
    <comment ref="AU100" authorId="2">
      <text>
        <r>
          <rPr>
            <b/>
            <sz val="8"/>
            <color indexed="81"/>
            <rFont val="Tahoma"/>
            <family val="2"/>
          </rPr>
          <t>dliu:</t>
        </r>
        <r>
          <rPr>
            <sz val="8"/>
            <color indexed="81"/>
            <rFont val="Tahoma"/>
            <family val="2"/>
          </rPr>
          <t xml:space="preserve">
0.23, 0.34</t>
        </r>
      </text>
    </comment>
    <comment ref="BO100" authorId="13">
      <text>
        <r>
          <rPr>
            <b/>
            <sz val="8"/>
            <color indexed="81"/>
            <rFont val="Tahoma"/>
            <family val="2"/>
          </rPr>
          <t>kg51925:</t>
        </r>
        <r>
          <rPr>
            <sz val="8"/>
            <color indexed="81"/>
            <rFont val="Tahoma"/>
            <family val="2"/>
          </rPr>
          <t xml:space="preserve">
4/27/09: 17-18c sounds doable to me</t>
        </r>
      </text>
    </comment>
    <comment ref="BW100" authorId="5">
      <text>
        <r>
          <rPr>
            <b/>
            <sz val="8"/>
            <color indexed="81"/>
            <rFont val="Tahoma"/>
            <family val="2"/>
          </rPr>
          <t>kimberlg:</t>
        </r>
        <r>
          <rPr>
            <sz val="8"/>
            <color indexed="81"/>
            <rFont val="Tahoma"/>
            <family val="2"/>
          </rPr>
          <t xml:space="preserve">
4/27: 22c OK.  Likely 21c including $2.7mm Leifsdottir charge.
up against big increases from LY</t>
        </r>
      </text>
    </comment>
    <comment ref="CU100" authorId="11">
      <text>
        <r>
          <rPr>
            <b/>
            <sz val="9"/>
            <color indexed="81"/>
            <rFont val="Tahoma"/>
            <family val="2"/>
          </rPr>
          <t>Roberts, Cynthia (Research):</t>
        </r>
        <r>
          <rPr>
            <sz val="9"/>
            <color indexed="81"/>
            <rFont val="Tahoma"/>
            <family val="2"/>
          </rPr>
          <t xml:space="preserve">
4/3/17: per 10-k URBN comps QTD -MSD;
previous 15c</t>
        </r>
      </text>
    </comment>
    <comment ref="BC101" authorId="13">
      <text>
        <r>
          <rPr>
            <b/>
            <sz val="8"/>
            <color indexed="81"/>
            <rFont val="Tahoma"/>
            <family val="2"/>
          </rPr>
          <t>kg51925:</t>
        </r>
        <r>
          <rPr>
            <sz val="8"/>
            <color indexed="81"/>
            <rFont val="Tahoma"/>
            <family val="2"/>
          </rPr>
          <t xml:space="preserve">
hope for 19-21c range for 2Q06</t>
        </r>
      </text>
    </comment>
    <comment ref="BW101" authorId="5">
      <text>
        <r>
          <rPr>
            <b/>
            <sz val="8"/>
            <color indexed="81"/>
            <rFont val="Tahoma"/>
            <family val="2"/>
          </rPr>
          <t>kimberlg:</t>
        </r>
        <r>
          <rPr>
            <sz val="8"/>
            <color indexed="81"/>
            <rFont val="Tahoma"/>
            <family val="2"/>
          </rPr>
          <t xml:space="preserve">
up against great LY numbers, 40c low, but 44-45c not doable</t>
        </r>
      </text>
    </comment>
    <comment ref="CU101" authorId="11">
      <text>
        <r>
          <rPr>
            <b/>
            <sz val="9"/>
            <color indexed="81"/>
            <rFont val="Tahoma"/>
            <family val="2"/>
          </rPr>
          <t>Roberts, Cynthia (Research):</t>
        </r>
        <r>
          <rPr>
            <sz val="9"/>
            <color indexed="81"/>
            <rFont val="Tahoma"/>
            <family val="2"/>
          </rPr>
          <t xml:space="preserve">
6/18/17: QTD comps -HSD per 10-Q; prior 42c </t>
        </r>
      </text>
    </comment>
    <comment ref="AJ102" authorId="1">
      <text>
        <r>
          <rPr>
            <b/>
            <sz val="8"/>
            <color indexed="81"/>
            <rFont val="Tahoma"/>
            <family val="2"/>
          </rPr>
          <t>Lehman Brothers:</t>
        </r>
        <r>
          <rPr>
            <sz val="8"/>
            <color indexed="81"/>
            <rFont val="Tahoma"/>
            <family val="2"/>
          </rPr>
          <t xml:space="preserve">
0.37</t>
        </r>
      </text>
    </comment>
    <comment ref="BW102" authorId="5">
      <text>
        <r>
          <rPr>
            <b/>
            <sz val="8"/>
            <color indexed="81"/>
            <rFont val="Tahoma"/>
            <family val="2"/>
          </rPr>
          <t>kimberlg:</t>
        </r>
        <r>
          <rPr>
            <sz val="8"/>
            <color indexed="81"/>
            <rFont val="Tahoma"/>
            <family val="2"/>
          </rPr>
          <t xml:space="preserve">
32c 
more oppty here b/c systems should help reduce markdowns</t>
        </r>
      </text>
    </comment>
    <comment ref="AJ103" authorId="1">
      <text>
        <r>
          <rPr>
            <b/>
            <sz val="8"/>
            <color indexed="81"/>
            <rFont val="Tahoma"/>
            <family val="2"/>
          </rPr>
          <t>Lehman Brothers:</t>
        </r>
        <r>
          <rPr>
            <sz val="8"/>
            <color indexed="81"/>
            <rFont val="Tahoma"/>
            <family val="2"/>
          </rPr>
          <t xml:space="preserve">
0.38</t>
        </r>
      </text>
    </comment>
    <comment ref="AN103" authorId="2">
      <text>
        <r>
          <rPr>
            <b/>
            <sz val="8"/>
            <color indexed="81"/>
            <rFont val="Tahoma"/>
            <family val="2"/>
          </rPr>
          <t>dliu:</t>
        </r>
        <r>
          <rPr>
            <sz val="8"/>
            <color indexed="81"/>
            <rFont val="Tahoma"/>
            <family val="2"/>
          </rPr>
          <t xml:space="preserve">
0.35, 0.37</t>
        </r>
      </text>
    </comment>
    <comment ref="BW103" authorId="5">
      <text>
        <r>
          <rPr>
            <b/>
            <sz val="8"/>
            <color indexed="81"/>
            <rFont val="Tahoma"/>
            <family val="2"/>
          </rPr>
          <t>kimberlg:</t>
        </r>
        <r>
          <rPr>
            <sz val="8"/>
            <color indexed="81"/>
            <rFont val="Tahoma"/>
            <family val="2"/>
          </rPr>
          <t xml:space="preserve">
more oppty here b/c systems should help reduce markdowns</t>
        </r>
      </text>
    </comment>
    <comment ref="CM103" authorId="10">
      <text>
        <r>
          <rPr>
            <b/>
            <sz val="9"/>
            <color indexed="81"/>
            <rFont val="Tahoma"/>
            <family val="2"/>
          </rPr>
          <t>Baglione, Gregory  (Research):</t>
        </r>
        <r>
          <rPr>
            <sz val="9"/>
            <color indexed="81"/>
            <rFont val="Tahoma"/>
            <family val="2"/>
          </rPr>
          <t xml:space="preserve">
2/8/16
Updating EPS to 57c from 55c</t>
        </r>
      </text>
    </comment>
    <comment ref="CQ103" authorId="12">
      <text>
        <r>
          <rPr>
            <b/>
            <sz val="9"/>
            <color indexed="81"/>
            <rFont val="Tahoma"/>
            <family val="2"/>
          </rPr>
          <t>Cassel, Lauren (Research):</t>
        </r>
        <r>
          <rPr>
            <sz val="9"/>
            <color indexed="81"/>
            <rFont val="Tahoma"/>
            <family val="2"/>
          </rPr>
          <t xml:space="preserve">
1/9/17: Holiday sales update: move from 59c to 53c</t>
        </r>
      </text>
    </comment>
    <comment ref="AJ104" authorId="0">
      <text>
        <r>
          <rPr>
            <b/>
            <sz val="8"/>
            <color indexed="81"/>
            <rFont val="Tahoma"/>
            <family val="2"/>
          </rPr>
          <t>dong2:</t>
        </r>
        <r>
          <rPr>
            <sz val="8"/>
            <color indexed="81"/>
            <rFont val="Tahoma"/>
            <family val="2"/>
          </rPr>
          <t xml:space="preserve">
every 1% increase in comps contributes $0.01. So if comps increase 5% more TY EPS increases from $1.08 to $1.13. Every 50 bps in operating margin contributes $0.07 upside in earnings - if OM goes from 8.5 to 9.0%, EPS goes from $1.08 to $1.15. With the two combined increases, EPS goes to $1.19 ($1.20 rounded).
5/9: had $1.08. 11/7/02: $1.33</t>
        </r>
      </text>
    </comment>
    <comment ref="AN104" authorId="2">
      <text>
        <r>
          <rPr>
            <b/>
            <sz val="8"/>
            <color indexed="81"/>
            <rFont val="Tahoma"/>
            <family val="2"/>
          </rPr>
          <t>dliu:</t>
        </r>
        <r>
          <rPr>
            <sz val="8"/>
            <color indexed="81"/>
            <rFont val="Tahoma"/>
            <family val="2"/>
          </rPr>
          <t xml:space="preserve">
1.64, 1.12</t>
        </r>
      </text>
    </comment>
    <comment ref="CN104" authorId="8">
      <text>
        <r>
          <rPr>
            <b/>
            <sz val="9"/>
            <color indexed="81"/>
            <rFont val="Tahoma"/>
            <family val="2"/>
          </rPr>
          <t>Mains, Spencer (Research):</t>
        </r>
        <r>
          <rPr>
            <sz val="9"/>
            <color indexed="81"/>
            <rFont val="Tahoma"/>
            <family val="2"/>
          </rPr>
          <t xml:space="preserve">
8/17/15: If todays rates held constant and all else in the business held constant, such as shares outstanding and planned profit rates, FX would negatively affect EPS by ~3% for FY16 (year ending Jan 31, 2016).</t>
        </r>
      </text>
    </comment>
    <comment ref="AJ110" authorId="0">
      <text>
        <r>
          <rPr>
            <b/>
            <sz val="8"/>
            <color indexed="81"/>
            <rFont val="Tahoma"/>
            <family val="2"/>
          </rPr>
          <t>dong2:</t>
        </r>
        <r>
          <rPr>
            <sz val="8"/>
            <color indexed="81"/>
            <rFont val="Tahoma"/>
            <family val="2"/>
          </rPr>
          <t xml:space="preserve">
17.7 mm + 1.55 mm = 19.25 mm, but use 19.2 since deal is closing in mid-April (near end of qtr).
</t>
        </r>
      </text>
    </comment>
    <comment ref="BS110" authorId="23">
      <text>
        <r>
          <rPr>
            <b/>
            <sz val="8"/>
            <color indexed="81"/>
            <rFont val="Tahoma"/>
            <family val="2"/>
          </rPr>
          <t>ns66486:</t>
        </r>
        <r>
          <rPr>
            <sz val="8"/>
            <color indexed="81"/>
            <rFont val="Tahoma"/>
            <family val="2"/>
          </rPr>
          <t xml:space="preserve">
on Feb 28, 2006 board approved common stock repo program to repurchase up to 8,000,000 shares from time-to-time, repo'ed 1,220,000 shrs during FY ended Jan 31, 2007</t>
        </r>
      </text>
    </comment>
    <comment ref="BW110" authorId="6">
      <text>
        <r>
          <rPr>
            <b/>
            <sz val="8"/>
            <color indexed="81"/>
            <rFont val="Tahoma"/>
            <family val="2"/>
          </rPr>
          <t>nicholjs:</t>
        </r>
        <r>
          <rPr>
            <sz val="8"/>
            <color indexed="81"/>
            <rFont val="Tahoma"/>
            <family val="2"/>
          </rPr>
          <t xml:space="preserve">
4/27: 166.5 okay
4/2011: repo'ed 4.8mm shares for $148.7mm, use 166-167 share count</t>
        </r>
      </text>
    </comment>
    <comment ref="CI110" authorId="7">
      <text>
        <r>
          <rPr>
            <b/>
            <sz val="8"/>
            <color indexed="81"/>
            <rFont val="Tahoma"/>
            <family val="2"/>
          </rPr>
          <t>turleamb:</t>
        </r>
        <r>
          <rPr>
            <sz val="8"/>
            <color indexed="81"/>
            <rFont val="Tahoma"/>
            <family val="2"/>
          </rPr>
          <t xml:space="preserve">
5/19/14: repurchased and retired 9.7m shares for $353m completing the share repurchase authorization in 1Q
per 10-K: 144,560,953 shares outstanding
Subsequent to January 31, 2014, the Company repurchased and retired 4,523,220 common shares at a total cost of $162,000 or an average cost of $35.83 per share, including commissions. 
3/10/14: "We still have 9.7 million shares authorized for buybacks. We just completed our Board meeting a few weeks ago and we're still certainly approved to be opportunistic on stock repurchases as the opportunity presents itself going forward."</t>
        </r>
      </text>
    </comment>
    <comment ref="CM110" authorId="8">
      <text>
        <r>
          <rPr>
            <b/>
            <sz val="9"/>
            <color indexed="81"/>
            <rFont val="Tahoma"/>
            <family val="2"/>
          </rPr>
          <t xml:space="preserve">Baglione, Gregory (Research):
</t>
        </r>
        <r>
          <rPr>
            <sz val="9"/>
            <color indexed="81"/>
            <rFont val="Tahoma"/>
            <family val="2"/>
          </rPr>
          <t>On May 27, 2014, the Board of Directors authorized the repurchase of 10.0 million common shares under a share repurchase program. During fiscal 2015, the Company repurchased and retired 7.7 million common shares for approximately $258 million under this authorization. During the first quarter of fiscal 2016, the Company repurchased 0.4 million shares for approximately $17 million under this authorization. On August 27, 2013, the Board of Directors authorized the repurchase of 10.0 million common shares under a share repurchase program. During the first quarter of fiscal 2015, the Company repurchased and retired 9.7 million common shares for approximately $353 million completing the August 27, 2013 share repurchase authorization. On February 23, 2015, the Board of Directors authorized the repurchase of 20.0 million shares under a new share repurchase program. No shares have been repurchased under this authorization.</t>
        </r>
      </text>
    </comment>
    <comment ref="CQ110" authorId="10">
      <text>
        <r>
          <rPr>
            <b/>
            <sz val="9"/>
            <color indexed="81"/>
            <rFont val="Tahoma"/>
            <family val="2"/>
          </rPr>
          <t>Baglione, Gregory  (Research):</t>
        </r>
        <r>
          <rPr>
            <sz val="9"/>
            <color indexed="81"/>
            <rFont val="Tahoma"/>
            <family val="2"/>
          </rPr>
          <t xml:space="preserve">
On February 23, 2015, the Company’s Board of Directors authorized the repurchase of 20 million common shares under a share repurchase program. Under this authorization, the Company repurchased and subsequently retired 0.3 million common shares for approximately $11 million under this authorization during the first quarter of fiscal 2017. The Company repurchased and subsequently retired a total of 12.7 million common shares for approximately $382 million during fiscal 2016 under this authorization.</t>
        </r>
      </text>
    </comment>
    <comment ref="AJ111" authorId="1">
      <text>
        <r>
          <rPr>
            <b/>
            <sz val="8"/>
            <color indexed="81"/>
            <rFont val="Tahoma"/>
            <family val="2"/>
          </rPr>
          <t>Lehman Brothers:</t>
        </r>
        <r>
          <rPr>
            <sz val="8"/>
            <color indexed="81"/>
            <rFont val="Tahoma"/>
            <family val="2"/>
          </rPr>
          <t xml:space="preserve">
1.55 shares plus 50K shoe</t>
        </r>
      </text>
    </comment>
    <comment ref="AU111" authorId="26">
      <text>
        <r>
          <rPr>
            <b/>
            <sz val="8"/>
            <color indexed="81"/>
            <rFont val="Tahoma"/>
            <family val="2"/>
          </rPr>
          <t>Melissa Sefl:</t>
        </r>
        <r>
          <rPr>
            <sz val="8"/>
            <color indexed="81"/>
            <rFont val="Tahoma"/>
            <family val="2"/>
          </rPr>
          <t xml:space="preserve">
Stock split 2:1 7/9/04</t>
        </r>
      </text>
    </comment>
    <comment ref="BC111" authorId="13">
      <text>
        <r>
          <rPr>
            <b/>
            <sz val="8"/>
            <color indexed="81"/>
            <rFont val="Tahoma"/>
            <family val="2"/>
          </rPr>
          <t>kg51925:</t>
        </r>
        <r>
          <rPr>
            <sz val="8"/>
            <color indexed="81"/>
            <rFont val="Tahoma"/>
            <family val="2"/>
          </rPr>
          <t xml:space="preserve">
hopefully mgmt will repo a few mm shares in 2Q06 on 8mm share auth</t>
        </r>
      </text>
    </comment>
    <comment ref="BS111" authorId="23">
      <text>
        <r>
          <rPr>
            <sz val="8"/>
            <color indexed="81"/>
            <rFont val="Tahoma"/>
            <family val="2"/>
          </rPr>
          <t>in the Q: repurchased 2,015,180 common shares for $68mm at avg price of $33.72/share; 4,764,820 shares remain under share repo
per Oona: timing of buyback didn't really add much, purchased late in the Q
on Feb 28, 2006 board approved common stock repo program to repurchase up to 8,000,000 shares from time-to-time, repo'ed 1,220,000 shrs during FY ended Jan 31, 2007</t>
        </r>
      </text>
    </comment>
    <comment ref="BW111" authorId="6">
      <text>
        <r>
          <rPr>
            <b/>
            <sz val="8"/>
            <color indexed="81"/>
            <rFont val="Tahoma"/>
            <family val="2"/>
          </rPr>
          <t>nicholjs:</t>
        </r>
        <r>
          <rPr>
            <sz val="8"/>
            <color indexed="81"/>
            <rFont val="Tahoma"/>
            <family val="2"/>
          </rPr>
          <t xml:space="preserve">
repurchased 2.3mm shares for $67mm. As of July 31, 2011, 3.3 million common shares were available for repurchase under the stock repurchase program. 
think started 162.9
6/8/2011: 164.5 okay
5/17/2011: could use 165.3 or flat (share repo's offset options), depending on decisions at next board meeting
5/16/2011: 163.8 could be a little light.  
4/27: use 165</t>
        </r>
      </text>
    </comment>
    <comment ref="CI111" authorId="7">
      <text>
        <r>
          <rPr>
            <b/>
            <sz val="9"/>
            <color indexed="81"/>
            <rFont val="Tahoma"/>
            <family val="2"/>
          </rPr>
          <t>turleamb:</t>
        </r>
        <r>
          <rPr>
            <sz val="9"/>
            <color indexed="81"/>
            <rFont val="Tahoma"/>
            <family val="2"/>
          </rPr>
          <t xml:space="preserve">
8/18/14: Repurchased 3.7m in shares in 2Q for $126m leaving 6.3m shares available for repo under the current authorization.
6/10/14: shares outstanding as of 6/2/14 was 137,751,372
On 5/27 shareholder meeting Board authorized addtl $10m share repo's. ~$517m cash &amp; securities remaining</t>
        </r>
      </text>
    </comment>
    <comment ref="CM111" authorId="8">
      <text>
        <r>
          <rPr>
            <b/>
            <sz val="9"/>
            <color indexed="81"/>
            <rFont val="Tahoma"/>
            <family val="2"/>
          </rPr>
          <t>Mains, Spencer (Research):</t>
        </r>
        <r>
          <rPr>
            <sz val="9"/>
            <color indexed="81"/>
            <rFont val="Tahoma"/>
            <family val="2"/>
          </rPr>
          <t xml:space="preserve">
8/17/15: During 2Q, the company repurchased and retired 6.6M common shares for ~$236M.
15.2M shares remaining on authorization.
GB: On February 23, 2015, the Company’s Board of Directors authorized the repurchase of 20 million common shares under a share repurchase program. Under this authorization, the Company repurchased and subsequently retired a total of 4.8 million common shares for approximately $170.8 million during the six months ended July 31, 2015.
On May 27, 2014, the Company’s Board of Directors authorized the repurchase of 10 million common shares under a share repurchase program. During the six months ended July 31, 2015, the Company repurchased and subsequently retired 2.3 million shares at a total cost of $82.8 million which completed this authorization. The Company repurchased and subsequently retired 7.7 million common shares at a total cost of $258.2 million during fiscal 2015.</t>
        </r>
      </text>
    </comment>
    <comment ref="CQ111" authorId="10">
      <text>
        <r>
          <rPr>
            <b/>
            <sz val="9"/>
            <color indexed="81"/>
            <rFont val="Tahoma"/>
            <family val="2"/>
          </rPr>
          <t>Baglione, Gregory  (Research):</t>
        </r>
        <r>
          <rPr>
            <sz val="9"/>
            <color indexed="81"/>
            <rFont val="Tahoma"/>
            <family val="2"/>
          </rPr>
          <t xml:space="preserve">
On February 23, 2015, the Company’s Board of Directors authorized the repurchase of 20 million common shares under a share repurchase program. Under this authorization, the Company repurchased and subsequently retired 0.3 million common shares for approximately $11 million during the six months ended July 31, 2016. The Company repurchased and subsequently retired a total of 12.7 million common shares for approximately $382 million during fiscal 2016 under this authorization.</t>
        </r>
      </text>
    </comment>
    <comment ref="CU111" authorId="12">
      <text>
        <r>
          <rPr>
            <b/>
            <sz val="9"/>
            <color indexed="81"/>
            <rFont val="Tahoma"/>
            <family val="2"/>
          </rPr>
          <t>Cassel, Lauren (Research):</t>
        </r>
        <r>
          <rPr>
            <sz val="9"/>
            <color indexed="81"/>
            <rFont val="Tahoma"/>
            <family val="2"/>
          </rPr>
          <t xml:space="preserve">
8/15/17: repurchased and subsequently retired 5.0 million common shares for approximately $91 million during the six months ended July 31, 2017. As of July 31, 2017, 1.0 million common shares are remaining under this authorization.</t>
        </r>
      </text>
    </comment>
    <comment ref="BC112" authorId="13">
      <text>
        <r>
          <rPr>
            <b/>
            <sz val="8"/>
            <color indexed="81"/>
            <rFont val="Tahoma"/>
            <family val="2"/>
          </rPr>
          <t>kg51925:</t>
        </r>
        <r>
          <rPr>
            <sz val="8"/>
            <color indexed="81"/>
            <rFont val="Tahoma"/>
            <family val="2"/>
          </rPr>
          <t xml:space="preserve">
hopefully mgmt will repo a few mm shares in 2Q06 on 8mm share auth</t>
        </r>
      </text>
    </comment>
    <comment ref="BK112" authorId="13">
      <text>
        <r>
          <rPr>
            <b/>
            <sz val="8"/>
            <color indexed="81"/>
            <rFont val="Tahoma"/>
            <family val="2"/>
          </rPr>
          <t>kg51925:</t>
        </r>
        <r>
          <rPr>
            <sz val="8"/>
            <color indexed="81"/>
            <rFont val="Tahoma"/>
            <family val="2"/>
          </rPr>
          <t xml:space="preserve">
8/08 John does not expect share count to grow thru year end</t>
        </r>
      </text>
    </comment>
    <comment ref="BS112" authorId="6">
      <text>
        <r>
          <rPr>
            <b/>
            <sz val="8"/>
            <color indexed="81"/>
            <rFont val="Tahoma"/>
            <family val="2"/>
          </rPr>
          <t>nicholjs:</t>
        </r>
        <r>
          <rPr>
            <sz val="8"/>
            <color indexed="81"/>
            <rFont val="Tahoma"/>
            <family val="2"/>
          </rPr>
          <t xml:space="preserve">
repurchase 4.3mm shares during qtr for $133mm at avg price of $31.06.  company has 491,533 shares remaining on authorization to buy 8 mm shares
assume .5mm share repo during qtr at $33
--165.082 (basic) shares out on Sept 3</t>
        </r>
      </text>
    </comment>
    <comment ref="BW112" authorId="6">
      <text>
        <r>
          <rPr>
            <b/>
            <sz val="8"/>
            <color indexed="81"/>
            <rFont val="Tahoma"/>
            <family val="2"/>
          </rPr>
          <t xml:space="preserve">11/14: </t>
        </r>
        <r>
          <rPr>
            <sz val="8"/>
            <color indexed="81"/>
            <rFont val="Tahoma"/>
            <family val="2"/>
          </rPr>
          <t>Repo'ed and retired 13.3M common shares for $322M. Completed the Company’s 2010 and 2011 repurchase authorizations. As of October 31, 2011, no common shares were available for repurchase
YTD $540M, 20.5M SO</t>
        </r>
        <r>
          <rPr>
            <b/>
            <sz val="8"/>
            <color indexed="81"/>
            <rFont val="Tahoma"/>
            <family val="2"/>
          </rPr>
          <t xml:space="preserve">
nicholjs:</t>
        </r>
        <r>
          <rPr>
            <sz val="8"/>
            <color indexed="81"/>
            <rFont val="Tahoma"/>
            <family val="2"/>
          </rPr>
          <t xml:space="preserve">
2Q 10-Q: Subsequent to July 31, 2011 and through August 29, 2011, repo'ed the remaining 3.3mm common shares under the Nov. 2010 authorization $88.2mm.  Subsequent to Aug 25 10mm share authorization, repo'ed 0.429mm shares for $10.8mm.
9/6/2011: 159.4 sounds okay
Aug. 25, 2011 (GLOBE NEWSWIRE) -- today announced that its Board of Directors has authorized the repurchase of an additional 10 million common shares. The Company has repurchased all of the shares available under its previous share repurchase program, including the 10,000,000 common shares authorized by the Board of Directors on November 16, 2010.
164 better</t>
        </r>
      </text>
    </comment>
    <comment ref="CE112" authorId="7">
      <text>
        <r>
          <rPr>
            <b/>
            <sz val="8"/>
            <color indexed="81"/>
            <rFont val="Tahoma"/>
            <family val="2"/>
          </rPr>
          <t>turleamb:</t>
        </r>
        <r>
          <rPr>
            <sz val="8"/>
            <color indexed="81"/>
            <rFont val="Tahoma"/>
            <family val="2"/>
          </rPr>
          <t xml:space="preserve">
11/18/13: retired 0.3m shares for $11m in 3Q leaving 9.7m shares available under the current authorization</t>
        </r>
      </text>
    </comment>
    <comment ref="CI112" authorId="9">
      <text>
        <r>
          <rPr>
            <b/>
            <sz val="9"/>
            <color indexed="81"/>
            <rFont val="Tahoma"/>
            <family val="2"/>
          </rPr>
          <t>Turley, Amber (Research):</t>
        </r>
        <r>
          <rPr>
            <sz val="9"/>
            <color indexed="81"/>
            <rFont val="Tahoma"/>
            <family val="2"/>
          </rPr>
          <t xml:space="preserve">
11/17/14: During the second
quarter of fiscal 2015, the Board of Directors authorized the repurchase of an additional 10.0
million common shares under a share repurchase program.  As of October 31, 2014, the Company
repurchased and retired 3.9 million common shares for approximately $132 million, leaving 6.1
million shares available for repurchase under the current authorization.
As of 9/9/14 10-Q release 134.3m basic shares outstanding</t>
        </r>
      </text>
    </comment>
    <comment ref="CM112" authorId="10">
      <text>
        <r>
          <rPr>
            <b/>
            <sz val="9"/>
            <color indexed="81"/>
            <rFont val="Tahoma"/>
            <family val="2"/>
          </rPr>
          <t xml:space="preserve">Baglione, Gregory  (Research):
</t>
        </r>
        <r>
          <rPr>
            <sz val="9"/>
            <color indexed="81"/>
            <rFont val="Tahoma"/>
            <family val="2"/>
          </rPr>
          <t>On February 23, 2015, the Company’s Board of Directors authorized the repurchase of 20 million common shares under a share repurchase program. Under this authorization, the Company repurchased and subsequently retired a total of 8.4 million common shares for approximately $282.7 million during the nine months ended October 31, 2015.
On May 27, 2014, the Company’s Board of Directors authorized the repurchase of 10 million common shares under a share repurchase program. During the nine months ended October 31, 2015, the Company repurchased and subsequently retired 2.3 million shares at a total cost of $82.8 million, which completed this authorization. The Company repurchased and subsequently retired 7.7 million common shares at a total cost of $258.2 million during fiscal 2015.</t>
        </r>
      </text>
    </comment>
    <comment ref="CQ112" authorId="10">
      <text>
        <r>
          <rPr>
            <b/>
            <sz val="9"/>
            <color indexed="81"/>
            <rFont val="Tahoma"/>
            <family val="2"/>
          </rPr>
          <t>Baglione, Gregory  (Research):</t>
        </r>
        <r>
          <rPr>
            <sz val="9"/>
            <color indexed="81"/>
            <rFont val="Tahoma"/>
            <family val="2"/>
          </rPr>
          <t xml:space="preserve">
11/22/16 Repurchased 1.3M shares
The Company repurchased and subsequently retired 1.3 million common shares for  ~$46 million during the nine months ended October 31, 2016. 
8/16/16
Modeling 0.3M shares repurchased in 3Q</t>
        </r>
      </text>
    </comment>
    <comment ref="CU112" authorId="12">
      <text>
        <r>
          <rPr>
            <b/>
            <sz val="9"/>
            <color indexed="81"/>
            <rFont val="Tahoma"/>
            <family val="2"/>
          </rPr>
          <t>Cassel, Lauren (Research):</t>
        </r>
        <r>
          <rPr>
            <sz val="9"/>
            <color indexed="81"/>
            <rFont val="Tahoma"/>
            <family val="2"/>
          </rPr>
          <t xml:space="preserve">
8/24/17: </t>
        </r>
        <r>
          <rPr>
            <b/>
            <sz val="9"/>
            <color indexed="81"/>
            <rFont val="Tahoma"/>
            <family val="2"/>
          </rPr>
          <t xml:space="preserve">The Board has authorized the repurchase of an additional 20 million common shares. </t>
        </r>
        <r>
          <rPr>
            <sz val="9"/>
            <color indexed="81"/>
            <rFont val="Tahoma"/>
            <family val="2"/>
          </rPr>
          <t xml:space="preserve"> Pursuant to this program, the Company, at its discretion, may repurchase its common shares from time to time, subject to market conditions and at prevailing market prices. The company has 985,354 shares remaining under the February 2015 share repurchase authorization. </t>
        </r>
      </text>
    </comment>
    <comment ref="BK113" authorId="13">
      <text>
        <r>
          <rPr>
            <b/>
            <sz val="8"/>
            <color indexed="81"/>
            <rFont val="Tahoma"/>
            <family val="2"/>
          </rPr>
          <t>kg51925:</t>
        </r>
        <r>
          <rPr>
            <sz val="8"/>
            <color indexed="81"/>
            <rFont val="Tahoma"/>
            <family val="2"/>
          </rPr>
          <t xml:space="preserve">
8/08 John does not expect share count to grow thru year end</t>
        </r>
      </text>
    </comment>
    <comment ref="BS113" authorId="6">
      <text>
        <r>
          <rPr>
            <b/>
            <sz val="8"/>
            <color indexed="81"/>
            <rFont val="Tahoma"/>
            <family val="2"/>
          </rPr>
          <t>nicholjs:</t>
        </r>
        <r>
          <rPr>
            <sz val="8"/>
            <color indexed="81"/>
            <rFont val="Tahoma"/>
            <family val="2"/>
          </rPr>
          <t xml:space="preserve">
did not repurchase any shares during the quarter.
assume .5mm share repo during qtr at $33.5
11/10 had 168,575,637 shares o/s end of 3Q10</t>
        </r>
      </text>
    </comment>
    <comment ref="BW113" authorId="20">
      <text>
        <r>
          <rPr>
            <b/>
            <sz val="8"/>
            <color indexed="81"/>
            <rFont val="Tahoma"/>
            <family val="2"/>
          </rPr>
          <t>lauraro:</t>
        </r>
        <r>
          <rPr>
            <sz val="8"/>
            <color indexed="81"/>
            <rFont val="Tahoma"/>
            <family val="2"/>
          </rPr>
          <t xml:space="preserve">
144,201,664 shares outstanding on Dec 9, 2011</t>
        </r>
      </text>
    </comment>
    <comment ref="CE113" authorId="7">
      <text>
        <r>
          <rPr>
            <b/>
            <sz val="8"/>
            <color indexed="81"/>
            <rFont val="Tahoma"/>
            <family val="2"/>
          </rPr>
          <t>turleamb:</t>
        </r>
        <r>
          <rPr>
            <sz val="8"/>
            <color indexed="81"/>
            <rFont val="Tahoma"/>
            <family val="2"/>
          </rPr>
          <t xml:space="preserve">
10-Q: 147,309,575 shares outstanding as of 12/4/13.</t>
        </r>
      </text>
    </comment>
    <comment ref="CI113" authorId="9">
      <text>
        <r>
          <rPr>
            <b/>
            <sz val="9"/>
            <color indexed="81"/>
            <rFont val="Tahoma"/>
            <family val="2"/>
          </rPr>
          <t>Turley, Amber (Research):</t>
        </r>
        <r>
          <rPr>
            <sz val="9"/>
            <color indexed="81"/>
            <rFont val="Tahoma"/>
            <family val="2"/>
          </rPr>
          <t xml:space="preserve">
3/9/15: Repo'd 3.8M shares for $126M
12/10/14 10-Q: URBN repo'd 2.66M shares between 10/31 and 12/10</t>
        </r>
      </text>
    </comment>
    <comment ref="CM113" authorId="10">
      <text>
        <r>
          <rPr>
            <b/>
            <sz val="9"/>
            <color indexed="81"/>
            <rFont val="Tahoma"/>
            <family val="2"/>
          </rPr>
          <t xml:space="preserve">Baglione, Gregory  (Research):
</t>
        </r>
        <r>
          <rPr>
            <sz val="9"/>
            <color indexed="81"/>
            <rFont val="Tahoma"/>
            <family val="2"/>
          </rPr>
          <t>On February 23, 2015, the Company’s Board of Directors authorized the repurchase of 20 million common shares under a share repurchase program. Under this authorization, the Company repurchased and subsequently retired a total of 12.7 million common shares for approximately $382.5 million during the year ended January 31, 2016. On May 27, 2014, the Company’s Board of Directors authorized the repurchase of 10 million common shares under a share repurchase program. During the year ended January 31, 2016, the Company repurchased and subsequently retired 2.3 million shares at a total cost of $82.8 million, which completed this authorization. The Company repurchased and subsequently retired 7.7 million common shares at a total cost of $258.2 million during fiscal 2015. In summary, for the year ended January 31, 2016, the Company repurchased and subsequently retired a total of 15.0 million shares at a total cost of $465.3 million under both authorizations.</t>
        </r>
        <r>
          <rPr>
            <b/>
            <sz val="9"/>
            <color indexed="81"/>
            <rFont val="Tahoma"/>
            <family val="2"/>
          </rPr>
          <t xml:space="preserve">
</t>
        </r>
        <r>
          <rPr>
            <sz val="9"/>
            <color indexed="81"/>
            <rFont val="Tahoma"/>
            <family val="2"/>
          </rPr>
          <t xml:space="preserve">
1/7/16: per Oona ~120M
12/9/15--Per guidance use share count ~2.1 -2.5M lower
</t>
        </r>
      </text>
    </comment>
    <comment ref="CU113" authorId="11">
      <text>
        <r>
          <rPr>
            <b/>
            <sz val="9"/>
            <color indexed="81"/>
            <rFont val="Tahoma"/>
            <family val="2"/>
          </rPr>
          <t>Roberts, Cynthia (Research):</t>
        </r>
        <r>
          <rPr>
            <sz val="9"/>
            <color indexed="81"/>
            <rFont val="Tahoma"/>
            <family val="2"/>
          </rPr>
          <t xml:space="preserve">
2/8/18: per Oona 108.5M</t>
        </r>
      </text>
    </comment>
    <comment ref="BW114" authorId="20">
      <text>
        <r>
          <rPr>
            <b/>
            <sz val="8"/>
            <color indexed="81"/>
            <rFont val="Tahoma"/>
            <family val="2"/>
          </rPr>
          <t>lauraro:</t>
        </r>
        <r>
          <rPr>
            <sz val="8"/>
            <color indexed="81"/>
            <rFont val="Tahoma"/>
            <family val="2"/>
          </rPr>
          <t xml:space="preserve">
</t>
        </r>
        <r>
          <rPr>
            <b/>
            <sz val="8"/>
            <color indexed="81"/>
            <rFont val="Tahoma"/>
            <family val="2"/>
          </rPr>
          <t xml:space="preserve">3/12/12: </t>
        </r>
        <r>
          <rPr>
            <sz val="8"/>
            <color indexed="81"/>
            <rFont val="Tahoma"/>
            <family val="2"/>
          </rPr>
          <t>During fiscal 2012, the Company repurchased and retired 20.5 million common shares for approximately $538 million under a Board authorized share repurchase program. These repurchases completed all of the Company's repurchase authorizations under the program.</t>
        </r>
      </text>
    </comment>
    <comment ref="CQ114" authorId="12">
      <text>
        <r>
          <rPr>
            <b/>
            <sz val="9"/>
            <color indexed="81"/>
            <rFont val="Tahoma"/>
            <family val="2"/>
          </rPr>
          <t>Cassel, Lauren (Research):</t>
        </r>
        <r>
          <rPr>
            <sz val="9"/>
            <color indexed="81"/>
            <rFont val="Tahoma"/>
            <family val="2"/>
          </rPr>
          <t xml:space="preserve">
3/7/17: repurchased 1.4M shares for $46M; as of 1/31/17 6M shares are remaining under the authorization</t>
        </r>
      </text>
    </comment>
    <comment ref="CL118" authorId="9">
      <text>
        <r>
          <rPr>
            <sz val="9"/>
            <color indexed="81"/>
            <rFont val="Tahoma"/>
            <family val="2"/>
          </rPr>
          <t xml:space="preserve">cover page of Q/K
</t>
        </r>
      </text>
    </comment>
    <comment ref="BM119" authorId="9">
      <text>
        <r>
          <rPr>
            <sz val="9"/>
            <color indexed="81"/>
            <rFont val="Tahoma"/>
            <family val="2"/>
          </rPr>
          <t xml:space="preserve">cover page of Q/K
</t>
        </r>
      </text>
    </comment>
    <comment ref="CM120" authorId="15">
      <text>
        <r>
          <rPr>
            <b/>
            <sz val="9"/>
            <color indexed="81"/>
            <rFont val="Tahoma"/>
            <family val="2"/>
          </rPr>
          <t>casselau:</t>
        </r>
        <r>
          <rPr>
            <sz val="9"/>
            <color indexed="81"/>
            <rFont val="Tahoma"/>
            <family val="2"/>
          </rPr>
          <t xml:space="preserve">
Ending share count was 131,543,388 but that is not the fully diluted number I would use around 133 for ending fully diluted share count.</t>
        </r>
      </text>
    </comment>
    <comment ref="CQ120" authorId="10">
      <text>
        <r>
          <rPr>
            <b/>
            <sz val="9"/>
            <color indexed="81"/>
            <rFont val="Tahoma"/>
            <family val="2"/>
          </rPr>
          <t>Baglione, Gregory  (Research):</t>
        </r>
        <r>
          <rPr>
            <sz val="9"/>
            <color indexed="81"/>
            <rFont val="Tahoma"/>
            <family val="2"/>
          </rPr>
          <t xml:space="preserve">
3/7/16
Per post- earnings conversation, removing buybacks from 2016 forecast
325K shares repurchased in 2Q</t>
        </r>
      </text>
    </comment>
    <comment ref="CM121" authorId="10">
      <text>
        <r>
          <rPr>
            <b/>
            <sz val="9"/>
            <color indexed="81"/>
            <rFont val="Tahoma"/>
            <family val="2"/>
          </rPr>
          <t>Baglione, Gregory  (Research):</t>
        </r>
        <r>
          <rPr>
            <sz val="9"/>
            <color indexed="81"/>
            <rFont val="Tahoma"/>
            <family val="2"/>
          </rPr>
          <t xml:space="preserve">
During the second quarter, the Company repurchased and retired 6.6
million common shares for approximately $236 million.</t>
        </r>
      </text>
    </comment>
    <comment ref="CQ121" authorId="10">
      <text>
        <r>
          <rPr>
            <b/>
            <sz val="9"/>
            <color indexed="81"/>
            <rFont val="Tahoma"/>
            <family val="2"/>
          </rPr>
          <t>Baglione, Gregory  (Research):</t>
        </r>
        <r>
          <rPr>
            <sz val="9"/>
            <color indexed="81"/>
            <rFont val="Tahoma"/>
            <family val="2"/>
          </rPr>
          <t xml:space="preserve">
3/7/16
Period ending shares ~117.2M</t>
        </r>
      </text>
    </comment>
    <comment ref="CI122" authorId="9">
      <text>
        <r>
          <rPr>
            <b/>
            <sz val="9"/>
            <color indexed="81"/>
            <rFont val="Tahoma"/>
            <family val="2"/>
          </rPr>
          <t>Turley, Amber (Research):</t>
        </r>
        <r>
          <rPr>
            <sz val="9"/>
            <color indexed="81"/>
            <rFont val="Tahoma"/>
            <family val="2"/>
          </rPr>
          <t xml:space="preserve">131.643598 shares outstanding as of 12/4. Between 10/31 and 12/10 URBN repurchases 2.66M shares at an average price of $32.32 per share. </t>
        </r>
      </text>
    </comment>
    <comment ref="CM122" authorId="10">
      <text>
        <r>
          <rPr>
            <sz val="9"/>
            <color indexed="81"/>
            <rFont val="Tahoma"/>
            <family val="2"/>
          </rPr>
          <t xml:space="preserve">
Period ending shares ~123.5M</t>
        </r>
      </text>
    </comment>
    <comment ref="CQ122" authorId="10">
      <text>
        <r>
          <rPr>
            <b/>
            <sz val="9"/>
            <color indexed="81"/>
            <rFont val="Tahoma"/>
            <family val="2"/>
          </rPr>
          <t>Baglione, Gregory  (Research):</t>
        </r>
        <r>
          <rPr>
            <sz val="9"/>
            <color indexed="81"/>
            <rFont val="Tahoma"/>
            <family val="2"/>
          </rPr>
          <t xml:space="preserve">
12/12/16
Per Oona ~117m. 
</t>
        </r>
      </text>
    </comment>
    <comment ref="CM123" authorId="10">
      <text>
        <r>
          <rPr>
            <b/>
            <sz val="9"/>
            <color indexed="81"/>
            <rFont val="Tahoma"/>
            <family val="2"/>
          </rPr>
          <t>Baglione, Gregory  (Research):</t>
        </r>
        <r>
          <rPr>
            <sz val="9"/>
            <color indexed="81"/>
            <rFont val="Tahoma"/>
            <family val="2"/>
          </rPr>
          <t xml:space="preserve">
3/7/16
On May 27, 2014, the Company's Board of Directors authorized the repurchase of 10 million common shares under a share repurchase program. During the year ended January 31, 2016, the Company repurchased and subsequently retired 2.3 million shares at a total cost of $82.8 million, which completed this authorization. The Company repurchased and subsequently retired 7.7 million common shares at a total cost of $258.2 million during fiscal 2015.
In summary, for the year ended January 31, 2016, the Company repurchased and subsequently retired a total of 15.0 million shares at a total cost of $465.3 million under both authorizations. "
3/7/16
Per oona 117.8</t>
        </r>
      </text>
    </comment>
    <comment ref="CQ123" authorId="10">
      <text>
        <r>
          <rPr>
            <b/>
            <sz val="9"/>
            <color indexed="81"/>
            <rFont val="Tahoma"/>
            <family val="2"/>
          </rPr>
          <t>Baglione, Gregory  (Research):</t>
        </r>
        <r>
          <rPr>
            <sz val="9"/>
            <color indexed="81"/>
            <rFont val="Tahoma"/>
            <family val="2"/>
          </rPr>
          <t xml:space="preserve">
3/7/16
Per post- earnings conversation, removing buybacks from 2016 forecast</t>
        </r>
      </text>
    </comment>
    <comment ref="BM141" authorId="9">
      <text>
        <r>
          <rPr>
            <sz val="9"/>
            <color indexed="81"/>
            <rFont val="Tahoma"/>
            <family val="2"/>
          </rPr>
          <t xml:space="preserve">cover page of Q/K
</t>
        </r>
      </text>
    </comment>
    <comment ref="CE154" authorId="7">
      <text>
        <r>
          <rPr>
            <b/>
            <sz val="8"/>
            <color indexed="81"/>
            <rFont val="Tahoma"/>
            <family val="2"/>
          </rPr>
          <t>turleamb:</t>
        </r>
        <r>
          <rPr>
            <sz val="8"/>
            <color indexed="81"/>
            <rFont val="Tahoma"/>
            <family val="2"/>
          </rPr>
          <t xml:space="preserve">avg share price of the Q. </t>
        </r>
      </text>
    </comment>
    <comment ref="AI163" authorId="7">
      <text>
        <r>
          <rPr>
            <b/>
            <sz val="8"/>
            <color indexed="81"/>
            <rFont val="Tahoma"/>
            <family val="2"/>
          </rPr>
          <t>turleamb:</t>
        </r>
        <r>
          <rPr>
            <sz val="8"/>
            <color indexed="81"/>
            <rFont val="Tahoma"/>
            <family val="2"/>
          </rPr>
          <t xml:space="preserve">
proceeds from the exercise of stock options and other stock issuances</t>
        </r>
      </text>
    </comment>
    <comment ref="BM163" authorId="7">
      <text>
        <r>
          <rPr>
            <b/>
            <sz val="8"/>
            <color indexed="81"/>
            <rFont val="Tahoma"/>
            <family val="2"/>
          </rPr>
          <t>turleamb:</t>
        </r>
        <r>
          <rPr>
            <sz val="8"/>
            <color indexed="81"/>
            <rFont val="Tahoma"/>
            <family val="2"/>
          </rPr>
          <t xml:space="preserve">
proceeds from the exercise of stock options and other stock issuances</t>
        </r>
      </text>
    </comment>
    <comment ref="BW164" authorId="7">
      <text>
        <r>
          <rPr>
            <b/>
            <sz val="8"/>
            <color indexed="81"/>
            <rFont val="Tahoma"/>
            <family val="2"/>
          </rPr>
          <t>turleamb:</t>
        </r>
        <r>
          <rPr>
            <sz val="8"/>
            <color indexed="81"/>
            <rFont val="Tahoma"/>
            <family val="2"/>
          </rPr>
          <t xml:space="preserve">
4/30/11 10-q: The Company repurchased and subsequently retired 4,824,869 common shares at a total cost of $148,674 during the three months ended April 30, 2011. The average cost per share of the repurchases was $30.81, including commissions. The Company did not repurchase any shares during the three months ended April 30, 2010. The repurchases completed the Company's 2006 share repurchase program and reduced the 2010 repurchase program by 4,333,316 shares. As of April 30, 2011, a total of 5,666,684 shares remain available under the 2010 repurchase program.</t>
        </r>
      </text>
    </comment>
    <comment ref="CA164" authorId="7">
      <text>
        <r>
          <rPr>
            <b/>
            <sz val="8"/>
            <color indexed="81"/>
            <rFont val="Tahoma"/>
            <family val="2"/>
          </rPr>
          <t>turleamb:</t>
        </r>
        <r>
          <rPr>
            <sz val="8"/>
            <color indexed="81"/>
            <rFont val="Tahoma"/>
            <family val="2"/>
          </rPr>
          <t xml:space="preserve">
4/30/12 10-q: On February 28, 2006, a stock repurchase authorization by the Company's Board of Directors allowed the Company to repurchase up to 8,000,000 common shares. On November 16, 2010 and August 25, 2011, two additional stock repurchase authorizations by the Company's Board of Directors allowed the Company to repurchase, in aggregate, 20,000,000 additional common shares.
The Company repurchased all of the remaining outstanding shares available under the above authorizations during fiscal 2012. As a result, there were no share repurchases during the three months ended April 30, 2012. The Company repurchased and subsequently retired 4,824,869 common shares at a total cost of $148,674 during the three months ended April 30, 2011. The average cost per share of the repurchases was $30.81, including commissions.
As a result of the share repurchases for the three months ended April 30, 2011, the Company reduced the balance of additional paid-in-capital to zero, which required subsequent share repurchases to be recorded as a reduction of retained earnings. As a result, the Company reduced retained earnings by $115,778 during the three months ended April 30, 2011</t>
        </r>
      </text>
    </comment>
    <comment ref="BS165" authorId="7">
      <text>
        <r>
          <rPr>
            <b/>
            <sz val="8"/>
            <color indexed="81"/>
            <rFont val="Tahoma"/>
            <family val="2"/>
          </rPr>
          <t>turleamb:</t>
        </r>
        <r>
          <rPr>
            <sz val="8"/>
            <color indexed="81"/>
            <rFont val="Tahoma"/>
            <family val="2"/>
          </rPr>
          <t xml:space="preserve">
During the three and six months ended July 31, 2011, the Company repurchased and subsequently retired 2,340,330 common shares at a total cost of $67,319 and 7,165,199 common shares at a total cost of $215,993, respectively. The average cost per share of the repurchases for the three and six months ended July 31, 2011 was $28.76 and $30.14, respectively, including commissions. During the three and six months ended July 31, 2010 the Company repurchased and subsequently retired 2,015,180 common shares at a total cost of $68,002. The average cost per share was $33.74, including commissions. During the three and six months ended July 31, 2010, the Company repurchased and subsequently retired 112,770 common shares for $3,986 from an employee to meet a minimum statutory tax withholding requirement. As of July 31, 2011, a total of 3,326,354 common shares remained available under the 2010 authorization.</t>
        </r>
      </text>
    </comment>
    <comment ref="BW165" authorId="7">
      <text>
        <r>
          <rPr>
            <b/>
            <sz val="8"/>
            <color indexed="81"/>
            <rFont val="Tahoma"/>
            <family val="2"/>
          </rPr>
          <t>turleamb:</t>
        </r>
        <r>
          <rPr>
            <sz val="8"/>
            <color indexed="81"/>
            <rFont val="Tahoma"/>
            <family val="2"/>
          </rPr>
          <t xml:space="preserve">
During the three and six months ended July 31, 2011, the Company repurchased and subsequently retired 2,340,330 common shares at a total cost of $67,319 and 7,165,199 common shares at a total cost of $215,993, respectively. The average cost per share of the repurchases for the three and six months ended July 31, 2011 was $28.76 and $30.14, respectively, including commissions. During the three and six months ended July 31, 2010 the Company repurchased and subsequently retired 2,015,180 common shares at a total cost of $68,002. The average cost per share was $33.74, including commissions. During the three and six months ended July 31, 2010, the Company repurchased and subsequently retired 112,770 common shares for $3,986 from an employee to meet a minimum statutory tax withholding requirement. As of July 31, 2011, a total of 3,326,354 common shares remained available under the 2010 authorization.</t>
        </r>
      </text>
    </comment>
    <comment ref="CA165" authorId="7">
      <text>
        <r>
          <rPr>
            <b/>
            <sz val="8"/>
            <color indexed="81"/>
            <rFont val="Tahoma"/>
            <family val="2"/>
          </rPr>
          <t>turleamb:</t>
        </r>
        <r>
          <rPr>
            <sz val="8"/>
            <color indexed="81"/>
            <rFont val="Tahoma"/>
            <family val="2"/>
          </rPr>
          <t xml:space="preserve">
9/31/12 10-Q: On February 28, 2006, a stock repurchase authorization by the Company’s Board of Directors allowed the Company to repurchase up to 8,000,000 common shares. On November 16, 2010 and August 25, 2011, two additional stock repurchase authorizations by the Company’s Board of Directors allowed the Company to repurchase, in aggregate, 20,000,000 additional common shares.
The Company repurchased all of the remaining outstanding shares available under the above authorizations during fiscal 2012. As a result, there were no share repurchases during the six months ended July 31, 2012. The Company repurchased and subsequently retired 7,165,199 common shares at a total cost of $215,993 during the six months ended July 31, 2011. The average cost per share of the repurchases was $30.14, including commissions.
As a result of the share repurchases for the six months ended July 31, 2011, the Company reduced the balance of additional paid-in-capital to zero, which required subsequent share repurchases to be recorded as a reduction of retained earnings. During the six months ended July 31, 2011, the Company reduced retained earnings by $179,543.</t>
        </r>
      </text>
    </comment>
    <comment ref="BW166" authorId="7">
      <text>
        <r>
          <rPr>
            <b/>
            <sz val="8"/>
            <color indexed="81"/>
            <rFont val="Tahoma"/>
            <family val="2"/>
          </rPr>
          <t>turleamb:</t>
        </r>
        <r>
          <rPr>
            <sz val="8"/>
            <color indexed="81"/>
            <rFont val="Tahoma"/>
            <family val="2"/>
          </rPr>
          <t xml:space="preserve">
10-31-11 10-Q: During the three and nine months ended October 31, 2011, the Company repurchased and subsequently retired 13,326,354 common shares at a total cost of $322,318 and 20,491,530 common shares at a total cost of $538,311, respectively. The average cost per share of the repurchases for the three and nine months ended October 31, 2011 was $24.19 and $26.27, respectively, including commissions. During the three and nine months ended October 31, 2010, the Company repurchased and subsequently retired 4,273,267 common shares at a total cost of $132,735 and 6,288,447 common shares at a total cost of $200,737, respectively. The average cost per share of the repurchases for the three and nine months ended October 31, 2010 was $31.06 and $31.92, respectively, including commissions. During the nine months ended October 31, 2010, the Company repurchased and subsequently retired 112,770 common shares for $3,986 from an employee to meet a minimum statutory tax withholding requirement. As of October 31, 2011, there were no common shares available for repurchase under the program.</t>
        </r>
      </text>
    </comment>
    <comment ref="CA166" authorId="7">
      <text>
        <r>
          <rPr>
            <b/>
            <sz val="8"/>
            <color indexed="81"/>
            <rFont val="Tahoma"/>
            <family val="2"/>
          </rPr>
          <t>turleamb:</t>
        </r>
        <r>
          <rPr>
            <sz val="8"/>
            <color indexed="81"/>
            <rFont val="Tahoma"/>
            <family val="2"/>
          </rPr>
          <t xml:space="preserve">
10/31/12 10-Q: On February 28, 2006, a stock repurchase authorization by the Company’s Board of Directors allowed the Company to repurchase up to 8,000,000 common shares. On November 16, 2010 and August 25, 2011, two additional stock repurchase authorizations by the Company’s Board of Directors allowed the Company to repurchase, in aggregate, 20,000,000 additional common shares.
The Company repurchased all of the remaining outstanding shares available under the above authorizations during fiscal 2012. There were no share repurchases during the nine months ended October 31, 2012. The Company repurchased and subsequently retired 20,491,530 common shares at a total cost of $538,311 during the nine months ended October 31, 2011. The average cost per share of the repurchases was $26.27, including commissions.
As a result of the share repurchases for the nine months ended October 31, 2011, the Company reduced the balance of additional paid-in-capital to zero, which required subsequent share repurchases to be recorded as a reduction of retained earnings. During the nine months ended October 31, 2011, the Company reduced retained earnings by $498,339 related to these share repurchases.</t>
        </r>
      </text>
    </comment>
    <comment ref="CE166" authorId="7">
      <text>
        <r>
          <rPr>
            <b/>
            <sz val="8"/>
            <color indexed="81"/>
            <rFont val="Tahoma"/>
            <family val="2"/>
          </rPr>
          <t>turleamb:</t>
        </r>
        <r>
          <rPr>
            <sz val="8"/>
            <color indexed="81"/>
            <rFont val="Tahoma"/>
            <family val="2"/>
          </rPr>
          <t xml:space="preserve">
8/27/13: On August 27, 2013, the Company’s Board of Directors authorized the repurchase of 10,000,000 common shares under a share repurchase program. The Company repurchased and subsequently retired 300,300 common shares at a total cost of $10,694 during the three and nine months ended October 31, 2013. The average cost per share of the repurchases for the three and nine months ended October 31, 2013 was $35.61, including commissions.
In addition to the shares repurchased under the share repurchase program, the Company acquired and subsequently retired 9,178 common shares at a total cost of $385 from employees to meet minimum statutory tax withholding requirements during the nine months ended October 31, 2013.</t>
        </r>
      </text>
    </comment>
    <comment ref="BM174" authorId="9">
      <text>
        <r>
          <rPr>
            <sz val="9"/>
            <color indexed="81"/>
            <rFont val="Tahoma"/>
            <family val="2"/>
          </rPr>
          <t>CF - incl proceeds from exercise of stock options</t>
        </r>
      </text>
    </comment>
    <comment ref="CE199" authorId="7">
      <text>
        <r>
          <rPr>
            <b/>
            <sz val="8"/>
            <color indexed="81"/>
            <rFont val="Tahoma"/>
            <family val="2"/>
          </rPr>
          <t>turleamb:</t>
        </r>
        <r>
          <rPr>
            <sz val="8"/>
            <color indexed="81"/>
            <rFont val="Tahoma"/>
            <family val="2"/>
          </rPr>
          <t xml:space="preserve">
10/31/13 10-Q: On August 27, 2013, the Company’s Board of Directors authorized the repurchase of 10,000,000 common shares under a share repurchase program. The Company repurchased and subsequently retired 300,300 common shares at a total cost of $10,694 during the three and nine months ended October 31, 2013. The average cost per share of the repurchases for the three and nine months ended October 31, 2013 was $35.61, including commissions.</t>
        </r>
      </text>
    </comment>
    <comment ref="CI255" authorId="7">
      <text>
        <r>
          <rPr>
            <b/>
            <sz val="9"/>
            <color indexed="81"/>
            <rFont val="Tahoma"/>
            <family val="2"/>
          </rPr>
          <t>turleamb:</t>
        </r>
        <r>
          <rPr>
            <sz val="9"/>
            <color indexed="81"/>
            <rFont val="Tahoma"/>
            <family val="2"/>
          </rPr>
          <t xml:space="preserve">
6/10/14: shares outstanding as of 6/2/14 was 137,751,372</t>
        </r>
      </text>
    </comment>
    <comment ref="BW256" authorId="6">
      <text>
        <r>
          <rPr>
            <b/>
            <sz val="8"/>
            <color indexed="81"/>
            <rFont val="Tahoma"/>
            <family val="2"/>
          </rPr>
          <t>nicholjs:</t>
        </r>
        <r>
          <rPr>
            <sz val="8"/>
            <color indexed="81"/>
            <rFont val="Tahoma"/>
            <family val="2"/>
          </rPr>
          <t xml:space="preserve">
159,690,475 shares out as of June 6</t>
        </r>
      </text>
    </comment>
    <comment ref="CI256" authorId="7">
      <text>
        <r>
          <rPr>
            <b/>
            <sz val="9"/>
            <color indexed="81"/>
            <rFont val="Tahoma"/>
            <family val="2"/>
          </rPr>
          <t>turleamb:</t>
        </r>
        <r>
          <rPr>
            <sz val="9"/>
            <color indexed="81"/>
            <rFont val="Tahoma"/>
            <family val="2"/>
          </rPr>
          <t xml:space="preserve">
6/10/14: shares outstanding as of 6/2/14 was 137,751,372</t>
        </r>
      </text>
    </comment>
    <comment ref="CM256" authorId="10">
      <text>
        <r>
          <rPr>
            <b/>
            <sz val="9"/>
            <color indexed="81"/>
            <rFont val="Tahoma"/>
            <family val="2"/>
          </rPr>
          <t>Baglione, Gregory  (Research):</t>
        </r>
        <r>
          <rPr>
            <sz val="9"/>
            <color indexed="81"/>
            <rFont val="Tahoma"/>
            <family val="2"/>
          </rPr>
          <t xml:space="preserve">
8/12/15
During the second quarter, the Company repurchased and retired 6.6
million common shares for approximately $236 million.</t>
        </r>
      </text>
    </comment>
    <comment ref="BW257" authorId="6">
      <text>
        <r>
          <rPr>
            <b/>
            <sz val="8"/>
            <color indexed="81"/>
            <rFont val="Tahoma"/>
            <family val="2"/>
          </rPr>
          <t>nicholjs:</t>
        </r>
        <r>
          <rPr>
            <sz val="8"/>
            <color indexed="81"/>
            <rFont val="Tahoma"/>
            <family val="2"/>
          </rPr>
          <t xml:space="preserve">
153,918,661 shares out 
144M basic o/s shares, end of qtr
so 146-147M good diluted share count for 4Q assuming mid to hi 20's share price</t>
        </r>
      </text>
    </comment>
    <comment ref="CI257" authorId="9">
      <text>
        <r>
          <rPr>
            <b/>
            <sz val="9"/>
            <color indexed="81"/>
            <rFont val="Tahoma"/>
            <family val="2"/>
          </rPr>
          <t>Turley, Amber (Research):</t>
        </r>
        <r>
          <rPr>
            <sz val="9"/>
            <color indexed="81"/>
            <rFont val="Tahoma"/>
            <family val="2"/>
          </rPr>
          <t xml:space="preserve">
As of 9/9/14 10-Q release there were 134.3m basic shares outstanding. </t>
        </r>
      </text>
    </comment>
    <comment ref="CI258" authorId="9">
      <text>
        <r>
          <rPr>
            <b/>
            <sz val="9"/>
            <color indexed="81"/>
            <rFont val="Tahoma"/>
            <family val="2"/>
          </rPr>
          <t>Turley, Amber (Research):</t>
        </r>
        <r>
          <rPr>
            <sz val="9"/>
            <color indexed="81"/>
            <rFont val="Tahoma"/>
            <family val="2"/>
          </rPr>
          <t xml:space="preserve">
URBN repo'd 2.6M shares prior to its 12/10- 10-Q release. Assume 2/3 weight of share repo's</t>
        </r>
      </text>
    </comment>
    <comment ref="BW259" authorId="7">
      <text>
        <r>
          <rPr>
            <b/>
            <sz val="9"/>
            <color indexed="81"/>
            <rFont val="Tahoma"/>
            <family val="2"/>
          </rPr>
          <t>turleamb:</t>
        </r>
        <r>
          <rPr>
            <sz val="9"/>
            <color indexed="81"/>
            <rFont val="Tahoma"/>
            <family val="2"/>
          </rPr>
          <t xml:space="preserve">
10-K:  The Company repurchased and subsequently retired 20,491,530 common shares at a total cost of $538,311, or an average cost of $26.27 per share, including commissions, during the fiscal year ended January 31, 2012</t>
        </r>
      </text>
    </comment>
    <comment ref="BW266" authorId="6">
      <text>
        <r>
          <rPr>
            <b/>
            <sz val="8"/>
            <color indexed="81"/>
            <rFont val="Tahoma"/>
            <family val="2"/>
          </rPr>
          <t>nicholjs:</t>
        </r>
        <r>
          <rPr>
            <sz val="8"/>
            <color indexed="81"/>
            <rFont val="Tahoma"/>
            <family val="2"/>
          </rPr>
          <t xml:space="preserve">
was $27mm</t>
        </r>
      </text>
    </comment>
    <comment ref="CE267" authorId="7">
      <text>
        <r>
          <rPr>
            <b/>
            <sz val="8"/>
            <color indexed="81"/>
            <rFont val="Tahoma"/>
            <family val="2"/>
          </rPr>
          <t>turleamb:</t>
        </r>
        <r>
          <rPr>
            <sz val="8"/>
            <color indexed="81"/>
            <rFont val="Tahoma"/>
            <family val="2"/>
          </rPr>
          <t xml:space="preserve">
11/18/13: CapEx was $62m in 3Q</t>
        </r>
      </text>
    </comment>
  </commentList>
</comments>
</file>

<file path=xl/comments6.xml><?xml version="1.0" encoding="utf-8"?>
<comments xmlns="http://schemas.openxmlformats.org/spreadsheetml/2006/main">
  <authors>
    <author>dong2</author>
    <author>mm98285</author>
    <author>nicholjs</author>
    <author>Lehman Brothers</author>
    <author>Kimberly Greenberger</author>
    <author>MB33100</author>
    <author>lauraro</author>
    <author>turleamb</author>
    <author>Baglione, Gregory  (Research)</author>
    <author>Cassel, Lauren (Research)</author>
    <author>Roberts, Cynthia (Research)</author>
    <author>kimberlg</author>
    <author>Turley, Amber (Research)</author>
    <author>casselau</author>
    <author>dliu</author>
    <author>Corinna Freedman</author>
    <author>ns66486</author>
    <author>kg51925</author>
    <author>CREDIT SUISSE FIRST BOSTON</author>
    <author>Baglione, Gregory (Research)</author>
  </authors>
  <commentList>
    <comment ref="E12" authorId="0">
      <text>
        <r>
          <rPr>
            <b/>
            <sz val="8"/>
            <color indexed="81"/>
            <rFont val="Tahoma"/>
            <family val="2"/>
          </rPr>
          <t>dong2:</t>
        </r>
        <r>
          <rPr>
            <sz val="8"/>
            <color indexed="81"/>
            <rFont val="Tahoma"/>
            <family val="2"/>
          </rPr>
          <t xml:space="preserve">
from 98 10-K- co. believes increased net sales from Wholesale in 96 and 97 were due to popularity of product lines</t>
        </r>
      </text>
    </comment>
    <comment ref="F12" authorId="0">
      <text>
        <r>
          <rPr>
            <b/>
            <sz val="8"/>
            <color indexed="81"/>
            <rFont val="Tahoma"/>
            <family val="2"/>
          </rPr>
          <t>dong2:</t>
        </r>
        <r>
          <rPr>
            <sz val="8"/>
            <color indexed="81"/>
            <rFont val="Tahoma"/>
            <family val="2"/>
          </rPr>
          <t xml:space="preserve">
decrease reflected lower purchases by larger retail chains, as well as customer issues regarding quality, delivery and fashion, which have been addressed by mgmt</t>
        </r>
      </text>
    </comment>
    <comment ref="Q13" authorId="1">
      <text>
        <r>
          <rPr>
            <b/>
            <sz val="8"/>
            <color indexed="81"/>
            <rFont val="Tahoma"/>
            <family val="2"/>
          </rPr>
          <t>mm98285:</t>
        </r>
        <r>
          <rPr>
            <sz val="8"/>
            <color indexed="81"/>
            <rFont val="Tahoma"/>
            <family val="2"/>
          </rPr>
          <t xml:space="preserve">
10K: Total 2008 international sales were $171M, +27% vs. $134.6M LY. U.O’s European store sales were 6.2% of 2008 sales (or $111.8M). </t>
        </r>
      </text>
    </comment>
    <comment ref="R13" authorId="2">
      <text>
        <r>
          <rPr>
            <b/>
            <sz val="8"/>
            <color indexed="81"/>
            <rFont val="Tahoma"/>
            <family val="2"/>
          </rPr>
          <t>nicholjs:</t>
        </r>
        <r>
          <rPr>
            <sz val="8"/>
            <color indexed="81"/>
            <rFont val="Tahoma"/>
            <family val="2"/>
          </rPr>
          <t xml:space="preserve">
total international $247.028 vs. $185.028 LY</t>
        </r>
      </text>
    </comment>
    <comment ref="H16" authorId="0">
      <text>
        <r>
          <rPr>
            <b/>
            <sz val="8"/>
            <color indexed="81"/>
            <rFont val="Tahoma"/>
            <family val="2"/>
          </rPr>
          <t>dong2:</t>
        </r>
        <r>
          <rPr>
            <sz val="8"/>
            <color indexed="81"/>
            <rFont val="Tahoma"/>
            <family val="2"/>
          </rPr>
          <t xml:space="preserve">
in 99 10-K, indicated there were 15 store openings planned in 00</t>
        </r>
      </text>
    </comment>
    <comment ref="K16" authorId="3">
      <text>
        <r>
          <rPr>
            <b/>
            <sz val="8"/>
            <color indexed="81"/>
            <rFont val="Tahoma"/>
            <family val="2"/>
          </rPr>
          <t>Lehman Brothers:</t>
        </r>
        <r>
          <rPr>
            <sz val="8"/>
            <color indexed="81"/>
            <rFont val="Tahoma"/>
            <family val="2"/>
          </rPr>
          <t xml:space="preserve">
had 18; co. guided to 20 on 1q02 conf. Call on 5/16</t>
        </r>
      </text>
    </comment>
    <comment ref="M16" authorId="4">
      <text>
        <r>
          <rPr>
            <sz val="8"/>
            <color indexed="81"/>
            <rFont val="Tahoma"/>
            <family val="2"/>
          </rPr>
          <t>8/11 guided to 30-32 new stores
28-32 stores probably open in 2005</t>
        </r>
      </text>
    </comment>
    <comment ref="N16" authorId="5">
      <text>
        <r>
          <rPr>
            <b/>
            <sz val="8"/>
            <color indexed="81"/>
            <rFont val="Tahoma"/>
            <family val="2"/>
          </rPr>
          <t>MB33100:</t>
        </r>
        <r>
          <rPr>
            <sz val="8"/>
            <color indexed="81"/>
            <rFont val="Tahoma"/>
            <family val="2"/>
          </rPr>
          <t xml:space="preserve">
11.7.06 per 3Q sales release, expect 32-33 store openings
3.9.06 per 4Q05 conf call 35-38 stores in 2006
</t>
        </r>
        <r>
          <rPr>
            <sz val="9"/>
            <color indexed="81"/>
            <rFont val="Tahoma"/>
            <family val="2"/>
          </rPr>
          <t xml:space="preserve">per Jan sales release, 36-40 store openings in 2007
</t>
        </r>
      </text>
    </comment>
    <comment ref="O16" authorId="1">
      <text>
        <r>
          <rPr>
            <b/>
            <sz val="8"/>
            <color indexed="81"/>
            <rFont val="Tahoma"/>
            <family val="2"/>
          </rPr>
          <t>mm98285:</t>
        </r>
        <r>
          <rPr>
            <sz val="8"/>
            <color indexed="81"/>
            <rFont val="Tahoma"/>
            <family val="2"/>
          </rPr>
          <t xml:space="preserve">
2006 10K: plan to open atleast 38 new stores, incl. 6-10 F.P. &amp; remaining new stores divided equally btw U.O. and Anthro
3/07: 38 new stores</t>
        </r>
      </text>
    </comment>
    <comment ref="P16" authorId="1">
      <text>
        <r>
          <rPr>
            <b/>
            <sz val="8"/>
            <color indexed="81"/>
            <rFont val="Tahoma"/>
            <family val="2"/>
          </rPr>
          <t>mm98285:</t>
        </r>
        <r>
          <rPr>
            <sz val="8"/>
            <color indexed="81"/>
            <rFont val="Tahoma"/>
            <family val="2"/>
          </rPr>
          <t xml:space="preserve">
11/08: expects to open 47 stores
5/08: expect to open 45 stores
3/08: expect to open 45-49 new stores (includes 9-15 FP and 1-2 Terrain)</t>
        </r>
      </text>
    </comment>
    <comment ref="Q16" authorId="1">
      <text>
        <r>
          <rPr>
            <b/>
            <sz val="8"/>
            <color indexed="81"/>
            <rFont val="Tahoma"/>
            <family val="2"/>
          </rPr>
          <t>mm98285:</t>
        </r>
        <r>
          <rPr>
            <sz val="8"/>
            <color indexed="81"/>
            <rFont val="Tahoma"/>
            <family val="2"/>
          </rPr>
          <t xml:space="preserve">
11/12/09: expect 32-34 new stores
2Q 10Q: 34-36 incl. 5 F.P (rest even btw divs)
1Q 10Q: expect 35-38 stores incl 6 FP and equal amount of UO and Anthro
5/09: expect to open 42 stores
2/09: expect to open ~52 stores in FY10</t>
        </r>
      </text>
    </comment>
    <comment ref="R16" authorId="1">
      <text>
        <r>
          <rPr>
            <sz val="8"/>
            <color indexed="81"/>
            <rFont val="Tahoma"/>
            <family val="2"/>
          </rPr>
          <t>12/2010 (10Q): expect to open ~45 new stores during the year, including ~21 UO, ~15 Anthro, ~9 Free People
8/2010 (10Q): expect to open ~45 new stores during the year, including ~16 Anthro, ~21 UO, ~8 Free People
5/2010: expect to open ~45 new stores during the year
6/2010 10Q: plan to open 45 stores, including 8 Free People and remainder divided evenly btwn UO and Anthro</t>
        </r>
        <r>
          <rPr>
            <b/>
            <sz val="8"/>
            <color indexed="81"/>
            <rFont val="Tahoma"/>
            <family val="2"/>
          </rPr>
          <t xml:space="preserve">
</t>
        </r>
        <r>
          <rPr>
            <sz val="8"/>
            <color indexed="81"/>
            <rFont val="Tahoma"/>
            <family val="2"/>
          </rPr>
          <t>10K: expect to open 45 new stores, 9 Free People, rest split between Anthro/UO</t>
        </r>
        <r>
          <rPr>
            <b/>
            <sz val="8"/>
            <color indexed="81"/>
            <rFont val="Tahoma"/>
            <family val="2"/>
          </rPr>
          <t xml:space="preserve">
</t>
        </r>
        <r>
          <rPr>
            <sz val="8"/>
            <color indexed="81"/>
            <rFont val="Tahoma"/>
            <family val="2"/>
          </rPr>
          <t>11/09: expect up to 50 new stores (we assume low 40s given co history of overpromising) with 15-20 at each division
3/09: expect to open 42-45 new stores</t>
        </r>
      </text>
    </comment>
    <comment ref="S16" authorId="2">
      <text>
        <r>
          <rPr>
            <b/>
            <sz val="8"/>
            <color indexed="81"/>
            <rFont val="Tahoma"/>
            <family val="2"/>
          </rPr>
          <t xml:space="preserve">11/14: 
</t>
        </r>
        <r>
          <rPr>
            <sz val="8"/>
            <color indexed="81"/>
            <rFont val="Tahoma"/>
            <family val="2"/>
          </rPr>
          <t>we plan to open 21 new stores in the fourth quarter bringing our annual new store total to 57 this year including 14 Anthropologie stores in North America, one Anthropologie store in Europe, 20 Free People stores in the United States, 14 Urban Outfitters stores in North America, 7 Urban Outfitters stores in Europe and 1 Beholden store.</t>
        </r>
        <r>
          <rPr>
            <b/>
            <sz val="8"/>
            <color indexed="81"/>
            <rFont val="Tahoma"/>
            <family val="2"/>
          </rPr>
          <t xml:space="preserve">
nicholjs:</t>
        </r>
        <r>
          <rPr>
            <sz val="8"/>
            <color indexed="81"/>
            <rFont val="Tahoma"/>
            <family val="2"/>
          </rPr>
          <t xml:space="preserve">
9/6/2011 (10Q): 55-57 new stores, including one BHLDN, 14 Free People, and rest split between UO and Anthro
6/8/2011 (10Q): 50-55 new stores, including one BHLDN, 14 Free People, and rest split between UO and Anthro
11/2010: 50-55 new stores, okay to go to high end of the range
9/2010: OK to assume it will be more than 2010</t>
        </r>
      </text>
    </comment>
    <comment ref="T16" authorId="6">
      <text>
        <r>
          <rPr>
            <b/>
            <sz val="8"/>
            <color indexed="81"/>
            <rFont val="Tahoma"/>
            <family val="2"/>
          </rPr>
          <t xml:space="preserve">8/20/12: </t>
        </r>
        <r>
          <rPr>
            <sz val="8"/>
            <color indexed="81"/>
            <rFont val="Tahoma"/>
            <family val="2"/>
          </rPr>
          <t>51 new stores</t>
        </r>
        <r>
          <rPr>
            <b/>
            <sz val="8"/>
            <color indexed="81"/>
            <rFont val="Tahoma"/>
            <family val="2"/>
          </rPr>
          <t xml:space="preserve">
lauraro:</t>
        </r>
        <r>
          <rPr>
            <sz val="8"/>
            <color indexed="81"/>
            <rFont val="Tahoma"/>
            <family val="2"/>
          </rPr>
          <t xml:space="preserve">
</t>
        </r>
        <r>
          <rPr>
            <b/>
            <sz val="8"/>
            <color indexed="81"/>
            <rFont val="Tahoma"/>
            <family val="2"/>
          </rPr>
          <t>11/14:</t>
        </r>
        <r>
          <rPr>
            <sz val="8"/>
            <color indexed="81"/>
            <rFont val="Tahoma"/>
            <family val="2"/>
          </rPr>
          <t xml:space="preserve"> As we look forward to fiscal 2013, we are planning for low double digit square footage growth and are targeting 55 to 60 new stores.</t>
        </r>
      </text>
    </comment>
    <comment ref="U16" authorId="7">
      <text>
        <r>
          <rPr>
            <b/>
            <sz val="8"/>
            <color indexed="81"/>
            <rFont val="Tahoma"/>
            <family val="2"/>
          </rPr>
          <t>turleamb:</t>
        </r>
        <r>
          <rPr>
            <sz val="8"/>
            <color indexed="81"/>
            <rFont val="Tahoma"/>
            <family val="2"/>
          </rPr>
          <t xml:space="preserve">
8/19 2Q EPS: planning to open approximately 35 to 40 new stores during the year</t>
        </r>
      </text>
    </comment>
    <comment ref="V16" authorId="7">
      <text>
        <r>
          <rPr>
            <b/>
            <sz val="8"/>
            <color indexed="81"/>
            <rFont val="Tahoma"/>
            <family val="2"/>
          </rPr>
          <t>turleamb:</t>
        </r>
        <r>
          <rPr>
            <sz val="8"/>
            <color indexed="81"/>
            <rFont val="Tahoma"/>
            <family val="2"/>
          </rPr>
          <t xml:space="preserve">
1/13/14 ICR: plan to open 39 stores. Focus is creating Larger format stores w/ expanded categories (hope to present at URBN 2014 investor day); plan to open expanded stores in 2014 or early 2015</t>
        </r>
      </text>
    </comment>
    <comment ref="X16" authorId="8">
      <text>
        <r>
          <rPr>
            <b/>
            <sz val="9"/>
            <color indexed="81"/>
            <rFont val="Tahoma"/>
            <family val="2"/>
          </rPr>
          <t>Baglione, Gregory  (Research):</t>
        </r>
        <r>
          <rPr>
            <sz val="9"/>
            <color indexed="81"/>
            <rFont val="Tahoma"/>
            <family val="2"/>
          </rPr>
          <t xml:space="preserve">
11/22/16
We are planning to open a total of approximately 23 net new stores for the year, excluding our
food &amp; beverage division. For the fourth quarter, we are planning four net new stores including
one new Urban Outfitters store in North America, one new Anthropologie store in the UK, two
Anthropologie closures in North America due to lease expiration and four new Free People
stores and one closure due to lease expiration. The planned fourth quarter openings would result
in the following store changes for the year: 3 net new Urban Outfitters Stores, including 1 in 
Europe, 7 net new Anthropologie Stores, including 2 in Europe and 13 net new Free People
Stores. For fiscal 2017, we also opened two new Vetri Pizzerias and one Café adjacent to an
Anthropologie large format store.
8/16/16
For the third quarter, we are planning six new Anthropologie stores, including one new Anthropologie store in Europe, two new urban outfitter stores and three new Free People stores. For the year, we are planning on opening three net new urban outfitter stores including one in Europe, seven net new Anthropologie stores including two in Europe, and 13 net new Free People stores. 
5/18/16
For the year we're planning on opening 4 net new urban outfitters stores including one in Europe, eight net new Anthropologie stores includingtwo in Europe and 12 that new Free People stores . Additionally we're expanding our relocating for existing Free People stores in support of our new Anthropologie store format.
3/7/16
For the year, we are planning on opening four net new Urban Outfitters stores including one in Europe, 10 net new Anthropologie stores including two in Europe, and 12 net new Free People stores. 
</t>
        </r>
      </text>
    </comment>
    <comment ref="Y16" authorId="9">
      <text>
        <r>
          <rPr>
            <b/>
            <sz val="9"/>
            <color indexed="81"/>
            <rFont val="Tahoma"/>
            <family val="2"/>
          </rPr>
          <t>Cassel, Lauren (Research):</t>
        </r>
        <r>
          <rPr>
            <sz val="9"/>
            <color indexed="81"/>
            <rFont val="Tahoma"/>
            <family val="2"/>
          </rPr>
          <t xml:space="preserve">
3/7/17: We are planning on opening 19 new stores during the year while closing seven stores due to these expirations. Urban Outfitters is planning on opening one new store in North America while closing two stores and is planning on opening three new stores in Europe. Anthropologie is planning on opening four new stores and including one expanded format store and closing two stores all in North America. Free People is planning on opening 10 new stores and closing three stores all also in North America. The food and beverage division will be opening one restaurant adjacent to an expanded format Anthropologie that will be open later this year. As we've been discussing for some time now, we believe we are essentially at our total store count in North America</t>
        </r>
      </text>
    </comment>
    <comment ref="Z16" authorId="10">
      <text>
        <r>
          <rPr>
            <b/>
            <sz val="9"/>
            <color indexed="81"/>
            <rFont val="Tahoma"/>
            <family val="2"/>
          </rPr>
          <t>Roberts, Cynthia (Research):</t>
        </r>
        <r>
          <rPr>
            <sz val="9"/>
            <color indexed="81"/>
            <rFont val="Tahoma"/>
            <family val="2"/>
          </rPr>
          <t xml:space="preserve">
3/6/18: Plan to open 17 new stores</t>
        </r>
      </text>
    </comment>
    <comment ref="H17" authorId="0">
      <text>
        <r>
          <rPr>
            <b/>
            <sz val="8"/>
            <color indexed="81"/>
            <rFont val="Tahoma"/>
            <family val="2"/>
          </rPr>
          <t>dong2:</t>
        </r>
        <r>
          <rPr>
            <sz val="8"/>
            <color indexed="81"/>
            <rFont val="Tahoma"/>
            <family val="2"/>
          </rPr>
          <t xml:space="preserve">
the SF store was expanded - from base of 10,093 selling, 8,489 was added</t>
        </r>
      </text>
    </comment>
    <comment ref="K17" authorId="3">
      <text>
        <r>
          <rPr>
            <b/>
            <sz val="8"/>
            <color indexed="81"/>
            <rFont val="Tahoma"/>
            <family val="2"/>
          </rPr>
          <t>Lehman Brothers:</t>
        </r>
        <r>
          <rPr>
            <sz val="8"/>
            <color indexed="81"/>
            <rFont val="Tahoma"/>
            <family val="2"/>
          </rPr>
          <t xml:space="preserve">
had 7, then 8, then changed to 9 after 3Q conf call when Dick said "roughly split" on the openings. On 4Q cc - guided to 8-10 Urbn</t>
        </r>
      </text>
    </comment>
    <comment ref="N17" authorId="5">
      <text>
        <r>
          <rPr>
            <b/>
            <sz val="8"/>
            <color indexed="81"/>
            <rFont val="Tahoma"/>
            <family val="2"/>
          </rPr>
          <t>MB33100:</t>
        </r>
        <r>
          <rPr>
            <sz val="8"/>
            <color indexed="81"/>
            <rFont val="Tahoma"/>
            <family val="2"/>
          </rPr>
          <t xml:space="preserve">
11/7: per kyees, 16 U.O. and 15 anthro</t>
        </r>
      </text>
    </comment>
    <comment ref="O17" authorId="5">
      <text>
        <r>
          <rPr>
            <b/>
            <sz val="8"/>
            <color indexed="81"/>
            <rFont val="Tahoma"/>
            <family val="2"/>
          </rPr>
          <t>MB33100:</t>
        </r>
        <r>
          <rPr>
            <sz val="8"/>
            <color indexed="81"/>
            <rFont val="Tahoma"/>
            <family val="2"/>
          </rPr>
          <t xml:space="preserve">
2006 10K: open 16 U. O. stores in 2007
2/6/07: guided to 37-41 incl 3-5 free people
11/09/06: guided to 38-40 new stores in 2007, including 6-8 free people.</t>
        </r>
      </text>
    </comment>
    <comment ref="P17" authorId="1">
      <text>
        <r>
          <rPr>
            <b/>
            <sz val="8"/>
            <color indexed="81"/>
            <rFont val="Tahoma"/>
            <family val="2"/>
          </rPr>
          <t>mm98285:</t>
        </r>
        <r>
          <rPr>
            <sz val="8"/>
            <color indexed="81"/>
            <rFont val="Tahoma"/>
            <family val="2"/>
          </rPr>
          <t xml:space="preserve">
10K: expect +16 stores
7/07: expect to open no more than 15 store per year going forward</t>
        </r>
      </text>
    </comment>
    <comment ref="Q17" authorId="1">
      <text>
        <r>
          <rPr>
            <b/>
            <sz val="8"/>
            <color indexed="81"/>
            <rFont val="Tahoma"/>
            <family val="2"/>
          </rPr>
          <t xml:space="preserve">10K:  </t>
        </r>
        <r>
          <rPr>
            <sz val="8"/>
            <color indexed="81"/>
            <rFont val="Tahoma"/>
            <family val="2"/>
          </rPr>
          <t>opened 13 new UO stores, 12 of which are located within the US and 1 which is located in Europe</t>
        </r>
        <r>
          <rPr>
            <b/>
            <sz val="8"/>
            <color indexed="81"/>
            <rFont val="Tahoma"/>
            <family val="2"/>
          </rPr>
          <t xml:space="preserve">
mm98285:</t>
        </r>
        <r>
          <rPr>
            <sz val="8"/>
            <color indexed="81"/>
            <rFont val="Tahoma"/>
            <family val="2"/>
          </rPr>
          <t xml:space="preserve">
10K: expect to open 16 stores
2/09: 17 + 3 Europe stores
11/08: 15-20
7/07: expect to open no more than 15 store per year going forward</t>
        </r>
      </text>
    </comment>
    <comment ref="R17" authorId="2">
      <text>
        <r>
          <rPr>
            <b/>
            <sz val="8"/>
            <color indexed="81"/>
            <rFont val="Tahoma"/>
            <family val="2"/>
          </rPr>
          <t>nicholjs:</t>
        </r>
        <r>
          <rPr>
            <sz val="8"/>
            <color indexed="81"/>
            <rFont val="Tahoma"/>
            <family val="2"/>
          </rPr>
          <t xml:space="preserve">
2Q10Q: 21
16 N.Am.
5 Europe</t>
        </r>
      </text>
    </comment>
    <comment ref="S17" authorId="11">
      <text>
        <r>
          <rPr>
            <b/>
            <sz val="8"/>
            <color indexed="81"/>
            <rFont val="Tahoma"/>
            <family val="2"/>
          </rPr>
          <t>kimberlg:</t>
        </r>
        <r>
          <rPr>
            <sz val="8"/>
            <color indexed="81"/>
            <rFont val="Tahoma"/>
            <family val="2"/>
          </rPr>
          <t xml:space="preserve">
6/28: probably open 6 UO Europe
10K: plan to open ~19 globally
11/2010: expect mid-high teen door growth for UO in the US, plus 4-6 for UO Europe
assume 15 N.Am plus 5 Europe stores = 20</t>
        </r>
      </text>
    </comment>
    <comment ref="T17" authorId="11">
      <text>
        <r>
          <rPr>
            <b/>
            <sz val="8"/>
            <color indexed="81"/>
            <rFont val="Tahoma"/>
            <family val="2"/>
          </rPr>
          <t xml:space="preserve">8/20/12: </t>
        </r>
        <r>
          <rPr>
            <sz val="8"/>
            <color indexed="81"/>
            <rFont val="Tahoma"/>
            <family val="2"/>
          </rPr>
          <t>18 globally</t>
        </r>
        <r>
          <rPr>
            <b/>
            <sz val="8"/>
            <color indexed="81"/>
            <rFont val="Tahoma"/>
            <family val="2"/>
          </rPr>
          <t xml:space="preserve">
kimberlg:</t>
        </r>
        <r>
          <rPr>
            <sz val="8"/>
            <color indexed="81"/>
            <rFont val="Tahoma"/>
            <family val="2"/>
          </rPr>
          <t xml:space="preserve">
15 N.Am
5 Europe
2 Asia</t>
        </r>
      </text>
    </comment>
    <comment ref="U17" authorId="11">
      <text>
        <r>
          <rPr>
            <b/>
            <sz val="8"/>
            <color indexed="81"/>
            <rFont val="Tahoma"/>
            <family val="2"/>
          </rPr>
          <t>kimberlg:</t>
        </r>
        <r>
          <rPr>
            <sz val="8"/>
            <color indexed="81"/>
            <rFont val="Tahoma"/>
            <family val="2"/>
          </rPr>
          <t xml:space="preserve">
3/10/14: for the year opened 16 UO stores
15 N.Am
5 Europe
4 Asia
turleamb: update 8/19 2Q EPS call. 16 stores with 5 in Europe</t>
        </r>
      </text>
    </comment>
    <comment ref="V17" authorId="7">
      <text>
        <r>
          <rPr>
            <b/>
            <sz val="8"/>
            <color indexed="81"/>
            <rFont val="Tahoma"/>
            <family val="2"/>
          </rPr>
          <t>turleamb:</t>
        </r>
        <r>
          <rPr>
            <sz val="8"/>
            <color indexed="81"/>
            <rFont val="Tahoma"/>
            <family val="2"/>
          </rPr>
          <t xml:space="preserve">
4/10/15: per 10-K opened 11 new UO stores
12/10/14: plan to open 11 UO stores
8/17/14: plan to open 11 new UO stores (3 in Euro)
3/10/14: Plan to open 13 UO stores (3 in Europe)
ICR 1/13/14 handout: Plan to open 10 stores in NA; 2 stores in Europe
See potential for 200-250 stores in NA, 60-100 stores in Europe, undetermined in Asia</t>
        </r>
      </text>
    </comment>
    <comment ref="W17" authorId="12">
      <text>
        <r>
          <rPr>
            <b/>
            <sz val="9"/>
            <color indexed="81"/>
            <rFont val="Tahoma"/>
            <family val="2"/>
          </rPr>
          <t>Turley, Amber (Research):</t>
        </r>
        <r>
          <rPr>
            <sz val="9"/>
            <color indexed="81"/>
            <rFont val="Tahoma"/>
            <family val="2"/>
          </rPr>
          <t xml:space="preserve">
1/13/15 at ICR: UO store count will slow down - 4 this year. Expect to grow sq.ft. in LSD range for UO. </t>
        </r>
      </text>
    </comment>
    <comment ref="X17" authorId="8">
      <text>
        <r>
          <rPr>
            <b/>
            <sz val="9"/>
            <color indexed="81"/>
            <rFont val="Tahoma"/>
            <family val="2"/>
          </rPr>
          <t>Baglione, Gregory  (Research):</t>
        </r>
        <r>
          <rPr>
            <sz val="9"/>
            <color indexed="81"/>
            <rFont val="Tahoma"/>
            <family val="2"/>
          </rPr>
          <t xml:space="preserve">
3/7/16
For the year, we are planning on opening four net new Urban Outfitters stores including one in Europe, 10 net new Anthropologie stores including two in Europe, and 12 net new Free People stores. 
</t>
        </r>
      </text>
    </comment>
    <comment ref="Y17" authorId="9">
      <text>
        <r>
          <rPr>
            <b/>
            <sz val="9"/>
            <color indexed="81"/>
            <rFont val="Tahoma"/>
            <family val="2"/>
          </rPr>
          <t>Cassel, Lauren (Research):</t>
        </r>
        <r>
          <rPr>
            <sz val="9"/>
            <color indexed="81"/>
            <rFont val="Tahoma"/>
            <family val="2"/>
          </rPr>
          <t xml:space="preserve">
3/7/17: 1 NA, closing 2 and opening 3 in Europe</t>
        </r>
      </text>
    </comment>
    <comment ref="J18" authorId="3">
      <text>
        <r>
          <rPr>
            <b/>
            <sz val="8"/>
            <color indexed="81"/>
            <rFont val="Tahoma"/>
            <family val="2"/>
          </rPr>
          <t>Lehman Brothers:</t>
        </r>
        <r>
          <rPr>
            <sz val="8"/>
            <color indexed="81"/>
            <rFont val="Tahoma"/>
            <family val="2"/>
          </rPr>
          <t xml:space="preserve">
1 Anthro store (Coral Gables) moved from Jan into Feb</t>
        </r>
      </text>
    </comment>
    <comment ref="K18" authorId="3">
      <text>
        <r>
          <rPr>
            <b/>
            <sz val="10"/>
            <color indexed="81"/>
            <rFont val="Tahoma"/>
            <family val="2"/>
          </rPr>
          <t>Lehman Brothers:</t>
        </r>
        <r>
          <rPr>
            <sz val="10"/>
            <color indexed="81"/>
            <rFont val="Tahoma"/>
            <family val="2"/>
          </rPr>
          <t xml:space="preserve">
had 12, then changed to 11 after 3Q conf call when Dick said "roughly split" on the openings. On 4Q cc - said 8-12 stores</t>
        </r>
      </text>
    </comment>
    <comment ref="N18" authorId="5">
      <text>
        <r>
          <rPr>
            <b/>
            <sz val="8"/>
            <color indexed="81"/>
            <rFont val="Tahoma"/>
            <family val="2"/>
          </rPr>
          <t>MB33100:</t>
        </r>
        <r>
          <rPr>
            <sz val="8"/>
            <color indexed="81"/>
            <rFont val="Tahoma"/>
            <family val="2"/>
          </rPr>
          <t xml:space="preserve">
11/7: per kyees, 16 U.O. and 15 anthro</t>
        </r>
      </text>
    </comment>
    <comment ref="O18" authorId="5">
      <text>
        <r>
          <rPr>
            <b/>
            <sz val="8"/>
            <color indexed="81"/>
            <rFont val="Tahoma"/>
            <family val="2"/>
          </rPr>
          <t>MB33100:</t>
        </r>
        <r>
          <rPr>
            <sz val="8"/>
            <color indexed="81"/>
            <rFont val="Tahoma"/>
            <family val="2"/>
          </rPr>
          <t xml:space="preserve">
7/07: expect to open no more than 16 stores/yr going forward
2006 10K: open 16 Anthro stores in 2007
11/09/06: guided to 38-40 new stores in 2007, including 6-8 free people.</t>
        </r>
      </text>
    </comment>
    <comment ref="P18" authorId="1">
      <text>
        <r>
          <rPr>
            <b/>
            <sz val="8"/>
            <color indexed="81"/>
            <rFont val="Tahoma"/>
            <family val="2"/>
          </rPr>
          <t>mm98285:</t>
        </r>
        <r>
          <rPr>
            <sz val="8"/>
            <color indexed="81"/>
            <rFont val="Tahoma"/>
            <family val="2"/>
          </rPr>
          <t xml:space="preserve">
10K: expect +16 stores
7/07: expect to open no more than 16 stores/yr going forward</t>
        </r>
      </text>
    </comment>
    <comment ref="Q18" authorId="1">
      <text>
        <r>
          <rPr>
            <b/>
            <sz val="8"/>
            <color indexed="81"/>
            <rFont val="Tahoma"/>
            <family val="2"/>
          </rPr>
          <t xml:space="preserve">10K: </t>
        </r>
        <r>
          <rPr>
            <sz val="8"/>
            <color indexed="81"/>
            <rFont val="Tahoma"/>
            <family val="2"/>
          </rPr>
          <t>opened 16 new stores, 12 of which are located in the US, 3 in Canada and 1 in Europe</t>
        </r>
        <r>
          <rPr>
            <b/>
            <sz val="8"/>
            <color indexed="81"/>
            <rFont val="Tahoma"/>
            <family val="2"/>
          </rPr>
          <t xml:space="preserve">
mm98285:</t>
        </r>
        <r>
          <rPr>
            <sz val="8"/>
            <color indexed="81"/>
            <rFont val="Tahoma"/>
            <family val="2"/>
          </rPr>
          <t xml:space="preserve">
10K: expect to open 16 incl. 1st Europe store
2/09: 17-20 (incl. ~3 in Eur.)
11/08: 15-20
7/07: expect to open no more than 16 stores/yr going forward</t>
        </r>
      </text>
    </comment>
    <comment ref="R18" authorId="2">
      <text>
        <r>
          <rPr>
            <b/>
            <sz val="8"/>
            <color indexed="81"/>
            <rFont val="Tahoma"/>
            <family val="2"/>
          </rPr>
          <t>nicholjs:</t>
        </r>
        <r>
          <rPr>
            <sz val="8"/>
            <color indexed="81"/>
            <rFont val="Tahoma"/>
            <family val="2"/>
          </rPr>
          <t xml:space="preserve">
2Q10Q: 16
15 N.Am.
1 UK</t>
        </r>
      </text>
    </comment>
    <comment ref="S18" authorId="11">
      <text>
        <r>
          <rPr>
            <b/>
            <sz val="8"/>
            <color indexed="81"/>
            <rFont val="Tahoma"/>
            <family val="2"/>
          </rPr>
          <t>kimberlg:</t>
        </r>
        <r>
          <rPr>
            <sz val="8"/>
            <color indexed="81"/>
            <rFont val="Tahoma"/>
            <family val="2"/>
          </rPr>
          <t xml:space="preserve">
6/28: Edinburgh opened a few weeks ago, may be the only store to open in Europe this year
10K: expect to open ~17 stores globally
11/2010: expect mid-high teen door growth for Anthro, plus 2-3 Europe
assume 15 N.Am. Plus 5 Anthro stores Europe</t>
        </r>
      </text>
    </comment>
    <comment ref="T18" authorId="13">
      <text>
        <r>
          <rPr>
            <sz val="8"/>
            <color indexed="81"/>
            <rFont val="Tahoma"/>
            <family val="2"/>
          </rPr>
          <t>During fiscal 2013, we opened 14 new Anthropologie stores, of which 11 were located in the United States and three were located in Canada. During fiscal 2013, we closed two Anthropologie stores</t>
        </r>
      </text>
    </comment>
    <comment ref="U18" authorId="7">
      <text>
        <r>
          <rPr>
            <b/>
            <sz val="8"/>
            <color indexed="81"/>
            <rFont val="Tahoma"/>
            <family val="2"/>
          </rPr>
          <t>turleamb:</t>
        </r>
        <r>
          <rPr>
            <sz val="8"/>
            <color indexed="81"/>
            <rFont val="Tahoma"/>
            <family val="2"/>
          </rPr>
          <t xml:space="preserve">
3/10/14: For the year opened 9 new Anthro stores
11/18/13: 8 stores, 1 in Europe
8/19 2Q EPS 9 stores, 1 in europe</t>
        </r>
      </text>
    </comment>
    <comment ref="V18" authorId="7">
      <text>
        <r>
          <rPr>
            <b/>
            <sz val="8"/>
            <color indexed="81"/>
            <rFont val="Tahoma"/>
            <family val="2"/>
          </rPr>
          <t>turleamb:</t>
        </r>
        <r>
          <rPr>
            <sz val="8"/>
            <color indexed="81"/>
            <rFont val="Tahoma"/>
            <family val="2"/>
          </rPr>
          <t xml:space="preserve">
4/10/15: per 10-K opened 15 new Anthro stores
12/10/14 10-Q: plan to open 16 Anthro stores
8/17/14: Plan to open 15 new Anthro stores (3 in Euro)
3/10/14: Plan to open 13 Anthro stores (3 in Europe)
1/13/14 ICR: Plan to open 12 stores in NA; 3 in Europe
See potential for 200-250 stores in NA and 60-100 stores in Europe, undetermined number in Asia</t>
        </r>
      </text>
    </comment>
    <comment ref="W18" authorId="12">
      <text>
        <r>
          <rPr>
            <b/>
            <sz val="9"/>
            <color indexed="81"/>
            <rFont val="Tahoma"/>
            <family val="2"/>
          </rPr>
          <t>Turley, Amber (Research):</t>
        </r>
        <r>
          <rPr>
            <sz val="9"/>
            <color indexed="81"/>
            <rFont val="Tahoma"/>
            <family val="2"/>
          </rPr>
          <t xml:space="preserve">
1/13/15 at ICR: Plan to have LSD Anthro/FP store growth in Europe
Includes 2 terrain,
3/7/16
Opened 14 Anthro
*Includeds 2 BHLDN</t>
        </r>
      </text>
    </comment>
    <comment ref="X18" authorId="8">
      <text>
        <r>
          <rPr>
            <b/>
            <sz val="9"/>
            <color indexed="81"/>
            <rFont val="Tahoma"/>
            <family val="2"/>
          </rPr>
          <t>Baglione, Gregory  (Research):</t>
        </r>
        <r>
          <rPr>
            <sz val="9"/>
            <color indexed="81"/>
            <rFont val="Tahoma"/>
            <family val="2"/>
          </rPr>
          <t xml:space="preserve">
3/7/16
For the year, we are planning on opening four net new Urban Outfitters stores including one in Europe, 10 net new Anthropologie stores including two in Europe, and 12 net new Free People stores. 
</t>
        </r>
      </text>
    </comment>
    <comment ref="Y18" authorId="9">
      <text>
        <r>
          <rPr>
            <b/>
            <sz val="9"/>
            <color indexed="81"/>
            <rFont val="Tahoma"/>
            <family val="2"/>
          </rPr>
          <t>Cassel, Lauren (Research):</t>
        </r>
        <r>
          <rPr>
            <sz val="9"/>
            <color indexed="81"/>
            <rFont val="Tahoma"/>
            <family val="2"/>
          </rPr>
          <t xml:space="preserve">
3/7/17: opening 4 including 1 expanded store and closing 2 stores all in NA</t>
        </r>
      </text>
    </comment>
    <comment ref="K19" authorId="14">
      <text>
        <r>
          <rPr>
            <b/>
            <sz val="10"/>
            <color indexed="81"/>
            <rFont val="Tahoma"/>
            <family val="2"/>
          </rPr>
          <t>dliu:</t>
        </r>
        <r>
          <rPr>
            <sz val="10"/>
            <color indexed="81"/>
            <rFont val="Tahoma"/>
            <family val="2"/>
          </rPr>
          <t xml:space="preserve">
4Q cc - said 2-3 FP stores</t>
        </r>
      </text>
    </comment>
    <comment ref="L19" authorId="14">
      <text>
        <r>
          <rPr>
            <b/>
            <sz val="10"/>
            <color indexed="81"/>
            <rFont val="Tahoma"/>
            <family val="2"/>
          </rPr>
          <t>dliu:</t>
        </r>
        <r>
          <rPr>
            <sz val="10"/>
            <color indexed="81"/>
            <rFont val="Tahoma"/>
            <family val="2"/>
          </rPr>
          <t xml:space="preserve">
co guided to 1-3 FP stores</t>
        </r>
      </text>
    </comment>
    <comment ref="M19" authorId="15">
      <text>
        <r>
          <rPr>
            <b/>
            <sz val="8"/>
            <color indexed="81"/>
            <rFont val="Tahoma"/>
            <family val="2"/>
          </rPr>
          <t>Corinna Freedman:</t>
        </r>
        <r>
          <rPr>
            <sz val="8"/>
            <color indexed="81"/>
            <rFont val="Tahoma"/>
            <family val="2"/>
          </rPr>
          <t xml:space="preserve">
2-3 new FP</t>
        </r>
      </text>
    </comment>
    <comment ref="N19" authorId="5">
      <text>
        <r>
          <rPr>
            <b/>
            <sz val="8"/>
            <color indexed="81"/>
            <rFont val="Tahoma"/>
            <family val="2"/>
          </rPr>
          <t>MB33100:</t>
        </r>
        <r>
          <rPr>
            <sz val="8"/>
            <color indexed="81"/>
            <rFont val="Tahoma"/>
            <family val="2"/>
          </rPr>
          <t xml:space="preserve">
per Jan sales release 3-5 store openings in 2007</t>
        </r>
      </text>
    </comment>
    <comment ref="O19" authorId="5">
      <text>
        <r>
          <rPr>
            <b/>
            <sz val="8"/>
            <color indexed="81"/>
            <rFont val="Tahoma"/>
            <family val="2"/>
          </rPr>
          <t>MB33100:</t>
        </r>
        <r>
          <rPr>
            <sz val="8"/>
            <color indexed="81"/>
            <rFont val="Tahoma"/>
            <family val="2"/>
          </rPr>
          <t xml:space="preserve">
5/07: 6-8 stores
3/07: +6-10 new stores in 2007
11/09/06: guided to 38-40 new stores in 2007, including 6-8 free people.</t>
        </r>
      </text>
    </comment>
    <comment ref="P19" authorId="1">
      <text>
        <r>
          <rPr>
            <b/>
            <sz val="8"/>
            <color indexed="81"/>
            <rFont val="Tahoma"/>
            <family val="2"/>
          </rPr>
          <t>mm98285:</t>
        </r>
        <r>
          <rPr>
            <sz val="8"/>
            <color indexed="81"/>
            <rFont val="Tahoma"/>
            <family val="2"/>
          </rPr>
          <t xml:space="preserve">
10K: 9-15 new stores</t>
        </r>
      </text>
    </comment>
    <comment ref="Q19" authorId="1">
      <text>
        <r>
          <rPr>
            <b/>
            <sz val="8"/>
            <color indexed="81"/>
            <rFont val="Tahoma"/>
            <family val="2"/>
          </rPr>
          <t>mm98285:</t>
        </r>
        <r>
          <rPr>
            <sz val="8"/>
            <color indexed="81"/>
            <rFont val="Tahoma"/>
            <family val="2"/>
          </rPr>
          <t xml:space="preserve">
10K: expect to open 9
2/09: ~10
11/08: 10-15</t>
        </r>
      </text>
    </comment>
    <comment ref="R19" authorId="16">
      <text>
        <r>
          <rPr>
            <sz val="8"/>
            <color indexed="81"/>
            <rFont val="Tahoma"/>
            <family val="2"/>
          </rPr>
          <t>6/2010 10Q: expect to open 8 Free People stores
10K: expect to open 9 Free People stores - open 9 close 1, so 8 is a net number as of 10/10</t>
        </r>
      </text>
    </comment>
    <comment ref="S19" authorId="2">
      <text>
        <r>
          <rPr>
            <b/>
            <sz val="8"/>
            <color indexed="81"/>
            <rFont val="Tahoma"/>
            <family val="2"/>
          </rPr>
          <t>nicholjs:</t>
        </r>
        <r>
          <rPr>
            <sz val="8"/>
            <color indexed="81"/>
            <rFont val="Tahoma"/>
            <family val="2"/>
          </rPr>
          <t xml:space="preserve">
9/2011 10Q: expect 14
6/2011 10Q: expect 14
10K: expect ~14
11/2010: expect ~12 stores</t>
        </r>
      </text>
    </comment>
    <comment ref="T19" authorId="13">
      <text>
        <r>
          <rPr>
            <sz val="8"/>
            <color indexed="81"/>
            <rFont val="Tahoma"/>
            <family val="2"/>
          </rPr>
          <t xml:space="preserve">As of January 31, 2013, we operated 77 Free People stores, of which 75 were located in the United States and two were located in Canada. During fiscal 2013 we opened 15 new Free People stores, of which 13 were located in the United States and two were located in Canada. </t>
        </r>
      </text>
    </comment>
    <comment ref="U19" authorId="7">
      <text>
        <r>
          <rPr>
            <b/>
            <sz val="8"/>
            <color indexed="81"/>
            <rFont val="Tahoma"/>
            <family val="2"/>
          </rPr>
          <t>turleamb:</t>
        </r>
        <r>
          <rPr>
            <sz val="8"/>
            <color indexed="81"/>
            <rFont val="Tahoma"/>
            <family val="2"/>
          </rPr>
          <t xml:space="preserve">
3/10/14: For the year opened 13 new FP stores
11/18/13: 13 new FP stores in NA
8/19: 2Q EPS call
14 stores NA</t>
        </r>
      </text>
    </comment>
    <comment ref="V19" authorId="7">
      <text>
        <r>
          <rPr>
            <b/>
            <sz val="8"/>
            <color indexed="81"/>
            <rFont val="Tahoma"/>
            <family val="2"/>
          </rPr>
          <t>turleamb:</t>
        </r>
        <r>
          <rPr>
            <sz val="8"/>
            <color indexed="81"/>
            <rFont val="Tahoma"/>
            <family val="2"/>
          </rPr>
          <t xml:space="preserve">
4/9/15: per 10-K opened 12 new FP stores
12/10/14 10-Q: plan to open 12 FP stores
8/17/14: plan to open 12 new FP stores in NA
3/10/14: Plan to open 12 stores all in NA
1/13/14 ICR: Plan to open 12 stores in NA
See potential for 125-150 stores in NA; undetermine in Europe and Asia</t>
        </r>
      </text>
    </comment>
    <comment ref="W19" authorId="12">
      <text>
        <r>
          <rPr>
            <b/>
            <sz val="9"/>
            <color indexed="81"/>
            <rFont val="Tahoma"/>
            <family val="2"/>
          </rPr>
          <t>Turley, Amber (Research):</t>
        </r>
        <r>
          <rPr>
            <sz val="9"/>
            <color indexed="81"/>
            <rFont val="Tahoma"/>
            <family val="2"/>
          </rPr>
          <t xml:space="preserve">
1/13/15 at ICR: Plan to have LSD Anthro/FP store growth in Europe
</t>
        </r>
      </text>
    </comment>
    <comment ref="X19" authorId="8">
      <text>
        <r>
          <rPr>
            <b/>
            <sz val="9"/>
            <color indexed="81"/>
            <rFont val="Tahoma"/>
            <family val="2"/>
          </rPr>
          <t>Baglione, Gregory  (Research):</t>
        </r>
        <r>
          <rPr>
            <sz val="9"/>
            <color indexed="81"/>
            <rFont val="Tahoma"/>
            <family val="2"/>
          </rPr>
          <t xml:space="preserve">
3/7/16
For the year, we are planning on opening four net new Urban Outfitters stores including one in Europe, 10 net new Anthropologie stores including two in Europe, and 12 net new Free People stores. 
</t>
        </r>
      </text>
    </comment>
    <comment ref="Y19" authorId="9">
      <text>
        <r>
          <rPr>
            <b/>
            <sz val="9"/>
            <color indexed="81"/>
            <rFont val="Tahoma"/>
            <family val="2"/>
          </rPr>
          <t>Cassel, Lauren (Research):</t>
        </r>
        <r>
          <rPr>
            <sz val="9"/>
            <color indexed="81"/>
            <rFont val="Tahoma"/>
            <family val="2"/>
          </rPr>
          <t xml:space="preserve">
3/7/17: opening 10 and closing 3 </t>
        </r>
      </text>
    </comment>
    <comment ref="Q20" authorId="1">
      <text>
        <r>
          <rPr>
            <b/>
            <sz val="8"/>
            <color indexed="81"/>
            <rFont val="Tahoma"/>
            <family val="2"/>
          </rPr>
          <t>mm98285:</t>
        </r>
        <r>
          <rPr>
            <sz val="8"/>
            <color indexed="81"/>
            <rFont val="Tahoma"/>
            <family val="2"/>
          </rPr>
          <t xml:space="preserve">
10K: expect to open 1
2/09: 0-1 (probably none)</t>
        </r>
      </text>
    </comment>
    <comment ref="T20" authorId="13">
      <text>
        <r>
          <rPr>
            <sz val="8"/>
            <color indexed="81"/>
            <rFont val="Tahoma"/>
            <family val="2"/>
          </rPr>
          <t>As of January 31, 2013, we operated two Terrain garden centers, one of which opened during fiscal 2013.</t>
        </r>
      </text>
    </comment>
    <comment ref="W20" authorId="10">
      <text>
        <r>
          <rPr>
            <b/>
            <sz val="9"/>
            <color indexed="81"/>
            <rFont val="Tahoma"/>
            <family val="2"/>
          </rPr>
          <t>Roberts, Cynthia (Research):</t>
        </r>
        <r>
          <rPr>
            <sz val="9"/>
            <color indexed="81"/>
            <rFont val="Tahoma"/>
            <family val="2"/>
          </rPr>
          <t xml:space="preserve">
Terrain Stores now included in  Anthropologie</t>
        </r>
      </text>
    </comment>
    <comment ref="X20" authorId="8">
      <text>
        <r>
          <rPr>
            <b/>
            <sz val="9"/>
            <color indexed="81"/>
            <rFont val="Tahoma"/>
            <family val="2"/>
          </rPr>
          <t>Baglione, Gregory  (Research):</t>
        </r>
        <r>
          <rPr>
            <sz val="9"/>
            <color indexed="81"/>
            <rFont val="Tahoma"/>
            <family val="2"/>
          </rPr>
          <t xml:space="preserve">
3/7/16
For the year, we are planning on opening four net new Urban Outfitters stores including one in Europe, 10 net new Anthropologie stores including two in Europe, and 12 net new Free People stores. 
</t>
        </r>
      </text>
    </comment>
    <comment ref="S21" authorId="2">
      <text>
        <r>
          <rPr>
            <b/>
            <sz val="8"/>
            <color indexed="81"/>
            <rFont val="Tahoma"/>
            <family val="2"/>
          </rPr>
          <t>nicholjs:</t>
        </r>
        <r>
          <rPr>
            <sz val="8"/>
            <color indexed="81"/>
            <rFont val="Tahoma"/>
            <family val="2"/>
          </rPr>
          <t xml:space="preserve">
6/8/2011 (10Q): expect 1
3/2011: Houston early fall, Chicago right after holiday
</t>
        </r>
      </text>
    </comment>
    <comment ref="T21" authorId="2">
      <text>
        <r>
          <rPr>
            <sz val="8"/>
            <color indexed="81"/>
            <rFont val="Tahoma"/>
            <family val="2"/>
          </rPr>
          <t>As of January 31, 2013, we operated two BHLDN stores, one of which opened during fiscal 2013</t>
        </r>
      </text>
    </comment>
    <comment ref="V21" authorId="10">
      <text>
        <r>
          <rPr>
            <b/>
            <sz val="9"/>
            <color indexed="81"/>
            <rFont val="Tahoma"/>
            <family val="2"/>
          </rPr>
          <t>Roberts, Cynthia (Research):</t>
        </r>
        <r>
          <rPr>
            <sz val="9"/>
            <color indexed="81"/>
            <rFont val="Tahoma"/>
            <family val="2"/>
          </rPr>
          <t xml:space="preserve">
BHLD Stores now included in  Anthropologie</t>
        </r>
      </text>
    </comment>
    <comment ref="X21" authorId="8">
      <text>
        <r>
          <rPr>
            <b/>
            <sz val="9"/>
            <color indexed="81"/>
            <rFont val="Tahoma"/>
            <family val="2"/>
          </rPr>
          <t>Baglione, Gregory  (Research):</t>
        </r>
        <r>
          <rPr>
            <sz val="9"/>
            <color indexed="81"/>
            <rFont val="Tahoma"/>
            <family val="2"/>
          </rPr>
          <t xml:space="preserve">
3/7/16
For the year, we are planning on opening four net new Urban Outfitters stores including one in Europe, 10 net new Anthropologie stores including two in Europe, and 12 net new Free People stores. 
</t>
        </r>
      </text>
    </comment>
    <comment ref="G22" authorId="0">
      <text>
        <r>
          <rPr>
            <b/>
            <sz val="8"/>
            <color indexed="81"/>
            <rFont val="Tahoma"/>
            <family val="2"/>
          </rPr>
          <t>dong2:</t>
        </r>
        <r>
          <rPr>
            <sz val="8"/>
            <color indexed="81"/>
            <rFont val="Tahoma"/>
            <family val="2"/>
          </rPr>
          <t xml:space="preserve">
closed 59th &amp; Lex store due to lease expiration</t>
        </r>
      </text>
    </comment>
    <comment ref="R22" authorId="11">
      <text>
        <r>
          <rPr>
            <b/>
            <sz val="8"/>
            <color indexed="81"/>
            <rFont val="Tahoma"/>
            <family val="2"/>
          </rPr>
          <t>kimberlg:</t>
        </r>
        <r>
          <rPr>
            <sz val="8"/>
            <color indexed="81"/>
            <rFont val="Tahoma"/>
            <family val="2"/>
          </rPr>
          <t xml:space="preserve">
closed the 1 test store "We  the Free"
2Q10Q says have not closed any store locations during 3 and 6 months ended July 31, 2010</t>
        </r>
      </text>
    </comment>
    <comment ref="T22" authorId="13">
      <text>
        <r>
          <rPr>
            <b/>
            <sz val="8"/>
            <color indexed="81"/>
            <rFont val="Tahoma"/>
            <family val="2"/>
          </rPr>
          <t>casselau:</t>
        </r>
        <r>
          <rPr>
            <sz val="8"/>
            <color indexed="81"/>
            <rFont val="Tahoma"/>
            <family val="2"/>
          </rPr>
          <t xml:space="preserve">
closed 2 Anthro stores</t>
        </r>
      </text>
    </comment>
    <comment ref="Y22" authorId="9">
      <text>
        <r>
          <rPr>
            <b/>
            <sz val="9"/>
            <color indexed="81"/>
            <rFont val="Tahoma"/>
            <family val="2"/>
          </rPr>
          <t>Cassel, Lauren (Research):</t>
        </r>
        <r>
          <rPr>
            <sz val="9"/>
            <color indexed="81"/>
            <rFont val="Tahoma"/>
            <family val="2"/>
          </rPr>
          <t xml:space="preserve">
3/7/17: plan to close 7 stores</t>
        </r>
      </text>
    </comment>
    <comment ref="Z22" authorId="10">
      <text>
        <r>
          <rPr>
            <b/>
            <sz val="9"/>
            <color indexed="81"/>
            <rFont val="Tahoma"/>
            <family val="2"/>
          </rPr>
          <t>Roberts, Cynthia (Research):</t>
        </r>
        <r>
          <rPr>
            <sz val="9"/>
            <color indexed="81"/>
            <rFont val="Tahoma"/>
            <family val="2"/>
          </rPr>
          <t xml:space="preserve">
3/6/18: plan to close 11 stores</t>
        </r>
      </text>
    </comment>
    <comment ref="X23" authorId="8">
      <text>
        <r>
          <rPr>
            <b/>
            <sz val="9"/>
            <color indexed="81"/>
            <rFont val="Tahoma"/>
            <family val="2"/>
          </rPr>
          <t>Baglione, Gregory  (Research):</t>
        </r>
        <r>
          <rPr>
            <sz val="9"/>
            <color indexed="81"/>
            <rFont val="Tahoma"/>
            <family val="2"/>
          </rPr>
          <t xml:space="preserve">
816/16
presentation shows no closures </t>
        </r>
      </text>
    </comment>
    <comment ref="U24" authorId="7">
      <text>
        <r>
          <rPr>
            <b/>
            <sz val="8"/>
            <color indexed="81"/>
            <rFont val="Tahoma"/>
            <family val="2"/>
          </rPr>
          <t>turleamb:</t>
        </r>
        <r>
          <rPr>
            <sz val="8"/>
            <color indexed="81"/>
            <rFont val="Tahoma"/>
            <family val="2"/>
          </rPr>
          <t xml:space="preserve">
3/10/14: closed 2 Anthro stores due to lease expirations</t>
        </r>
      </text>
    </comment>
    <comment ref="X24" authorId="8">
      <text>
        <r>
          <rPr>
            <b/>
            <sz val="9"/>
            <color indexed="81"/>
            <rFont val="Tahoma"/>
            <family val="2"/>
          </rPr>
          <t>Baglione, Gregory  (Research):</t>
        </r>
        <r>
          <rPr>
            <sz val="9"/>
            <color indexed="81"/>
            <rFont val="Tahoma"/>
            <family val="2"/>
          </rPr>
          <t xml:space="preserve">
2 expected closure in 8/16/16 presentation</t>
        </r>
      </text>
    </comment>
    <comment ref="U26" authorId="7">
      <text>
        <r>
          <rPr>
            <b/>
            <sz val="8"/>
            <color indexed="81"/>
            <rFont val="Tahoma"/>
            <family val="2"/>
          </rPr>
          <t>turleamb:</t>
        </r>
        <r>
          <rPr>
            <sz val="8"/>
            <color indexed="81"/>
            <rFont val="Tahoma"/>
            <family val="2"/>
          </rPr>
          <t xml:space="preserve">
11/18/18: FY13: Expect 35 to 40 new stores (15 new Urban Outfitters (5 in Europe), 13 new Free People in NA, and 8 new Anthropologie (1 in Europe)</t>
        </r>
      </text>
    </comment>
    <comment ref="X26" authorId="8">
      <text>
        <r>
          <rPr>
            <b/>
            <sz val="9"/>
            <color indexed="81"/>
            <rFont val="Tahoma"/>
            <family val="2"/>
          </rPr>
          <t>3/7/17: +12 food and beverage locations
Baglione, Gregory  (Research):</t>
        </r>
        <r>
          <rPr>
            <sz val="9"/>
            <color indexed="81"/>
            <rFont val="Tahoma"/>
            <family val="2"/>
          </rPr>
          <t xml:space="preserve">
11/22/16
We are planning to open a total
approximately 23 net new stores for the year, excluding our food and beverage division.
Per presentation expect to finish year with 596 stores</t>
        </r>
      </text>
    </comment>
    <comment ref="N27" authorId="1">
      <text>
        <r>
          <rPr>
            <b/>
            <sz val="8"/>
            <color indexed="81"/>
            <rFont val="Tahoma"/>
            <family val="2"/>
          </rPr>
          <t>mm98285:</t>
        </r>
        <r>
          <rPr>
            <sz val="8"/>
            <color indexed="81"/>
            <rFont val="Tahoma"/>
            <family val="2"/>
          </rPr>
          <t xml:space="preserve">
4/07: 94 in U.S., 3 in Canada, 9 in Europe</t>
        </r>
      </text>
    </comment>
    <comment ref="O27" authorId="1">
      <text>
        <r>
          <rPr>
            <b/>
            <sz val="8"/>
            <color indexed="81"/>
            <rFont val="Tahoma"/>
            <family val="2"/>
          </rPr>
          <t>mm98285:</t>
        </r>
        <r>
          <rPr>
            <sz val="8"/>
            <color indexed="81"/>
            <rFont val="Tahoma"/>
            <family val="2"/>
          </rPr>
          <t xml:space="preserve">
3/08: 106 in U.S., 4 in Canada, 12 in Europe</t>
        </r>
      </text>
    </comment>
    <comment ref="P27" authorId="1">
      <text>
        <r>
          <rPr>
            <b/>
            <sz val="8"/>
            <color indexed="81"/>
            <rFont val="Tahoma"/>
            <family val="2"/>
          </rPr>
          <t>mm98285:</t>
        </r>
        <r>
          <rPr>
            <sz val="8"/>
            <color indexed="81"/>
            <rFont val="Tahoma"/>
            <family val="2"/>
          </rPr>
          <t xml:space="preserve">
includes 7 Canada, 17 Europe (9 England, 3 Ireland, 1 Scotland, 1 Denmark, 1 Sweden, 1 Belgium, 1 Germany)</t>
        </r>
      </text>
    </comment>
    <comment ref="Q27" authorId="16">
      <text>
        <r>
          <rPr>
            <b/>
            <sz val="8"/>
            <color indexed="81"/>
            <rFont val="Tahoma"/>
            <family val="2"/>
          </rPr>
          <t>ns66486:</t>
        </r>
        <r>
          <rPr>
            <sz val="8"/>
            <color indexed="81"/>
            <rFont val="Tahoma"/>
            <family val="2"/>
          </rPr>
          <t xml:space="preserve">
10K: 130 in the US, 7 in Canada, 18 in Europe</t>
        </r>
      </text>
    </comment>
    <comment ref="R27" authorId="2">
      <text>
        <r>
          <rPr>
            <b/>
            <sz val="8"/>
            <color indexed="81"/>
            <rFont val="Tahoma"/>
            <family val="2"/>
          </rPr>
          <t>nicholjs:</t>
        </r>
        <r>
          <rPr>
            <sz val="8"/>
            <color indexed="81"/>
            <rFont val="Tahoma"/>
            <family val="2"/>
          </rPr>
          <t xml:space="preserve">
includes: 
144 stores US
10 stores Canada
22 stores Europe</t>
        </r>
      </text>
    </comment>
    <comment ref="U27" authorId="7">
      <text>
        <r>
          <rPr>
            <b/>
            <sz val="9"/>
            <color indexed="81"/>
            <rFont val="Tahoma"/>
            <family val="2"/>
          </rPr>
          <t>turleamb:</t>
        </r>
        <r>
          <rPr>
            <sz val="9"/>
            <color indexed="81"/>
            <rFont val="Tahoma"/>
            <family val="2"/>
          </rPr>
          <t xml:space="preserve">
176 in US, 14 in Canada and 40 in Europe</t>
        </r>
      </text>
    </comment>
    <comment ref="V27" authorId="7">
      <text>
        <r>
          <rPr>
            <b/>
            <sz val="9"/>
            <color indexed="81"/>
            <rFont val="Tahoma"/>
            <family val="2"/>
          </rPr>
          <t>turleamb:</t>
        </r>
        <r>
          <rPr>
            <sz val="9"/>
            <color indexed="81"/>
            <rFont val="Tahoma"/>
            <family val="2"/>
          </rPr>
          <t xml:space="preserve">
existing Urban and Anthropologies, about 25% to 30% of our stores are in malls</t>
        </r>
      </text>
    </comment>
    <comment ref="W27" authorId="7">
      <text>
        <r>
          <rPr>
            <b/>
            <sz val="9"/>
            <color indexed="81"/>
            <rFont val="Tahoma"/>
            <family val="2"/>
          </rPr>
          <t>turleamb:</t>
        </r>
        <r>
          <rPr>
            <sz val="9"/>
            <color indexed="81"/>
            <rFont val="Tahoma"/>
            <family val="2"/>
          </rPr>
          <t xml:space="preserve">
could grow to 200-250 US and Canada stores over time and to 100 stores in Europe</t>
        </r>
      </text>
    </comment>
    <comment ref="Z27" authorId="10">
      <text>
        <r>
          <rPr>
            <b/>
            <sz val="9"/>
            <color indexed="81"/>
            <rFont val="Tahoma"/>
            <family val="2"/>
          </rPr>
          <t>Roberts, Cynthia (Research):</t>
        </r>
        <r>
          <rPr>
            <sz val="9"/>
            <color indexed="81"/>
            <rFont val="Tahoma"/>
            <family val="2"/>
          </rPr>
          <t xml:space="preserve">
3/6/18: plan UO store count to stay the same</t>
        </r>
      </text>
    </comment>
    <comment ref="O28" authorId="1">
      <text>
        <r>
          <rPr>
            <b/>
            <sz val="8"/>
            <color indexed="81"/>
            <rFont val="Tahoma"/>
            <family val="2"/>
          </rPr>
          <t>mm98285:</t>
        </r>
        <r>
          <rPr>
            <sz val="8"/>
            <color indexed="81"/>
            <rFont val="Tahoma"/>
            <family val="2"/>
          </rPr>
          <t xml:space="preserve">
3/08: all in U.S.</t>
        </r>
      </text>
    </comment>
    <comment ref="Q28" authorId="16">
      <text>
        <r>
          <rPr>
            <b/>
            <sz val="8"/>
            <color indexed="81"/>
            <rFont val="Tahoma"/>
            <family val="2"/>
          </rPr>
          <t>ns66486:</t>
        </r>
        <r>
          <rPr>
            <sz val="8"/>
            <color indexed="81"/>
            <rFont val="Tahoma"/>
            <family val="2"/>
          </rPr>
          <t xml:space="preserve">
10K:  133 of which are located in the US, 3 in Canada and 1 in Europe</t>
        </r>
      </text>
    </comment>
    <comment ref="R28" authorId="2">
      <text>
        <r>
          <rPr>
            <b/>
            <sz val="8"/>
            <color indexed="81"/>
            <rFont val="Tahoma"/>
            <family val="2"/>
          </rPr>
          <t>nicholjs:</t>
        </r>
        <r>
          <rPr>
            <sz val="8"/>
            <color indexed="81"/>
            <rFont val="Tahoma"/>
            <family val="2"/>
          </rPr>
          <t xml:space="preserve">
includes:
147 US
4 Canada
2 Europe</t>
        </r>
      </text>
    </comment>
    <comment ref="U28" authorId="7">
      <text>
        <r>
          <rPr>
            <b/>
            <sz val="9"/>
            <color indexed="81"/>
            <rFont val="Tahoma"/>
            <family val="2"/>
          </rPr>
          <t>turleamb:</t>
        </r>
        <r>
          <rPr>
            <sz val="9"/>
            <color indexed="81"/>
            <rFont val="Tahoma"/>
            <family val="2"/>
          </rPr>
          <t xml:space="preserve">
174 stores in US, 9 in Canada, 4 in Europe</t>
        </r>
      </text>
    </comment>
    <comment ref="V28" authorId="7">
      <text>
        <r>
          <rPr>
            <b/>
            <sz val="9"/>
            <color indexed="81"/>
            <rFont val="Tahoma"/>
            <family val="2"/>
          </rPr>
          <t>turleamb:</t>
        </r>
        <r>
          <rPr>
            <sz val="9"/>
            <color indexed="81"/>
            <rFont val="Tahoma"/>
            <family val="2"/>
          </rPr>
          <t xml:space="preserve">
existing Urban and Anthropologies, about 25% to 30% of our stores are in malls</t>
        </r>
      </text>
    </comment>
    <comment ref="W28" authorId="7">
      <text>
        <r>
          <rPr>
            <b/>
            <sz val="9"/>
            <color indexed="81"/>
            <rFont val="Tahoma"/>
            <family val="2"/>
          </rPr>
          <t>turleamb:</t>
        </r>
        <r>
          <rPr>
            <sz val="9"/>
            <color indexed="81"/>
            <rFont val="Tahoma"/>
            <family val="2"/>
          </rPr>
          <t xml:space="preserve">
could grow to 200-250 US and Canada  stores over time and to 100 stores in Europe</t>
        </r>
      </text>
    </comment>
    <comment ref="Z28" authorId="10">
      <text>
        <r>
          <rPr>
            <b/>
            <sz val="9"/>
            <color indexed="81"/>
            <rFont val="Tahoma"/>
            <family val="2"/>
          </rPr>
          <t>Roberts, Cynthia (Research):</t>
        </r>
        <r>
          <rPr>
            <sz val="9"/>
            <color indexed="81"/>
            <rFont val="Tahoma"/>
            <family val="2"/>
          </rPr>
          <t xml:space="preserve">
3/6/18: plan Anthro 3 more stores, food &amp; beverage 3 more stores</t>
        </r>
      </text>
    </comment>
    <comment ref="Q29" authorId="16">
      <text>
        <r>
          <rPr>
            <b/>
            <sz val="8"/>
            <color indexed="81"/>
            <rFont val="Tahoma"/>
            <family val="2"/>
          </rPr>
          <t>ns66486:</t>
        </r>
        <r>
          <rPr>
            <sz val="8"/>
            <color indexed="81"/>
            <rFont val="Tahoma"/>
            <family val="2"/>
          </rPr>
          <t xml:space="preserve">
10K: all located in the United States</t>
        </r>
      </text>
    </comment>
    <comment ref="R29" authorId="2">
      <text>
        <r>
          <rPr>
            <b/>
            <sz val="8"/>
            <color indexed="81"/>
            <rFont val="Tahoma"/>
            <family val="2"/>
          </rPr>
          <t>nicholjs:</t>
        </r>
        <r>
          <rPr>
            <sz val="8"/>
            <color indexed="81"/>
            <rFont val="Tahoma"/>
            <family val="2"/>
          </rPr>
          <t xml:space="preserve">
all US</t>
        </r>
      </text>
    </comment>
    <comment ref="U29" authorId="7">
      <text>
        <r>
          <rPr>
            <b/>
            <sz val="9"/>
            <color indexed="81"/>
            <rFont val="Tahoma"/>
            <family val="2"/>
          </rPr>
          <t>turleamb:</t>
        </r>
        <r>
          <rPr>
            <sz val="9"/>
            <color indexed="81"/>
            <rFont val="Tahoma"/>
            <family val="2"/>
          </rPr>
          <t xml:space="preserve">
10-K: 88 in US 2 in Canada</t>
        </r>
      </text>
    </comment>
    <comment ref="V29" authorId="7">
      <text>
        <r>
          <rPr>
            <b/>
            <sz val="9"/>
            <color indexed="81"/>
            <rFont val="Tahoma"/>
            <family val="2"/>
          </rPr>
          <t>turleamb:</t>
        </r>
        <r>
          <rPr>
            <sz val="9"/>
            <color indexed="81"/>
            <rFont val="Tahoma"/>
            <family val="2"/>
          </rPr>
          <t xml:space="preserve">
6/10/14: Free People does have a little bit of a higher penetration of mall space being a smaller square footage stores. They're a little more reliant upon the--on the traffic because they're not as much of a destination as an Anthropologie and Urban Outfitters would be just being a larger square footage space than the Free People stores</t>
        </r>
      </text>
    </comment>
    <comment ref="W29" authorId="7">
      <text>
        <r>
          <rPr>
            <b/>
            <sz val="9"/>
            <color indexed="81"/>
            <rFont val="Tahoma"/>
            <family val="2"/>
          </rPr>
          <t>turleamb:</t>
        </r>
        <r>
          <rPr>
            <sz val="9"/>
            <color indexed="81"/>
            <rFont val="Tahoma"/>
            <family val="2"/>
          </rPr>
          <t xml:space="preserve">
6/10/14: expect to see mid-teens growth (LDD to mid teens growth with FP over the next 3-5 yrs)
3/7/16
ended year with 114 free people, 13 new opennings in 2016</t>
        </r>
      </text>
    </comment>
    <comment ref="Z29" authorId="10">
      <text>
        <r>
          <rPr>
            <b/>
            <sz val="9"/>
            <color indexed="81"/>
            <rFont val="Tahoma"/>
            <family val="2"/>
          </rPr>
          <t>Roberts, Cynthia (Research):</t>
        </r>
        <r>
          <rPr>
            <sz val="9"/>
            <color indexed="81"/>
            <rFont val="Tahoma"/>
            <family val="2"/>
          </rPr>
          <t xml:space="preserve">
3/6/18: plan FP store count to stay the same</t>
        </r>
      </text>
    </comment>
    <comment ref="J41" authorId="14">
      <text>
        <r>
          <rPr>
            <b/>
            <sz val="10"/>
            <color indexed="81"/>
            <rFont val="Tahoma"/>
            <family val="2"/>
          </rPr>
          <t>dliu:</t>
        </r>
        <r>
          <rPr>
            <sz val="10"/>
            <color indexed="81"/>
            <rFont val="Tahoma"/>
            <family val="2"/>
          </rPr>
          <t xml:space="preserve">
Gross sq ft per co: 752,169 sq ft for URBN, 479,568 for Anthro, and 2300 for FP, for a total of 1,234,037 sq ft.</t>
        </r>
      </text>
    </comment>
    <comment ref="K41" authorId="14">
      <text>
        <r>
          <rPr>
            <b/>
            <sz val="10"/>
            <color indexed="81"/>
            <rFont val="Tahoma"/>
            <family val="2"/>
          </rPr>
          <t>dliu:</t>
        </r>
        <r>
          <rPr>
            <sz val="10"/>
            <color indexed="81"/>
            <rFont val="Tahoma"/>
            <family val="2"/>
          </rPr>
          <t xml:space="preserve">
Gross sq ft per co: 840,408 sq ft for URBN, 606,076 for Anthro, and 2300 for FP, for a total of 1,448,784</t>
        </r>
      </text>
    </comment>
    <comment ref="L41" authorId="15">
      <text>
        <r>
          <rPr>
            <b/>
            <sz val="8"/>
            <color indexed="81"/>
            <rFont val="Tahoma"/>
            <family val="2"/>
          </rPr>
          <t>Corinna Freedman:</t>
        </r>
        <r>
          <rPr>
            <sz val="8"/>
            <color indexed="81"/>
            <rFont val="Tahoma"/>
            <family val="2"/>
          </rPr>
          <t xml:space="preserve">
per Kyees 2/3</t>
        </r>
      </text>
    </comment>
    <comment ref="M41" authorId="1">
      <text>
        <r>
          <rPr>
            <b/>
            <sz val="8"/>
            <color indexed="81"/>
            <rFont val="Tahoma"/>
            <family val="2"/>
          </rPr>
          <t>mm98285:</t>
        </r>
        <r>
          <rPr>
            <sz val="8"/>
            <color indexed="81"/>
            <rFont val="Tahoma"/>
            <family val="2"/>
          </rPr>
          <t xml:space="preserve">
10K says
U.O.: 864K
Anthro: 598K
FP: 9.1K</t>
        </r>
      </text>
    </comment>
    <comment ref="N41" authorId="17">
      <text>
        <r>
          <rPr>
            <b/>
            <sz val="8"/>
            <color indexed="81"/>
            <rFont val="Tahoma"/>
            <family val="2"/>
          </rPr>
          <t>kg51925:</t>
        </r>
        <r>
          <rPr>
            <sz val="8"/>
            <color indexed="81"/>
            <rFont val="Tahoma"/>
            <family val="2"/>
          </rPr>
          <t xml:space="preserve">
2006 10K: U.O. 1, 015K, Anthro 708K, F.P. 13K selling sq ft.
Dick said $2.315 on call
John said by div:
1,026,134 UO, 706,543 Anthro, 11,638 FP
</t>
        </r>
      </text>
    </comment>
    <comment ref="V41" authorId="7">
      <text>
        <r>
          <rPr>
            <b/>
            <sz val="9"/>
            <color indexed="81"/>
            <rFont val="Tahoma"/>
            <family val="2"/>
          </rPr>
          <t>turleamb:</t>
        </r>
        <r>
          <rPr>
            <sz val="9"/>
            <color indexed="81"/>
            <rFont val="Tahoma"/>
            <family val="2"/>
          </rPr>
          <t xml:space="preserve">
5/19/14: URBN's analysis suggests they could add over 1m sq.ft. of space in NA and Europe</t>
        </r>
      </text>
    </comment>
    <comment ref="T42" authorId="6">
      <text>
        <r>
          <rPr>
            <b/>
            <sz val="8"/>
            <color indexed="81"/>
            <rFont val="Tahoma"/>
            <family val="2"/>
          </rPr>
          <t>lauraro:</t>
        </r>
        <r>
          <rPr>
            <sz val="8"/>
            <color indexed="81"/>
            <rFont val="Tahoma"/>
            <family val="2"/>
          </rPr>
          <t xml:space="preserve">
11/14: As we look forward to fiscal 2013, we are planning for low double digit square footage growth and are targeting 55 to 60 new stores.</t>
        </r>
      </text>
    </comment>
    <comment ref="A44" authorId="18">
      <text>
        <r>
          <rPr>
            <b/>
            <sz val="8"/>
            <color indexed="81"/>
            <rFont val="Tahoma"/>
            <family val="2"/>
          </rPr>
          <t>CREDIT SUISSE FIRST BOSTON:</t>
        </r>
        <r>
          <rPr>
            <sz val="8"/>
            <color indexed="81"/>
            <rFont val="Tahoma"/>
            <family val="2"/>
          </rPr>
          <t xml:space="preserve">
s/b ending gross sf divided by ending store count</t>
        </r>
      </text>
    </comment>
    <comment ref="X56" authorId="19">
      <text>
        <r>
          <rPr>
            <b/>
            <sz val="9"/>
            <color indexed="81"/>
            <rFont val="Tahoma"/>
            <family val="2"/>
          </rPr>
          <t>Baglione, Gregory (Research):</t>
        </r>
        <r>
          <rPr>
            <sz val="9"/>
            <color indexed="81"/>
            <rFont val="Tahoma"/>
            <family val="2"/>
          </rPr>
          <t xml:space="preserve">
Includes Food &amp; Resturant Segment</t>
        </r>
      </text>
    </comment>
    <comment ref="I58" authorId="0">
      <text>
        <r>
          <rPr>
            <b/>
            <sz val="8"/>
            <color indexed="81"/>
            <rFont val="Tahoma"/>
            <family val="2"/>
          </rPr>
          <t>dong2:</t>
        </r>
        <r>
          <rPr>
            <sz val="8"/>
            <color indexed="81"/>
            <rFont val="Tahoma"/>
            <family val="2"/>
          </rPr>
          <t xml:space="preserve">
smaller format Urbans avg. 5,900 selling (7,375 gross)</t>
        </r>
      </text>
    </comment>
    <comment ref="J58" authorId="0">
      <text>
        <r>
          <rPr>
            <b/>
            <sz val="8"/>
            <color indexed="81"/>
            <rFont val="Tahoma"/>
            <family val="2"/>
          </rPr>
          <t>dong2:</t>
        </r>
        <r>
          <rPr>
            <sz val="8"/>
            <color indexed="81"/>
            <rFont val="Tahoma"/>
            <family val="2"/>
          </rPr>
          <t xml:space="preserve">
URBN going forward:
10,000 selling and 13,000 gross leased area (GLA) which approximates 77%.
9500 selling and 12,000 GLA - approx. 79%.</t>
        </r>
      </text>
    </comment>
    <comment ref="L58" authorId="4">
      <text>
        <r>
          <rPr>
            <b/>
            <sz val="8"/>
            <color indexed="81"/>
            <rFont val="Tahoma"/>
            <family val="2"/>
          </rPr>
          <t>Kimberly Greenberger:</t>
        </r>
        <r>
          <rPr>
            <sz val="8"/>
            <color indexed="81"/>
            <rFont val="Tahoma"/>
            <family val="2"/>
          </rPr>
          <t xml:space="preserve">
per John 7/04 use 9,000 selling  sq ft for UO</t>
        </r>
      </text>
    </comment>
    <comment ref="M58" authorId="4">
      <text>
        <r>
          <rPr>
            <b/>
            <sz val="8"/>
            <color indexed="81"/>
            <rFont val="Tahoma"/>
            <family val="2"/>
          </rPr>
          <t>Kimberly Greenberger:</t>
        </r>
        <r>
          <rPr>
            <sz val="8"/>
            <color indexed="81"/>
            <rFont val="Tahoma"/>
            <family val="2"/>
          </rPr>
          <t xml:space="preserve">
per John 7/04 use 9,000 selling  sq ft for UO</t>
        </r>
      </text>
    </comment>
    <comment ref="N58" authorId="5">
      <text>
        <r>
          <rPr>
            <b/>
            <sz val="8"/>
            <color indexed="81"/>
            <rFont val="Tahoma"/>
            <family val="2"/>
          </rPr>
          <t>MB33100:</t>
        </r>
        <r>
          <rPr>
            <sz val="8"/>
            <color indexed="81"/>
            <rFont val="Tahoma"/>
            <family val="2"/>
          </rPr>
          <t xml:space="preserve">
2006 10K: stores avg  9,700 selling sq ft
per 10-k, 9,600 selling square feet</t>
        </r>
      </text>
    </comment>
    <comment ref="O58" authorId="1">
      <text>
        <r>
          <rPr>
            <b/>
            <sz val="8"/>
            <color indexed="81"/>
            <rFont val="Tahoma"/>
            <family val="2"/>
          </rPr>
          <t>mm98285:</t>
        </r>
        <r>
          <rPr>
            <sz val="8"/>
            <color indexed="81"/>
            <rFont val="Tahoma"/>
            <family val="2"/>
          </rPr>
          <t xml:space="preserve">
2006 10K: stores average ~9,700 selling sq. ft.</t>
        </r>
      </text>
    </comment>
    <comment ref="P58" authorId="1">
      <text>
        <r>
          <rPr>
            <b/>
            <sz val="8"/>
            <color indexed="81"/>
            <rFont val="Tahoma"/>
            <family val="2"/>
          </rPr>
          <t>mm98285:</t>
        </r>
        <r>
          <rPr>
            <sz val="8"/>
            <color indexed="81"/>
            <rFont val="Tahoma"/>
            <family val="2"/>
          </rPr>
          <t xml:space="preserve">
2008 10K: stores average ~9,500 selling sq. ft.</t>
        </r>
      </text>
    </comment>
    <comment ref="Q58" authorId="16">
      <text>
        <r>
          <rPr>
            <b/>
            <sz val="8"/>
            <color indexed="81"/>
            <rFont val="Tahoma"/>
            <family val="2"/>
          </rPr>
          <t>ns66486:</t>
        </r>
        <r>
          <rPr>
            <sz val="8"/>
            <color indexed="81"/>
            <rFont val="Tahoma"/>
            <family val="2"/>
          </rPr>
          <t xml:space="preserve">
10K:  stores average 9000 selling square feet</t>
        </r>
      </text>
    </comment>
    <comment ref="R58" authorId="2">
      <text>
        <r>
          <rPr>
            <b/>
            <sz val="8"/>
            <color indexed="81"/>
            <rFont val="Tahoma"/>
            <family val="2"/>
          </rPr>
          <t>nicholjs:</t>
        </r>
        <r>
          <rPr>
            <sz val="8"/>
            <color indexed="81"/>
            <rFont val="Tahoma"/>
            <family val="2"/>
          </rPr>
          <t xml:space="preserve">
10K: stores average 9,200 square feet (selling) and carry an estimated 45-50k SKUs</t>
        </r>
      </text>
    </comment>
    <comment ref="T58" authorId="7">
      <text>
        <r>
          <rPr>
            <b/>
            <sz val="8"/>
            <color indexed="81"/>
            <rFont val="Tahoma"/>
            <family val="2"/>
          </rPr>
          <t>turleamb:</t>
        </r>
        <r>
          <rPr>
            <sz val="8"/>
            <color indexed="81"/>
            <rFont val="Tahoma"/>
            <family val="2"/>
          </rPr>
          <t xml:space="preserve">
10-K: avg. store selling square feet is 8900</t>
        </r>
      </text>
    </comment>
    <comment ref="U58" authorId="7">
      <text>
        <r>
          <rPr>
            <b/>
            <sz val="8"/>
            <color indexed="81"/>
            <rFont val="Tahoma"/>
            <family val="2"/>
          </rPr>
          <t>turleamb:</t>
        </r>
        <r>
          <rPr>
            <sz val="8"/>
            <color indexed="81"/>
            <rFont val="Tahoma"/>
            <family val="2"/>
          </rPr>
          <t xml:space="preserve">
10-K: stores avg 8800 selling sq. ft. and carry 60K-65K SKUs
4Q: square footage increased 6%</t>
        </r>
      </text>
    </comment>
    <comment ref="V58" authorId="7">
      <text>
        <r>
          <rPr>
            <b/>
            <sz val="8"/>
            <color indexed="81"/>
            <rFont val="Tahoma"/>
            <family val="2"/>
          </rPr>
          <t>turleamb:</t>
        </r>
        <r>
          <rPr>
            <sz val="8"/>
            <color indexed="81"/>
            <rFont val="Tahoma"/>
            <family val="2"/>
          </rPr>
          <t xml:space="preserve">
expect 8% sq. ft. growth
avg UO is 9K selling sq.ft. </t>
        </r>
      </text>
    </comment>
    <comment ref="W58" authorId="7">
      <text>
        <r>
          <rPr>
            <b/>
            <sz val="8"/>
            <color indexed="81"/>
            <rFont val="Tahoma"/>
            <family val="2"/>
          </rPr>
          <t>turleamb:</t>
        </r>
        <r>
          <rPr>
            <sz val="8"/>
            <color indexed="81"/>
            <rFont val="Tahoma"/>
            <family val="2"/>
          </rPr>
          <t xml:space="preserve">
assuming larger store format implemented to accommodate category expansion. 
</t>
        </r>
      </text>
    </comment>
    <comment ref="J59" authorId="0">
      <text>
        <r>
          <rPr>
            <b/>
            <sz val="8"/>
            <color indexed="81"/>
            <rFont val="Tahoma"/>
            <family val="2"/>
          </rPr>
          <t>dong2:</t>
        </r>
        <r>
          <rPr>
            <sz val="8"/>
            <color indexed="81"/>
            <rFont val="Tahoma"/>
            <family val="2"/>
          </rPr>
          <t xml:space="preserve">
Anthro going forward - target is 7500 selling and 9000 GLA, which is ~83% selling as % of gross</t>
        </r>
      </text>
    </comment>
    <comment ref="L59" authorId="4">
      <text>
        <r>
          <rPr>
            <b/>
            <sz val="8"/>
            <color indexed="81"/>
            <rFont val="Tahoma"/>
            <family val="2"/>
          </rPr>
          <t>Kimberly Greenberger:</t>
        </r>
        <r>
          <rPr>
            <sz val="8"/>
            <color indexed="81"/>
            <rFont val="Tahoma"/>
            <family val="2"/>
          </rPr>
          <t xml:space="preserve">
use 7,500 selling sq ft per John for Anthro 7/04</t>
        </r>
      </text>
    </comment>
    <comment ref="M59" authorId="4">
      <text>
        <r>
          <rPr>
            <b/>
            <sz val="8"/>
            <color indexed="81"/>
            <rFont val="Tahoma"/>
            <family val="2"/>
          </rPr>
          <t>Kimberly Greenberger:</t>
        </r>
        <r>
          <rPr>
            <sz val="8"/>
            <color indexed="81"/>
            <rFont val="Tahoma"/>
            <family val="2"/>
          </rPr>
          <t xml:space="preserve">
use 7,500 selling sq ft per John for Anthro 7/04</t>
        </r>
      </text>
    </comment>
    <comment ref="N59" authorId="5">
      <text>
        <r>
          <rPr>
            <b/>
            <sz val="8"/>
            <color indexed="81"/>
            <rFont val="Tahoma"/>
            <family val="2"/>
          </rPr>
          <t>MB33100:</t>
        </r>
        <r>
          <rPr>
            <sz val="8"/>
            <color indexed="81"/>
            <rFont val="Tahoma"/>
            <family val="2"/>
          </rPr>
          <t xml:space="preserve">
2006 10K: stores avg 7,600 selling sq ft
per 10-k, 7,600 selling square feet</t>
        </r>
      </text>
    </comment>
    <comment ref="O59" authorId="1">
      <text>
        <r>
          <rPr>
            <b/>
            <sz val="8"/>
            <color indexed="81"/>
            <rFont val="Tahoma"/>
            <family val="2"/>
          </rPr>
          <t>mm98285:</t>
        </r>
        <r>
          <rPr>
            <sz val="8"/>
            <color indexed="81"/>
            <rFont val="Tahoma"/>
            <family val="2"/>
          </rPr>
          <t xml:space="preserve">
2006 10K: 7600 selling sq ft</t>
        </r>
      </text>
    </comment>
    <comment ref="P59" authorId="1">
      <text>
        <r>
          <rPr>
            <b/>
            <sz val="8"/>
            <color indexed="81"/>
            <rFont val="Tahoma"/>
            <family val="2"/>
          </rPr>
          <t>mm98285:</t>
        </r>
        <r>
          <rPr>
            <sz val="8"/>
            <color indexed="81"/>
            <rFont val="Tahoma"/>
            <family val="2"/>
          </rPr>
          <t xml:space="preserve">
2008 10K: 7,400 selling sq ft</t>
        </r>
      </text>
    </comment>
    <comment ref="Q59" authorId="16">
      <text>
        <r>
          <rPr>
            <b/>
            <sz val="8"/>
            <color indexed="81"/>
            <rFont val="Tahoma"/>
            <family val="2"/>
          </rPr>
          <t>ns66486:</t>
        </r>
        <r>
          <rPr>
            <sz val="8"/>
            <color indexed="81"/>
            <rFont val="Tahoma"/>
            <family val="2"/>
          </rPr>
          <t xml:space="preserve">
10K: stores avg 7400 selling square feet</t>
        </r>
      </text>
    </comment>
    <comment ref="R59" authorId="2">
      <text>
        <r>
          <rPr>
            <b/>
            <sz val="8"/>
            <color indexed="81"/>
            <rFont val="Tahoma"/>
            <family val="2"/>
          </rPr>
          <t>nicholjs:</t>
        </r>
        <r>
          <rPr>
            <sz val="8"/>
            <color indexed="81"/>
            <rFont val="Tahoma"/>
            <family val="2"/>
          </rPr>
          <t xml:space="preserve">
10K: stores average 7,300 square feet (selling) and carry 40-45k SKUs</t>
        </r>
      </text>
    </comment>
    <comment ref="T59" authorId="7">
      <text>
        <r>
          <rPr>
            <b/>
            <sz val="8"/>
            <color indexed="81"/>
            <rFont val="Tahoma"/>
            <family val="2"/>
          </rPr>
          <t>turleamb:</t>
        </r>
        <r>
          <rPr>
            <sz val="8"/>
            <color indexed="81"/>
            <rFont val="Tahoma"/>
            <family val="2"/>
          </rPr>
          <t xml:space="preserve">
10-K:average store selling square feet is approximately 7100</t>
        </r>
      </text>
    </comment>
    <comment ref="U59" authorId="7">
      <text>
        <r>
          <rPr>
            <b/>
            <sz val="8"/>
            <color indexed="81"/>
            <rFont val="Tahoma"/>
            <family val="2"/>
          </rPr>
          <t>turleamb:</t>
        </r>
        <r>
          <rPr>
            <sz val="8"/>
            <color indexed="81"/>
            <rFont val="Tahoma"/>
            <family val="2"/>
          </rPr>
          <t xml:space="preserve">
10-K: stores avg. 7100 selling sq. ft and carry 45K-50K SKUs
4Q: Square footage increased 10%</t>
        </r>
      </text>
    </comment>
    <comment ref="V59" authorId="7">
      <text>
        <r>
          <rPr>
            <b/>
            <sz val="8"/>
            <color indexed="81"/>
            <rFont val="Tahoma"/>
            <family val="2"/>
          </rPr>
          <t>turleamb:</t>
        </r>
        <r>
          <rPr>
            <sz val="8"/>
            <color indexed="81"/>
            <rFont val="Tahoma"/>
            <family val="2"/>
          </rPr>
          <t xml:space="preserve">
assume 2013 trend continues
4/1/15 10-K: avg store size is 7K selling sqft. </t>
        </r>
      </text>
    </comment>
    <comment ref="W59" authorId="7">
      <text>
        <r>
          <rPr>
            <b/>
            <sz val="8"/>
            <color indexed="81"/>
            <rFont val="Tahoma"/>
            <family val="2"/>
          </rPr>
          <t>turleamb:</t>
        </r>
        <r>
          <rPr>
            <sz val="8"/>
            <color indexed="81"/>
            <rFont val="Tahoma"/>
            <family val="2"/>
          </rPr>
          <t xml:space="preserve">
assuming larger store format implemented to accommodate category expansion. 
</t>
        </r>
      </text>
    </comment>
    <comment ref="L60" authorId="4">
      <text>
        <r>
          <rPr>
            <b/>
            <sz val="8"/>
            <color indexed="81"/>
            <rFont val="Tahoma"/>
            <family val="2"/>
          </rPr>
          <t>Kimberly Greenberger:</t>
        </r>
        <r>
          <rPr>
            <sz val="8"/>
            <color indexed="81"/>
            <rFont val="Tahoma"/>
            <family val="2"/>
          </rPr>
          <t xml:space="preserve">
use 2,000-2,200 gross sq ft for FP stores</t>
        </r>
      </text>
    </comment>
    <comment ref="M60" authorId="4">
      <text>
        <r>
          <rPr>
            <b/>
            <sz val="8"/>
            <color indexed="81"/>
            <rFont val="Tahoma"/>
            <family val="2"/>
          </rPr>
          <t>Kimberly Greenberger:</t>
        </r>
        <r>
          <rPr>
            <sz val="8"/>
            <color indexed="81"/>
            <rFont val="Tahoma"/>
            <family val="2"/>
          </rPr>
          <t xml:space="preserve">
use 2,000-2,200 gross sq ft for FP stores</t>
        </r>
      </text>
    </comment>
    <comment ref="N60" authorId="1">
      <text>
        <r>
          <rPr>
            <b/>
            <sz val="8"/>
            <color indexed="81"/>
            <rFont val="Tahoma"/>
            <family val="2"/>
          </rPr>
          <t>mm98285:</t>
        </r>
        <r>
          <rPr>
            <sz val="8"/>
            <color indexed="81"/>
            <rFont val="Tahoma"/>
            <family val="2"/>
          </rPr>
          <t xml:space="preserve">
2006 10K: stores avg 1,600 sq ft</t>
        </r>
      </text>
    </comment>
    <comment ref="O60" authorId="1">
      <text>
        <r>
          <rPr>
            <b/>
            <sz val="8"/>
            <color indexed="81"/>
            <rFont val="Tahoma"/>
            <family val="2"/>
          </rPr>
          <t>mm98285:</t>
        </r>
        <r>
          <rPr>
            <sz val="8"/>
            <color indexed="81"/>
            <rFont val="Tahoma"/>
            <family val="2"/>
          </rPr>
          <t xml:space="preserve">
2006 10K: 1600 selling sq ft</t>
        </r>
      </text>
    </comment>
    <comment ref="P60" authorId="1">
      <text>
        <r>
          <rPr>
            <b/>
            <sz val="8"/>
            <color indexed="81"/>
            <rFont val="Tahoma"/>
            <family val="2"/>
          </rPr>
          <t>mm98285:</t>
        </r>
        <r>
          <rPr>
            <sz val="8"/>
            <color indexed="81"/>
            <rFont val="Tahoma"/>
            <family val="2"/>
          </rPr>
          <t xml:space="preserve">
2008 10K: 1,400 selling sq ft</t>
        </r>
      </text>
    </comment>
    <comment ref="Q60" authorId="16">
      <text>
        <r>
          <rPr>
            <b/>
            <sz val="8"/>
            <color indexed="81"/>
            <rFont val="Tahoma"/>
            <family val="2"/>
          </rPr>
          <t>ns66486:</t>
        </r>
        <r>
          <rPr>
            <sz val="8"/>
            <color indexed="81"/>
            <rFont val="Tahoma"/>
            <family val="2"/>
          </rPr>
          <t xml:space="preserve">
10K: stores avg ~1400 selling square feet</t>
        </r>
      </text>
    </comment>
    <comment ref="R60" authorId="2">
      <text>
        <r>
          <rPr>
            <b/>
            <sz val="8"/>
            <color indexed="81"/>
            <rFont val="Tahoma"/>
            <family val="2"/>
          </rPr>
          <t>nicholjs:</t>
        </r>
        <r>
          <rPr>
            <sz val="8"/>
            <color indexed="81"/>
            <rFont val="Tahoma"/>
            <family val="2"/>
          </rPr>
          <t xml:space="preserve">
10K: stores average 1,400 square feet and carry up to 18k SKUs</t>
        </r>
      </text>
    </comment>
    <comment ref="T60" authorId="7">
      <text>
        <r>
          <rPr>
            <b/>
            <sz val="8"/>
            <color indexed="81"/>
            <rFont val="Tahoma"/>
            <family val="2"/>
          </rPr>
          <t>turleamb:</t>
        </r>
        <r>
          <rPr>
            <sz val="8"/>
            <color indexed="81"/>
            <rFont val="Tahoma"/>
            <family val="2"/>
          </rPr>
          <t xml:space="preserve">
10-K: average store selling square feet is 1400</t>
        </r>
      </text>
    </comment>
    <comment ref="U60" authorId="7">
      <text>
        <r>
          <rPr>
            <b/>
            <sz val="8"/>
            <color indexed="81"/>
            <rFont val="Tahoma"/>
            <family val="2"/>
          </rPr>
          <t>turleamb:</t>
        </r>
        <r>
          <rPr>
            <sz val="8"/>
            <color indexed="81"/>
            <rFont val="Tahoma"/>
            <family val="2"/>
          </rPr>
          <t xml:space="preserve">
10-K: avg store is 1500 selling sq. ft. and sells 13K SKUs
4Q: square footage increased 24%</t>
        </r>
      </text>
    </comment>
    <comment ref="V60" authorId="7">
      <text>
        <r>
          <rPr>
            <b/>
            <sz val="8"/>
            <color indexed="81"/>
            <rFont val="Tahoma"/>
            <family val="2"/>
          </rPr>
          <t>turleamb:</t>
        </r>
        <r>
          <rPr>
            <sz val="8"/>
            <color indexed="81"/>
            <rFont val="Tahoma"/>
            <family val="2"/>
          </rPr>
          <t xml:space="preserve">
4/1/15 10-K: stores avg  1600 selling sq.ft. 
8/18/14: expect +16% sq.ft. growth FY
5/19/14: new FP stores in NA will avg ~3000 sq.ft. (~2x the size of many earlier stores to allow the brand to offer expanded product assortment)</t>
        </r>
      </text>
    </comment>
    <comment ref="W60" authorId="12">
      <text>
        <r>
          <rPr>
            <b/>
            <sz val="9"/>
            <color indexed="81"/>
            <rFont val="Tahoma"/>
            <family val="2"/>
          </rPr>
          <t>Turley, Amber (Research):</t>
        </r>
        <r>
          <rPr>
            <sz val="9"/>
            <color indexed="81"/>
            <rFont val="Tahoma"/>
            <family val="2"/>
          </rPr>
          <t xml:space="preserve">
1/13/15 at ICR: FP will test some larger sq.ft. stores (4500 sq.ft. vs 1800-2000 sq.ft. historical)</t>
        </r>
      </text>
    </comment>
  </commentList>
</comments>
</file>

<file path=xl/comments7.xml><?xml version="1.0" encoding="utf-8"?>
<comments xmlns="http://schemas.openxmlformats.org/spreadsheetml/2006/main">
  <authors>
    <author>Corinna Freedman</author>
    <author>Lehman Brothers</author>
    <author>Baglione, Gregory  (Research)</author>
    <author>mm98285</author>
    <author>OC48540</author>
    <author>kg51925</author>
    <author>nicholjs</author>
    <author>jwyatt</author>
    <author>casselau</author>
    <author>Cassel, Lauren (Research)</author>
    <author>solejay</author>
    <author>Roberts, Cynthia (Research)</author>
    <author>MB33100</author>
    <author>kgreenbe</author>
    <author>Kimberly Greenberger</author>
    <author>dong2</author>
    <author>ns66486</author>
    <author>turleamb</author>
  </authors>
  <commentList>
    <comment ref="L10" authorId="0">
      <text>
        <r>
          <rPr>
            <b/>
            <sz val="8"/>
            <color indexed="81"/>
            <rFont val="Tahoma"/>
            <family val="2"/>
          </rPr>
          <t>Corinna Freedman:</t>
        </r>
        <r>
          <rPr>
            <sz val="8"/>
            <color indexed="81"/>
            <rFont val="Tahoma"/>
            <family val="2"/>
          </rPr>
          <t xml:space="preserve">
prior to restatement = 481.3</t>
        </r>
      </text>
    </comment>
    <comment ref="K11" authorId="1">
      <text>
        <r>
          <rPr>
            <b/>
            <sz val="8"/>
            <color indexed="81"/>
            <rFont val="Tahoma"/>
            <family val="2"/>
          </rPr>
          <t>Lehman Brothers:</t>
        </r>
        <r>
          <rPr>
            <sz val="8"/>
            <color indexed="81"/>
            <rFont val="Tahoma"/>
            <family val="2"/>
          </rPr>
          <t xml:space="preserve">
had 34.0% but co.'s 1Q02 GM was sig better than expected; 170bps better</t>
        </r>
      </text>
    </comment>
    <comment ref="Y11" authorId="2">
      <text>
        <r>
          <rPr>
            <b/>
            <sz val="9"/>
            <color indexed="81"/>
            <rFont val="Tahoma"/>
            <family val="2"/>
          </rPr>
          <t>Baglione, Gregory  (Research):</t>
        </r>
        <r>
          <rPr>
            <sz val="9"/>
            <color indexed="81"/>
            <rFont val="Tahoma"/>
            <family val="2"/>
          </rPr>
          <t xml:space="preserve">
11/22/16
We model ~50 bps GM recovery in 2017. This forecast is largely driven by some improvement and B&amp;O deleverage at Anthro/FP
8/16/16
Raising GM to 36.5% from 35.7% following the strong 1H16 increase</t>
        </r>
      </text>
    </comment>
    <comment ref="L12" authorId="3">
      <text>
        <r>
          <rPr>
            <b/>
            <sz val="8"/>
            <color indexed="81"/>
            <rFont val="Tahoma"/>
            <family val="2"/>
          </rPr>
          <t>mm98285:</t>
        </r>
        <r>
          <rPr>
            <sz val="8"/>
            <color indexed="81"/>
            <rFont val="Tahoma"/>
            <family val="2"/>
          </rPr>
          <t xml:space="preserve">
minimum &amp; percentage rentals + contingent rentals</t>
        </r>
      </text>
    </comment>
    <comment ref="M12" authorId="3">
      <text>
        <r>
          <rPr>
            <sz val="8"/>
            <color indexed="81"/>
            <rFont val="Tahoma"/>
            <family val="2"/>
          </rPr>
          <t>10-K number was $64.9mm but this excluded URBN UK, right number is $72mm (6/20/08)</t>
        </r>
        <r>
          <rPr>
            <b/>
            <sz val="8"/>
            <color indexed="81"/>
            <rFont val="Tahoma"/>
            <family val="2"/>
          </rPr>
          <t xml:space="preserve">
mm98285:</t>
        </r>
        <r>
          <rPr>
            <sz val="8"/>
            <color indexed="81"/>
            <rFont val="Tahoma"/>
            <family val="2"/>
          </rPr>
          <t xml:space="preserve">
minimum &amp; percentage rentals + contingent rentals</t>
        </r>
      </text>
    </comment>
    <comment ref="N12" authorId="3">
      <text>
        <r>
          <rPr>
            <b/>
            <sz val="8"/>
            <color indexed="81"/>
            <rFont val="Tahoma"/>
            <family val="2"/>
          </rPr>
          <t>mm98285:</t>
        </r>
        <r>
          <rPr>
            <sz val="8"/>
            <color indexed="81"/>
            <rFont val="Tahoma"/>
            <family val="2"/>
          </rPr>
          <t xml:space="preserve">
$116.1M = all in rent expense incl CAM, taxes &amp; Insurance
10-K number was $75.0mm but this excluded URBN UK, right number is $84.9mm (6/20/08)</t>
        </r>
        <r>
          <rPr>
            <b/>
            <sz val="8"/>
            <color indexed="81"/>
            <rFont val="Tahoma"/>
            <family val="2"/>
          </rPr>
          <t xml:space="preserve">
</t>
        </r>
        <r>
          <rPr>
            <sz val="8"/>
            <color indexed="81"/>
            <rFont val="Tahoma"/>
            <family val="2"/>
          </rPr>
          <t>minimum &amp; percentage rentals + contingent rentals</t>
        </r>
      </text>
    </comment>
    <comment ref="O12" authorId="4">
      <text>
        <r>
          <rPr>
            <b/>
            <sz val="8"/>
            <color indexed="81"/>
            <rFont val="Tahoma"/>
            <family val="2"/>
          </rPr>
          <t>mm98285:</t>
        </r>
        <r>
          <rPr>
            <sz val="8"/>
            <color indexed="81"/>
            <rFont val="Tahoma"/>
            <family val="2"/>
          </rPr>
          <t xml:space="preserve">
$138.9M = all in rent expense incl CAM, taxes &amp; Insurance
</t>
        </r>
        <r>
          <rPr>
            <sz val="8"/>
            <color indexed="81"/>
            <rFont val="Tahoma"/>
            <family val="2"/>
          </rPr>
          <t xml:space="preserve">
10-K number was $103.3mm but right number is $100mm (6/20/08)</t>
        </r>
      </text>
    </comment>
    <comment ref="P12" authorId="3">
      <text>
        <r>
          <rPr>
            <b/>
            <sz val="8"/>
            <color indexed="81"/>
            <rFont val="Tahoma"/>
            <family val="2"/>
          </rPr>
          <t>mm98285:</t>
        </r>
        <r>
          <rPr>
            <sz val="8"/>
            <color indexed="81"/>
            <rFont val="Tahoma"/>
            <family val="2"/>
          </rPr>
          <t xml:space="preserve">
$157.3M = all in rent expense incl CAM, taxes &amp; Insurance
10K: minimum rent $112.907M, contingent rentals $1.993M</t>
        </r>
      </text>
    </comment>
    <comment ref="Q12" authorId="5">
      <text>
        <r>
          <rPr>
            <b/>
            <sz val="8"/>
            <color indexed="81"/>
            <rFont val="Tahoma"/>
            <family val="2"/>
          </rPr>
          <t>10K:</t>
        </r>
        <r>
          <rPr>
            <sz val="8"/>
            <color indexed="81"/>
            <rFont val="Tahoma"/>
            <family val="2"/>
          </rPr>
          <t xml:space="preserve"> 125.651 min/perc rental, 3.327 contingent rent
</t>
        </r>
        <r>
          <rPr>
            <b/>
            <sz val="8"/>
            <color indexed="81"/>
            <rFont val="Tahoma"/>
            <family val="2"/>
          </rPr>
          <t>kg51925:</t>
        </r>
        <r>
          <rPr>
            <sz val="8"/>
            <color indexed="81"/>
            <rFont val="Tahoma"/>
            <family val="2"/>
          </rPr>
          <t xml:space="preserve">
2009E $179.2M incl. CAM, taxes &amp; insurance
</t>
        </r>
      </text>
    </comment>
    <comment ref="R12" authorId="6">
      <text>
        <r>
          <rPr>
            <b/>
            <sz val="8"/>
            <color indexed="81"/>
            <rFont val="Tahoma"/>
            <family val="2"/>
          </rPr>
          <t>nicholjs:</t>
        </r>
        <r>
          <rPr>
            <sz val="8"/>
            <color indexed="81"/>
            <rFont val="Tahoma"/>
            <family val="2"/>
          </rPr>
          <t xml:space="preserve">
Minimum and % rentals: $143,919
Contingent rentals $5,836</t>
        </r>
      </text>
    </comment>
    <comment ref="S12" authorId="6">
      <text>
        <r>
          <rPr>
            <b/>
            <sz val="8"/>
            <color indexed="81"/>
            <rFont val="Tahoma"/>
            <family val="2"/>
          </rPr>
          <t>nicholjs:</t>
        </r>
        <r>
          <rPr>
            <sz val="8"/>
            <color indexed="81"/>
            <rFont val="Tahoma"/>
            <family val="2"/>
          </rPr>
          <t xml:space="preserve">
Minimum and % rentals: $165,901
Contingent rentals $5,403</t>
        </r>
      </text>
    </comment>
    <comment ref="T12" authorId="7">
      <text>
        <r>
          <rPr>
            <b/>
            <sz val="8"/>
            <color indexed="81"/>
            <rFont val="Tahoma"/>
            <family val="2"/>
          </rPr>
          <t>jwyatt:</t>
        </r>
        <r>
          <rPr>
            <sz val="8"/>
            <color indexed="81"/>
            <rFont val="Tahoma"/>
            <family val="2"/>
          </rPr>
          <t xml:space="preserve">
minimum: 186,804
contingent: 5,714</t>
        </r>
      </text>
    </comment>
    <comment ref="U12" authorId="7">
      <text>
        <r>
          <rPr>
            <sz val="8"/>
            <color indexed="81"/>
            <rFont val="Tahoma"/>
            <family val="2"/>
          </rPr>
          <t xml:space="preserve">
minimum: 205.759
contingent: 5.542
</t>
        </r>
      </text>
    </comment>
    <comment ref="V12" authorId="7">
      <text>
        <r>
          <rPr>
            <sz val="8"/>
            <color indexed="81"/>
            <rFont val="Tahoma"/>
            <family val="2"/>
          </rPr>
          <t xml:space="preserve">minimum: 234.982
contingent: 3.901
</t>
        </r>
      </text>
    </comment>
    <comment ref="W12" authorId="8">
      <text>
        <r>
          <rPr>
            <b/>
            <sz val="9"/>
            <color indexed="81"/>
            <rFont val="Tahoma"/>
            <family val="2"/>
          </rPr>
          <t>casselau:</t>
        </r>
        <r>
          <rPr>
            <sz val="9"/>
            <color indexed="81"/>
            <rFont val="Tahoma"/>
            <family val="2"/>
          </rPr>
          <t xml:space="preserve">
$245.474M minimum; $2.704 contingent</t>
        </r>
      </text>
    </comment>
    <comment ref="X12" authorId="9">
      <text>
        <r>
          <rPr>
            <b/>
            <sz val="9"/>
            <color indexed="81"/>
            <rFont val="Tahoma"/>
            <family val="2"/>
          </rPr>
          <t>Cassel, Lauren (Research):</t>
        </r>
        <r>
          <rPr>
            <sz val="9"/>
            <color indexed="81"/>
            <rFont val="Tahoma"/>
            <family val="2"/>
          </rPr>
          <t xml:space="preserve">
$250.421 minimum; $2.244 contingent</t>
        </r>
      </text>
    </comment>
    <comment ref="Y12" authorId="9">
      <text>
        <r>
          <rPr>
            <b/>
            <sz val="9"/>
            <color indexed="81"/>
            <rFont val="Tahoma"/>
            <family val="2"/>
          </rPr>
          <t>Cassel, Lauren (Research):</t>
        </r>
        <r>
          <rPr>
            <sz val="9"/>
            <color indexed="81"/>
            <rFont val="Tahoma"/>
            <family val="2"/>
          </rPr>
          <t xml:space="preserve">
4/11/17: per Oona: I would think about rent in more the 4-5% range</t>
        </r>
      </text>
    </comment>
    <comment ref="S16" authorId="10">
      <text>
        <r>
          <rPr>
            <sz val="8"/>
            <color indexed="81"/>
            <rFont val="Tahoma"/>
            <family val="2"/>
          </rPr>
          <t>directional info per Oona</t>
        </r>
        <r>
          <rPr>
            <sz val="8"/>
            <color indexed="81"/>
            <rFont val="Tahoma"/>
            <family val="2"/>
          </rPr>
          <t xml:space="preserve">
</t>
        </r>
      </text>
    </comment>
    <comment ref="T26" authorId="6">
      <text>
        <r>
          <rPr>
            <b/>
            <sz val="8"/>
            <color indexed="81"/>
            <rFont val="Tahoma"/>
            <family val="2"/>
          </rPr>
          <t>nicholjs:</t>
        </r>
        <r>
          <rPr>
            <sz val="8"/>
            <color indexed="81"/>
            <rFont val="Tahoma"/>
            <family val="2"/>
          </rPr>
          <t xml:space="preserve">
9/2010: we think will start to get leverage on international P&amp;L (DC opened last year)</t>
        </r>
      </text>
    </comment>
    <comment ref="Y26" authorId="2">
      <text>
        <r>
          <rPr>
            <b/>
            <sz val="9"/>
            <color indexed="81"/>
            <rFont val="Tahoma"/>
            <family val="2"/>
          </rPr>
          <t>Baglione, Gregory  (Research):</t>
        </r>
        <r>
          <rPr>
            <sz val="9"/>
            <color indexed="81"/>
            <rFont val="Tahoma"/>
            <family val="2"/>
          </rPr>
          <t xml:space="preserve">
11/22/16
Model ~6-6.5% SG&amp;A dollar growth in 2017/2018. 
3Q17 should see a 50 bps reversal from a one time legal settlement. </t>
        </r>
      </text>
    </comment>
    <comment ref="E27" authorId="3">
      <text>
        <r>
          <rPr>
            <b/>
            <sz val="8"/>
            <color indexed="81"/>
            <rFont val="Tahoma"/>
            <family val="2"/>
          </rPr>
          <t>mm98285:</t>
        </r>
        <r>
          <rPr>
            <sz val="8"/>
            <color indexed="81"/>
            <rFont val="Tahoma"/>
            <family val="2"/>
          </rPr>
          <t xml:space="preserve">
1998 10K: ad spending for 1996 &amp; 1997 was "immaterial"</t>
        </r>
      </text>
    </comment>
    <comment ref="Z27" authorId="11">
      <text>
        <r>
          <rPr>
            <b/>
            <sz val="9"/>
            <color indexed="81"/>
            <rFont val="Tahoma"/>
            <family val="2"/>
          </rPr>
          <t>Roberts, Cynthia (Research):</t>
        </r>
        <r>
          <rPr>
            <sz val="9"/>
            <color indexed="81"/>
            <rFont val="Tahoma"/>
            <family val="2"/>
          </rPr>
          <t xml:space="preserve">
1/8/18: expect SG&amp;A dollars +LSD over the next couple of years driven by digital marketing investment, which can flex more easily and ebb &amp; flow with top line</t>
        </r>
      </text>
    </comment>
    <comment ref="AA27" authorId="11">
      <text>
        <r>
          <rPr>
            <b/>
            <sz val="9"/>
            <color indexed="81"/>
            <rFont val="Tahoma"/>
            <family val="2"/>
          </rPr>
          <t>Roberts, Cynthia (Research):</t>
        </r>
        <r>
          <rPr>
            <sz val="9"/>
            <color indexed="81"/>
            <rFont val="Tahoma"/>
            <family val="2"/>
          </rPr>
          <t xml:space="preserve">
1/8/18: expect SG&amp;A dollars +LSD over the next couple of years driven by digital marketing investment, which can flex more easily and ebb &amp; flow with top line</t>
        </r>
      </text>
    </comment>
    <comment ref="AB27" authorId="11">
      <text>
        <r>
          <rPr>
            <b/>
            <sz val="9"/>
            <color indexed="81"/>
            <rFont val="Tahoma"/>
            <family val="2"/>
          </rPr>
          <t>Roberts, Cynthia (Research):</t>
        </r>
        <r>
          <rPr>
            <sz val="9"/>
            <color indexed="81"/>
            <rFont val="Tahoma"/>
            <family val="2"/>
          </rPr>
          <t xml:space="preserve">
1/8/18: expect SG&amp;A dollars +LSD over the next couple of years driven by digital marketing investment, which can flex more easily and ebb &amp; flow with top line</t>
        </r>
      </text>
    </comment>
    <comment ref="AC27" authorId="11">
      <text>
        <r>
          <rPr>
            <b/>
            <sz val="9"/>
            <color indexed="81"/>
            <rFont val="Tahoma"/>
            <family val="2"/>
          </rPr>
          <t>Roberts, Cynthia (Research):</t>
        </r>
        <r>
          <rPr>
            <sz val="9"/>
            <color indexed="81"/>
            <rFont val="Tahoma"/>
            <family val="2"/>
          </rPr>
          <t xml:space="preserve">
1/8/18: expect SG&amp;A dollars +LSD over the next couple of years driven by digital marketing investment, which can flex more easily and ebb &amp; flow with top line</t>
        </r>
      </text>
    </comment>
    <comment ref="AD27" authorId="11">
      <text>
        <r>
          <rPr>
            <b/>
            <sz val="9"/>
            <color indexed="81"/>
            <rFont val="Tahoma"/>
            <family val="2"/>
          </rPr>
          <t>Roberts, Cynthia (Research):</t>
        </r>
        <r>
          <rPr>
            <sz val="9"/>
            <color indexed="81"/>
            <rFont val="Tahoma"/>
            <family val="2"/>
          </rPr>
          <t xml:space="preserve">
1/8/18: expect SG&amp;A dollars +LSD over the next couple of years driven by digital marketing investment, which can flex more easily and ebb &amp; flow with top line</t>
        </r>
      </text>
    </comment>
    <comment ref="N30" authorId="12">
      <text>
        <r>
          <rPr>
            <b/>
            <sz val="8"/>
            <color indexed="81"/>
            <rFont val="Tahoma"/>
            <family val="2"/>
          </rPr>
          <t>MB33100:</t>
        </r>
        <r>
          <rPr>
            <sz val="8"/>
            <color indexed="81"/>
            <rFont val="Tahoma"/>
            <family val="2"/>
          </rPr>
          <t xml:space="preserve">
1mm est for full year l</t>
        </r>
      </text>
    </comment>
    <comment ref="M34" authorId="13">
      <text>
        <r>
          <rPr>
            <b/>
            <sz val="10"/>
            <color indexed="81"/>
            <rFont val="Tahoma"/>
            <family val="2"/>
          </rPr>
          <t>kgreenbe:</t>
        </r>
        <r>
          <rPr>
            <sz val="10"/>
            <color indexed="81"/>
            <rFont val="Tahoma"/>
            <family val="2"/>
          </rPr>
          <t xml:space="preserve">
Piper conf June 2003 presentation CEO said goal is +300 bps op margin from 2002 by 2005</t>
        </r>
      </text>
    </comment>
    <comment ref="L43" authorId="13">
      <text>
        <r>
          <rPr>
            <b/>
            <sz val="8"/>
            <color indexed="81"/>
            <rFont val="Tahoma"/>
            <family val="2"/>
          </rPr>
          <t>kgreenbe:</t>
        </r>
        <r>
          <rPr>
            <sz val="8"/>
            <color indexed="81"/>
            <rFont val="Tahoma"/>
            <family val="2"/>
          </rPr>
          <t xml:space="preserve">
39.5</t>
        </r>
      </text>
    </comment>
    <comment ref="M43" authorId="14">
      <text>
        <r>
          <rPr>
            <b/>
            <sz val="8"/>
            <color indexed="81"/>
            <rFont val="Tahoma"/>
            <family val="2"/>
          </rPr>
          <t>Kimberly Greenberger:</t>
        </r>
        <r>
          <rPr>
            <sz val="8"/>
            <color indexed="81"/>
            <rFont val="Tahoma"/>
            <family val="2"/>
          </rPr>
          <t xml:space="preserve">
5/05 Mgmt indicated 39% rate should apply for '05 and projected 38% for '06 w/ goal of eventually getting down to 36% tax rate.</t>
        </r>
      </text>
    </comment>
    <comment ref="N43" authorId="14">
      <text>
        <r>
          <rPr>
            <b/>
            <sz val="8"/>
            <color indexed="81"/>
            <rFont val="Tahoma"/>
            <family val="2"/>
          </rPr>
          <t>Kimberly Greenberger:</t>
        </r>
        <r>
          <rPr>
            <sz val="8"/>
            <color indexed="81"/>
            <rFont val="Tahoma"/>
            <family val="2"/>
          </rPr>
          <t xml:space="preserve">
5/05 Mgmt indicated 39% rate should apply for '05 and projected 38% for '06 w/ goal of eventually getting down to 36% tax rate.</t>
        </r>
      </text>
    </comment>
    <comment ref="O43" authorId="14">
      <text>
        <r>
          <rPr>
            <b/>
            <sz val="8"/>
            <color indexed="81"/>
            <rFont val="Tahoma"/>
            <family val="2"/>
          </rPr>
          <t>Kimberly Greenberger:</t>
        </r>
        <r>
          <rPr>
            <sz val="8"/>
            <color indexed="81"/>
            <rFont val="Tahoma"/>
            <family val="2"/>
          </rPr>
          <t xml:space="preserve">
5/05 Mgmt indicated 39% rate should apply for '05 and projected 38% for '06 w/ goal of eventually getting down to 36% tax rate.</t>
        </r>
      </text>
    </comment>
    <comment ref="P43" authorId="14">
      <text>
        <r>
          <rPr>
            <b/>
            <sz val="8"/>
            <color indexed="81"/>
            <rFont val="Tahoma"/>
            <family val="2"/>
          </rPr>
          <t>Kimberly Greenberger:</t>
        </r>
        <r>
          <rPr>
            <sz val="8"/>
            <color indexed="81"/>
            <rFont val="Tahoma"/>
            <family val="2"/>
          </rPr>
          <t xml:space="preserve">
5/05 Mgmt indicated 39% rate should apply for '05 and projected 38% for '06 w/ goal of eventually getting down to 36% tax rate.</t>
        </r>
      </text>
    </comment>
    <comment ref="Q43" authorId="14">
      <text>
        <r>
          <rPr>
            <b/>
            <sz val="8"/>
            <color indexed="81"/>
            <rFont val="Tahoma"/>
            <family val="2"/>
          </rPr>
          <t>Kimberly Greenberger:</t>
        </r>
        <r>
          <rPr>
            <sz val="8"/>
            <color indexed="81"/>
            <rFont val="Tahoma"/>
            <family val="2"/>
          </rPr>
          <t xml:space="preserve">
5/05 Mgmt indicated 39% rate should apply for '05 and projected 38% for '06 w/ goal of eventually getting down to 36% tax rate.</t>
        </r>
      </text>
    </comment>
    <comment ref="S43" authorId="6">
      <text>
        <r>
          <rPr>
            <b/>
            <sz val="8"/>
            <color indexed="81"/>
            <rFont val="Tahoma"/>
            <family val="2"/>
          </rPr>
          <t>nicholjs:</t>
        </r>
        <r>
          <rPr>
            <sz val="8"/>
            <color indexed="81"/>
            <rFont val="Tahoma"/>
            <family val="2"/>
          </rPr>
          <t xml:space="preserve">
9/2010 meeting: tax rate going to decline in next few years</t>
        </r>
      </text>
    </comment>
    <comment ref="T43" authorId="8">
      <text>
        <r>
          <rPr>
            <b/>
            <sz val="8"/>
            <color indexed="81"/>
            <rFont val="Tahoma"/>
            <family val="2"/>
          </rPr>
          <t>casselau:</t>
        </r>
        <r>
          <rPr>
            <sz val="8"/>
            <color indexed="81"/>
            <rFont val="Tahoma"/>
            <family val="2"/>
          </rPr>
          <t xml:space="preserve">
8/20/12: expected to be 36.5</t>
        </r>
      </text>
    </comment>
    <comment ref="Y43" authorId="2">
      <text>
        <r>
          <rPr>
            <b/>
            <sz val="9"/>
            <color indexed="81"/>
            <rFont val="Tahoma"/>
            <family val="2"/>
          </rPr>
          <t>Baglione, Gregory  (Research):</t>
        </r>
        <r>
          <rPr>
            <sz val="9"/>
            <color indexed="81"/>
            <rFont val="Tahoma"/>
            <family val="2"/>
          </rPr>
          <t xml:space="preserve">
3/7/16
Maintain tax rate 37%</t>
        </r>
      </text>
    </comment>
    <comment ref="Z43" authorId="2">
      <text>
        <r>
          <rPr>
            <b/>
            <sz val="9"/>
            <color indexed="81"/>
            <rFont val="Tahoma"/>
            <family val="2"/>
          </rPr>
          <t>Baglione, Gregory  (Research):</t>
        </r>
        <r>
          <rPr>
            <sz val="9"/>
            <color indexed="81"/>
            <rFont val="Tahoma"/>
            <family val="2"/>
          </rPr>
          <t xml:space="preserve">
3/7/16
Maintain tax rate 37%</t>
        </r>
      </text>
    </comment>
    <comment ref="AA43" authorId="2">
      <text>
        <r>
          <rPr>
            <b/>
            <sz val="9"/>
            <color indexed="81"/>
            <rFont val="Tahoma"/>
            <family val="2"/>
          </rPr>
          <t>Baglione, Gregory  (Research):</t>
        </r>
        <r>
          <rPr>
            <sz val="9"/>
            <color indexed="81"/>
            <rFont val="Tahoma"/>
            <family val="2"/>
          </rPr>
          <t xml:space="preserve">
3/7/16
Maintain tax rate 37%</t>
        </r>
      </text>
    </comment>
    <comment ref="AB43" authorId="2">
      <text>
        <r>
          <rPr>
            <b/>
            <sz val="9"/>
            <color indexed="81"/>
            <rFont val="Tahoma"/>
            <family val="2"/>
          </rPr>
          <t>Baglione, Gregory  (Research):</t>
        </r>
        <r>
          <rPr>
            <sz val="9"/>
            <color indexed="81"/>
            <rFont val="Tahoma"/>
            <family val="2"/>
          </rPr>
          <t xml:space="preserve">
3/7/16
Maintain tax rate 37%</t>
        </r>
      </text>
    </comment>
    <comment ref="AC43" authorId="2">
      <text>
        <r>
          <rPr>
            <b/>
            <sz val="9"/>
            <color indexed="81"/>
            <rFont val="Tahoma"/>
            <family val="2"/>
          </rPr>
          <t>Baglione, Gregory  (Research):</t>
        </r>
        <r>
          <rPr>
            <sz val="9"/>
            <color indexed="81"/>
            <rFont val="Tahoma"/>
            <family val="2"/>
          </rPr>
          <t xml:space="preserve">
3/7/16
Maintain tax rate 37%</t>
        </r>
      </text>
    </comment>
    <comment ref="AD43" authorId="2">
      <text>
        <r>
          <rPr>
            <b/>
            <sz val="9"/>
            <color indexed="81"/>
            <rFont val="Tahoma"/>
            <family val="2"/>
          </rPr>
          <t>Baglione, Gregory  (Research):</t>
        </r>
        <r>
          <rPr>
            <sz val="9"/>
            <color indexed="81"/>
            <rFont val="Tahoma"/>
            <family val="2"/>
          </rPr>
          <t xml:space="preserve">
3/7/16
Maintain tax rate 37%</t>
        </r>
      </text>
    </comment>
    <comment ref="K48" authorId="15">
      <text>
        <r>
          <rPr>
            <b/>
            <sz val="8"/>
            <color indexed="81"/>
            <rFont val="Tahoma"/>
            <family val="2"/>
          </rPr>
          <t>dong2:</t>
        </r>
        <r>
          <rPr>
            <sz val="8"/>
            <color indexed="81"/>
            <rFont val="Tahoma"/>
            <family val="2"/>
          </rPr>
          <t xml:space="preserve">
If LY is $1.20, earnings growth of 25% to $1.50 requires 17% sales growth, 3% comps, 85% productivity, and 9.9% OM. 25 times $1.50 is $37.50 or 40%+ upside</t>
        </r>
      </text>
    </comment>
    <comment ref="S54" authorId="16">
      <text>
        <r>
          <rPr>
            <sz val="8"/>
            <color indexed="81"/>
            <rFont val="Tahoma"/>
            <family val="2"/>
          </rPr>
          <t>8/2010: assume ~2mm shares repoed to finish authorization</t>
        </r>
        <r>
          <rPr>
            <b/>
            <sz val="8"/>
            <color indexed="81"/>
            <rFont val="Tahoma"/>
            <family val="2"/>
          </rPr>
          <t xml:space="preserve">
ns66486:</t>
        </r>
        <r>
          <rPr>
            <sz val="8"/>
            <color indexed="81"/>
            <rFont val="Tahoma"/>
            <family val="2"/>
          </rPr>
          <t xml:space="preserve">
on Feb 28, 2006 board approved common stock repo program to repurchase up to 8,000,000 shares from time-to-time, repo'ed 1,220,000 shrs during FY ended Jan 31, 2007</t>
        </r>
      </text>
    </comment>
    <comment ref="V54" authorId="17">
      <text>
        <r>
          <rPr>
            <b/>
            <sz val="9"/>
            <color indexed="81"/>
            <rFont val="Tahoma"/>
            <family val="2"/>
          </rPr>
          <t>turleamb:</t>
        </r>
        <r>
          <rPr>
            <sz val="9"/>
            <color indexed="81"/>
            <rFont val="Tahoma"/>
            <family val="2"/>
          </rPr>
          <t xml:space="preserve">
6/10/14: So we were aggressive with our stock buyback program in the first quarter, and we did authorize subsequent to April at our board meeting another share authorization. I think for us, I think we'll continue to be opportunistic when we see fit around a share buyback. And for me, I always tell the investors that I'd rather not model it in, because we're not the retailer that is committed to a consistent cadence of buyback--we're going to buy back X amount every single quarter and it's something that should be expected of it. I think it's something we will continue to look at and continue to look to be opportunistic around.</t>
        </r>
      </text>
    </comment>
    <comment ref="Y54" authorId="2">
      <text>
        <r>
          <rPr>
            <b/>
            <sz val="9"/>
            <color indexed="81"/>
            <rFont val="Tahoma"/>
            <family val="2"/>
          </rPr>
          <t>Baglione, Gregory  (Research):</t>
        </r>
        <r>
          <rPr>
            <sz val="9"/>
            <color indexed="81"/>
            <rFont val="Tahoma"/>
            <family val="2"/>
          </rPr>
          <t xml:space="preserve">
model ~3-4M annual share count reduction moving forward</t>
        </r>
      </text>
    </comment>
    <comment ref="Z54" authorId="2">
      <text>
        <r>
          <rPr>
            <b/>
            <sz val="9"/>
            <color indexed="81"/>
            <rFont val="Tahoma"/>
            <family val="2"/>
          </rPr>
          <t>Baglione, Gregory  (Research):</t>
        </r>
        <r>
          <rPr>
            <sz val="9"/>
            <color indexed="81"/>
            <rFont val="Tahoma"/>
            <family val="2"/>
          </rPr>
          <t xml:space="preserve">
model ~3-4M annual share count reduction moving forward</t>
        </r>
      </text>
    </comment>
    <comment ref="AA54" authorId="2">
      <text>
        <r>
          <rPr>
            <b/>
            <sz val="9"/>
            <color indexed="81"/>
            <rFont val="Tahoma"/>
            <family val="2"/>
          </rPr>
          <t>Baglione, Gregory  (Research):</t>
        </r>
        <r>
          <rPr>
            <sz val="9"/>
            <color indexed="81"/>
            <rFont val="Tahoma"/>
            <family val="2"/>
          </rPr>
          <t xml:space="preserve">
model ~3-4M annual share count reduction moving forward</t>
        </r>
      </text>
    </comment>
    <comment ref="AB54" authorId="2">
      <text>
        <r>
          <rPr>
            <b/>
            <sz val="9"/>
            <color indexed="81"/>
            <rFont val="Tahoma"/>
            <family val="2"/>
          </rPr>
          <t>Baglione, Gregory  (Research):</t>
        </r>
        <r>
          <rPr>
            <sz val="9"/>
            <color indexed="81"/>
            <rFont val="Tahoma"/>
            <family val="2"/>
          </rPr>
          <t xml:space="preserve">
model ~3-4M annual share count reduction moving forward</t>
        </r>
      </text>
    </comment>
    <comment ref="AC54" authorId="2">
      <text>
        <r>
          <rPr>
            <b/>
            <sz val="9"/>
            <color indexed="81"/>
            <rFont val="Tahoma"/>
            <family val="2"/>
          </rPr>
          <t>Baglione, Gregory  (Research):</t>
        </r>
        <r>
          <rPr>
            <sz val="9"/>
            <color indexed="81"/>
            <rFont val="Tahoma"/>
            <family val="2"/>
          </rPr>
          <t xml:space="preserve">
model ~3-4M annual share count reduction moving forward</t>
        </r>
      </text>
    </comment>
    <comment ref="AD54" authorId="2">
      <text>
        <r>
          <rPr>
            <b/>
            <sz val="9"/>
            <color indexed="81"/>
            <rFont val="Tahoma"/>
            <family val="2"/>
          </rPr>
          <t>Baglione, Gregory  (Research):</t>
        </r>
        <r>
          <rPr>
            <sz val="9"/>
            <color indexed="81"/>
            <rFont val="Tahoma"/>
            <family val="2"/>
          </rPr>
          <t xml:space="preserve">
model ~3-4M annual share count reduction moving forward</t>
        </r>
      </text>
    </comment>
    <comment ref="A56" authorId="0">
      <text>
        <r>
          <rPr>
            <b/>
            <sz val="8"/>
            <color indexed="81"/>
            <rFont val="Tahoma"/>
            <family val="2"/>
          </rPr>
          <t>Corinna Freedman:</t>
        </r>
        <r>
          <rPr>
            <sz val="8"/>
            <color indexed="81"/>
            <rFont val="Tahoma"/>
            <family val="2"/>
          </rPr>
          <t xml:space="preserve">
for dataciti</t>
        </r>
      </text>
    </comment>
    <comment ref="K63" authorId="17">
      <text>
        <r>
          <rPr>
            <b/>
            <sz val="8"/>
            <color indexed="81"/>
            <rFont val="Tahoma"/>
            <family val="2"/>
          </rPr>
          <t>turleamb:</t>
        </r>
        <r>
          <rPr>
            <sz val="8"/>
            <color indexed="81"/>
            <rFont val="Tahoma"/>
            <family val="2"/>
          </rPr>
          <t xml:space="preserve">
7 locations on percentage rental basis totaling $942K</t>
        </r>
      </text>
    </comment>
    <comment ref="N63" authorId="17">
      <text>
        <r>
          <rPr>
            <b/>
            <sz val="8"/>
            <color indexed="81"/>
            <rFont val="Tahoma"/>
            <family val="2"/>
          </rPr>
          <t>turleamb:</t>
        </r>
        <r>
          <rPr>
            <sz val="8"/>
            <color indexed="81"/>
            <rFont val="Tahoma"/>
            <family val="2"/>
          </rPr>
          <t xml:space="preserve">
5 locations on a percentage rent agreement totaling $861K</t>
        </r>
      </text>
    </comment>
    <comment ref="Q63" authorId="17">
      <text>
        <r>
          <rPr>
            <b/>
            <sz val="8"/>
            <color indexed="81"/>
            <rFont val="Tahoma"/>
            <family val="2"/>
          </rPr>
          <t>turleamb:</t>
        </r>
        <r>
          <rPr>
            <sz val="8"/>
            <color indexed="81"/>
            <rFont val="Tahoma"/>
            <family val="2"/>
          </rPr>
          <t xml:space="preserve">
22 stores on a percent rental totaling $3.3m</t>
        </r>
      </text>
    </comment>
    <comment ref="U63" authorId="17">
      <text>
        <r>
          <rPr>
            <b/>
            <sz val="8"/>
            <color indexed="81"/>
            <rFont val="Tahoma"/>
            <family val="2"/>
          </rPr>
          <t>turleamb:</t>
        </r>
        <r>
          <rPr>
            <sz val="8"/>
            <color indexed="81"/>
            <rFont val="Tahoma"/>
            <family val="2"/>
          </rPr>
          <t xml:space="preserve">
26 stores are on a percent of sales lease agreement. Min rent includes 27 executed leases for stores not open as of 1/31/14</t>
        </r>
      </text>
    </comment>
  </commentList>
</comments>
</file>

<file path=xl/comments8.xml><?xml version="1.0" encoding="utf-8"?>
<comments xmlns="http://schemas.openxmlformats.org/spreadsheetml/2006/main">
  <authors>
    <author>nicholjs</author>
    <author>Corinna Freedman</author>
    <author>Kimberly Greenberger</author>
    <author>Debbie Ong</author>
    <author>CREDIT SUISSE FIRST BOSTON</author>
    <author>Cassel, Lauren (Research)</author>
    <author>Baglione, Gregory  (Research)</author>
  </authors>
  <commentList>
    <comment ref="AK9" authorId="0">
      <text>
        <r>
          <rPr>
            <b/>
            <sz val="8"/>
            <color indexed="81"/>
            <rFont val="Tahoma"/>
            <family val="2"/>
          </rPr>
          <t>nicholjs:</t>
        </r>
        <r>
          <rPr>
            <sz val="8"/>
            <color indexed="81"/>
            <rFont val="Tahoma"/>
            <family val="2"/>
          </rPr>
          <t xml:space="preserve">
10K:  Approximately 3.6% of our cash, cash equivalents and marketable securities are invested in A or better rated Auction Rate Securities </t>
        </r>
      </text>
    </comment>
    <comment ref="W10" authorId="1">
      <text>
        <r>
          <rPr>
            <b/>
            <sz val="8"/>
            <color indexed="81"/>
            <rFont val="Tahoma"/>
            <family val="2"/>
          </rPr>
          <t>Corinna Freedman:</t>
        </r>
        <r>
          <rPr>
            <sz val="8"/>
            <color indexed="81"/>
            <rFont val="Tahoma"/>
            <family val="2"/>
          </rPr>
          <t xml:space="preserve">
prior to restatement = 19.979</t>
        </r>
      </text>
    </comment>
    <comment ref="AA12" authorId="2">
      <text>
        <r>
          <rPr>
            <b/>
            <sz val="8"/>
            <color indexed="81"/>
            <rFont val="Tahoma"/>
            <family val="2"/>
          </rPr>
          <t>Kimberly Greenberger:</t>
        </r>
        <r>
          <rPr>
            <sz val="8"/>
            <color indexed="81"/>
            <rFont val="Tahoma"/>
            <family val="2"/>
          </rPr>
          <t xml:space="preserve">
8/11/05: per mgmt expect +15-20% per store increase inv 2H05</t>
        </r>
      </text>
    </comment>
    <comment ref="B13" authorId="3">
      <text>
        <r>
          <rPr>
            <b/>
            <sz val="8"/>
            <color indexed="81"/>
            <rFont val="Tahoma"/>
            <family val="2"/>
          </rPr>
          <t>Debbie Ong:</t>
        </r>
        <r>
          <rPr>
            <sz val="8"/>
            <color indexed="81"/>
            <rFont val="Tahoma"/>
            <family val="2"/>
          </rPr>
          <t xml:space="preserve">
incl. Prepaid rent</t>
        </r>
      </text>
    </comment>
    <comment ref="B14" authorId="4">
      <text>
        <r>
          <rPr>
            <b/>
            <sz val="8"/>
            <color indexed="81"/>
            <rFont val="Tahoma"/>
            <family val="2"/>
          </rPr>
          <t>CREDIT SUISSE FIRST BOSTON:</t>
        </r>
        <r>
          <rPr>
            <sz val="8"/>
            <color indexed="81"/>
            <rFont val="Tahoma"/>
            <family val="2"/>
          </rPr>
          <t xml:space="preserve">
FINANCIAL REPORTING REQUIRES YOU STRAIGHT-LINE RENT, BUT RENT IS GROWING OVER TIME (DUE TO INFLATION ETC). BUT ON TAXES YOU HAVE TO DEDUCT WHAT YOU PAID AND NOT WHAT YOU RECOGNIZE AS RENT EXPENSE SO THAT MEANS DEFERRED TAXES SHOULD CONTINUE TO GROW IF CO. IS GROWING</t>
        </r>
      </text>
    </comment>
    <comment ref="B25" authorId="4">
      <text>
        <r>
          <rPr>
            <b/>
            <sz val="8"/>
            <color indexed="81"/>
            <rFont val="Tahoma"/>
            <family val="2"/>
          </rPr>
          <t>CREDIT SUISSE FIRST BOSTON:</t>
        </r>
        <r>
          <rPr>
            <sz val="8"/>
            <color indexed="81"/>
            <rFont val="Tahoma"/>
            <family val="2"/>
          </rPr>
          <t xml:space="preserve">
increases by capex (on cash flow) and decreases by depre.</t>
        </r>
      </text>
    </comment>
    <comment ref="C25" authorId="4">
      <text>
        <r>
          <rPr>
            <b/>
            <sz val="8"/>
            <color indexed="81"/>
            <rFont val="Tahoma"/>
            <family val="2"/>
          </rPr>
          <t>CREDIT SUISSE FIRST BOSTON:</t>
        </r>
        <r>
          <rPr>
            <sz val="8"/>
            <color indexed="81"/>
            <rFont val="Tahoma"/>
            <family val="2"/>
          </rPr>
          <t xml:space="preserve">
increases by capex (on cash flow) and decreases by depre.</t>
        </r>
      </text>
    </comment>
    <comment ref="B27" authorId="3">
      <text>
        <r>
          <rPr>
            <b/>
            <sz val="8"/>
            <color indexed="81"/>
            <rFont val="Tahoma"/>
            <family val="2"/>
          </rPr>
          <t>Debbie Ong:</t>
        </r>
        <r>
          <rPr>
            <sz val="8"/>
            <color indexed="81"/>
            <rFont val="Tahoma"/>
            <family val="2"/>
          </rPr>
          <t xml:space="preserve">
includes deferred comp, non-compete covenants and deposits</t>
        </r>
      </text>
    </comment>
    <comment ref="B36" authorId="3">
      <text>
        <r>
          <rPr>
            <b/>
            <sz val="8"/>
            <color indexed="81"/>
            <rFont val="Tahoma"/>
            <family val="2"/>
          </rPr>
          <t>Debbie Ong:</t>
        </r>
        <r>
          <rPr>
            <sz val="8"/>
            <color indexed="81"/>
            <rFont val="Tahoma"/>
            <family val="2"/>
          </rPr>
          <t xml:space="preserve">
incl. Accrued comp + benefits, reserve for store expans/relo/close costs, accrued costs related to corp. Relo., sales tax payable, gift cert + store merch credits</t>
        </r>
      </text>
    </comment>
    <comment ref="AW36" authorId="5">
      <text>
        <r>
          <rPr>
            <b/>
            <sz val="9"/>
            <color indexed="81"/>
            <rFont val="Tahoma"/>
            <family val="2"/>
          </rPr>
          <t>Cassel, Lauren (Research):</t>
        </r>
        <r>
          <rPr>
            <sz val="9"/>
            <color indexed="81"/>
            <rFont val="Tahoma"/>
            <family val="2"/>
          </rPr>
          <t xml:space="preserve">
now includes accrued compensation </t>
        </r>
      </text>
    </comment>
    <comment ref="AU39" authorId="6">
      <text>
        <r>
          <rPr>
            <b/>
            <sz val="9"/>
            <color indexed="81"/>
            <rFont val="Tahoma"/>
            <family val="2"/>
          </rPr>
          <t>Baglione, Gregory  (Research):</t>
        </r>
        <r>
          <rPr>
            <sz val="9"/>
            <color indexed="81"/>
            <rFont val="Tahoma"/>
            <family val="2"/>
          </rPr>
          <t xml:space="preserve">
3/7/16
On July 1, 2015, the Company entered into a five-year $400 million asset-based revolving credit facility with a group of lenders, with JPMorgan Chase Bank N.A. as administrative agent. The new credit facility replaced the Company's existing $175 million line of credit facility with Wells Fargo Bank, National Association, which was set to expire in March 2019, and is secured by the Company's eligible inventory and accounts receivable. As of January 31, 2016, borrowings under the new revolving credit facility totaled $150 million. All borrowings under the revolving credit facility were used to fund the repurchase of common shares of the Company.</t>
        </r>
      </text>
    </comment>
    <comment ref="B40" authorId="3">
      <text>
        <r>
          <rPr>
            <b/>
            <sz val="8"/>
            <color indexed="81"/>
            <rFont val="Tahoma"/>
            <family val="2"/>
          </rPr>
          <t>Debbie Ong:</t>
        </r>
        <r>
          <rPr>
            <sz val="8"/>
            <color indexed="81"/>
            <rFont val="Tahoma"/>
            <family val="2"/>
          </rPr>
          <t xml:space="preserve">
in order to be compliant, must pay min. of 100% of LY liab or 90% of current year liab.  Should continue to decrease as co. becomes more profitable b/c co. will have to pay more during current year, thus less liab at yend</t>
        </r>
      </text>
    </comment>
    <comment ref="W40" authorId="1">
      <text>
        <r>
          <rPr>
            <b/>
            <sz val="8"/>
            <color indexed="81"/>
            <rFont val="Tahoma"/>
            <family val="2"/>
          </rPr>
          <t>Corinna Freedman:</t>
        </r>
        <r>
          <rPr>
            <sz val="8"/>
            <color indexed="81"/>
            <rFont val="Tahoma"/>
            <family val="2"/>
          </rPr>
          <t xml:space="preserve">
prior to restatement = 11.703</t>
        </r>
      </text>
    </comment>
    <comment ref="AK40" authorId="0">
      <text>
        <r>
          <rPr>
            <b/>
            <sz val="8"/>
            <color indexed="81"/>
            <rFont val="Tahoma"/>
            <family val="2"/>
          </rPr>
          <t>nicholjs:</t>
        </r>
        <r>
          <rPr>
            <sz val="8"/>
            <color indexed="81"/>
            <rFont val="Tahoma"/>
            <family val="2"/>
          </rPr>
          <t xml:space="preserve">
On April 25, 2011, Urban Outfitters, Inc. (the "Company") executed a renewal and amendment of its line of credit facility (the "Line") with Wells Fargo Bank, National Association (successor by merger to Wachovia Bank, National Association). The amendment extended the term of the Line for three years, increased the accordion feature from $100 million to $175.0 million, reduced the interest rate margin for certain cash advances and modified certain covenants and terms. The Line currently includes an $80.0 million revolving credit facility with an accordion feature allowing an increase to $175.0 million at the Company's discretion. The Line contains a sub-limit for borrowings by our European subsidiaries that are guaranteed by the Company. Cash advances bear interest at LIBOR plus 0.50% to 1.50% based on our achievement of prescribed adjusted debt ratios. The Line subjects us to various restrictive covenants, including maintenance of certain financial ratios and covenants such as fixed charge coverage and adjusted debt. The covenants also include
limitations on our capital expenditures, ability for share repurchases and the payment of cash dividends on our common shares.</t>
        </r>
      </text>
    </comment>
    <comment ref="B49" authorId="1">
      <text>
        <r>
          <rPr>
            <b/>
            <sz val="8"/>
            <color indexed="81"/>
            <rFont val="Tahoma"/>
            <family val="2"/>
          </rPr>
          <t>Corinna Freedman:</t>
        </r>
        <r>
          <rPr>
            <sz val="8"/>
            <color indexed="81"/>
            <rFont val="Tahoma"/>
            <family val="2"/>
          </rPr>
          <t xml:space="preserve">
includes unearned compensation
</t>
        </r>
      </text>
    </comment>
    <comment ref="AA73" authorId="2">
      <text>
        <r>
          <rPr>
            <b/>
            <sz val="8"/>
            <color indexed="81"/>
            <rFont val="Tahoma"/>
            <family val="2"/>
          </rPr>
          <t>Kimberly Greenberger:</t>
        </r>
        <r>
          <rPr>
            <sz val="8"/>
            <color indexed="81"/>
            <rFont val="Tahoma"/>
            <family val="2"/>
          </rPr>
          <t xml:space="preserve">
8/11/05: per mgmt expect +15-20% per store increase inv 2H05</t>
        </r>
      </text>
    </comment>
  </commentList>
</comments>
</file>

<file path=xl/comments9.xml><?xml version="1.0" encoding="utf-8"?>
<comments xmlns="http://schemas.openxmlformats.org/spreadsheetml/2006/main">
  <authors>
    <author>CREDIT SUISSE FIRST BOSTON</author>
    <author>Corinna Freedman</author>
    <author>Kimberly Greenberger</author>
    <author>kg51925</author>
    <author>dong2</author>
    <author>MB33100</author>
    <author>dliu</author>
    <author>KG51925</author>
    <author>lauraro</author>
    <author>casselau</author>
    <author>turleamb</author>
    <author>Turley, Amber (Research)</author>
    <author>Baglione, Gregory  (Research)</author>
    <author>Baglione, Gregory (Research)</author>
    <author>Roberts, Cynthia (Research)</author>
    <author>mm98285</author>
    <author>ns66486</author>
    <author>nicholjs</author>
    <author>Cassel, Lauren (Research)</author>
  </authors>
  <commentList>
    <comment ref="B11" authorId="0">
      <text>
        <r>
          <rPr>
            <b/>
            <sz val="8"/>
            <color indexed="81"/>
            <rFont val="Tahoma"/>
            <family val="2"/>
          </rPr>
          <t>CREDIT SUISSE FIRST BOSTON:</t>
        </r>
        <r>
          <rPr>
            <sz val="8"/>
            <color indexed="81"/>
            <rFont val="Tahoma"/>
            <family val="2"/>
          </rPr>
          <t xml:space="preserve">
calculated from change in accum. depr, change in goodwill amort. and 10% depr. of leasehold improvements from prior year (assuming 10-year useful life)</t>
        </r>
      </text>
    </comment>
    <comment ref="R11" authorId="1">
      <text>
        <r>
          <rPr>
            <b/>
            <sz val="8"/>
            <color indexed="81"/>
            <rFont val="Tahoma"/>
            <family val="2"/>
          </rPr>
          <t>Corinna Freedman:</t>
        </r>
        <r>
          <rPr>
            <sz val="8"/>
            <color indexed="81"/>
            <rFont val="Tahoma"/>
            <family val="2"/>
          </rPr>
          <t xml:space="preserve">
prior to restatement =18.208</t>
        </r>
      </text>
    </comment>
    <comment ref="T11" authorId="1">
      <text>
        <r>
          <rPr>
            <b/>
            <sz val="8"/>
            <color indexed="81"/>
            <rFont val="Tahoma"/>
            <family val="2"/>
          </rPr>
          <t>Corinna Freedman:</t>
        </r>
        <r>
          <rPr>
            <sz val="8"/>
            <color indexed="81"/>
            <rFont val="Tahoma"/>
            <family val="2"/>
          </rPr>
          <t xml:space="preserve">
prior to restatement = 22.415</t>
        </r>
      </text>
    </comment>
    <comment ref="V11" authorId="2">
      <text>
        <r>
          <rPr>
            <b/>
            <sz val="8"/>
            <color indexed="81"/>
            <rFont val="Tahoma"/>
            <family val="2"/>
          </rPr>
          <t>Kimberly Greenberger:</t>
        </r>
        <r>
          <rPr>
            <sz val="8"/>
            <color indexed="81"/>
            <rFont val="Tahoma"/>
            <family val="2"/>
          </rPr>
          <t xml:space="preserve">
approx $26mm per John 7/04</t>
        </r>
      </text>
    </comment>
    <comment ref="Z11" authorId="3">
      <text>
        <r>
          <rPr>
            <b/>
            <sz val="8"/>
            <color indexed="81"/>
            <rFont val="Tahoma"/>
            <family val="2"/>
          </rPr>
          <t>kg51925:</t>
        </r>
        <r>
          <rPr>
            <sz val="8"/>
            <color indexed="81"/>
            <rFont val="Tahoma"/>
            <family val="2"/>
          </rPr>
          <t xml:space="preserve">
close to $50mm per mgmt</t>
        </r>
      </text>
    </comment>
    <comment ref="AB11" authorId="3">
      <text>
        <r>
          <rPr>
            <b/>
            <sz val="8"/>
            <color indexed="81"/>
            <rFont val="Tahoma"/>
            <family val="2"/>
          </rPr>
          <t>kg51925:</t>
        </r>
        <r>
          <rPr>
            <sz val="8"/>
            <color indexed="81"/>
            <rFont val="Tahoma"/>
            <family val="2"/>
          </rPr>
          <t xml:space="preserve">
incremental $3mm depcn expected for new HQ ($75mm at 39 years plus $1mm depcn on fixtures)</t>
        </r>
      </text>
    </comment>
    <comment ref="Z12" authorId="3">
      <text>
        <r>
          <rPr>
            <b/>
            <sz val="8"/>
            <color indexed="81"/>
            <rFont val="Tahoma"/>
            <family val="2"/>
          </rPr>
          <t>mm98285:</t>
        </r>
        <r>
          <rPr>
            <sz val="8"/>
            <color indexed="81"/>
            <rFont val="Tahoma"/>
            <family val="2"/>
          </rPr>
          <t xml:space="preserve">
includes tax benefit of ($5.394) and "excess tax benefit" $5.394 from financing section of CF</t>
        </r>
      </text>
    </comment>
    <comment ref="B15" authorId="4">
      <text>
        <r>
          <rPr>
            <b/>
            <sz val="8"/>
            <color indexed="81"/>
            <rFont val="Tahoma"/>
            <family val="2"/>
          </rPr>
          <t>dong2:</t>
        </r>
        <r>
          <rPr>
            <sz val="8"/>
            <color indexed="81"/>
            <rFont val="Tahoma"/>
            <family val="2"/>
          </rPr>
          <t xml:space="preserve">
losses (recovery) of a/p</t>
        </r>
      </text>
    </comment>
    <comment ref="X15" authorId="5">
      <text>
        <r>
          <rPr>
            <b/>
            <sz val="8"/>
            <color indexed="81"/>
            <rFont val="Tahoma"/>
            <family val="2"/>
          </rPr>
          <t>MB33100:</t>
        </r>
        <r>
          <rPr>
            <sz val="8"/>
            <color indexed="81"/>
            <rFont val="Tahoma"/>
            <family val="2"/>
          </rPr>
          <t xml:space="preserve">
stock based compensation and gain on disposition of propert</t>
        </r>
      </text>
    </comment>
    <comment ref="F20" authorId="4">
      <text>
        <r>
          <rPr>
            <b/>
            <sz val="8"/>
            <color indexed="81"/>
            <rFont val="Tahoma"/>
            <family val="2"/>
          </rPr>
          <t>dong2:</t>
        </r>
        <r>
          <rPr>
            <sz val="8"/>
            <color indexed="81"/>
            <rFont val="Tahoma"/>
            <family val="2"/>
          </rPr>
          <t xml:space="preserve">
in Oct 96, completed construction and occupied new 100,000 sq. ft. distrib ctr. Maj. Of mdse purchased by Urban Retail, Anthro and Wholesale is shipped directly to this facility, approx. 60 mi from home office in Philly.</t>
        </r>
      </text>
    </comment>
    <comment ref="L20" authorId="4">
      <text>
        <r>
          <rPr>
            <b/>
            <sz val="8"/>
            <color indexed="81"/>
            <rFont val="Tahoma"/>
            <family val="2"/>
          </rPr>
          <t>dong2:</t>
        </r>
        <r>
          <rPr>
            <sz val="8"/>
            <color indexed="81"/>
            <rFont val="Tahoma"/>
            <family val="2"/>
          </rPr>
          <t xml:space="preserve">
from 99 10-K: during the last two years, the co. has invested in the Anthro direct response effort, a new European subsidiary, and a direct response company aimed at teen shoppers. Don't think the MXG investment is included in capex, but then what is??</t>
        </r>
      </text>
    </comment>
    <comment ref="R20" authorId="1">
      <text>
        <r>
          <rPr>
            <b/>
            <sz val="8"/>
            <color indexed="81"/>
            <rFont val="Tahoma"/>
            <family val="2"/>
          </rPr>
          <t>Corinna Freedman:</t>
        </r>
        <r>
          <rPr>
            <sz val="8"/>
            <color indexed="81"/>
            <rFont val="Tahoma"/>
            <family val="2"/>
          </rPr>
          <t xml:space="preserve">
prior to restatement = 22.247</t>
        </r>
      </text>
    </comment>
    <comment ref="T20" authorId="4">
      <text>
        <r>
          <rPr>
            <sz val="8"/>
            <color indexed="81"/>
            <rFont val="Tahoma"/>
            <family val="2"/>
          </rPr>
          <t>prior to restatement = 33.079
look to do a Western D.C. and expand capacity within existing D.C. Had $33 but raised to $40 based on 10-Q comments.p</t>
        </r>
      </text>
    </comment>
    <comment ref="V20" authorId="6">
      <text>
        <r>
          <rPr>
            <b/>
            <sz val="8"/>
            <color indexed="81"/>
            <rFont val="Tahoma"/>
            <family val="2"/>
          </rPr>
          <t>dliu:</t>
        </r>
        <r>
          <rPr>
            <sz val="8"/>
            <color indexed="81"/>
            <rFont val="Tahoma"/>
            <family val="2"/>
          </rPr>
          <t xml:space="preserve">
1.6mm x 25 stores + $5 mm for new fulfillment ctr = $45mm
but in 1Q04 10-Q, said "will not exceed $50mm" so increased to $50 to be conservative</t>
        </r>
      </text>
    </comment>
    <comment ref="X20" authorId="5">
      <text>
        <r>
          <rPr>
            <b/>
            <sz val="8"/>
            <color indexed="81"/>
            <rFont val="Tahoma"/>
            <family val="2"/>
          </rPr>
          <t>MB33100:</t>
        </r>
        <r>
          <rPr>
            <sz val="8"/>
            <color indexed="81"/>
            <rFont val="Tahoma"/>
            <family val="2"/>
          </rPr>
          <t xml:space="preserve">
2006 10K: $22mm on Navy Yard HQ
2004 10K: expect to spend $100mm to expand store base, begin construction on new HQ, &amp; purch equip for new DC in S.C.
includes 3.769 for proceeds on disposition of property and equipment</t>
        </r>
      </text>
    </comment>
    <comment ref="Z20" authorId="2">
      <text>
        <r>
          <rPr>
            <b/>
            <sz val="8"/>
            <color indexed="81"/>
            <rFont val="Tahoma"/>
            <family val="2"/>
          </rPr>
          <t>Kimberly Greenberger:</t>
        </r>
        <r>
          <rPr>
            <sz val="8"/>
            <color indexed="81"/>
            <rFont val="Tahoma"/>
            <family val="2"/>
          </rPr>
          <t xml:space="preserve">
2006 10K: $82mm on Navy Yard HQ, $110mm new stores, $11mm Direct, $7mm remodels, $2mm DC
$150 per 10-k and per 2Q conf Call
7/04 est 38 store openings at $1.6mm gross capex $55-60mm (excl $400k TI for mall based stores) plus $5mm or so misc capex plus $5mm west coast DC plus $50mm (in add'n to $25mm LY) on new HQ
05/05 added $20mm capex to est for new PA DC likely in 2006 and maybe bringing 3rd party W.Coast DC in house.</t>
        </r>
      </text>
    </comment>
    <comment ref="AB20" authorId="2">
      <text>
        <r>
          <rPr>
            <b/>
            <sz val="8"/>
            <color indexed="81"/>
            <rFont val="Tahoma"/>
            <family val="2"/>
          </rPr>
          <t>Kimberly Greenberger:</t>
        </r>
        <r>
          <rPr>
            <sz val="8"/>
            <color indexed="81"/>
            <rFont val="Tahoma"/>
            <family val="2"/>
          </rPr>
          <t xml:space="preserve">
3Q 10Q: $120mm
8/07: call said $100-$120mm
2006 10K: ~$100mm ($82mm new stores, $3mm expansions, $5mm IT, $6.5mm DC, $4mm other)
11/09: per kyees on call, $80-100mm in 2007 cap ex.
Per John
5/06 est 42 store openings at $1.6mm gross capex $65mm (excl $400k TI for mall based stores) plus $10mm or so misc capex  </t>
        </r>
      </text>
    </comment>
    <comment ref="AD20" authorId="2">
      <text>
        <r>
          <rPr>
            <b/>
            <sz val="8"/>
            <color indexed="81"/>
            <rFont val="Tahoma"/>
            <family val="2"/>
          </rPr>
          <t>Kimberly Greenberger:</t>
        </r>
        <r>
          <rPr>
            <sz val="8"/>
            <color indexed="81"/>
            <rFont val="Tahoma"/>
            <family val="2"/>
          </rPr>
          <t xml:space="preserve">
1Q: $25.5mm; 2Q: $28.421mm, 3Q $32.264
5/08: kyees said $120mm in capex
4/08: 10K expect $140mm in capex
3/08; expect $120mm
8/07: call said slightly higher than 2007 given concept 4 expenses
5/06 est 50 store openings at $1.6mm gross capex $65mm (excl $400k TI for mall based stores) plus $10mm or so misc capex  </t>
        </r>
      </text>
    </comment>
    <comment ref="AF20" authorId="2">
      <text>
        <r>
          <rPr>
            <b/>
            <sz val="8"/>
            <color indexed="81"/>
            <rFont val="Tahoma"/>
            <family val="2"/>
          </rPr>
          <t>Kimberly Greenberger:</t>
        </r>
        <r>
          <rPr>
            <sz val="8"/>
            <color indexed="81"/>
            <rFont val="Tahoma"/>
            <family val="2"/>
          </rPr>
          <t xml:space="preserve">
11/09: $120-130M ($84M YTD at 3Q, 3Q: $27M)
2Q 10Q: expect $140M for expansion of store base and home office 
1Q: $32.287M, 2Q: $25.153M. 3Q $26.767M
10K: expect $110M
3/09: expect ~$120
11/08: expect $150-$160mm
5/06 est 50 store openings at $1.6mm gross capex $65mm (excl $400k TI for mall based stores) plus $10mm or so misc capex  </t>
        </r>
      </text>
    </comment>
    <comment ref="AH20" authorId="3">
      <text>
        <r>
          <rPr>
            <sz val="8"/>
            <color indexed="81"/>
            <rFont val="Tahoma"/>
            <family val="2"/>
          </rPr>
          <t>3Q10Q: $120MM
9/2010 (10Q): ~$120mm (during 2Q completed 54,000 sq ft expansion to HQ, project cost is $25mm)
10K: we expect to increase level of capex in 2010 to ~$130mm
during 2011: plan to complete 54,000 sq ft expansion to HQ, will cost ~$25mm
previous color from KG
majority new stores (90)
remodels (10)
misc IT &amp; DC (10-20)
new HQ (20)</t>
        </r>
      </text>
    </comment>
    <comment ref="AJ20" authorId="7">
      <text>
        <r>
          <rPr>
            <sz val="8"/>
            <color indexed="81"/>
            <rFont val="Tahoma"/>
            <family val="2"/>
          </rPr>
          <t>3Q 10Q: $180-$190M
3Q call: spent $62M, expect $180-$190
2Q 10Q: expect $175-195
1Q 10Q: expect $175-195
10K: expect ~$188
We plan to purchase land to construct a 468,000 square foot fulfillment center in Reno, Nevada. This center will significantly increase our fulfillment capacity and provide us with opportunities for additional growth.
Our European stores and direct-to-consumer channel currently utilizes a third party distribution center in Essex, England. In June 2010 we leased and began construction on a 98,000 square foot distribution center and a 142,000 square foot fulfillment center in Rushden, England. We anticipate transitioning all of our European distribution and fulfillment operations to these facilities during 2Q11. Our distribution facility will support our entire European store base and will have a state-of-the-art materials handling system. Our fulfillment facility, which will support our entire European direct-to-consumer channel, will have an advanced cross belt sorter. We believe both of these facilities will support our European growth for the next several years as well as add operational efficiencies when fully operational.
3/2011: expect $175-195mm
10/2010: ~$140-150mm
9/2010: ~$140mm good place to start
include an estimated $25M for 1-2 Euro DC's (one DC and one fulfillment center) and also more Euro store capex @ $2M per store</t>
        </r>
      </text>
    </comment>
    <comment ref="AL20" authorId="8">
      <text>
        <r>
          <rPr>
            <b/>
            <sz val="8"/>
            <color indexed="81"/>
            <rFont val="Tahoma"/>
            <family val="2"/>
          </rPr>
          <t xml:space="preserve">8/12/20: </t>
        </r>
        <r>
          <rPr>
            <sz val="8"/>
            <color indexed="81"/>
            <rFont val="Tahoma"/>
            <family val="2"/>
          </rPr>
          <t xml:space="preserve">190-210; driven primarily by new stores, the expansion of our home office, and the completion of our new fulfillment center </t>
        </r>
        <r>
          <rPr>
            <b/>
            <sz val="8"/>
            <color indexed="81"/>
            <rFont val="Tahoma"/>
            <family val="2"/>
          </rPr>
          <t xml:space="preserve">
lauraro:</t>
        </r>
        <r>
          <rPr>
            <sz val="8"/>
            <color indexed="81"/>
            <rFont val="Tahoma"/>
            <family val="2"/>
          </rPr>
          <t xml:space="preserve">
5/21/12: Expect capex $190-$210M
11/14 Expect $180-$190</t>
        </r>
      </text>
    </comment>
    <comment ref="AN20" authorId="9">
      <text>
        <r>
          <rPr>
            <b/>
            <sz val="8"/>
            <color indexed="81"/>
            <rFont val="Tahoma"/>
            <family val="2"/>
          </rPr>
          <t>casselau:</t>
        </r>
        <r>
          <rPr>
            <sz val="8"/>
            <color indexed="81"/>
            <rFont val="Tahoma"/>
            <family val="2"/>
          </rPr>
          <t xml:space="preserve">
10-K: Cash used in investing activities during fiscal 2014 was $462.2 million, consisting of $186.1 million used primarily for the construction of new stores and the expansion of our home offices and $276.1 million in net purchases of marketable securities. During the last three years, we have satisfied our cash requirements through our cash flow from operating activities. Our primary uses of cash have been to open new stores, purchase inventories and expand our fulfillment and home office facilities. We have also continued to invest in our omni-channel efforts, technology and our international operations. Cash paid for property and equipment for fiscal 2014, 2013 and 2012 were $186.1 million, $168.9 million, and $190.0 million, respectively, and were primarily used to expand and support our store base, home offices and distribution and fulfillment facilities.
11/18/13: Capital expenditures for fiscal year 2014 are planned at approximately $190 million to $210 million, driven primarily by new stores and the expansion of our home office
3/11/13: Expect capex of $210mm, driven primarily by new stores and the expansion of their home office.</t>
        </r>
      </text>
    </comment>
    <comment ref="AP20" authorId="10">
      <text>
        <r>
          <rPr>
            <b/>
            <sz val="8"/>
            <color indexed="81"/>
            <rFont val="Tahoma"/>
            <family val="2"/>
          </rPr>
          <t>turleamb:</t>
        </r>
        <r>
          <rPr>
            <sz val="8"/>
            <color indexed="81"/>
            <rFont val="Tahoma"/>
            <family val="2"/>
          </rPr>
          <t xml:space="preserve">
12/10/14 10-Q: Guidance $215-$235
During fiscal 2015, we plan to construct and open approximately 35 to 40 new stores, renovate certain existing stores, expand our home offices in Philadelphia, Pennsylvania, increase our fulfillment capabilities, upgrade our systems, invest in omni-channel marketing and purchase inventories for our Retail and Wholesale segments at levels appropriate to maintain our planned sales growth. We believe that our marketing, social media, merchandise expansion, website and mobile initiatives are a significant contributor to our Retail segment sales growth. During fiscal 2015, we plan to continue our investment in these initiatives for all brands. We plan to increase the level of capital expenditures during fiscal 2015 to approximately $215.0 to $235.0 million, all of which are expected to be financed by cash flow from operating activities. We believe that our new store investments have the potential to generate positive cash flow within a year. We believe the expansion of our home offices and distribution and fulfillment facilities are necessary to adequately support our growth. We may also enter into one or more acquisitions or transactions related to the expansion of our brand offerings. 
5/19/14: Guidance $215m-$235m
3/10/14: Capital Expenditures for Fiscal Year 2015 are planned at approximately 215-$235 million driven primarily new East Coast facility, home office expansion and new stores. We believe a new East Coast fulfillment facility will help us to better serve a large portion of our customer base with faster fulfillment times. This facility is not planned to be open until Fiscal 2016. 
10-K: we plan to construct and open approximately 35 to 40 new stores, renovate certain existing stores, continue to expand our home offices in Philadelphia, Pennsylvania, increase our fulfillment capabilities, upgrade our systems, increase our investments in omni-channel marketing and purchase inventories for our Retail and Wholesale segments at levels appropriate to maintain our planned sales growth. We believe that our marketing, social media, merchandise expansion, website and mobile initiatives are a significant contributor to our Retail segment sales growth. During fiscal 2015, we plan to continue our investment in these initiatives for all brands. We plan to increase the level of capital expenditures during fiscal 2015 to approximately $215 to $235 million. We believe that our new store investments have the potential to generate positive cash flow within a year. We believe the expansion of our fulfillment and home office facilities is necessary to adequately support our growth. We may also enter into one or more acquisitions or transactions related to the expansion of our brand offerings.</t>
        </r>
      </text>
    </comment>
    <comment ref="AR20" authorId="11">
      <text>
        <r>
          <rPr>
            <sz val="9"/>
            <color indexed="81"/>
            <rFont val="Tahoma"/>
            <family val="2"/>
          </rPr>
          <t>8/17/15: $140-150M driven primarily by new stores and the completion of the East Coast fulfillment center.
5/18/15: Reaffirmed $150-160M, driven primarily by new stores and completion of new east coast DC
3/9/15: Guidance $150-$160M</t>
        </r>
      </text>
    </comment>
    <comment ref="AT20" authorId="12">
      <text>
        <r>
          <rPr>
            <b/>
            <sz val="9"/>
            <color indexed="81"/>
            <rFont val="Tahoma"/>
            <family val="2"/>
          </rPr>
          <t>Baglione, Gregory  (Research):</t>
        </r>
        <r>
          <rPr>
            <sz val="9"/>
            <color indexed="81"/>
            <rFont val="Tahoma"/>
            <family val="2"/>
          </rPr>
          <t xml:space="preserve">
11/22/16
$160 M
8/16/16
Capital expenditures for fiscal 2017 are planned at approximately $170 million
5/18/16
CapEx expected ~$170M
3/7/16
Guidance Capital expenditures for fiscal 2017 are planned at approximately $160 million with approximately $10 million moving from fiscal 2016 into fiscal 2017. Total spend for fiscal 2017 is primarily driven by new relocated and expanded stores and the completion of our new East Coast fulfillment center. 
</t>
        </r>
      </text>
    </comment>
    <comment ref="AV20" authorId="13">
      <text>
        <r>
          <rPr>
            <b/>
            <sz val="9"/>
            <color indexed="81"/>
            <rFont val="Tahoma"/>
            <family val="2"/>
          </rPr>
          <t>Baglione, Gregory (Research):</t>
        </r>
        <r>
          <rPr>
            <sz val="9"/>
            <color indexed="81"/>
            <rFont val="Tahoma"/>
            <family val="2"/>
          </rPr>
          <t xml:space="preserve">
1/16/17
Expect CapEx to come down by $60M next year per ICR</t>
        </r>
      </text>
    </comment>
    <comment ref="AX20" authorId="14">
      <text>
        <r>
          <rPr>
            <b/>
            <sz val="9"/>
            <color indexed="81"/>
            <rFont val="Tahoma"/>
            <family val="2"/>
          </rPr>
          <t>Roberts, Cynthia (Research):</t>
        </r>
        <r>
          <rPr>
            <sz val="9"/>
            <color indexed="81"/>
            <rFont val="Tahoma"/>
            <family val="2"/>
          </rPr>
          <t xml:space="preserve">
3/6/18: Increase driven by new, relocated, and expanded stores, followed by investments  in home office space and tech</t>
        </r>
      </text>
    </comment>
    <comment ref="H27" authorId="4">
      <text>
        <r>
          <rPr>
            <b/>
            <sz val="8"/>
            <color indexed="81"/>
            <rFont val="Tahoma"/>
            <family val="2"/>
          </rPr>
          <t>dong2:</t>
        </r>
        <r>
          <rPr>
            <sz val="8"/>
            <color indexed="81"/>
            <rFont val="Tahoma"/>
            <family val="2"/>
          </rPr>
          <t xml:space="preserve">
which accounts from B/S?
a/p, income taxes payable, accrued comp and accrued exp &amp; other?</t>
        </r>
      </text>
    </comment>
    <comment ref="R27" authorId="1">
      <text>
        <r>
          <rPr>
            <b/>
            <sz val="8"/>
            <color indexed="81"/>
            <rFont val="Tahoma"/>
            <family val="2"/>
          </rPr>
          <t>Corinna Freedman:</t>
        </r>
        <r>
          <rPr>
            <sz val="8"/>
            <color indexed="81"/>
            <rFont val="Tahoma"/>
            <family val="2"/>
          </rPr>
          <t xml:space="preserve">
prior to restatement = 
-7.567</t>
        </r>
      </text>
    </comment>
    <comment ref="T27" authorId="1">
      <text>
        <r>
          <rPr>
            <b/>
            <sz val="8"/>
            <color indexed="81"/>
            <rFont val="Tahoma"/>
            <family val="2"/>
          </rPr>
          <t>Corinna Freedman:</t>
        </r>
        <r>
          <rPr>
            <sz val="8"/>
            <color indexed="81"/>
            <rFont val="Tahoma"/>
            <family val="2"/>
          </rPr>
          <t xml:space="preserve">
prior to restatement = 
-14.247</t>
        </r>
      </text>
    </comment>
    <comment ref="AT37" authorId="12">
      <text>
        <r>
          <rPr>
            <b/>
            <sz val="9"/>
            <color indexed="81"/>
            <rFont val="Tahoma"/>
            <family val="2"/>
          </rPr>
          <t>Baglione, Gregory  (Research):</t>
        </r>
        <r>
          <rPr>
            <sz val="9"/>
            <color indexed="81"/>
            <rFont val="Tahoma"/>
            <family val="2"/>
          </rPr>
          <t xml:space="preserve">
Additionally, during the first quarter, we paid down $75 million
of our outstanding revolver leaving $75 million currently outstanding.
8/16/16
$100M repaid YTD</t>
        </r>
      </text>
    </comment>
    <comment ref="B38" authorId="4">
      <text>
        <r>
          <rPr>
            <b/>
            <sz val="8"/>
            <color indexed="81"/>
            <rFont val="Tahoma"/>
            <family val="2"/>
          </rPr>
          <t>dong2:</t>
        </r>
        <r>
          <rPr>
            <sz val="8"/>
            <color indexed="81"/>
            <rFont val="Tahoma"/>
            <family val="2"/>
          </rPr>
          <t xml:space="preserve">
includes net proceeds from the exercise of employee stock options</t>
        </r>
      </text>
    </comment>
    <comment ref="R38" authorId="4">
      <text>
        <r>
          <rPr>
            <b/>
            <sz val="8"/>
            <color indexed="81"/>
            <rFont val="Tahoma"/>
            <family val="2"/>
          </rPr>
          <t>dong2:</t>
        </r>
        <r>
          <rPr>
            <sz val="8"/>
            <color indexed="81"/>
            <rFont val="Tahoma"/>
            <family val="2"/>
          </rPr>
          <t xml:space="preserve">
if there is a tax benefit projected, must subtract out line 12 otherwise you are double counting. 
From 10-K: Add line items 'exercise of stock options' $5.496 mm and 'issuance of common shares' $41.546 = $47.042. My calc is off by 0.002 - just add that into other adjustments up above so as to keep formula</t>
        </r>
      </text>
    </comment>
    <comment ref="T38" authorId="6">
      <text>
        <r>
          <rPr>
            <b/>
            <sz val="8"/>
            <color indexed="81"/>
            <rFont val="Tahoma"/>
            <family val="2"/>
          </rPr>
          <t>dliu:</t>
        </r>
        <r>
          <rPr>
            <sz val="8"/>
            <color indexed="81"/>
            <rFont val="Tahoma"/>
            <family val="2"/>
          </rPr>
          <t xml:space="preserve">
estimate 3 mm, split between this and 40% tax effect up above</t>
        </r>
      </text>
    </comment>
    <comment ref="Z38" authorId="15">
      <text>
        <r>
          <rPr>
            <b/>
            <sz val="8"/>
            <color indexed="81"/>
            <rFont val="Tahoma"/>
            <family val="2"/>
          </rPr>
          <t>mm98285:</t>
        </r>
        <r>
          <rPr>
            <sz val="8"/>
            <color indexed="81"/>
            <rFont val="Tahoma"/>
            <family val="2"/>
          </rPr>
          <t xml:space="preserve">
4/07: repo'd  1.22mm shares ($20.8mm)</t>
        </r>
      </text>
    </comment>
    <comment ref="AH38" authorId="16">
      <text>
        <r>
          <rPr>
            <b/>
            <sz val="8"/>
            <color indexed="81"/>
            <rFont val="Tahoma"/>
            <family val="2"/>
          </rPr>
          <t>ns66486:</t>
        </r>
        <r>
          <rPr>
            <sz val="8"/>
            <color indexed="81"/>
            <rFont val="Tahoma"/>
            <family val="2"/>
          </rPr>
          <t xml:space="preserve">
on Feb 28, 2006 board approved common stock repo program to repurchase up to 8,000,000 shares from time-to-time, repo'ed 1,220,000 shrs during FY ended Jan 31, 2007</t>
        </r>
      </text>
    </comment>
    <comment ref="AJ38" authorId="17">
      <text>
        <r>
          <rPr>
            <b/>
            <sz val="8"/>
            <color indexed="81"/>
            <rFont val="Tahoma"/>
            <family val="2"/>
          </rPr>
          <t>nicholjs:</t>
        </r>
        <r>
          <rPr>
            <sz val="8"/>
            <color indexed="81"/>
            <rFont val="Tahoma"/>
            <family val="2"/>
          </rPr>
          <t xml:space="preserve">
On November 16, 2010, the Company's Board of Directors authorized the repurchase of 10,000,000 additional shares of the Company's common stock, from time-to-time, subject to prevailing market conditions. This authorization
supplements the Company's 2006 stock repurchase program.</t>
        </r>
      </text>
    </comment>
    <comment ref="AL38" authorId="17">
      <text>
        <r>
          <rPr>
            <b/>
            <sz val="8"/>
            <color indexed="81"/>
            <rFont val="Tahoma"/>
            <family val="2"/>
          </rPr>
          <t>nicholjs:</t>
        </r>
        <r>
          <rPr>
            <sz val="8"/>
            <color indexed="81"/>
            <rFont val="Tahoma"/>
            <family val="2"/>
          </rPr>
          <t xml:space="preserve">
On November 16, 2010, the Company's Board of Directors authorized the repurchase of 10,000,000 additional shares of the Company's common stock, from time-to-time, subject to prevailing market conditions. This authorization
supplements the Company's 2006 stock repurchase program.</t>
        </r>
      </text>
    </comment>
    <comment ref="AN38" authorId="17">
      <text>
        <r>
          <rPr>
            <b/>
            <sz val="8"/>
            <color indexed="81"/>
            <rFont val="Tahoma"/>
            <family val="2"/>
          </rPr>
          <t>nicholjs:</t>
        </r>
        <r>
          <rPr>
            <sz val="8"/>
            <color indexed="81"/>
            <rFont val="Tahoma"/>
            <family val="2"/>
          </rPr>
          <t xml:space="preserve">
On November 16, 2010, the Company's Board of Directors authorized the repurchase of 10,000,000 additional shares of the Company's common stock, from time-to-time, subject to prevailing market conditions. This authorization
supplements the Company's 2006 stock repurchase program.</t>
        </r>
      </text>
    </comment>
    <comment ref="AP38" authorId="17">
      <text>
        <r>
          <rPr>
            <b/>
            <sz val="8"/>
            <color indexed="81"/>
            <rFont val="Tahoma"/>
            <family val="2"/>
          </rPr>
          <t>nicholjs:</t>
        </r>
        <r>
          <rPr>
            <sz val="8"/>
            <color indexed="81"/>
            <rFont val="Tahoma"/>
            <family val="2"/>
          </rPr>
          <t xml:space="preserve">
On November 16, 2010, the Company's Board of Directors authorized the repurchase of 10,000,000 additional shares of the Company's common stock, from time-to-time, subject to prevailing market conditions. This authorization
supplements the Company's 2006 stock repurchase program.</t>
        </r>
      </text>
    </comment>
    <comment ref="AR38" authorId="12">
      <text>
        <r>
          <rPr>
            <b/>
            <sz val="9"/>
            <color indexed="81"/>
            <rFont val="Tahoma"/>
            <family val="2"/>
          </rPr>
          <t>Baglione, Gregory  (Research):</t>
        </r>
        <r>
          <rPr>
            <sz val="9"/>
            <color indexed="81"/>
            <rFont val="Tahoma"/>
            <family val="2"/>
          </rPr>
          <t xml:space="preserve">
3/7/16
On May 27, 2014, the Company's Board of Directors authorized the repurchase of 10 million common shares under a share repurchase program. During the year ended January 31, 2016, the Company repurchased and subsequently retired 2.3 million shares at a total cost of $82.8 million, which completed this authorization. The Company repurchased and subsequently retired 7.7 million common shares at a total cost of $258.2 million during fiscal 2015.
In summary, for the year ended January 31, 2016, the Company repurchased and subsequently retired a total of 15.0 million shares at a total cost of $465.3 million under both authorizations. </t>
        </r>
      </text>
    </comment>
    <comment ref="AX38" authorId="12">
      <text>
        <r>
          <rPr>
            <b/>
            <sz val="9"/>
            <color indexed="81"/>
            <rFont val="Tahoma"/>
            <family val="2"/>
          </rPr>
          <t>Baglione, Gregory  (Research):</t>
        </r>
        <r>
          <rPr>
            <sz val="9"/>
            <color indexed="81"/>
            <rFont val="Tahoma"/>
            <family val="2"/>
          </rPr>
          <t xml:space="preserve">
10/4/17
3-4M shares at $25-30/share
8/18/16
Assumes 3-4M shares at $30-35 /share</t>
        </r>
      </text>
    </comment>
    <comment ref="AZ38" authorId="12">
      <text>
        <r>
          <rPr>
            <b/>
            <sz val="9"/>
            <color indexed="81"/>
            <rFont val="Tahoma"/>
            <family val="2"/>
          </rPr>
          <t>Baglione, Gregory  (Research):</t>
        </r>
        <r>
          <rPr>
            <sz val="9"/>
            <color indexed="81"/>
            <rFont val="Tahoma"/>
            <family val="2"/>
          </rPr>
          <t xml:space="preserve">
10/4/17
3-4M shares at $25-30/share
8/18/16
Assumes 3-4M shares at $30-35 /share</t>
        </r>
      </text>
    </comment>
    <comment ref="BB38" authorId="12">
      <text>
        <r>
          <rPr>
            <b/>
            <sz val="9"/>
            <color indexed="81"/>
            <rFont val="Tahoma"/>
            <family val="2"/>
          </rPr>
          <t>Baglione, Gregory  (Research):</t>
        </r>
        <r>
          <rPr>
            <sz val="9"/>
            <color indexed="81"/>
            <rFont val="Tahoma"/>
            <family val="2"/>
          </rPr>
          <t xml:space="preserve">
10/4/17
3-4M shares at $25-30/share
8/18/16
Assumes 3-4M shares at $30-35 /share</t>
        </r>
      </text>
    </comment>
    <comment ref="BD38" authorId="12">
      <text>
        <r>
          <rPr>
            <b/>
            <sz val="9"/>
            <color indexed="81"/>
            <rFont val="Tahoma"/>
            <family val="2"/>
          </rPr>
          <t>Baglione, Gregory  (Research):</t>
        </r>
        <r>
          <rPr>
            <sz val="9"/>
            <color indexed="81"/>
            <rFont val="Tahoma"/>
            <family val="2"/>
          </rPr>
          <t xml:space="preserve">
10/4/17
3-4M shares at $25-30/share
8/18/16
Assumes 3-4M shares at $30-35 /share</t>
        </r>
      </text>
    </comment>
    <comment ref="BF38" authorId="12">
      <text>
        <r>
          <rPr>
            <b/>
            <sz val="9"/>
            <color indexed="81"/>
            <rFont val="Tahoma"/>
            <family val="2"/>
          </rPr>
          <t>Baglione, Gregory  (Research):</t>
        </r>
        <r>
          <rPr>
            <sz val="9"/>
            <color indexed="81"/>
            <rFont val="Tahoma"/>
            <family val="2"/>
          </rPr>
          <t xml:space="preserve">
10/4/17
3-4M shares at $25-30/share
8/18/16
Assumes 3-4M shares at $30-35 /share</t>
        </r>
      </text>
    </comment>
    <comment ref="BL38" authorId="4">
      <text>
        <r>
          <rPr>
            <b/>
            <sz val="8"/>
            <color indexed="81"/>
            <rFont val="Tahoma"/>
            <family val="2"/>
          </rPr>
          <t>dong2:</t>
        </r>
        <r>
          <rPr>
            <sz val="8"/>
            <color indexed="81"/>
            <rFont val="Tahoma"/>
            <family val="2"/>
          </rPr>
          <t xml:space="preserve">
this is the purchase of shares</t>
        </r>
      </text>
    </comment>
    <comment ref="R40" authorId="1">
      <text>
        <r>
          <rPr>
            <b/>
            <sz val="8"/>
            <color indexed="81"/>
            <rFont val="Tahoma"/>
            <family val="2"/>
          </rPr>
          <t>Corinna Freedman:</t>
        </r>
        <r>
          <rPr>
            <sz val="8"/>
            <color indexed="81"/>
            <rFont val="Tahoma"/>
            <family val="2"/>
          </rPr>
          <t xml:space="preserve">
prior to restatement = 23.355</t>
        </r>
      </text>
    </comment>
    <comment ref="T40" authorId="1">
      <text>
        <r>
          <rPr>
            <b/>
            <sz val="8"/>
            <color indexed="81"/>
            <rFont val="Tahoma"/>
            <family val="2"/>
          </rPr>
          <t>Corinna Freedman:</t>
        </r>
        <r>
          <rPr>
            <sz val="8"/>
            <color indexed="81"/>
            <rFont val="Tahoma"/>
            <family val="2"/>
          </rPr>
          <t xml:space="preserve">
prior to restatement = -50.571m</t>
        </r>
      </text>
    </comment>
    <comment ref="AT40" authorId="18">
      <text>
        <r>
          <rPr>
            <b/>
            <sz val="9"/>
            <color indexed="81"/>
            <rFont val="Tahoma"/>
            <family val="2"/>
          </rPr>
          <t>Cassel, Lauren (Research):</t>
        </r>
        <r>
          <rPr>
            <sz val="9"/>
            <color indexed="81"/>
            <rFont val="Tahoma"/>
            <family val="2"/>
          </rPr>
          <t xml:space="preserve">
includes  $15.325M from acquisition of business</t>
        </r>
      </text>
    </comment>
  </commentList>
</comments>
</file>

<file path=xl/comments10.xml><?xml version="1.0" encoding="utf-8"?>
<comments xmlns="http://schemas.openxmlformats.org/spreadsheetml/2006/main">
  <authors>
    <author>Lehman Brothers</author>
    <author>dliu</author>
    <author>Corinna Freedman</author>
    <author>Kimberly Greenberger</author>
    <author>mm98285</author>
    <author>kg51925</author>
    <author>pw64212</author>
    <author>ti23070</author>
    <author>TI23070</author>
    <author>nicholjs</author>
    <author>lauraro</author>
    <author>casselau</author>
  </authors>
  <commentList>
    <comment ref="AD67" authorId="0">
      <text>
        <r>
          <rPr>
            <b/>
            <sz val="8"/>
            <color indexed="81"/>
            <rFont val="Tahoma"/>
            <family val="2"/>
          </rPr>
          <t>Lehman Brothers:</t>
        </r>
        <r>
          <rPr>
            <sz val="8"/>
            <color indexed="81"/>
            <rFont val="Tahoma"/>
            <family val="2"/>
          </rPr>
          <t xml:space="preserve">
Urbn gone from $51-48
Anthro went from $57-55</t>
        </r>
      </text>
    </comment>
    <comment ref="AF67" authorId="0">
      <text>
        <r>
          <rPr>
            <b/>
            <sz val="8"/>
            <color indexed="81"/>
            <rFont val="Tahoma"/>
            <family val="2"/>
          </rPr>
          <t>Lehman Brothers:</t>
        </r>
        <r>
          <rPr>
            <sz val="8"/>
            <color indexed="81"/>
            <rFont val="Tahoma"/>
            <family val="2"/>
          </rPr>
          <t xml:space="preserve">
wholesale inventory went from $2.2 to $1.2 mm. Direct inv. for Anthro is down but up for Urban business is growing</t>
        </r>
      </text>
    </comment>
    <comment ref="AB70" authorId="1">
      <text>
        <r>
          <rPr>
            <b/>
            <sz val="8"/>
            <color indexed="81"/>
            <rFont val="Tahoma"/>
            <family val="2"/>
          </rPr>
          <t>dliu:</t>
        </r>
        <r>
          <rPr>
            <sz val="8"/>
            <color indexed="81"/>
            <rFont val="Tahoma"/>
            <family val="2"/>
          </rPr>
          <t xml:space="preserve">
gross sq. ft. is 1,218,674</t>
        </r>
      </text>
    </comment>
    <comment ref="AF70" authorId="0">
      <text>
        <r>
          <rPr>
            <b/>
            <sz val="8"/>
            <color indexed="81"/>
            <rFont val="Tahoma"/>
            <family val="2"/>
          </rPr>
          <t>Lehman Brothers:</t>
        </r>
        <r>
          <rPr>
            <sz val="8"/>
            <color indexed="81"/>
            <rFont val="Tahoma"/>
            <family val="2"/>
          </rPr>
          <t xml:space="preserve">
assume increase inv psf b/c LY Jan was very strong and ended year w/ too little inv, esp at Anthro where were chasing goods.</t>
        </r>
      </text>
    </comment>
    <comment ref="AB77" authorId="1">
      <text>
        <r>
          <rPr>
            <b/>
            <sz val="8"/>
            <color indexed="81"/>
            <rFont val="Tahoma"/>
            <family val="2"/>
          </rPr>
          <t>dliu:</t>
        </r>
        <r>
          <rPr>
            <sz val="8"/>
            <color indexed="81"/>
            <rFont val="Tahoma"/>
            <family val="2"/>
          </rPr>
          <t xml:space="preserve">
gross sq ft is 1,448,784 per co. (we do selling sq ft as provided by co, and divide that by 0.75. the differential comes because not all of the stores have selling sq ft 75% of gross). But we are pretty close - inv. per gross sq. ft. growth as calculated by the co's numbers is +10.3%, and as calculated by us is +9.3%.</t>
        </r>
      </text>
    </comment>
    <comment ref="H81" authorId="2">
      <text>
        <r>
          <rPr>
            <b/>
            <sz val="8"/>
            <color indexed="81"/>
            <rFont val="Tahoma"/>
            <family val="2"/>
          </rPr>
          <t>Corinna Freedman:</t>
        </r>
        <r>
          <rPr>
            <sz val="8"/>
            <color indexed="81"/>
            <rFont val="Tahoma"/>
            <family val="2"/>
          </rPr>
          <t xml:space="preserve">
includes ~7m for Direct, catalog and FP inventories</t>
        </r>
      </text>
    </comment>
    <comment ref="AF83" authorId="3">
      <text>
        <r>
          <rPr>
            <b/>
            <sz val="8"/>
            <color indexed="81"/>
            <rFont val="Tahoma"/>
            <family val="2"/>
          </rPr>
          <t>Kimberly Greenberger:</t>
        </r>
        <r>
          <rPr>
            <sz val="8"/>
            <color indexed="81"/>
            <rFont val="Tahoma"/>
            <family val="2"/>
          </rPr>
          <t xml:space="preserve">
11/04/04 +mid teens to hi teens</t>
        </r>
      </text>
    </comment>
    <comment ref="AF90" authorId="3">
      <text>
        <r>
          <rPr>
            <sz val="8"/>
            <color indexed="81"/>
            <rFont val="Tahoma"/>
            <family val="2"/>
          </rPr>
          <t>10/25: per mgmt conv…est inv could be up 23-25% due to increases at anth</t>
        </r>
        <r>
          <rPr>
            <sz val="8"/>
            <color indexed="81"/>
            <rFont val="Tahoma"/>
            <family val="2"/>
          </rPr>
          <t xml:space="preserve">
8/11/05: per mgmt expect +15-20% per store increase inv 2H05</t>
        </r>
      </text>
    </comment>
    <comment ref="AF91" authorId="3">
      <text>
        <r>
          <rPr>
            <b/>
            <sz val="8"/>
            <color indexed="81"/>
            <rFont val="Tahoma"/>
            <family val="2"/>
          </rPr>
          <t>Kimberly Greenberger:</t>
        </r>
        <r>
          <rPr>
            <sz val="8"/>
            <color indexed="81"/>
            <rFont val="Tahoma"/>
            <family val="2"/>
          </rPr>
          <t xml:space="preserve">
8/11/05: per mgmt expect +15-20% per store increase inv 2H05</t>
        </r>
      </text>
    </comment>
    <comment ref="AF95" authorId="4">
      <text>
        <r>
          <rPr>
            <b/>
            <sz val="8"/>
            <color indexed="81"/>
            <rFont val="Tahoma"/>
            <family val="2"/>
          </rPr>
          <t>mm98285:</t>
        </r>
        <r>
          <rPr>
            <sz val="8"/>
            <color indexed="81"/>
            <rFont val="Tahoma"/>
            <family val="2"/>
          </rPr>
          <t xml:space="preserve">
5/06:Anthro is -4% and U.O. is +9%
4/06: would like to be flattish</t>
        </r>
      </text>
    </comment>
    <comment ref="AF96" authorId="4">
      <text>
        <r>
          <rPr>
            <b/>
            <sz val="8"/>
            <color indexed="81"/>
            <rFont val="Tahoma"/>
            <family val="2"/>
          </rPr>
          <t>mm98285:</t>
        </r>
        <r>
          <rPr>
            <sz val="8"/>
            <color indexed="81"/>
            <rFont val="Tahoma"/>
            <family val="2"/>
          </rPr>
          <t xml:space="preserve">
5/06:Anthro is -4% and U.O. is +9%
4/06: would like to be flattish</t>
        </r>
      </text>
    </comment>
    <comment ref="AF97" authorId="5">
      <text>
        <r>
          <rPr>
            <b/>
            <sz val="8"/>
            <color indexed="81"/>
            <rFont val="Tahoma"/>
            <family val="2"/>
          </rPr>
          <t>kg51925:</t>
        </r>
        <r>
          <rPr>
            <sz val="8"/>
            <color indexed="81"/>
            <rFont val="Tahoma"/>
            <family val="2"/>
          </rPr>
          <t xml:space="preserve">
likely down M teens end of 3Q</t>
        </r>
      </text>
    </comment>
    <comment ref="AF98" authorId="5">
      <text>
        <r>
          <rPr>
            <b/>
            <sz val="8"/>
            <color indexed="81"/>
            <rFont val="Tahoma"/>
            <family val="2"/>
          </rPr>
          <t>kg51925:</t>
        </r>
        <r>
          <rPr>
            <sz val="8"/>
            <color indexed="81"/>
            <rFont val="Tahoma"/>
            <family val="2"/>
          </rPr>
          <t xml:space="preserve">
likely down MSD end of 2006</t>
        </r>
      </text>
    </comment>
    <comment ref="AF103" authorId="6">
      <text>
        <r>
          <rPr>
            <b/>
            <sz val="8"/>
            <color indexed="81"/>
            <rFont val="Tahoma"/>
            <family val="2"/>
          </rPr>
          <t xml:space="preserve">OC:
</t>
        </r>
        <r>
          <rPr>
            <sz val="8"/>
            <color indexed="81"/>
            <rFont val="Tahoma"/>
            <family val="2"/>
          </rPr>
          <t>+3% (Anthro +8%, U.O. -1%)</t>
        </r>
      </text>
    </comment>
    <comment ref="AF109" authorId="4">
      <text>
        <r>
          <rPr>
            <b/>
            <sz val="8"/>
            <color indexed="81"/>
            <rFont val="Tahoma"/>
            <family val="2"/>
          </rPr>
          <t>mm98285:</t>
        </r>
        <r>
          <rPr>
            <sz val="8"/>
            <color indexed="81"/>
            <rFont val="Tahoma"/>
            <family val="2"/>
          </rPr>
          <t xml:space="preserve">
5/08: expect U.O. -5%, +2% at Anthro for total -LSD</t>
        </r>
      </text>
    </comment>
    <comment ref="AF110" authorId="7">
      <text>
        <r>
          <rPr>
            <b/>
            <sz val="8"/>
            <color indexed="81"/>
            <rFont val="Tahoma"/>
            <family val="2"/>
          </rPr>
          <t>ti23070:</t>
        </r>
        <r>
          <rPr>
            <sz val="8"/>
            <color indexed="81"/>
            <rFont val="Tahoma"/>
            <family val="2"/>
          </rPr>
          <t xml:space="preserve">
8/7/08: we est. +LDD
</t>
        </r>
      </text>
    </comment>
    <comment ref="AF111" authorId="8">
      <text>
        <r>
          <rPr>
            <b/>
            <sz val="8"/>
            <color indexed="81"/>
            <rFont val="Tahoma"/>
            <family val="2"/>
          </rPr>
          <t>TI23070:</t>
        </r>
        <r>
          <rPr>
            <sz val="8"/>
            <color indexed="81"/>
            <rFont val="Tahoma"/>
            <family val="2"/>
          </rPr>
          <t xml:space="preserve">
11/08: We est. +5-7% per store ex. Early shipments</t>
        </r>
      </text>
    </comment>
    <comment ref="AF112" authorId="8">
      <text>
        <r>
          <rPr>
            <b/>
            <sz val="8"/>
            <color indexed="81"/>
            <rFont val="Tahoma"/>
            <family val="2"/>
          </rPr>
          <t>TI23070:</t>
        </r>
        <r>
          <rPr>
            <sz val="8"/>
            <color indexed="81"/>
            <rFont val="Tahoma"/>
            <family val="2"/>
          </rPr>
          <t xml:space="preserve">
2/09: -MSD (UO -L-MSD, Anthro -M-HSD)
1/09: -MSD (U.O. -LSD; Anthro -HSD)</t>
        </r>
      </text>
    </comment>
    <comment ref="AF116" authorId="4">
      <text>
        <r>
          <rPr>
            <b/>
            <sz val="8"/>
            <color indexed="81"/>
            <rFont val="Tahoma"/>
            <family val="2"/>
          </rPr>
          <t>reported retail segment comp inventory -5%</t>
        </r>
        <r>
          <rPr>
            <sz val="8"/>
            <color indexed="81"/>
            <rFont val="Tahoma"/>
            <family val="2"/>
          </rPr>
          <t xml:space="preserve">
5/09: expect down inline with sales (~-10%)
4/09: expect down inline with sales (-HSD-DD)
expect -M-HSD at end of 1Q
</t>
        </r>
      </text>
    </comment>
    <comment ref="AF117" authorId="8">
      <text>
        <r>
          <rPr>
            <b/>
            <sz val="8"/>
            <color indexed="81"/>
            <rFont val="Tahoma"/>
            <family val="2"/>
          </rPr>
          <t>reported retail segment comp inventory -3%</t>
        </r>
        <r>
          <rPr>
            <sz val="8"/>
            <color indexed="81"/>
            <rFont val="Tahoma"/>
            <family val="2"/>
          </rPr>
          <t xml:space="preserve">
8/09: expect total -MSD with UO (2)-(4)% and Anthro (5)-(7)%</t>
        </r>
      </text>
    </comment>
    <comment ref="AF118" authorId="8">
      <text>
        <r>
          <rPr>
            <b/>
            <sz val="8"/>
            <color indexed="81"/>
            <rFont val="Tahoma"/>
            <family val="2"/>
          </rPr>
          <t>reported retail segment inventory -12%</t>
        </r>
        <r>
          <rPr>
            <sz val="8"/>
            <color indexed="81"/>
            <rFont val="Tahoma"/>
            <family val="2"/>
          </rPr>
          <t xml:space="preserve">
inv'ty psf -14.9% (or -7.5% in units given ~7% lower average unit cost)</t>
        </r>
      </text>
    </comment>
    <comment ref="AF119" authorId="4">
      <text>
        <r>
          <rPr>
            <b/>
            <sz val="8"/>
            <color indexed="81"/>
            <rFont val="Tahoma"/>
            <family val="2"/>
          </rPr>
          <t>reported retail segment inventory flat</t>
        </r>
        <r>
          <rPr>
            <sz val="8"/>
            <color indexed="81"/>
            <rFont val="Tahoma"/>
            <family val="2"/>
          </rPr>
          <t xml:space="preserve">
12/11/09: expect flat to -2% at both brands
</t>
        </r>
      </text>
    </comment>
    <comment ref="AF124" authorId="9">
      <text>
        <r>
          <rPr>
            <b/>
            <sz val="8"/>
            <color indexed="81"/>
            <rFont val="Tahoma"/>
            <family val="2"/>
          </rPr>
          <t>nicholjs:</t>
        </r>
        <r>
          <rPr>
            <sz val="8"/>
            <color indexed="81"/>
            <rFont val="Tahoma"/>
            <family val="2"/>
          </rPr>
          <t xml:space="preserve">
on a comparable retail segment basis, which includes our DTC channel inventories, inventory increased 3.3% at cost</t>
        </r>
      </text>
    </comment>
    <comment ref="AF125" authorId="9">
      <text>
        <r>
          <rPr>
            <b/>
            <sz val="8"/>
            <color indexed="81"/>
            <rFont val="Tahoma"/>
            <family val="2"/>
          </rPr>
          <t>nicholjs:</t>
        </r>
        <r>
          <rPr>
            <sz val="8"/>
            <color indexed="81"/>
            <rFont val="Tahoma"/>
            <family val="2"/>
          </rPr>
          <t xml:space="preserve">
comparable retail segment +8% at cost, total store inventory +1% at cost</t>
        </r>
      </text>
    </comment>
    <comment ref="AF126" authorId="9">
      <text>
        <r>
          <rPr>
            <b/>
            <sz val="8"/>
            <color indexed="81"/>
            <rFont val="Tahoma"/>
            <family val="2"/>
          </rPr>
          <t>nicholjs:</t>
        </r>
        <r>
          <rPr>
            <sz val="8"/>
            <color indexed="81"/>
            <rFont val="Tahoma"/>
            <family val="2"/>
          </rPr>
          <t xml:space="preserve">
Oona: units up, but less than total increase
total retail segment inventories +10% while store inventory +4% at cost.  Inventories at Anthro and FP well controlled throughout the qtr but at UO, slower than expected January sales and early spring receipts contributed to a higher than planned quarter's end inventory.</t>
        </r>
      </text>
    </comment>
    <comment ref="AF130" authorId="9">
      <text>
        <r>
          <rPr>
            <b/>
            <sz val="8"/>
            <color indexed="81"/>
            <rFont val="Tahoma"/>
            <family val="2"/>
          </rPr>
          <t>nicholjs:</t>
        </r>
        <r>
          <rPr>
            <sz val="8"/>
            <color indexed="81"/>
            <rFont val="Tahoma"/>
            <family val="2"/>
          </rPr>
          <t xml:space="preserve">
1Q11: The comparable retail store inventory is down 2% on a comparable store sales gain of 6%.
comparable retail segment inventories at cost, which include direct to consumer +6%
comparable stores inventory +1%
units were below cost on an inventory basis.  units more in line w/ store comp of -5%.  
4/2011: inventory very low LY, brands would say it was too light, so will still see increases in 1Q, could be more than 17%, we assume 18-20%
3/2011: over 50% 1Q inventory open to buy</t>
        </r>
      </text>
    </comment>
    <comment ref="AF131" authorId="9">
      <text>
        <r>
          <rPr>
            <b/>
            <sz val="8"/>
            <color indexed="81"/>
            <rFont val="Tahoma"/>
            <family val="2"/>
          </rPr>
          <t>nicholjs:</t>
        </r>
        <r>
          <rPr>
            <sz val="8"/>
            <color indexed="81"/>
            <rFont val="Tahoma"/>
            <family val="2"/>
          </rPr>
          <t xml:space="preserve">
total comparable retail segment inventories +12%, store inventory +9% at cost.  Total inventory grew +25%, approx half of the dollar increase was due to non comparable receipts vs. LY, specifically $15 million of early receipts in the final week of July, $9 million more in transit and $6 million of fabric and Bhldn inventories.. the balance of the increase is driven by acquisition of inventory to stock new retail stores and to support DTC growth.
5/17: 18% total inventory increase good
4/27/2011: total inventory growth could outpace sales growth until end of 3Q</t>
        </r>
      </text>
    </comment>
    <comment ref="AF132" authorId="9">
      <text>
        <r>
          <rPr>
            <b/>
            <sz val="8"/>
            <color indexed="81"/>
            <rFont val="Tahoma"/>
            <family val="2"/>
          </rPr>
          <t xml:space="preserve">11/14: </t>
        </r>
        <r>
          <rPr>
            <sz val="8"/>
            <color indexed="81"/>
            <rFont val="Tahoma"/>
            <family val="2"/>
          </rPr>
          <t>Total inventories +$78M to $367M, +27% vs. LY Comparable retail segment inventories at cost, incl DTC, +18%, while comparable store inventories +12%. The balance of the increase was due to the acquisition of inventory to stock new retail stores.</t>
        </r>
        <r>
          <rPr>
            <b/>
            <sz val="8"/>
            <color indexed="81"/>
            <rFont val="Tahoma"/>
            <family val="2"/>
          </rPr>
          <t xml:space="preserve">
nicholjs:</t>
        </r>
        <r>
          <rPr>
            <sz val="8"/>
            <color indexed="81"/>
            <rFont val="Tahoma"/>
            <family val="2"/>
          </rPr>
          <t xml:space="preserve">
5/17: feeling brands were underinventoried in 1H LY
4/27/2011: total inventory growth could outpace sales growth until end of 3Q</t>
        </r>
      </text>
    </comment>
    <comment ref="AF133" authorId="10">
      <text>
        <r>
          <rPr>
            <b/>
            <sz val="8"/>
            <color indexed="81"/>
            <rFont val="Tahoma"/>
            <family val="2"/>
          </rPr>
          <t>lauraro:</t>
        </r>
        <r>
          <rPr>
            <sz val="8"/>
            <color indexed="81"/>
            <rFont val="Tahoma"/>
            <family val="2"/>
          </rPr>
          <t xml:space="preserve">
11/14: We are committed to managing our year-end inventory to a more appropriate level.
Will end clean, won't be more specific than that.</t>
        </r>
      </text>
    </comment>
    <comment ref="H138" authorId="11">
      <text>
        <r>
          <rPr>
            <b/>
            <sz val="8"/>
            <color indexed="81"/>
            <rFont val="Tahoma"/>
            <family val="2"/>
          </rPr>
          <t>casselau:</t>
        </r>
        <r>
          <rPr>
            <sz val="8"/>
            <color indexed="81"/>
            <rFont val="Tahoma"/>
            <family val="2"/>
          </rPr>
          <t xml:space="preserve">
303,886 retail; 18,937 wholesale</t>
        </r>
      </text>
    </comment>
    <comment ref="N138" authorId="11">
      <text>
        <r>
          <rPr>
            <b/>
            <sz val="8"/>
            <color indexed="81"/>
            <rFont val="Tahoma"/>
            <family val="2"/>
          </rPr>
          <t>casselau:</t>
        </r>
        <r>
          <rPr>
            <sz val="8"/>
            <color indexed="81"/>
            <rFont val="Tahoma"/>
            <family val="2"/>
          </rPr>
          <t xml:space="preserve">
total comparable store inventories -5%; continue to expecct to see our total inventory grow in-line with sales</t>
        </r>
      </text>
    </comment>
  </commentList>
</comments>
</file>

<file path=xl/comments11.xml><?xml version="1.0" encoding="utf-8"?>
<comments xmlns="http://schemas.openxmlformats.org/spreadsheetml/2006/main">
  <authors>
    <author>casselau</author>
    <author>turleamb</author>
    <author>Turley, Amber (Research)</author>
  </authors>
  <commentList>
    <comment ref="AL9" authorId="0">
      <text>
        <r>
          <rPr>
            <b/>
            <sz val="8"/>
            <color indexed="81"/>
            <rFont val="Tahoma"/>
            <family val="2"/>
          </rPr>
          <t>casselau:</t>
        </r>
        <r>
          <rPr>
            <sz val="8"/>
            <color indexed="81"/>
            <rFont val="Tahoma"/>
            <family val="2"/>
          </rPr>
          <t xml:space="preserve">
cash + current/noncurrent marketable securities </t>
        </r>
      </text>
    </comment>
    <comment ref="AN10" authorId="1">
      <text>
        <r>
          <rPr>
            <b/>
            <sz val="8"/>
            <color indexed="81"/>
            <rFont val="Tahoma"/>
            <family val="2"/>
          </rPr>
          <t>turleamb:</t>
        </r>
        <r>
          <rPr>
            <sz val="8"/>
            <color indexed="81"/>
            <rFont val="Tahoma"/>
            <family val="2"/>
          </rPr>
          <t xml:space="preserve">
cash and marketable securities</t>
        </r>
      </text>
    </comment>
    <comment ref="AP10" authorId="2">
      <text>
        <r>
          <rPr>
            <b/>
            <sz val="9"/>
            <color indexed="81"/>
            <rFont val="Tahoma"/>
            <family val="2"/>
          </rPr>
          <t>Turley, Amber (Research):</t>
        </r>
        <r>
          <rPr>
            <sz val="9"/>
            <color indexed="81"/>
            <rFont val="Tahoma"/>
            <family val="2"/>
          </rPr>
          <t xml:space="preserve">
1/13/15 at ICR: feel comfortable with $250-$300M cash cushion. Some cash held overseas</t>
        </r>
      </text>
    </comment>
  </commentList>
</comments>
</file>

<file path=xl/comments12.xml><?xml version="1.0" encoding="utf-8"?>
<comments xmlns="http://schemas.openxmlformats.org/spreadsheetml/2006/main">
  <authors>
    <author>casselau</author>
    <author>turleamb</author>
    <author>Turley, Amber (Research)</author>
    <author>Roberts, Cynthia (Research)</author>
    <author>Cassel, Lauren (Research)</author>
    <author>lauraro</author>
    <author>Baglione, Gregory (Research)</author>
    <author>Debbie Ong</author>
  </authors>
  <commentList>
    <comment ref="CA10" authorId="0">
      <text>
        <r>
          <rPr>
            <b/>
            <sz val="8"/>
            <color indexed="81"/>
            <rFont val="Tahoma"/>
            <family val="2"/>
          </rPr>
          <t>casselau:</t>
        </r>
        <r>
          <rPr>
            <sz val="8"/>
            <color indexed="81"/>
            <rFont val="Tahoma"/>
            <family val="2"/>
          </rPr>
          <t xml:space="preserve"> growth primarily related to the acquisition of inventory to stock new and non-comparable stores. Comparable retail segment inventories increased 1% driven primarily by additional inventory to fuel our strong DTC growth rate.
</t>
        </r>
      </text>
    </comment>
    <comment ref="CE10" authorId="1">
      <text>
        <r>
          <rPr>
            <b/>
            <sz val="9"/>
            <color indexed="81"/>
            <rFont val="Tahoma"/>
            <family val="2"/>
          </rPr>
          <t>turleamb:</t>
        </r>
        <r>
          <rPr>
            <sz val="9"/>
            <color indexed="81"/>
            <rFont val="Tahoma"/>
            <family val="2"/>
          </rPr>
          <t xml:space="preserve">
5/19/14: inventory growth primarily related to acquisition of inventory to stock new and non-comparable stores. Comparable retail segment inventories increased 2% at cost while decreasing 5% in units</t>
        </r>
      </text>
    </comment>
    <comment ref="CI10" authorId="2">
      <text>
        <r>
          <rPr>
            <sz val="9"/>
            <color indexed="81"/>
            <rFont val="Tahoma"/>
            <family val="2"/>
          </rPr>
          <t xml:space="preserve">
5/18/15: Growth in inventory was primarily related to the acquisition of inventory to support the retail segment growth as well as new and noncomp stores. Comparable retail segment inventory increased 8% at cost while decreasing 5% in units.
By brand, UO retail comparable inventory in a negative position on a cost and unit basis.  Driver of the increase in URBN retail segment comp inventory is the Anthropologie brand, and it is being driven primarily by the investment in home product.  Home inventory is +DD comp positive as the brand begins to build home inventory for upcoming catalog drops and increased home marketing efforts.  The past two performed well and we sold out of many items in a few weeks.
1/13/15 at ICR: Didn't get the costing they were hoping for in 4Q or 1Q15, should see imrpoved inventory delta in 2Q. </t>
        </r>
      </text>
    </comment>
    <comment ref="CP10" authorId="3">
      <text>
        <r>
          <rPr>
            <b/>
            <sz val="9"/>
            <color indexed="81"/>
            <rFont val="Tahoma"/>
            <family val="2"/>
          </rPr>
          <t>Roberts, Cynthia (Research):</t>
        </r>
        <r>
          <rPr>
            <sz val="9"/>
            <color indexed="81"/>
            <rFont val="Tahoma"/>
            <family val="2"/>
          </rPr>
          <t xml:space="preserve">
5/16/17: Segment comp inv:
URBN -3%; UO -3%, Anthro +1%, FP -21%</t>
        </r>
      </text>
    </comment>
    <comment ref="BW11" authorId="0">
      <text>
        <r>
          <rPr>
            <b/>
            <sz val="8"/>
            <color indexed="81"/>
            <rFont val="Tahoma"/>
            <family val="2"/>
          </rPr>
          <t>casselau:</t>
        </r>
        <r>
          <rPr>
            <sz val="8"/>
            <color indexed="81"/>
            <rFont val="Tahoma"/>
            <family val="2"/>
          </rPr>
          <t xml:space="preserve">
8/20/12: growth in inventories is primarily due to the acquisition of inventory to stock new and non-comp stores and inventory related to the growth of DTC channel, partially offset by a 5% decrease in comparable store inventories</t>
        </r>
      </text>
    </comment>
    <comment ref="CA11" authorId="0">
      <text>
        <r>
          <rPr>
            <b/>
            <sz val="8"/>
            <color indexed="81"/>
            <rFont val="Tahoma"/>
            <family val="2"/>
          </rPr>
          <t>casselau:</t>
        </r>
        <r>
          <rPr>
            <sz val="8"/>
            <color indexed="81"/>
            <rFont val="Tahoma"/>
            <family val="2"/>
          </rPr>
          <t xml:space="preserve"> growth primarily related to the acquisition of inventory to stock new and non-comparable stores. Comparable retail segment inventories increased 1% driven primarily by additional inventory to fuel our strong DTC growth rate.
</t>
        </r>
        <r>
          <rPr>
            <b/>
            <sz val="8"/>
            <color indexed="81"/>
            <rFont val="Tahoma"/>
            <family val="2"/>
          </rPr>
          <t>Turleamb:</t>
        </r>
        <r>
          <rPr>
            <sz val="8"/>
            <color indexed="81"/>
            <rFont val="Tahoma"/>
            <family val="2"/>
          </rPr>
          <t xml:space="preserve"> 8/19 2Q EPS: The growth in inventory was primarily related to the acquisition of inventory to stock new and non-comp stores. Comparable Retail segment inventory was flat as of the end of the quarter.</t>
        </r>
        <r>
          <rPr>
            <sz val="8"/>
            <color indexed="81"/>
            <rFont val="Tahoma"/>
            <family val="2"/>
          </rPr>
          <t xml:space="preserve">
</t>
        </r>
      </text>
    </comment>
    <comment ref="CE11" authorId="2">
      <text>
        <r>
          <rPr>
            <b/>
            <sz val="9"/>
            <color indexed="81"/>
            <rFont val="Tahoma"/>
            <family val="2"/>
          </rPr>
          <t>Turley, Amber (Research):</t>
        </r>
        <r>
          <rPr>
            <sz val="9"/>
            <color indexed="81"/>
            <rFont val="Tahoma"/>
            <family val="2"/>
          </rPr>
          <t xml:space="preserve">
9/9/14 10-Q pg 22: increase primarily related to acquisition of inventory to stock new stores and to support growth in DTC. com retail inventories increased 0.9% at cost while decreasing 7.9% in units y/y. 
8/18/14: growth in inventory primarily related to quisition of inventory to stock new / non-comparable stores. Comp retail inventory +1% at cost and decreased 8% in units. </t>
        </r>
      </text>
    </comment>
    <comment ref="CI11" authorId="2">
      <text>
        <r>
          <rPr>
            <sz val="9"/>
            <color indexed="81"/>
            <rFont val="Tahoma"/>
            <family val="2"/>
          </rPr>
          <t xml:space="preserve">8/17/15: Growth in total inventories primarily related to acquisition of inventory to stock new and non-comparable stores.  Comparable Retail segment inventories decreased 2% at cost while decreasing 7% in units.
1/13/15 at ICR: Didn't get the costing they were hoping for in 4Q or 1Q15, should see imrpoved inventory delta in 2Q. </t>
        </r>
      </text>
    </comment>
    <comment ref="CM11" authorId="2">
      <text>
        <r>
          <rPr>
            <sz val="9"/>
            <color indexed="81"/>
            <rFont val="Tahoma"/>
            <family val="2"/>
          </rPr>
          <t xml:space="preserve">
Inventory $367M -4% y/y; Cost -4%; Units -3%
UO -2%
Anthro -6%
FP -8%</t>
        </r>
      </text>
    </comment>
    <comment ref="CQ11" authorId="4">
      <text>
        <r>
          <rPr>
            <b/>
            <sz val="9"/>
            <color indexed="81"/>
            <rFont val="Tahoma"/>
            <family val="2"/>
          </rPr>
          <t>Cassel, Lauren (Research):</t>
        </r>
        <r>
          <rPr>
            <sz val="9"/>
            <color indexed="81"/>
            <rFont val="Tahoma"/>
            <family val="2"/>
          </rPr>
          <t xml:space="preserve">
8/15/17:  Comparable Retail segment inventory decreased 4.6% at cost, which was partially offset by inventory to stock non-comparable stores.
UO comp inventory -4%
Anthro comp inventory -3%
Free People -14% </t>
        </r>
      </text>
    </comment>
    <comment ref="BR12" authorId="5">
      <text>
        <r>
          <rPr>
            <b/>
            <sz val="8"/>
            <color indexed="81"/>
            <rFont val="Tahoma"/>
            <family val="2"/>
          </rPr>
          <t>lauraro:</t>
        </r>
        <r>
          <rPr>
            <sz val="8"/>
            <color indexed="81"/>
            <rFont val="Tahoma"/>
            <family val="2"/>
          </rPr>
          <t xml:space="preserve">
$354.907 Retail
$12.500 W/S</t>
        </r>
      </text>
    </comment>
    <comment ref="BW12" authorId="0">
      <text>
        <r>
          <rPr>
            <b/>
            <sz val="8"/>
            <color indexed="81"/>
            <rFont val="Tahoma"/>
            <family val="2"/>
          </rPr>
          <t>casselau:</t>
        </r>
        <r>
          <rPr>
            <sz val="8"/>
            <color indexed="81"/>
            <rFont val="Tahoma"/>
            <family val="2"/>
          </rPr>
          <t xml:space="preserve">
11/19: the growth in total inventories is primarily related to the acquisition of inventory to stock new and non-comp stores and to support the significant growth in the DTC channel; comp retail segment inventories were flat and comp store inventories decreased by 6%</t>
        </r>
      </text>
    </comment>
    <comment ref="CA12" authorId="1">
      <text>
        <r>
          <rPr>
            <b/>
            <sz val="8"/>
            <color indexed="81"/>
            <rFont val="Tahoma"/>
            <family val="2"/>
          </rPr>
          <t>turleamb:</t>
        </r>
        <r>
          <rPr>
            <sz val="8"/>
            <color indexed="81"/>
            <rFont val="Tahoma"/>
            <family val="2"/>
          </rPr>
          <t xml:space="preserve">
11/18: growth in inventory primarily related to the acquisition of inventory to stock new and non-comparable stores. Comparable retail segment inventories were flat. </t>
        </r>
      </text>
    </comment>
    <comment ref="CE12" authorId="2">
      <text>
        <r>
          <rPr>
            <b/>
            <sz val="9"/>
            <color indexed="81"/>
            <rFont val="Tahoma"/>
            <family val="2"/>
          </rPr>
          <t>Turley, Amber (Research):</t>
        </r>
        <r>
          <rPr>
            <sz val="9"/>
            <color indexed="81"/>
            <rFont val="Tahoma"/>
            <family val="2"/>
          </rPr>
          <t xml:space="preserve">
11/17/14: growth in total inventories is primarily related to the acquisition of inventory to
stock new and non-comparable stores as well as an increase in comparable Retail segment
inventories. Comparable Retail segment inventories increased 8% at cost while decreasing 7% in
units.
</t>
        </r>
      </text>
    </comment>
    <comment ref="CI12" authorId="2">
      <text>
        <r>
          <rPr>
            <sz val="9"/>
            <color indexed="81"/>
            <rFont val="Tahoma"/>
            <family val="2"/>
          </rPr>
          <t xml:space="preserve">8/17/15: Growth in total inventories primarily related to acquisition of inventory to stock new and non-comparable stores.  Comparable Retail segment inventories decreased 2% at cost while decreasing 7% in units.
1/13/15 at ICR: Didn't get the costing they were hoping for in 4Q or 1Q15, should see imrpoved inventory delta in 2Q. </t>
        </r>
      </text>
    </comment>
    <comment ref="CL12" authorId="6">
      <text>
        <r>
          <rPr>
            <b/>
            <sz val="9"/>
            <color indexed="81"/>
            <rFont val="Tahoma"/>
            <family val="2"/>
          </rPr>
          <t>Baglione, Gregory (Research):</t>
        </r>
        <r>
          <rPr>
            <sz val="9"/>
            <color indexed="81"/>
            <rFont val="Tahoma"/>
            <family val="2"/>
          </rPr>
          <t xml:space="preserve">
11/22/16
Inventory
+3% y/y
Cost:
URBN +1%
UO +6%
Anthro -3%
FP -6%
Units
URBN +3%
UO +7%
Anthro -2%
FP Flat
</t>
        </r>
      </text>
    </comment>
    <comment ref="BZ13" authorId="1">
      <text>
        <r>
          <rPr>
            <b/>
            <sz val="8"/>
            <color indexed="81"/>
            <rFont val="Tahoma"/>
            <family val="2"/>
          </rPr>
          <t>turleamb:</t>
        </r>
        <r>
          <rPr>
            <sz val="8"/>
            <color indexed="81"/>
            <rFont val="Tahoma"/>
            <family val="2"/>
          </rPr>
          <t xml:space="preserve">
3/10/14: The growth in total inventories is primarily related to the acquisition of inventory tostock new and non-comparable stores. Comparable retail store inventory increased 3%. They feel comfortable about inventory, slightly higher than they would have liked it related to deceleration in Jan (at UO mostly). Inventory for the year likely to track at or below sales curve</t>
        </r>
      </text>
    </comment>
    <comment ref="CE13" authorId="2">
      <text>
        <r>
          <rPr>
            <b/>
            <sz val="9"/>
            <color indexed="81"/>
            <rFont val="Tahoma"/>
            <family val="2"/>
          </rPr>
          <t>Turley, Amber (Research):</t>
        </r>
        <r>
          <rPr>
            <sz val="9"/>
            <color indexed="81"/>
            <rFont val="Tahoma"/>
            <family val="2"/>
          </rPr>
          <t xml:space="preserve">
3/9/15: growth in inventories is primarily related to the acquisition of inventory to stock new and non-comp stores as well as increase in comp Retail segment inventories. Comparable retail inventories increased 7% at cost while decreasing 7% in units. 
1/13/15 at ICR: Didn't get the costing they were hoping for in 4Q or 1Q15, should see imrpoved inventory delta in 2Q. </t>
        </r>
      </text>
    </comment>
    <comment ref="CM13" authorId="4">
      <text>
        <r>
          <rPr>
            <b/>
            <sz val="9"/>
            <color indexed="81"/>
            <rFont val="Tahoma"/>
            <family val="2"/>
          </rPr>
          <t>Cassel, Lauren (Research):</t>
        </r>
        <r>
          <rPr>
            <sz val="9"/>
            <color indexed="81"/>
            <rFont val="Tahoma"/>
            <family val="2"/>
          </rPr>
          <t xml:space="preserve">
3/7/17: related to inventory to support non comp stores; comparable retail segment inventory -2% at cost (FP -18%)</t>
        </r>
      </text>
    </comment>
    <comment ref="A27" authorId="7">
      <text>
        <r>
          <rPr>
            <b/>
            <sz val="8"/>
            <color indexed="81"/>
            <rFont val="Tahoma"/>
            <family val="2"/>
          </rPr>
          <t>Debbie Ong:</t>
        </r>
        <r>
          <rPr>
            <sz val="8"/>
            <color indexed="81"/>
            <rFont val="Tahoma"/>
            <family val="2"/>
          </rPr>
          <t xml:space="preserve">
incl. Dividends and income taxes payable; does Not include interest-bearing debt</t>
        </r>
      </text>
    </comment>
  </commentList>
</comments>
</file>

<file path=xl/comments13.xml><?xml version="1.0" encoding="utf-8"?>
<comments xmlns="http://schemas.openxmlformats.org/spreadsheetml/2006/main">
  <authors>
    <author>soumyajd</author>
    <author>John Mark Warren</author>
    <author>Leon Michaelides</author>
    <author>jccastro</author>
  </authors>
  <commentList>
    <comment ref="I3" authorId="0">
      <text>
        <r>
          <rPr>
            <b/>
            <sz val="8"/>
            <color indexed="81"/>
            <rFont val="Tahoma"/>
            <family val="2"/>
          </rPr>
          <t>Input MW ticker</t>
        </r>
        <r>
          <rPr>
            <sz val="8"/>
            <color indexed="81"/>
            <rFont val="Tahoma"/>
            <family val="2"/>
          </rPr>
          <t xml:space="preserve">
</t>
        </r>
      </text>
    </comment>
    <comment ref="C31" authorId="1">
      <text>
        <r>
          <rPr>
            <sz val="8"/>
            <color indexed="81"/>
            <rFont val="Tahoma"/>
            <family val="2"/>
          </rPr>
          <t xml:space="preserve">The repayment is equal to the rent expense because the rent expense can be thought of as a payment of interest and principal  to the owner (lessor) of the asset.
</t>
        </r>
      </text>
    </comment>
    <comment ref="G35" authorId="2">
      <text>
        <r>
          <rPr>
            <sz val="8"/>
            <color indexed="81"/>
            <rFont val="Tahoma"/>
            <family val="2"/>
          </rPr>
          <t>This assumes that the average portfolio lease is halfway through it’s life.  Use the following amounts as a guideline if the average lease in the portfolio is newer/older, please contact AST to discuss the appropriate assumption.</t>
        </r>
      </text>
    </comment>
    <comment ref="C44" authorId="2">
      <text>
        <r>
          <rPr>
            <sz val="8"/>
            <color indexed="81"/>
            <rFont val="Tahoma"/>
            <family val="2"/>
          </rPr>
          <t>This rate is supposed to represent the average borrowing rate of the lease portfolio. If the company does not disclose this rate, you can use the regular borrowing rate of the company or the rate of capital leases, if exists.</t>
        </r>
      </text>
    </comment>
    <comment ref="C45" authorId="0">
      <text>
        <r>
          <rPr>
            <sz val="8"/>
            <color indexed="81"/>
            <rFont val="Tahoma"/>
            <family val="2"/>
          </rPr>
          <t>This rate is supposed to represent the cost of new leases which is equivalent to new debt, if not disclosed, use your forecasted interest rate on new debt for the company.</t>
        </r>
      </text>
    </comment>
    <comment ref="C58" authorId="0">
      <text>
        <r>
          <rPr>
            <sz val="8"/>
            <color indexed="81"/>
            <rFont val="Tahoma"/>
            <family val="2"/>
          </rPr>
          <t>You can break down your lease capex into maintenance and growth, if you don't know the breakdown you can assume all capex is maintenance.</t>
        </r>
      </text>
    </comment>
    <comment ref="C64" authorId="0">
      <text>
        <r>
          <rPr>
            <sz val="8"/>
            <color indexed="81"/>
            <rFont val="Tahoma"/>
            <family val="2"/>
          </rPr>
          <t>This is the main driver of the model. It is supposed to represent the growth rate on the rent expense and is used for growing all future payments.  When thinking about this rate, make sure it makes sense in relation to your units and/or your total operating expenses.</t>
        </r>
      </text>
    </comment>
    <comment ref="C66" authorId="2">
      <text>
        <r>
          <rPr>
            <sz val="8"/>
            <color indexed="81"/>
            <rFont val="Tahoma"/>
            <family val="2"/>
          </rPr>
          <t xml:space="preserve">This should only include non-cancelable leases
</t>
        </r>
      </text>
    </comment>
    <comment ref="C70" authorId="0">
      <text>
        <r>
          <rPr>
            <sz val="8"/>
            <color indexed="81"/>
            <rFont val="Tahoma"/>
            <family val="2"/>
          </rPr>
          <t>This is used for calculating the rate of depreciation for the assets added due to the leases.</t>
        </r>
      </text>
    </comment>
    <comment ref="C71" authorId="0">
      <text>
        <r>
          <rPr>
            <sz val="8"/>
            <color indexed="81"/>
            <rFont val="Tahoma"/>
            <family val="2"/>
          </rPr>
          <t>If you don't know what this is, one good approach is to calculate it taking the cumulative payments after year 5 (line 68) and dividing it by the payment in year 5 (line 81).
This row is used to distribute the remaining payments (line 68) over what is left of the lease life (starting in line 82).</t>
        </r>
      </text>
    </comment>
    <comment ref="H112" authorId="3">
      <text>
        <r>
          <rPr>
            <sz val="8"/>
            <color indexed="81"/>
            <rFont val="Tahoma"/>
            <family val="2"/>
          </rPr>
          <t xml:space="preserve">Sum of all future NPV's = </t>
        </r>
        <r>
          <rPr>
            <u/>
            <sz val="8"/>
            <color indexed="81"/>
            <rFont val="Tahoma"/>
            <family val="2"/>
          </rPr>
          <t>Initial</t>
        </r>
        <r>
          <rPr>
            <sz val="8"/>
            <color indexed="81"/>
            <rFont val="Tahoma"/>
            <family val="2"/>
          </rPr>
          <t xml:space="preserve"> debt balance</t>
        </r>
        <r>
          <rPr>
            <sz val="8"/>
            <color indexed="81"/>
            <rFont val="Tahoma"/>
            <family val="2"/>
          </rPr>
          <t xml:space="preserve">
</t>
        </r>
      </text>
    </comment>
    <comment ref="I112" authorId="3">
      <text>
        <r>
          <rPr>
            <sz val="8"/>
            <color indexed="81"/>
            <rFont val="Tahoma"/>
            <family val="2"/>
          </rPr>
          <t xml:space="preserve">Starting with this column (and all columns to the right) this calculates the </t>
        </r>
        <r>
          <rPr>
            <u/>
            <sz val="8"/>
            <color indexed="81"/>
            <rFont val="Tahoma"/>
            <family val="2"/>
          </rPr>
          <t>'additional'</t>
        </r>
        <r>
          <rPr>
            <sz val="8"/>
            <color indexed="81"/>
            <rFont val="Tahoma"/>
            <family val="2"/>
          </rPr>
          <t xml:space="preserve"> NPV value created through leases. What the formula does is compare what you thought you were going to pay last year, with what you really paid. It adjusts the period over period difference and then calculates the NPV of this difference.</t>
        </r>
        <r>
          <rPr>
            <sz val="8"/>
            <color indexed="81"/>
            <rFont val="Tahoma"/>
            <family val="2"/>
          </rPr>
          <t xml:space="preserve">
</t>
        </r>
      </text>
    </comment>
    <comment ref="H150" authorId="2">
      <text>
        <r>
          <rPr>
            <sz val="8"/>
            <color indexed="81"/>
            <rFont val="Tahoma"/>
            <family val="2"/>
          </rPr>
          <t xml:space="preserve">Input estimated percentage of leased assets that would not be depreciated (i.e. land).  This will be excluded from the calculation of your depreciation in the waterfall schedule.  It is assumed that the same portion applies to all years.
</t>
        </r>
      </text>
    </comment>
    <comment ref="H151" authorId="2">
      <text>
        <r>
          <rPr>
            <sz val="8"/>
            <color indexed="81"/>
            <rFont val="Tahoma"/>
            <family val="2"/>
          </rPr>
          <t xml:space="preserve">Factor to apply to smooth depreciation of the take on carrying value of leased assets.  This is used to depreciate them on a reducing balance method to simulate a portfolio where leases would roll off over time. </t>
        </r>
      </text>
    </comment>
    <comment ref="H152" authorId="2">
      <text>
        <r>
          <rPr>
            <sz val="8"/>
            <color indexed="81"/>
            <rFont val="Tahoma"/>
            <family val="2"/>
          </rPr>
          <t>This assumes that the average portfolio lease is halfway through it’s life.  Use the following amounts as a guideline if the average lease in the portfolio is newer/older, please contact AST to discuss the appropriate assumption.</t>
        </r>
      </text>
    </comment>
    <comment ref="H153" authorId="3">
      <text>
        <r>
          <rPr>
            <sz val="8"/>
            <color indexed="81"/>
            <rFont val="Tahoma"/>
            <family val="2"/>
          </rPr>
          <t>Original value of the asset recognized in the BS , excluding the portion that would not be depreciable</t>
        </r>
      </text>
    </comment>
    <comment ref="I153" authorId="3">
      <text>
        <r>
          <rPr>
            <sz val="8"/>
            <color indexed="81"/>
            <rFont val="Tahoma"/>
            <family val="2"/>
          </rPr>
          <t>total additions, except for the portion considered to be non-depreciable</t>
        </r>
      </text>
    </comment>
    <comment ref="H154" authorId="3">
      <text>
        <r>
          <rPr>
            <sz val="8"/>
            <color indexed="81"/>
            <rFont val="Tahoma"/>
            <family val="2"/>
          </rPr>
          <t>The original depreciation value is the total value of the asset divided by the total life. The total value of the asset will be affected by the multiple in cell C152. For example, if we assume we are at the mid-point of the lease life, then the multiple would be 2, which means we would multiply the asset by this factor to get to the original "book value" of the asset</t>
        </r>
        <r>
          <rPr>
            <sz val="8"/>
            <color indexed="81"/>
            <rFont val="Tahoma"/>
            <family val="2"/>
          </rPr>
          <t xml:space="preserve">
</t>
        </r>
      </text>
    </comment>
    <comment ref="I155" authorId="3">
      <text>
        <r>
          <rPr>
            <sz val="8"/>
            <color indexed="81"/>
            <rFont val="Tahoma"/>
            <family val="2"/>
          </rPr>
          <t>Depreciation of the additions, excluding the portion that is non depreciable</t>
        </r>
        <r>
          <rPr>
            <sz val="8"/>
            <color indexed="81"/>
            <rFont val="Tahoma"/>
            <family val="2"/>
          </rPr>
          <t xml:space="preserve">
</t>
        </r>
      </text>
    </comment>
  </commentList>
</comments>
</file>

<file path=xl/sharedStrings.xml><?xml version="1.0" encoding="utf-8"?>
<sst xmlns="http://schemas.openxmlformats.org/spreadsheetml/2006/main" count="3166" uniqueCount="1130">
  <si>
    <t>Increase in current year lease payments versus previous years expected</t>
  </si>
  <si>
    <t>Estimated additions to leased assets in period</t>
  </si>
  <si>
    <t>Depreciation schedule</t>
  </si>
  <si>
    <t>Assumed Average Lease Life</t>
  </si>
  <si>
    <t>Percentage of assets, non depreciable</t>
  </si>
  <si>
    <t>Fade rate for depreciation of opening balance</t>
  </si>
  <si>
    <t>Multiple to take the asset to the original book value</t>
  </si>
  <si>
    <t>Total depreciable assets</t>
  </si>
  <si>
    <t>Depreciation of take on book value</t>
  </si>
  <si>
    <t>Net Issuances</t>
  </si>
  <si>
    <t>Unrecorded Goodwill from Poolings</t>
  </si>
  <si>
    <t>ND</t>
  </si>
  <si>
    <t>USD</t>
  </si>
  <si>
    <t>Statutory Tax Rate</t>
  </si>
  <si>
    <t>Inventory Spread</t>
  </si>
  <si>
    <t>2 Year stack</t>
  </si>
  <si>
    <t>Retail Comp</t>
  </si>
  <si>
    <t>LEASE MODEL</t>
  </si>
  <si>
    <t>Template Start Year</t>
  </si>
  <si>
    <t>Net Increase/(Decrease) to Pre-Tax Operating Income</t>
  </si>
  <si>
    <t>Implied leased assets, beginning of period</t>
  </si>
  <si>
    <t>Implied leased assets</t>
  </si>
  <si>
    <t>Operating Lease Debt schedule</t>
  </si>
  <si>
    <t>Implied debt, beginning of period</t>
  </si>
  <si>
    <t>Implied debt</t>
  </si>
  <si>
    <t>% assets to liabilities</t>
  </si>
  <si>
    <t>Cumulative Adjustment To Equity</t>
  </si>
  <si>
    <t>Assumptions</t>
  </si>
  <si>
    <t>% of Capital Expenditures financed through operating leases (sustainable)</t>
  </si>
  <si>
    <t>Implied Total Lease Life</t>
  </si>
  <si>
    <t>Implied Remaining Duration on Reported Lease Payments</t>
  </si>
  <si>
    <t>% of average lease life term completed</t>
  </si>
  <si>
    <t>New Store Size (Gross Sq. Ft.) - U.O.</t>
  </si>
  <si>
    <t>Turns:</t>
  </si>
  <si>
    <t>NWC turns</t>
  </si>
  <si>
    <t>Fixed asset turns</t>
  </si>
  <si>
    <t>Other asset turns</t>
  </si>
  <si>
    <t>YE IC turns</t>
  </si>
  <si>
    <t>Avg IC turns</t>
  </si>
  <si>
    <t>VBA Inputs:</t>
  </si>
  <si>
    <t>Required Cash</t>
  </si>
  <si>
    <t>LIFO Reserve</t>
  </si>
  <si>
    <t>Estimated Excess Cash</t>
  </si>
  <si>
    <t>Historical gross square footage and related measures calculated using company data divided by 0.75.</t>
  </si>
  <si>
    <t>Return on Equity</t>
  </si>
  <si>
    <t>occupancy component should not deleverage with +ve low SD comps</t>
  </si>
  <si>
    <t>modest lvg on SG&amp;A with +ve low SD</t>
  </si>
  <si>
    <t>shouldn't have occup. delvg. once cycle into 4Q</t>
  </si>
  <si>
    <t>going forward opportunity is in mdse margins</t>
  </si>
  <si>
    <t xml:space="preserve">     Rent Expense</t>
  </si>
  <si>
    <t xml:space="preserve">    Rent % of Sales</t>
  </si>
  <si>
    <t xml:space="preserve">    GM excl. Rent % of Sales</t>
  </si>
  <si>
    <t>Direct</t>
  </si>
  <si>
    <t>STORE</t>
  </si>
  <si>
    <t>SALES</t>
  </si>
  <si>
    <t>RETAIL</t>
  </si>
  <si>
    <t>TOTAL</t>
  </si>
  <si>
    <t>chg.</t>
  </si>
  <si>
    <t>Anthropologie Productivity</t>
  </si>
  <si>
    <t>Whole-</t>
  </si>
  <si>
    <t>2018E</t>
  </si>
  <si>
    <t>store</t>
  </si>
  <si>
    <t>Segment Sales, 1996A-2003E</t>
  </si>
  <si>
    <t>FP</t>
  </si>
  <si>
    <t>Total Sq Ft Growth</t>
  </si>
  <si>
    <t>People</t>
  </si>
  <si>
    <t>Payables, accrued expenses &amp; other liab</t>
  </si>
  <si>
    <t xml:space="preserve">Free </t>
  </si>
  <si>
    <t>Annual Data</t>
  </si>
  <si>
    <t>10E-12E</t>
  </si>
  <si>
    <t>Urban Outfitters Inc.</t>
  </si>
  <si>
    <t>Beholden</t>
  </si>
  <si>
    <t>New Store Size (Gross Sq. Ft.) - New Concepts</t>
  </si>
  <si>
    <t>INTERACTIVE</t>
  </si>
  <si>
    <t>Base</t>
  </si>
  <si>
    <t>EPS Impact</t>
  </si>
  <si>
    <t>Guidance</t>
  </si>
  <si>
    <t>Multiple</t>
  </si>
  <si>
    <t>Avg Size (gross square feet)</t>
  </si>
  <si>
    <t>CapEx ($ millions)</t>
  </si>
  <si>
    <t>1Q12</t>
  </si>
  <si>
    <t>2Q12</t>
  </si>
  <si>
    <t>3Q12</t>
  </si>
  <si>
    <t>4Q12</t>
  </si>
  <si>
    <t>D &amp; A  (incl. in COGS &amp; Interest)</t>
  </si>
  <si>
    <t>2013A</t>
  </si>
  <si>
    <t>Stores EOY</t>
  </si>
  <si>
    <t>Contingent Rent</t>
  </si>
  <si>
    <t>Minimum Rent/Store</t>
  </si>
  <si>
    <t>Minimum and percentage rentals</t>
  </si>
  <si>
    <t>SG&amp;A Dollar Growth</t>
  </si>
  <si>
    <t>Rent Expense Growth</t>
  </si>
  <si>
    <t>Actual vs. MSe</t>
  </si>
  <si>
    <t>Summary</t>
  </si>
  <si>
    <t>Sanity check</t>
  </si>
  <si>
    <t>Two year comp trend</t>
  </si>
  <si>
    <t>2011R</t>
  </si>
  <si>
    <t>Int</t>
  </si>
  <si>
    <t>% chg.</t>
  </si>
  <si>
    <t>Dom</t>
  </si>
  <si>
    <t>BHLDN</t>
  </si>
  <si>
    <t>Not applicable for new reporting/modeling</t>
  </si>
  <si>
    <t>2011A</t>
  </si>
  <si>
    <t xml:space="preserve">Direct </t>
  </si>
  <si>
    <t>total</t>
  </si>
  <si>
    <t>retail</t>
  </si>
  <si>
    <t>Other (Terrain/BHLDN)</t>
  </si>
  <si>
    <t>Store/Direct Model</t>
  </si>
  <si>
    <t>2012R</t>
  </si>
  <si>
    <t>URBN.O,mscalc:closePriceCurrencyCalc</t>
  </si>
  <si>
    <t>URBN.O,mscalc:sedolCodeCalc</t>
  </si>
  <si>
    <t>2012A</t>
  </si>
  <si>
    <t xml:space="preserve">Retail Segment Comps Begin </t>
  </si>
  <si>
    <t>URBN.O,mscalc:targetPrice,,,,USD</t>
  </si>
  <si>
    <t>2933438</t>
  </si>
  <si>
    <t>41</t>
  </si>
  <si>
    <t>,mscalc:sedolCodeCalc</t>
  </si>
  <si>
    <t>,mscalc:closePriceCurrencyCalc</t>
  </si>
  <si>
    <t>,mscalc:targetPrice,,,,USD</t>
  </si>
  <si>
    <t>URBN.O,mscalc:targetPrice</t>
  </si>
  <si>
    <t>Retail Segment Comp</t>
  </si>
  <si>
    <t>N/M</t>
  </si>
  <si>
    <t xml:space="preserve">       Total Company/Retail Spread</t>
  </si>
  <si>
    <t>Domestic</t>
  </si>
  <si>
    <t xml:space="preserve">Foreign </t>
  </si>
  <si>
    <t>Analysis of Space Productivity, 1997A-2017E</t>
  </si>
  <si>
    <t>2015E</t>
  </si>
  <si>
    <t>2016E</t>
  </si>
  <si>
    <t>2017E</t>
  </si>
  <si>
    <t>BASE CASE</t>
  </si>
  <si>
    <t>2010A</t>
  </si>
  <si>
    <t>Depreciation &amp; Amortization</t>
  </si>
  <si>
    <t>Interest and Other Exp/(Inc)</t>
  </si>
  <si>
    <t>Pretax Income</t>
  </si>
  <si>
    <t>Net Income from Operations</t>
  </si>
  <si>
    <t>Operating EPS</t>
  </si>
  <si>
    <t>Comparable Store Sales</t>
  </si>
  <si>
    <t>BULL CASE</t>
  </si>
  <si>
    <t>Base Case Sales Comp Spread</t>
  </si>
  <si>
    <t>Bull Case Sales Comp Spread</t>
  </si>
  <si>
    <t>BEAR CASE</t>
  </si>
  <si>
    <t>MS</t>
  </si>
  <si>
    <t>Variance vs.</t>
  </si>
  <si>
    <t>Interest Expense/(Income)</t>
  </si>
  <si>
    <t>Average Shares</t>
  </si>
  <si>
    <t>Upsides/Downsides</t>
  </si>
  <si>
    <t>Shares</t>
  </si>
  <si>
    <t>EPS</t>
  </si>
  <si>
    <t>Including</t>
  </si>
  <si>
    <t>Total Company Productivity</t>
  </si>
  <si>
    <t>2013R</t>
  </si>
  <si>
    <t xml:space="preserve">Only </t>
  </si>
  <si>
    <t>Store-Only</t>
  </si>
  <si>
    <t>RETAIL SEGMENT COMPS (including DTC)</t>
  </si>
  <si>
    <t>(18)</t>
  </si>
  <si>
    <t>(19)</t>
  </si>
  <si>
    <t>Bear Case Sales Comp Spread</t>
  </si>
  <si>
    <t>Bull</t>
  </si>
  <si>
    <t>Gross Margin</t>
  </si>
  <si>
    <t>Sales Growth</t>
  </si>
  <si>
    <t>Bear</t>
  </si>
  <si>
    <t>Source: Company reports and Morgan Stanley estimates.</t>
  </si>
  <si>
    <t>Depreciation</t>
  </si>
  <si>
    <t>Reported</t>
  </si>
  <si>
    <t>TOTAL COMPS</t>
  </si>
  <si>
    <t xml:space="preserve">     Marketing/Advertising Expense</t>
  </si>
  <si>
    <t xml:space="preserve">     % of Sales</t>
  </si>
  <si>
    <t>comp</t>
  </si>
  <si>
    <t>Land</t>
  </si>
  <si>
    <t>Buildings</t>
  </si>
  <si>
    <t>Furniture and fixtures</t>
  </si>
  <si>
    <t>Leasehold improvements</t>
  </si>
  <si>
    <t>Other operating equipment</t>
  </si>
  <si>
    <t>Construction in progress</t>
  </si>
  <si>
    <r>
      <t>3a. Options Expense</t>
    </r>
    <r>
      <rPr>
        <vertAlign val="superscript"/>
        <sz val="10"/>
        <rFont val="CIR Trade Gothic Cn"/>
      </rPr>
      <t>1</t>
    </r>
  </si>
  <si>
    <r>
      <t>9a.  EPS excl Option Exp.</t>
    </r>
    <r>
      <rPr>
        <vertAlign val="superscript"/>
        <sz val="10"/>
        <rFont val="CIR Trade Gothic Cn"/>
      </rPr>
      <t>1</t>
    </r>
  </si>
  <si>
    <t>2008A</t>
  </si>
  <si>
    <t xml:space="preserve">Jan </t>
  </si>
  <si>
    <t>3a.  Option Expense   (% of Sales)</t>
  </si>
  <si>
    <t>Split adjusted</t>
  </si>
  <si>
    <t>Turnover</t>
  </si>
  <si>
    <t>Analysis</t>
  </si>
  <si>
    <t xml:space="preserve">Excl.  </t>
  </si>
  <si>
    <t>Occup. Costs</t>
  </si>
  <si>
    <t>Note: Ending cash balance + ST investments</t>
  </si>
  <si>
    <t>Terrain</t>
  </si>
  <si>
    <t xml:space="preserve">Oct </t>
  </si>
  <si>
    <t xml:space="preserve">Jul </t>
  </si>
  <si>
    <t xml:space="preserve">Apr </t>
  </si>
  <si>
    <t>2005A</t>
  </si>
  <si>
    <t>11.  Basic Shares Outstanding</t>
  </si>
  <si>
    <t>12.  Average Basic Shares Outstanding</t>
  </si>
  <si>
    <t>11. Basic Shares</t>
  </si>
  <si>
    <t>10.  Avg Shares Outstanding - Dil.</t>
  </si>
  <si>
    <t>12. Avg. Basic Shares</t>
  </si>
  <si>
    <t>13. Depreciation/Amortization</t>
  </si>
  <si>
    <t>2007 &amp; beyond breaks out F.P. retail (prior yrs incl. F.P. retail in wholesale)</t>
  </si>
  <si>
    <t>Income</t>
  </si>
  <si>
    <t xml:space="preserve">% </t>
  </si>
  <si>
    <t>mgn</t>
  </si>
  <si>
    <t>Intersegment</t>
  </si>
  <si>
    <t>Elimination</t>
  </si>
  <si>
    <t>General</t>
  </si>
  <si>
    <t>Corp Exp.</t>
  </si>
  <si>
    <t>Operating</t>
  </si>
  <si>
    <t>2006A</t>
  </si>
  <si>
    <t xml:space="preserve">     % Operating Margin</t>
  </si>
  <si>
    <t>CAGR</t>
  </si>
  <si>
    <t>%</t>
  </si>
  <si>
    <t xml:space="preserve">   % Chg. from LY</t>
  </si>
  <si>
    <t># Stores Open BOY</t>
  </si>
  <si>
    <t>- Stores Closed</t>
  </si>
  <si>
    <t># Stores Open EOY</t>
  </si>
  <si>
    <t>Avg. # Open</t>
  </si>
  <si>
    <t xml:space="preserve">   % Chg. Avg. Units</t>
  </si>
  <si>
    <t>Avg Net Sales Per Store ($MM)</t>
  </si>
  <si>
    <t>Avg. Gross Sq. Ft. (MM)</t>
  </si>
  <si>
    <t>Ending Gross Sq. Ft. (MM)</t>
  </si>
  <si>
    <t>Net Sales Per Avg Gross Sq Ft</t>
  </si>
  <si>
    <t>Comparable-Store Sales</t>
  </si>
  <si>
    <t>New Space Productivity</t>
  </si>
  <si>
    <t>Operating Profit ($MM)</t>
  </si>
  <si>
    <t xml:space="preserve">     % Margin</t>
  </si>
  <si>
    <t>TOTAL ASSETS</t>
  </si>
  <si>
    <t>Apr</t>
  </si>
  <si>
    <t>Jul</t>
  </si>
  <si>
    <t>Oct</t>
  </si>
  <si>
    <t>Jan</t>
  </si>
  <si>
    <t>($ millions except per share data)</t>
  </si>
  <si>
    <t>1.  Sales</t>
  </si>
  <si>
    <t xml:space="preserve">     % Increase</t>
  </si>
  <si>
    <t>2.  Cost of Goods Sold</t>
  </si>
  <si>
    <t>3.  SG&amp;A Expense</t>
  </si>
  <si>
    <t xml:space="preserve">     Expense Ratio</t>
  </si>
  <si>
    <t>4.  Operating Income</t>
  </si>
  <si>
    <t>6.  Pretax Income</t>
  </si>
  <si>
    <t xml:space="preserve">       % Margin</t>
  </si>
  <si>
    <t>7.  Income Taxes</t>
  </si>
  <si>
    <t xml:space="preserve">       % Tax Rate</t>
  </si>
  <si>
    <t>8.  Net Income</t>
  </si>
  <si>
    <t xml:space="preserve">       % Net Margin</t>
  </si>
  <si>
    <t xml:space="preserve">9.  Earnings Per Share </t>
  </si>
  <si>
    <t>2009A</t>
  </si>
  <si>
    <t xml:space="preserve">       % Increase</t>
  </si>
  <si>
    <t xml:space="preserve">      As % of Sales</t>
  </si>
  <si>
    <t>Quarterly Operating Results and Financial Analysis</t>
  </si>
  <si>
    <t>($ in millions except per share data)</t>
  </si>
  <si>
    <t>1Q</t>
  </si>
  <si>
    <t>2Q</t>
  </si>
  <si>
    <t>3Q</t>
  </si>
  <si>
    <t>4Q</t>
  </si>
  <si>
    <t>Year</t>
  </si>
  <si>
    <t>6 Mos</t>
  </si>
  <si>
    <t>9 Mos</t>
  </si>
  <si>
    <t>2.  Cost of Goods Sold   (% Gross Margin)</t>
  </si>
  <si>
    <t>3.  Selling, General &amp; Administrative Expenses   (% of Sales)</t>
  </si>
  <si>
    <t>(a)</t>
  </si>
  <si>
    <t>(b)</t>
  </si>
  <si>
    <t>(c)</t>
  </si>
  <si>
    <t>Balance Sheet</t>
  </si>
  <si>
    <t>($ in millions)</t>
  </si>
  <si>
    <t>Current Assets:</t>
  </si>
  <si>
    <t>Accounts receivable</t>
  </si>
  <si>
    <t>Merchandise inventories</t>
  </si>
  <si>
    <t>Deferred taxes</t>
  </si>
  <si>
    <t>Total Current Assets</t>
  </si>
  <si>
    <t>Net property and equipment</t>
  </si>
  <si>
    <t>Liabilities and Shareholders' Equity</t>
  </si>
  <si>
    <t>Current Liabilities:</t>
  </si>
  <si>
    <t xml:space="preserve">Amortization </t>
  </si>
  <si>
    <t>Total D&amp;A</t>
  </si>
  <si>
    <t>Depreciation as % of Total D&amp;A</t>
  </si>
  <si>
    <t>Growth Capex</t>
  </si>
  <si>
    <t>Maintenance Capex</t>
  </si>
  <si>
    <t>CF Per Share</t>
  </si>
  <si>
    <t>Total Capex</t>
  </si>
  <si>
    <t>Pension Plan Assets</t>
  </si>
  <si>
    <t>Pension Plan Obligation</t>
  </si>
  <si>
    <t>Defecit/Surplus</t>
  </si>
  <si>
    <t>Total Other Intangible Assets</t>
  </si>
  <si>
    <t>Total Other NonCurrent Tangible Assets</t>
  </si>
  <si>
    <t>Gross Fixed Assets</t>
  </si>
  <si>
    <t>Accumulated Depreciation</t>
  </si>
  <si>
    <t>Total Non-Current Deferred Tax Assets</t>
  </si>
  <si>
    <t>% of Assets</t>
  </si>
  <si>
    <t>Accounts payable</t>
  </si>
  <si>
    <t>Income taxes payable</t>
  </si>
  <si>
    <t>Total Current Liabilities</t>
  </si>
  <si>
    <t>Shareholders' Equity:</t>
  </si>
  <si>
    <t>Common stock</t>
  </si>
  <si>
    <t>Additional paid-in capital</t>
  </si>
  <si>
    <t>Retained earnings</t>
  </si>
  <si>
    <t>Total Shareholders' Equity</t>
  </si>
  <si>
    <t>Balance Check</t>
  </si>
  <si>
    <t>TOTAL LIABILITIES AND S/H EQUITY</t>
  </si>
  <si>
    <t>Sales</t>
  </si>
  <si>
    <t>COGS</t>
  </si>
  <si>
    <t>SG&amp;A</t>
  </si>
  <si>
    <t>Ratio calculations:</t>
  </si>
  <si>
    <t>Net Income</t>
  </si>
  <si>
    <t>A/R / Sales</t>
  </si>
  <si>
    <t>A/P / Inventory</t>
  </si>
  <si>
    <t>Merchandise Inventory / Sales</t>
  </si>
  <si>
    <t>Cash Flow Statement</t>
  </si>
  <si>
    <t xml:space="preserve">     % Gross Margin</t>
  </si>
  <si>
    <t>5.  Interest Income (Expense)</t>
  </si>
  <si>
    <t>($ millions)</t>
  </si>
  <si>
    <t>$ in Millions</t>
  </si>
  <si>
    <t>% Change</t>
  </si>
  <si>
    <t>Quarterly</t>
  </si>
  <si>
    <t>Stores</t>
  </si>
  <si>
    <t>Inventory</t>
  </si>
  <si>
    <t>Inventory vs.</t>
  </si>
  <si>
    <t>Open</t>
  </si>
  <si>
    <t>Y-o-Y</t>
  </si>
  <si>
    <t>Cost of</t>
  </si>
  <si>
    <t>End of</t>
  </si>
  <si>
    <t>Prior</t>
  </si>
  <si>
    <t>Following</t>
  </si>
  <si>
    <t>at End</t>
  </si>
  <si>
    <t>per</t>
  </si>
  <si>
    <t>Goods Sold</t>
  </si>
  <si>
    <t>Quarter</t>
  </si>
  <si>
    <t>Average</t>
  </si>
  <si>
    <t>Prior Year</t>
  </si>
  <si>
    <t>Store</t>
  </si>
  <si>
    <t>Change</t>
  </si>
  <si>
    <t>x</t>
  </si>
  <si>
    <t>(a) Cost of Goods Sold divided by average inventory for the quarter.</t>
  </si>
  <si>
    <t>(b) Following quarter's COGS divided by inventory at the end of the quarter.</t>
  </si>
  <si>
    <t>Total</t>
  </si>
  <si>
    <t>Comp</t>
  </si>
  <si>
    <t>Total/Comp</t>
  </si>
  <si>
    <t>Spread</t>
  </si>
  <si>
    <t>(1) - (2)</t>
  </si>
  <si>
    <t>(3)</t>
  </si>
  <si>
    <t>(1)</t>
  </si>
  <si>
    <t>(2)</t>
  </si>
  <si>
    <t>No. of Stores</t>
  </si>
  <si>
    <t>(4)</t>
  </si>
  <si>
    <t>(5)</t>
  </si>
  <si>
    <t>Expansion</t>
  </si>
  <si>
    <t>(6)</t>
  </si>
  <si>
    <t>Non-Comp</t>
  </si>
  <si>
    <t>Space</t>
  </si>
  <si>
    <t>Productivity (3)/(6)</t>
  </si>
  <si>
    <t>(7)</t>
  </si>
  <si>
    <t>(8)</t>
  </si>
  <si>
    <t>Per Avg.</t>
  </si>
  <si>
    <t>(9)</t>
  </si>
  <si>
    <t>Percent</t>
  </si>
  <si>
    <t>(10)</t>
  </si>
  <si>
    <t>vs.</t>
  </si>
  <si>
    <t>Turnover Analysis</t>
  </si>
  <si>
    <t>Average (a)</t>
  </si>
  <si>
    <t>Quarter (b)</t>
  </si>
  <si>
    <t>of Quarter</t>
  </si>
  <si>
    <t>Year-to-Year Dollar Change in Working Capital</t>
  </si>
  <si>
    <t>Net income</t>
  </si>
  <si>
    <t>Depreciation and amortization</t>
  </si>
  <si>
    <t>Other non-cash adjustments</t>
  </si>
  <si>
    <t>TOTAL OPERATING SOURCES</t>
  </si>
  <si>
    <t>Uses of Cash</t>
  </si>
  <si>
    <t>Capital expenditures</t>
  </si>
  <si>
    <t>Increase (decrease) in</t>
  </si>
  <si>
    <t>Inventories</t>
  </si>
  <si>
    <t xml:space="preserve">(Increase) decrease in </t>
  </si>
  <si>
    <t>Total working capital uses</t>
  </si>
  <si>
    <t>INTERNAL CASH GENERATION (FUNDS NEEDED)</t>
  </si>
  <si>
    <t>TOTAL OPERATING USES</t>
  </si>
  <si>
    <t>External Sources and Changes in Cash</t>
  </si>
  <si>
    <t>Increase in long-term debt</t>
  </si>
  <si>
    <t>Beginning cash balance</t>
  </si>
  <si>
    <t>Ending cash balance</t>
  </si>
  <si>
    <t>Increase (decrease) in cash</t>
  </si>
  <si>
    <t xml:space="preserve">       </t>
  </si>
  <si>
    <t>At January 31 of the following year</t>
  </si>
  <si>
    <t>Cumulative</t>
  </si>
  <si>
    <t>NA</t>
  </si>
  <si>
    <t>For the fiscal year ending January 31 of the following year</t>
  </si>
  <si>
    <t>Consensus</t>
  </si>
  <si>
    <t>TOTAL EXTERNAL SOURCES</t>
  </si>
  <si>
    <t>Total External Sources &amp; Cash</t>
  </si>
  <si>
    <t>Inventory     (Y-o-Y % Change vs. % Sales Growth)</t>
  </si>
  <si>
    <t>Equals:  "Operating" Working Capital     (Y-o-Y % Change vs. % Sales Growth)</t>
  </si>
  <si>
    <t>Plus:  Receivables and Other Current Assets     (Y-o-Y % Change vs. % Sales Growth)</t>
  </si>
  <si>
    <t>Less:   Accounts Payable     (Y-o-Y % Change vs. % Sales Growth)</t>
  </si>
  <si>
    <t>Less:  Accrued Liabilities and Other     (Y-o-Y % Change vs. % Sales Growth)</t>
  </si>
  <si>
    <t>Total Sales</t>
  </si>
  <si>
    <t>2003A</t>
  </si>
  <si>
    <t>2002A</t>
  </si>
  <si>
    <t>Square Footage</t>
  </si>
  <si>
    <t>At</t>
  </si>
  <si>
    <t>Sq. Ft.</t>
  </si>
  <si>
    <t>Sources of Cash</t>
  </si>
  <si>
    <t>EBITDA</t>
  </si>
  <si>
    <t>EBITDA Margin</t>
  </si>
  <si>
    <t>Operating Margin</t>
  </si>
  <si>
    <t>Net Margin</t>
  </si>
  <si>
    <t>2009R</t>
  </si>
  <si>
    <t>2007R</t>
  </si>
  <si>
    <t>2008R</t>
  </si>
  <si>
    <t>Other</t>
  </si>
  <si>
    <t>2010R</t>
  </si>
  <si>
    <t>($ millions, except inventory per sq. ft. data)</t>
  </si>
  <si>
    <t>($ millions except per-share data)</t>
  </si>
  <si>
    <t>Quarterly Results and Estimates</t>
  </si>
  <si>
    <t/>
  </si>
  <si>
    <t>Income Statement</t>
  </si>
  <si>
    <t>Cost of Goods Sold</t>
  </si>
  <si>
    <t>Gross Profit</t>
  </si>
  <si>
    <t>SG&amp;A Expense</t>
  </si>
  <si>
    <t xml:space="preserve">  Operating Income</t>
  </si>
  <si>
    <t xml:space="preserve">   Pretax Income</t>
  </si>
  <si>
    <t>Taxes</t>
  </si>
  <si>
    <t>Net Inc. From Ops</t>
  </si>
  <si>
    <t xml:space="preserve">Earnings Per Share </t>
  </si>
  <si>
    <t xml:space="preserve">EBITDA </t>
  </si>
  <si>
    <t>Margin Analysis</t>
  </si>
  <si>
    <t xml:space="preserve">Gross Margin </t>
  </si>
  <si>
    <t>Expense Ratio</t>
  </si>
  <si>
    <t>Pretax Margin</t>
  </si>
  <si>
    <t>Tax Rate</t>
  </si>
  <si>
    <t>Year-Over-Year Growth</t>
  </si>
  <si>
    <t>Comp. Store Sales</t>
  </si>
  <si>
    <t>SG&amp;A  Expense</t>
  </si>
  <si>
    <t>Operating Income</t>
  </si>
  <si>
    <t>Earnings Per Share</t>
  </si>
  <si>
    <t>Annual Data (Yearend)</t>
  </si>
  <si>
    <t xml:space="preserve">Store Count </t>
  </si>
  <si>
    <t xml:space="preserve">   % Chg. from LY (Avg. Sq. Ft.)</t>
  </si>
  <si>
    <t>Inventory Turnover</t>
  </si>
  <si>
    <t>Total Sq Ft (millions)</t>
  </si>
  <si>
    <t>Payables / Inventory</t>
  </si>
  <si>
    <t>Debt to Total capital</t>
  </si>
  <si>
    <t xml:space="preserve">Sales / Avg Sq Ft </t>
  </si>
  <si>
    <t>Interest Income/(Expense)</t>
  </si>
  <si>
    <t>Quarterly Analysis of Debt and Total Capital</t>
  </si>
  <si>
    <t>Cash &amp; Equivalents</t>
  </si>
  <si>
    <t>Short-Term Debt</t>
  </si>
  <si>
    <t>Long-Term Debt</t>
  </si>
  <si>
    <t>URBN-US</t>
  </si>
  <si>
    <t>Market Capitalization</t>
  </si>
  <si>
    <t>Federal taxes</t>
  </si>
  <si>
    <t>Foreign taxes</t>
  </si>
  <si>
    <t>State Taxes</t>
  </si>
  <si>
    <t>Currency</t>
  </si>
  <si>
    <t>Current Stock Price</t>
  </si>
  <si>
    <t>Count</t>
  </si>
  <si>
    <t>Beginning Sharecount</t>
  </si>
  <si>
    <t>Period End Shares Outstanding</t>
  </si>
  <si>
    <t>Share Price</t>
  </si>
  <si>
    <t>Cash Devoted to Repurchase of Common Stock</t>
  </si>
  <si>
    <t>Cash from Issuance of Common Stock</t>
  </si>
  <si>
    <t>Shares Retired</t>
  </si>
  <si>
    <t>Shares Added - Issuance of Common Stock</t>
  </si>
  <si>
    <t>Shares Added - Other</t>
  </si>
  <si>
    <t>Ending Sharecount</t>
  </si>
  <si>
    <t>Dilution Ratio</t>
  </si>
  <si>
    <t>URBN.O</t>
  </si>
  <si>
    <t>Floor Space (Sq Ft millions)</t>
  </si>
  <si>
    <t>MW requirements</t>
  </si>
  <si>
    <t>Total Debt</t>
  </si>
  <si>
    <t>Net Debt (Total Debt Less Cash)</t>
  </si>
  <si>
    <t>Shareholders' Equity</t>
  </si>
  <si>
    <t>Total Capital</t>
  </si>
  <si>
    <t>Total Debt as % of Total Capital</t>
  </si>
  <si>
    <t>Net Debt as % of Total Capital</t>
  </si>
  <si>
    <t>(11)</t>
  </si>
  <si>
    <t>(12)</t>
  </si>
  <si>
    <t>(13)</t>
  </si>
  <si>
    <t>Square Ft.</t>
  </si>
  <si>
    <t>(14)</t>
  </si>
  <si>
    <t>(15)</t>
  </si>
  <si>
    <t>(16)</t>
  </si>
  <si>
    <t>(17)</t>
  </si>
  <si>
    <t>Productivity (3)/(13)</t>
  </si>
  <si>
    <t>Sales (mm)</t>
  </si>
  <si>
    <t>Sales (mm, except per foot data)</t>
  </si>
  <si>
    <t>Store Analysis</t>
  </si>
  <si>
    <t>Square Footage Analysis</t>
  </si>
  <si>
    <t>+ New Store Openings</t>
  </si>
  <si>
    <t xml:space="preserve">                                                                                                                        </t>
  </si>
  <si>
    <t>Urban Outfitters, Inc.</t>
  </si>
  <si>
    <t xml:space="preserve">4.  Operating Income (% Operating Margin) </t>
  </si>
  <si>
    <t>6.  Pretax Income/(Loss)   (% Pretax Margin)/% Change</t>
  </si>
  <si>
    <t>7.  Income Taxes/(Credit)   (% Tax Rate)</t>
  </si>
  <si>
    <t>8.  Net Earnings   (% Change)</t>
  </si>
  <si>
    <t>9.  Earnings Per Share -- Fully Diluted   (% Change)</t>
  </si>
  <si>
    <t>Urban Outfitters</t>
  </si>
  <si>
    <t>Anthropologie</t>
  </si>
  <si>
    <t xml:space="preserve">Wholesale Revenue ($MM) </t>
  </si>
  <si>
    <t>Retail Revenue ($MM)</t>
  </si>
  <si>
    <t>Total Revenue ($MM)</t>
  </si>
  <si>
    <t>Anthro</t>
  </si>
  <si>
    <t>Urban</t>
  </si>
  <si>
    <t>Check</t>
  </si>
  <si>
    <t>Cash Per Share</t>
  </si>
  <si>
    <t>Free People</t>
  </si>
  <si>
    <t>Options Expense</t>
  </si>
  <si>
    <t>Retail</t>
  </si>
  <si>
    <t>Wholesale</t>
  </si>
  <si>
    <t>Marketable securities</t>
  </si>
  <si>
    <t>Cash and cash equivalents</t>
  </si>
  <si>
    <t>Prepaid expenses and other current assets</t>
  </si>
  <si>
    <t>Deferred income taxes and other assets</t>
  </si>
  <si>
    <t>Accrued compensation</t>
  </si>
  <si>
    <t>Accrued expenses and other current liabs.</t>
  </si>
  <si>
    <t>Total Liabilities</t>
  </si>
  <si>
    <t>Preferred stock</t>
  </si>
  <si>
    <t>Accumulated other comprehensive loss</t>
  </si>
  <si>
    <t>Tax benefit of stock option exercises</t>
  </si>
  <si>
    <t>Provision for losses of MXG Media</t>
  </si>
  <si>
    <t>Prepaid expenses and other assets</t>
  </si>
  <si>
    <t>Effect of exchange rate changes</t>
  </si>
  <si>
    <t>B/S Calc</t>
  </si>
  <si>
    <t>Diff.</t>
  </si>
  <si>
    <t>Provision for deferred income taxes</t>
  </si>
  <si>
    <t>Sale (purchase) and maturities of investments</t>
  </si>
  <si>
    <t>Anthro-</t>
  </si>
  <si>
    <t>pologie</t>
  </si>
  <si>
    <t>New Store Size (Gross Sq. Ft.) - Anthro.</t>
  </si>
  <si>
    <t>Accrued Comp. / SG&amp;A</t>
  </si>
  <si>
    <t>Accrued Exp. &amp; Other Curr. Liabs. / SG&amp;A</t>
  </si>
  <si>
    <t>2007A</t>
  </si>
  <si>
    <t>A store is included in the comparable sales base when it has been in operation for at least twelve full months at the beginning of the period for which such data is presented.</t>
  </si>
  <si>
    <t>Other Income/(Expense) includes a $4.4 million charge in F99 to reserve for the company's minority investment in MXG Media. Income taxes in F99 does not include a tax beenfit related to this charge.</t>
  </si>
  <si>
    <t>Sales, COGS, SG&amp;A</t>
  </si>
  <si>
    <t>&lt;-----------------------------------</t>
  </si>
  <si>
    <t>2001A</t>
  </si>
  <si>
    <t>not restated to reflect reclass of costs</t>
  </si>
  <si>
    <t>02 Comments</t>
  </si>
  <si>
    <t>Infrastructure addtns at Anthro incl:</t>
  </si>
  <si>
    <t>GMM, DMMs, and Customer Care reps</t>
  </si>
  <si>
    <t>New Store Size (Gross Sq. Ft.) - Free People</t>
  </si>
  <si>
    <t xml:space="preserve"> </t>
  </si>
  <si>
    <t xml:space="preserve">Total Company </t>
  </si>
  <si>
    <t>Avg. Store Size (Gross Sq. Ft.)</t>
  </si>
  <si>
    <t>E</t>
  </si>
  <si>
    <t xml:space="preserve">     Adjusted Rent Expense</t>
  </si>
  <si>
    <t xml:space="preserve">     Adj. Rent % of Sales</t>
  </si>
  <si>
    <t>First Call Consensus</t>
  </si>
  <si>
    <t>Depreciation and Amortization</t>
  </si>
  <si>
    <t>2004A</t>
  </si>
  <si>
    <t>EBIT</t>
  </si>
  <si>
    <t>urbn.us</t>
  </si>
  <si>
    <t>Deferred rent &amp; Other liabilities</t>
  </si>
  <si>
    <t>Issuance (retirement) of common stock &amp; options</t>
  </si>
  <si>
    <t>For Edge+ model calculations</t>
  </si>
  <si>
    <t>Invested Capital:</t>
  </si>
  <si>
    <t>Current assets</t>
  </si>
  <si>
    <t>Non-interest bearing current liabilities</t>
  </si>
  <si>
    <t>Net working capital (NWC)</t>
  </si>
  <si>
    <t>Net fixed assets</t>
  </si>
  <si>
    <t>Goodwill</t>
  </si>
  <si>
    <t>Adjustments:</t>
  </si>
  <si>
    <t>Accumulated goodwill amortization</t>
  </si>
  <si>
    <t>Unrecorded goodwill</t>
  </si>
  <si>
    <t>Cumulative asset writedowns</t>
  </si>
  <si>
    <t>Present value of operating leases</t>
  </si>
  <si>
    <t>Total fixed assets &amp; equivalents</t>
  </si>
  <si>
    <t>Other Assets</t>
  </si>
  <si>
    <t>Invested capital (YE)</t>
  </si>
  <si>
    <t>Average invested capital</t>
  </si>
  <si>
    <t>Incremental NWC</t>
  </si>
  <si>
    <t>Incremental fixed assets</t>
  </si>
  <si>
    <t>Incremental other assets</t>
  </si>
  <si>
    <t>Incremental invested capital (YE)</t>
  </si>
  <si>
    <t>Average Diluted Shares</t>
  </si>
  <si>
    <t>Average Basic Shares</t>
  </si>
  <si>
    <t>Basic Shares Outstanding</t>
  </si>
  <si>
    <t>Reverse Rent Payment</t>
  </si>
  <si>
    <t>Add Implied Depreciation Expense</t>
  </si>
  <si>
    <t>Add Estimated Interest Expense</t>
  </si>
  <si>
    <t>Net Increase/(Decrease) to Pre-tax Income</t>
  </si>
  <si>
    <t>Principal Paid</t>
  </si>
  <si>
    <t xml:space="preserve">Additions </t>
  </si>
  <si>
    <t>Current year charge</t>
  </si>
  <si>
    <t>Interest</t>
  </si>
  <si>
    <t>Repayment</t>
  </si>
  <si>
    <t>Debt Issuances (Reductions)</t>
  </si>
  <si>
    <t>Year over Year Adjustment in Equity</t>
  </si>
  <si>
    <t>Weighted average interest rate of lease portfolio</t>
  </si>
  <si>
    <t>Interest implicit in new leases signed</t>
  </si>
  <si>
    <t>Number of Units Leased</t>
  </si>
  <si>
    <t>Growth in Leased Units</t>
  </si>
  <si>
    <t>Leased Units / Total Units in Capacity (%)</t>
  </si>
  <si>
    <t>Capex per Unit</t>
  </si>
  <si>
    <t>% change in capex per unit</t>
  </si>
  <si>
    <t>Capital expenditure financed through operating leases</t>
  </si>
  <si>
    <t>Marginal Tax Rate</t>
  </si>
  <si>
    <t>Capital expenditure financed through operating leases (Sustainable)</t>
  </si>
  <si>
    <t>Capital expenditure financed through operating leases (Growth)</t>
  </si>
  <si>
    <t>Current Year Operating Lease Payments</t>
  </si>
  <si>
    <t>YOY % Change in Current Year Operating Lease Expense</t>
  </si>
  <si>
    <t>Total Reported Lease Commitments</t>
  </si>
  <si>
    <t>Growth in Aggregate Lease Obligations</t>
  </si>
  <si>
    <t>Cumulative Payments After Year 5</t>
  </si>
  <si>
    <t>Lease Payment Schedule - Non Cancelable Leases Only</t>
  </si>
  <si>
    <t>Current year rental payment</t>
  </si>
  <si>
    <t>Expected payments forecast year 1</t>
  </si>
  <si>
    <t>Expected payments forecast year 2</t>
  </si>
  <si>
    <t>Expected payments forecast year 3</t>
  </si>
  <si>
    <t>Expected payments forecast year 4</t>
  </si>
  <si>
    <t>Expected payments forecast year 5</t>
  </si>
  <si>
    <t>Expected payments forecast year 6</t>
  </si>
  <si>
    <t>Expected payments forecast year 7</t>
  </si>
  <si>
    <t>Expected payments forecast year 8</t>
  </si>
  <si>
    <t>Expected payments forecast year 9</t>
  </si>
  <si>
    <t>Expected payments forecast year 10</t>
  </si>
  <si>
    <t>Expected payments forecast year 11</t>
  </si>
  <si>
    <t>Expected payments forecast year 12</t>
  </si>
  <si>
    <t>Expected payments forecast year 13</t>
  </si>
  <si>
    <t>Expected payments forecast year 14</t>
  </si>
  <si>
    <t>Expected payments forecast year 15</t>
  </si>
  <si>
    <t>Expected payments forecast year 16</t>
  </si>
  <si>
    <t>Expected payments forecast year 17</t>
  </si>
  <si>
    <t>Expected payments forecast year 18</t>
  </si>
  <si>
    <t>Expected payments forecast year 19</t>
  </si>
  <si>
    <t>Expected payments forecast year 20</t>
  </si>
  <si>
    <t>Expected payments forecast year 21</t>
  </si>
  <si>
    <t>Expected payments forecast year 22</t>
  </si>
  <si>
    <t>Expected payments forecast year 23</t>
  </si>
  <si>
    <t>Expected payments forecast year 24</t>
  </si>
  <si>
    <t>Expected payments forecast year 25</t>
  </si>
  <si>
    <t>Expected payments forecast year 26</t>
  </si>
  <si>
    <t>Expected payments forecast year 27</t>
  </si>
  <si>
    <t>Expected payments forecast year 28</t>
  </si>
  <si>
    <t>Expected payments forecast year 29</t>
  </si>
  <si>
    <t>Expected payments forecast year 30</t>
  </si>
  <si>
    <t>Rental Payments Schedule</t>
  </si>
  <si>
    <t>Period</t>
  </si>
  <si>
    <t>Present Value of Incremental Lease Payments</t>
  </si>
  <si>
    <t>Square Footage Growth</t>
  </si>
  <si>
    <t>Rent Expense y/y Growth</t>
  </si>
  <si>
    <t>Comp by Division</t>
  </si>
  <si>
    <t xml:space="preserve">    GM excl. ROD % of Sales</t>
  </si>
  <si>
    <t>Depr/store</t>
  </si>
  <si>
    <t>Discontinued eComm disclosure - below are estiamtes</t>
  </si>
  <si>
    <t>Includes eComm</t>
  </si>
  <si>
    <t>1Q13</t>
  </si>
  <si>
    <t>2Q13</t>
  </si>
  <si>
    <t>3Q13</t>
  </si>
  <si>
    <t>4Q13</t>
  </si>
  <si>
    <t>2019E</t>
  </si>
  <si>
    <t>Wholesale Revenue Growth</t>
  </si>
  <si>
    <t>Sq Ft. (w eComm)</t>
  </si>
  <si>
    <t>Share Analysis</t>
  </si>
  <si>
    <t>Common Shares</t>
  </si>
  <si>
    <t>Beginning Common Shares Outstanding</t>
  </si>
  <si>
    <t>Shares Repurchased</t>
  </si>
  <si>
    <t>Shares Issued</t>
  </si>
  <si>
    <t>End of Period Basic Shares Outstanding</t>
  </si>
  <si>
    <t>Stock Options/Other</t>
  </si>
  <si>
    <t>Ending Diluted Shares Outstanding</t>
  </si>
  <si>
    <t>Wtd. Diluted Shares</t>
  </si>
  <si>
    <t xml:space="preserve">    as a % of PY Shares Outstanding</t>
  </si>
  <si>
    <t>Buyback Price</t>
  </si>
  <si>
    <t>Gross Shares (Repurchased - $)</t>
  </si>
  <si>
    <t>Gross Shares (Repurchased - #)</t>
  </si>
  <si>
    <t>Avg Basic Shares Outstanding (reported)</t>
  </si>
  <si>
    <t>Avg. Basic Shares Outstanding (calc)</t>
  </si>
  <si>
    <t>quick check</t>
  </si>
  <si>
    <t>`</t>
  </si>
  <si>
    <t>FY14 y/y Margin Change</t>
  </si>
  <si>
    <r>
      <t>1. Net Sales    (% Increase -- Total/Comparable Stores)</t>
    </r>
    <r>
      <rPr>
        <sz val="10"/>
        <color indexed="12"/>
        <rFont val="CIR Trade Gothic Cn"/>
      </rPr>
      <t xml:space="preserve">  (a)</t>
    </r>
  </si>
  <si>
    <r>
      <t>5.  Net Interest and Other Income/(Expense)   (% of Sales)</t>
    </r>
    <r>
      <rPr>
        <sz val="10"/>
        <color indexed="12"/>
        <rFont val="CIR Trade Gothic Cn"/>
      </rPr>
      <t xml:space="preserve">  (b)</t>
    </r>
  </si>
  <si>
    <r>
      <t>10.  Average Shares Outstanding -- Fully Diluted</t>
    </r>
    <r>
      <rPr>
        <b/>
        <sz val="10"/>
        <color indexed="12"/>
        <rFont val="CIR Trade Gothic Cn"/>
      </rPr>
      <t xml:space="preserve">   </t>
    </r>
    <r>
      <rPr>
        <sz val="10"/>
        <color indexed="12"/>
        <rFont val="CIR Trade Gothic Cn"/>
      </rPr>
      <t>(c)</t>
    </r>
  </si>
  <si>
    <t>US</t>
  </si>
  <si>
    <t>Canada</t>
  </si>
  <si>
    <t>Europe</t>
  </si>
  <si>
    <t>UO</t>
  </si>
  <si>
    <t>N.Am ($)</t>
  </si>
  <si>
    <t>Intl ($)</t>
  </si>
  <si>
    <t>N.Am (%)</t>
  </si>
  <si>
    <t>Intl (%)</t>
  </si>
  <si>
    <t>Sales per Store</t>
  </si>
  <si>
    <t>N.Am y/y %</t>
  </si>
  <si>
    <t>Intl y/y %</t>
  </si>
  <si>
    <t>N.Am y/y%</t>
  </si>
  <si>
    <t>2014A</t>
  </si>
  <si>
    <t>WACC</t>
  </si>
  <si>
    <t>NOPAT</t>
  </si>
  <si>
    <t>URBN.O,mscalc:sharePriceCurrent</t>
  </si>
  <si>
    <t>35.36</t>
  </si>
  <si>
    <t>Margin</t>
  </si>
  <si>
    <t>Long-term Debt</t>
  </si>
  <si>
    <t>.</t>
  </si>
  <si>
    <t>2015A</t>
  </si>
  <si>
    <t>Two year</t>
  </si>
  <si>
    <t>mscalc:defaultCurrencyCalc</t>
  </si>
  <si>
    <t>ZAV(Avg(TF.FN.InterestExpenseOnDebt(period=#1,sdate=0FY,edate=-4FY,curn=#2)/(TF.FN.STDebtAndCurrentPortionLTDebt(period=#1,sdate=0FY,edate=-4FY,curn=#2)+TF.FN.LTDebtExclCapitalizedLeases(period=#1,sdate=0FY,edate=-4FY,curn=#2))))</t>
  </si>
  <si>
    <t>ZAV(TF.FN.InterestExpenseOnDebt(period=FY0,sdate=#1,edate=#2,curn=#3)/(ZAV(TF.FN.STDebtAndCurrentPortionLTDebt(period=FY0,sdate=#1,edate=#2,curn=#3))+ZAV(TF.FN.LTDebtExclCapitalizedLeases(period=FY0,sdate=#1,edate=#2,curn=#3))))</t>
  </si>
  <si>
    <t>Interest Rate Calculation</t>
  </si>
  <si>
    <t>TRSL data download</t>
  </si>
  <si>
    <t>5 years Average Interest Rate</t>
  </si>
  <si>
    <t xml:space="preserve">Interest Rate </t>
  </si>
  <si>
    <t>Interest Expense</t>
  </si>
  <si>
    <t>ZAV(TF.FN.InterestExpenseOnDebt(period=FY0,sdate=-8FY,edate=0FY,curn=#1,scale=6))</t>
  </si>
  <si>
    <t>Short Term Debt and Current Portion Long Term Debt</t>
  </si>
  <si>
    <t>ZAV(TF.FN.STDebtAndCurrentPortionLTDebt(period=FY0,sdate=-8FY,edate=0FY,curn=#1,scale=6))</t>
  </si>
  <si>
    <t>Long Term Debt excluding Capitalized Leases</t>
  </si>
  <si>
    <t>ZAV(TF.FN.LTDebtExclCapitalizedLeases(period=FY0,sdate=-8FY,edate=0FY,curn=#1,scale=6))</t>
  </si>
  <si>
    <t>Metric</t>
  </si>
  <si>
    <t>URBN.O,mscalc:defaultCurrencyCalc</t>
  </si>
  <si>
    <t>$R$2</t>
  </si>
  <si>
    <t>1Q15</t>
  </si>
  <si>
    <t>2Q15</t>
  </si>
  <si>
    <t>3Q15</t>
  </si>
  <si>
    <t>4Q15</t>
  </si>
  <si>
    <t>1Q16</t>
  </si>
  <si>
    <t>2Q16</t>
  </si>
  <si>
    <t>3Q16</t>
  </si>
  <si>
    <t>4Q16</t>
  </si>
  <si>
    <t>sale</t>
  </si>
  <si>
    <t>PT</t>
  </si>
  <si>
    <t>Resturant</t>
  </si>
  <si>
    <t xml:space="preserve">Food &amp; </t>
  </si>
  <si>
    <t xml:space="preserve">  </t>
  </si>
  <si>
    <t>UO  Productivity</t>
  </si>
  <si>
    <t>2020E</t>
  </si>
  <si>
    <t>2021E</t>
  </si>
  <si>
    <t>Operating Results Summary &amp; Financial Analysis, Fiscal 2003-2021E</t>
  </si>
  <si>
    <t>Annual Earnings Model, Fiscal 2002A-2021E</t>
  </si>
  <si>
    <t>Annual Sales Model, Fiscal 2002A-2021E</t>
  </si>
  <si>
    <t>Quarterly Analysis of Inventory Turnover, 1999A-2017E</t>
  </si>
  <si>
    <t>Quarterly Analysis of "Operating" Working Capital, 1997-2016E</t>
  </si>
  <si>
    <t>LY</t>
  </si>
  <si>
    <t>CY</t>
  </si>
  <si>
    <t>4QFY2017</t>
  </si>
  <si>
    <t>2016A</t>
  </si>
  <si>
    <t>Retail Segment</t>
  </si>
  <si>
    <t>11. Period End Shares Outstanding</t>
  </si>
  <si>
    <t>Model</t>
  </si>
  <si>
    <t>Forecasts</t>
  </si>
  <si>
    <t>Revenue</t>
  </si>
  <si>
    <t>Growth</t>
  </si>
  <si>
    <t>Operating Taxes</t>
  </si>
  <si>
    <t xml:space="preserve">  NOPAT Margin</t>
  </si>
  <si>
    <t>+Depreciation &amp; Amortization</t>
  </si>
  <si>
    <t>Capital Expenditures</t>
  </si>
  <si>
    <t xml:space="preserve"> Increase in WC (&amp; other NOA)</t>
  </si>
  <si>
    <t>Total Reinvestment</t>
  </si>
  <si>
    <t xml:space="preserve">  Reinvest Rate</t>
  </si>
  <si>
    <t>Free Cash Flow from Operations</t>
  </si>
  <si>
    <t>Discount Factor</t>
  </si>
  <si>
    <t>NPV of Forecasted Cash Flows</t>
  </si>
  <si>
    <t>Terminal Value</t>
  </si>
  <si>
    <t>NPV of Terminal Value</t>
  </si>
  <si>
    <t>Terminal Value Growth Rate</t>
  </si>
  <si>
    <t xml:space="preserve">Debt Balance </t>
  </si>
  <si>
    <t>Risk-Free Rate</t>
  </si>
  <si>
    <t>Cash Balance (2018E)</t>
  </si>
  <si>
    <t>Market Risk Premium</t>
  </si>
  <si>
    <t>Net Debt</t>
  </si>
  <si>
    <t>Equity Beta</t>
  </si>
  <si>
    <t>Cost of Debt (Pre-tax)</t>
  </si>
  <si>
    <t>Required Equity Return</t>
  </si>
  <si>
    <t>Cost of Debt (Post-tax @ 35%)</t>
  </si>
  <si>
    <t xml:space="preserve">Fully Diluted Shares </t>
  </si>
  <si>
    <t>Current Share Price</t>
  </si>
  <si>
    <t>Market Enterprise Value</t>
  </si>
  <si>
    <t>Sum of NPV Forecasted CFs</t>
  </si>
  <si>
    <t>Intrinsic Enterprise Value</t>
  </si>
  <si>
    <t>Less: Debt</t>
  </si>
  <si>
    <t>Plus: Cash</t>
  </si>
  <si>
    <t>Less: MV of Non-controlling Interest</t>
  </si>
  <si>
    <t>Plus: MV of Equity Investments</t>
  </si>
  <si>
    <t>Equity Value</t>
  </si>
  <si>
    <t>Equity Value per Share</t>
  </si>
  <si>
    <t>2Q17</t>
  </si>
  <si>
    <t>Forward Sales</t>
  </si>
  <si>
    <t>12A-17</t>
  </si>
  <si>
    <t>17-22E</t>
  </si>
  <si>
    <t>2022E</t>
  </si>
  <si>
    <t>28</t>
  </si>
  <si>
    <t>2017A</t>
  </si>
  <si>
    <t>MSA13041</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</si>
  <si>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</si>
  <si>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</si>
  <si>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</si>
  <si>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</si>
  <si>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</si>
  <si>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</si>
  <si>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</si>
  <si>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</si>
  <si>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Kimberly Greenberger</t>
  </si>
  <si>
    <t>Date: 02 Apr 2018</t>
  </si>
  <si>
    <t>Ticker: URBN.O</t>
  </si>
  <si>
    <t>Stock Rating: Equal-Weight</t>
  </si>
  <si>
    <t>Industry: Retail, Specialty Retail</t>
  </si>
  <si>
    <t>Industry View: Cautious</t>
  </si>
  <si>
    <t>Price as of 02 Apr 2018: 36.91</t>
  </si>
  <si>
    <t>Target Price: 33</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</si>
  <si>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</si>
  <si>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</si>
  <si>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</si>
  <si>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</si>
  <si>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Urban Outfitters Inc..</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</si>
  <si>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</si>
  <si>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</si>
  <si>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</si>
  <si>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</si>
  <si>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</si>
  <si>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</si>
  <si>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</si>
  <si>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</si>
  <si>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</si>
  <si>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</si>
  <si>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</si>
  <si>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</si>
  <si>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</si>
  <si>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</si>
  <si>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</si>
  <si>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</si>
  <si>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</si>
  <si>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</si>
  <si>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</si>
  <si>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</si>
  <si>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</si>
  <si>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</si>
  <si>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</si>
  <si>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</si>
  <si>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</si>
  <si>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</si>
  <si>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</si>
  <si>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</si>
  <si>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</si>
  <si>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</si>
  <si>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</si>
  <si>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</si>
  <si>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</si>
  <si>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</si>
  <si>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</si>
  <si>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</si>
  <si>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</si>
  <si>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</si>
  <si>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</si>
  <si>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</si>
  <si>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</si>
  <si>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</si>
  <si>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</si>
  <si>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</si>
  <si>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</si>
  <si>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</si>
  <si>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</si>
  <si>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</si>
  <si>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</si>
  <si>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</si>
  <si>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</si>
  <si>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</si>
  <si>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</si>
  <si>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</si>
  <si>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</si>
  <si>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</si>
  <si>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</si>
  <si>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</si>
  <si>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</si>
  <si>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</si>
  <si>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</si>
  <si>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</si>
  <si>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</si>
  <si>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</si>
  <si>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</si>
  <si>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</si>
  <si>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</si>
  <si>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</si>
  <si>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</si>
  <si>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</si>
  <si>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</si>
  <si>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</si>
  <si>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</si>
  <si>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</si>
  <si>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</si>
  <si>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</si>
  <si>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</si>
  <si>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</si>
  <si>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</si>
  <si>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</si>
  <si>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</si>
  <si>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</si>
  <si>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</si>
  <si>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</si>
  <si>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</si>
  <si>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</si>
  <si>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</si>
  <si>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</si>
  <si>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</si>
  <si>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</si>
  <si>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</si>
  <si>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</si>
  <si>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</si>
  <si>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</si>
  <si>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</si>
  <si>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</si>
  <si>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</si>
  <si>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</si>
  <si>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</si>
  <si>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</si>
  <si>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</si>
  <si>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</si>
  <si>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</si>
  <si>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</si>
  <si>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</si>
  <si>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</si>
  <si>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</si>
  <si>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</si>
  <si>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</si>
  <si>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</si>
  <si>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</si>
  <si>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</si>
  <si>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</si>
  <si>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</si>
  <si>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</si>
  <si>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</si>
  <si>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</si>
  <si>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</si>
  <si>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</si>
  <si>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</si>
  <si>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</si>
  <si>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</si>
  <si>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</si>
  <si>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</si>
  <si>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</si>
  <si>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</si>
  <si>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</si>
  <si>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</si>
  <si>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</si>
  <si>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</si>
  <si>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</si>
  <si>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</si>
  <si>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</si>
  <si>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</si>
  <si>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</si>
  <si>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</si>
  <si>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</si>
  <si>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</si>
  <si>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</si>
  <si>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</si>
  <si>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</si>
  <si>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</si>
  <si>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</si>
  <si>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</si>
  <si>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</si>
  <si>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</si>
  <si>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</si>
  <si>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</si>
  <si>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</si>
  <si>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</si>
  <si>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</si>
  <si>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</si>
  <si>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</si>
  <si>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</si>
  <si>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</si>
  <si>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</si>
  <si>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</si>
  <si>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</si>
  <si>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</si>
  <si>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</si>
  <si>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</si>
  <si>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</si>
  <si>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</si>
  <si>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</si>
  <si>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</si>
  <si>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</si>
  <si>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</si>
  <si>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</si>
  <si>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</si>
  <si>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</si>
  <si>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</si>
  <si>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</si>
  <si>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</si>
  <si>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</si>
  <si>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</si>
  <si>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</si>
  <si>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</si>
  <si>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</si>
  <si>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</si>
  <si>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</si>
  <si>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</si>
  <si>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</si>
  <si>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</si>
  <si>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</si>
  <si>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</si>
  <si>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</si>
  <si>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</si>
  <si>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</si>
  <si>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</si>
  <si>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</si>
  <si>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</si>
  <si>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</si>
  <si>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</si>
  <si>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</si>
  <si>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</si>
  <si>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</si>
  <si>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</si>
  <si>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</si>
  <si>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</si>
  <si>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</si>
  <si>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</si>
  <si>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</si>
  <si>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</si>
  <si>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</si>
  <si>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</si>
  <si>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</si>
  <si>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</si>
  <si>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</si>
  <si>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</si>
  <si>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</si>
  <si>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</si>
  <si>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</si>
  <si>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</si>
  <si>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</si>
  <si>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</si>
  <si>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</si>
  <si>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</si>
  <si>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</si>
  <si>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</si>
  <si>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</si>
  <si>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</si>
  <si>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</si>
  <si>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</si>
  <si>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</si>
  <si>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</si>
  <si>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</si>
  <si>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</si>
  <si>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</si>
  <si>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</si>
  <si>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</si>
  <si>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</si>
  <si>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</si>
  <si>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</si>
  <si>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</si>
  <si>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</si>
  <si>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</si>
  <si>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</si>
  <si>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</si>
  <si>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</si>
  <si>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</si>
  <si>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</si>
  <si>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</si>
  <si>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</si>
  <si>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</si>
  <si>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</si>
  <si>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Kimberly C Greenberger.</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</si>
  <si>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</si>
  <si>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</si>
  <si>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</si>
  <si>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</si>
  <si>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</si>
  <si>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</si>
  <si>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</si>
  <si>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</si>
  <si>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</si>
  <si>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</si>
  <si>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</si>
  <si>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</si>
  <si>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</si>
  <si>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</si>
  <si>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</si>
  <si>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</si>
  <si>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</si>
  <si>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</si>
  <si>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</si>
  <si>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</si>
  <si>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</si>
  <si>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</si>
  <si>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</si>
  <si>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</si>
  <si>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</si>
  <si>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</si>
  <si>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</si>
  <si>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</si>
  <si>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</si>
  <si>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</si>
  <si>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</si>
  <si>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</si>
  <si>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</si>
  <si>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</si>
  <si>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</si>
  <si>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</si>
  <si>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</si>
  <si>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</si>
  <si>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</si>
  <si>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</si>
  <si>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</si>
  <si>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</si>
  <si>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</si>
  <si>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</si>
  <si>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</si>
  <si>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</si>
  <si>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</si>
  <si>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</si>
  <si>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</si>
  <si>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</si>
  <si>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</si>
  <si>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</si>
  <si>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</si>
  <si>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</si>
  <si>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</si>
  <si>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</si>
  <si>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</si>
  <si>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</si>
  <si>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</si>
  <si>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</si>
  <si>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</si>
  <si>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</si>
  <si>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</si>
  <si>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</si>
  <si>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</si>
  <si>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</si>
  <si>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</si>
  <si>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Equal-Weight / Cautious</t>
  </si>
  <si>
    <t>News Event</t>
  </si>
  <si>
    <t>NorthAmerica</t>
  </si>
  <si>
    <t>casselau</t>
  </si>
  <si>
    <t>L:\RETAIL\Greenberger\Companies\URBN\Models\URBN.xlsm</t>
  </si>
  <si>
    <t>[BRO MSA]</t>
  </si>
  <si>
    <t>[PRODUCT MODEL]</t>
  </si>
  <si>
    <t>[EMAIL_ALERT YES]</t>
  </si>
  <si>
    <t>[DISCIPLINE Company]</t>
  </si>
  <si>
    <t>[SUPPRESSED NO]</t>
  </si>
  <si>
    <t>[DOCDAT 2018-04-02]</t>
  </si>
  <si>
    <t>[DOCTIME 17:17]</t>
  </si>
  <si>
    <t>[PSYM URBN.O(S&amp;P) (None)]</t>
  </si>
  <si>
    <t>[COU 1]</t>
  </si>
  <si>
    <t>[ANA ]</t>
  </si>
  <si>
    <t>[HL URBN.O Model]</t>
  </si>
  <si>
    <t>[IND RETSPA]</t>
  </si>
  <si>
    <t>[PANA MSA13041]</t>
  </si>
</sst>
</file>

<file path=xl/styles.xml><?xml version="1.0" encoding="utf-8"?>
<styleSheet xmlns="http://schemas.openxmlformats.org/spreadsheetml/2006/main" xmlns:mc="http://schemas.openxmlformats.org/markup-compatibility/2006" xmlns:x14ac="http://schemas.microsoft.com/office/spreadsheetml/2009/9/ac" mc:Ignorable="x14ac">
  <numFmts count="89">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0.0"/>
    <numFmt numFmtId="165" formatCode="0.0"/>
    <numFmt numFmtId="166" formatCode="0.0%"/>
    <numFmt numFmtId="167" formatCode="#,##0.0_);\(#,##0.0\)"/>
    <numFmt numFmtId="168" formatCode="#,##0.0000_);[Red]\(#,##0.0000\)"/>
    <numFmt numFmtId="169" formatCode="#,##0.0_);[Red]\(#,##0.0\)"/>
    <numFmt numFmtId="170" formatCode="0.000"/>
    <numFmt numFmtId="171" formatCode="&quot;$&quot;#,##0.0_);[Red]\(&quot;$&quot;#,##0.0\)"/>
    <numFmt numFmtId="172" formatCode="&quot;$&quot;#,##0.0_);\(&quot;$&quot;#,##0.0\)"/>
    <numFmt numFmtId="173" formatCode="0.000000"/>
    <numFmt numFmtId="174" formatCode="#,##0.0000"/>
    <numFmt numFmtId="175" formatCode="_(* #,##0_);_(* \(#,##0\);_(* &quot;-&quot;??_);_(@_)"/>
    <numFmt numFmtId="176" formatCode="&quot;$&quot;#,##0.00"/>
    <numFmt numFmtId="177" formatCode="&quot;$&quot;#,##0"/>
    <numFmt numFmtId="178" formatCode="General_)"/>
    <numFmt numFmtId="179" formatCode="0.0_)"/>
    <numFmt numFmtId="180" formatCode="&quot;$&quot;#,##0.0"/>
    <numFmt numFmtId="181" formatCode="0.0_);\(0.0\)"/>
    <numFmt numFmtId="182" formatCode="_(* #,##0.0000_);_(* \(#,##0.0000\);_(* &quot;-&quot;??_);_(@_)"/>
    <numFmt numFmtId="183" formatCode="0_);\(0\)"/>
    <numFmt numFmtId="184" formatCode="&quot;$&quot;#,##0.000_);\(&quot;$&quot;#,##0.000\)"/>
    <numFmt numFmtId="185" formatCode="###0_);\(###0\)"/>
    <numFmt numFmtId="186" formatCode="mm/dd/yy_)"/>
    <numFmt numFmtId="187" formatCode="&quot;$&quot;#,##0.0\ ;[Red]\(&quot;$&quot;#,##0.0\)"/>
    <numFmt numFmtId="188" formatCode="0.0%;\(0.0%\)"/>
    <numFmt numFmtId="189" formatCode="\(0.0\)"/>
    <numFmt numFmtId="190" formatCode="\+0.0;\-0.0"/>
    <numFmt numFmtId="191" formatCode="0.000_)"/>
    <numFmt numFmtId="192" formatCode="&quot;$&quot;#,##0.000"/>
    <numFmt numFmtId="193" formatCode="####\A"/>
    <numFmt numFmtId="194" formatCode="\/0.0;\/\-0.0"/>
    <numFmt numFmtId="195" formatCode="####&quot;E&quot;"/>
    <numFmt numFmtId="196" formatCode="#,##0.0\ ;\(#,##0.0\)"/>
    <numFmt numFmtId="197" formatCode="#,##0.0\ ;[Red]\(#,##0.0\)"/>
    <numFmt numFmtId="198" formatCode="#,##0.0%\ ;[Red]\(#,##0.0%\)"/>
    <numFmt numFmtId="199" formatCode="0.0_);[Red]\(0.0\)"/>
    <numFmt numFmtId="200" formatCode="0_);[Red]\(0\)"/>
    <numFmt numFmtId="201" formatCode="&quot;$&quot;#,##0.000_);[Red]\(&quot;$&quot;#,##0.000\)"/>
    <numFmt numFmtId="202" formatCode="#,##0.000_);[Red]\(#,##0.000\)"/>
    <numFmt numFmtId="203" formatCode="0.0000"/>
    <numFmt numFmtId="204" formatCode="#,##0\ ;[Red]\(#,##0\)"/>
    <numFmt numFmtId="205" formatCode="#,##0.000_);\(#,##0.000\)"/>
    <numFmt numFmtId="206" formatCode="&quot;$&quot;#,##0.0000_);\(&quot;$&quot;#,##0.0000\)"/>
    <numFmt numFmtId="207" formatCode="#,##0.0%\ ;\(#,##0.0%\)"/>
    <numFmt numFmtId="208" formatCode="\(0.00\)"/>
    <numFmt numFmtId="210" formatCode="#,##0.0;\(#,##0.0\)"/>
    <numFmt numFmtId="211" formatCode="\+0.00;\-0.00"/>
    <numFmt numFmtId="212" formatCode="_(* #,##0.000_);_(* \(#,##0.000\);_(* &quot;-&quot;??_);_(@_)"/>
    <numFmt numFmtId="213" formatCode="####&quot;A&quot;"/>
    <numFmt numFmtId="214" formatCode="_(* #,##0.0_);_(* \(#,##0.0\);_(* &quot;-&quot;??_);_(@_)"/>
    <numFmt numFmtId="215" formatCode="#,##0;\(#,##0\)"/>
    <numFmt numFmtId="216" formatCode="\+0;\-0"/>
    <numFmt numFmtId="217" formatCode="#,##0.000\ ;[Red]\(#,##0.000\)"/>
    <numFmt numFmtId="218" formatCode="0.00000000000000"/>
    <numFmt numFmtId="219" formatCode="0&quot;E&quot;"/>
    <numFmt numFmtId="220" formatCode="0.;\-0."/>
    <numFmt numFmtId="221" formatCode="\F###0\A"/>
    <numFmt numFmtId="222" formatCode="\F###0\E"/>
    <numFmt numFmtId="223" formatCode="###0"/>
    <numFmt numFmtId="224" formatCode="###0.00"/>
    <numFmt numFmtId="226" formatCode="###0.0"/>
    <numFmt numFmtId="228" formatCode="\F###0"/>
    <numFmt numFmtId="236" formatCode="0.000000000000000"/>
    <numFmt numFmtId="237" formatCode="\(0\)"/>
    <numFmt numFmtId="238" formatCode="0.000_);[Red]\(0.000\)"/>
    <numFmt numFmtId="239" formatCode="0000&quot;A&quot;"/>
    <numFmt numFmtId="240" formatCode="#,##0.000\ ;\(#,##0.000\)"/>
    <numFmt numFmtId="241" formatCode="_(&quot;$&quot;* #,##0.0_);_(&quot;$&quot;* \(#,##0.0\);_(&quot;$&quot;* &quot;-&quot;?_);_(@_)"/>
    <numFmt numFmtId="242" formatCode="0\ &quot;bps&quot;"/>
    <numFmt numFmtId="243" formatCode="&quot;$&quot;#,##0.0000_);[Red]\(&quot;$&quot;#,##0.0000\)"/>
    <numFmt numFmtId="244" formatCode="\(0.000\)"/>
    <numFmt numFmtId="245" formatCode="0\ "/>
    <numFmt numFmtId="246" formatCode="0&quot;A&quot;"/>
    <numFmt numFmtId="247" formatCode="0&quot;bps&quot;"/>
    <numFmt numFmtId="248" formatCode="0.00_);[Red]\(0.00\)"/>
    <numFmt numFmtId="249" formatCode="\/0.00;\/\-0.00"/>
    <numFmt numFmtId="252" formatCode="mm/yyyy"/>
    <numFmt numFmtId="253" formatCode="0.00000000000000_);\(0.00000000000000\)"/>
    <numFmt numFmtId="254" formatCode="0.000_);\(0.000\)"/>
    <numFmt numFmtId="255" formatCode="_(* #,##0.00000_);_(* \(#,##0.00000\);_(* &quot;-&quot;??_);_(@_)"/>
    <numFmt numFmtId="256" formatCode="####\E"/>
    <numFmt numFmtId="257" formatCode="0.000%"/>
    <numFmt numFmtId="263" formatCode="mm/dd/yy\ hh:mm"/>
  </numFmts>
  <fonts count="173">
    <font>
      <sz val="10"/>
      <name val="Arial"/>
    </font>
    <font>
      <sz val="10"/>
      <name val="Arial"/>
      <family val="2"/>
    </font>
    <font>
      <sz val="10"/>
      <name val="Helv"/>
    </font>
    <font>
      <sz val="10"/>
      <name val="Courier"/>
      <family val="3"/>
    </font>
    <font>
      <sz val="8"/>
      <name val="Arial"/>
      <family val="2"/>
    </font>
    <font>
      <sz val="7"/>
      <name val="Courier"/>
      <family val="3"/>
    </font>
    <font>
      <sz val="8"/>
      <name val="Helv"/>
    </font>
    <font>
      <u/>
      <sz val="10"/>
      <name val="Helv"/>
    </font>
    <font>
      <sz val="10"/>
      <name val="Arial"/>
      <family val="2"/>
    </font>
    <font>
      <u/>
      <sz val="10"/>
      <name val="Arial"/>
      <family val="2"/>
    </font>
    <font>
      <b/>
      <sz val="8"/>
      <name val="Arial"/>
      <family val="2"/>
    </font>
    <font>
      <b/>
      <sz val="10"/>
      <name val="Arial"/>
      <family val="2"/>
    </font>
    <font>
      <sz val="10"/>
      <color indexed="12"/>
      <name val="Arial"/>
      <family val="2"/>
    </font>
    <font>
      <i/>
      <sz val="8"/>
      <name val="Arial"/>
      <family val="2"/>
    </font>
    <font>
      <b/>
      <u/>
      <sz val="8"/>
      <name val="Arial"/>
      <family val="2"/>
    </font>
    <font>
      <b/>
      <sz val="8"/>
      <color indexed="12"/>
      <name val="Arial"/>
      <family val="2"/>
    </font>
    <font>
      <b/>
      <u/>
      <sz val="8"/>
      <color indexed="12"/>
      <name val="Arial"/>
      <family val="2"/>
    </font>
    <font>
      <sz val="8"/>
      <color indexed="12"/>
      <name val="Arial"/>
      <family val="2"/>
    </font>
    <font>
      <sz val="8"/>
      <color indexed="81"/>
      <name val="Tahoma"/>
      <family val="2"/>
    </font>
    <font>
      <b/>
      <sz val="8"/>
      <color indexed="81"/>
      <name val="Tahoma"/>
      <family val="2"/>
    </font>
    <font>
      <b/>
      <sz val="10"/>
      <color indexed="12"/>
      <name val="Arial"/>
      <family val="2"/>
    </font>
    <font>
      <b/>
      <u/>
      <sz val="10"/>
      <name val="Arial"/>
      <family val="2"/>
    </font>
    <font>
      <b/>
      <u/>
      <sz val="10"/>
      <color indexed="12"/>
      <name val="Arial"/>
      <family val="2"/>
    </font>
    <font>
      <sz val="10"/>
      <color indexed="10"/>
      <name val="Arial"/>
      <family val="2"/>
    </font>
    <font>
      <sz val="8"/>
      <color indexed="8"/>
      <name val="Arial"/>
      <family val="2"/>
    </font>
    <font>
      <i/>
      <sz val="10"/>
      <name val="Arial"/>
      <family val="2"/>
    </font>
    <font>
      <sz val="10"/>
      <color indexed="57"/>
      <name val="Arial"/>
      <family val="2"/>
    </font>
    <font>
      <u/>
      <sz val="10"/>
      <color indexed="20"/>
      <name val="Arial"/>
      <family val="2"/>
    </font>
    <font>
      <sz val="10"/>
      <color indexed="14"/>
      <name val="Arial"/>
      <family val="2"/>
    </font>
    <font>
      <sz val="10"/>
      <color indexed="17"/>
      <name val="Arial"/>
      <family val="2"/>
    </font>
    <font>
      <sz val="10"/>
      <color indexed="81"/>
      <name val="Tahoma"/>
      <family val="2"/>
    </font>
    <font>
      <b/>
      <sz val="10"/>
      <color indexed="81"/>
      <name val="Tahoma"/>
      <family val="2"/>
    </font>
    <font>
      <i/>
      <sz val="10"/>
      <color indexed="12"/>
      <name val="Arial"/>
      <family val="2"/>
    </font>
    <font>
      <b/>
      <sz val="8"/>
      <color indexed="21"/>
      <name val="Arial"/>
      <family val="2"/>
    </font>
    <font>
      <sz val="8"/>
      <color indexed="21"/>
      <name val="Arial"/>
      <family val="2"/>
    </font>
    <font>
      <sz val="9"/>
      <color indexed="81"/>
      <name val="Tahoma"/>
      <family val="2"/>
    </font>
    <font>
      <sz val="8"/>
      <name val="Arial"/>
      <family val="2"/>
    </font>
    <font>
      <b/>
      <sz val="12"/>
      <name val="Arial"/>
      <family val="2"/>
    </font>
    <font>
      <b/>
      <sz val="10"/>
      <name val="CIR Trade Gothic Cn"/>
    </font>
    <font>
      <sz val="10"/>
      <color indexed="8"/>
      <name val="CIR Trade Gothic Cn"/>
    </font>
    <font>
      <sz val="10"/>
      <name val="CIR Trade Gothic Cn"/>
    </font>
    <font>
      <b/>
      <sz val="10"/>
      <color indexed="12"/>
      <name val="CIR Trade Gothic Cn"/>
    </font>
    <font>
      <sz val="8"/>
      <name val="CIR Trade Gothic Cn"/>
    </font>
    <font>
      <i/>
      <sz val="8"/>
      <name val="CIR Trade Gothic Cn"/>
    </font>
    <font>
      <u/>
      <sz val="8"/>
      <name val="CIR Trade Gothic Cn"/>
    </font>
    <font>
      <sz val="8"/>
      <color indexed="20"/>
      <name val="CIR Trade Gothic Cn"/>
    </font>
    <font>
      <sz val="8"/>
      <color indexed="10"/>
      <name val="CIR Trade Gothic Cn"/>
    </font>
    <font>
      <u/>
      <sz val="10"/>
      <name val="CIR Trade Gothic Cn"/>
    </font>
    <font>
      <sz val="10"/>
      <color indexed="12"/>
      <name val="CIR Trade Gothic Cn"/>
    </font>
    <font>
      <i/>
      <sz val="10"/>
      <name val="CIR Trade Gothic Cn"/>
    </font>
    <font>
      <sz val="10"/>
      <color indexed="23"/>
      <name val="CIR Trade Gothic Cn"/>
    </font>
    <font>
      <vertAlign val="superscript"/>
      <sz val="10"/>
      <name val="CIR Trade Gothic Cn"/>
    </font>
    <font>
      <sz val="10"/>
      <color indexed="22"/>
      <name val="CIR Trade Gothic Cn"/>
    </font>
    <font>
      <sz val="10"/>
      <color indexed="20"/>
      <name val="CIR Trade Gothic Cn"/>
    </font>
    <font>
      <sz val="10"/>
      <color indexed="57"/>
      <name val="CIR Trade Gothic Cn"/>
    </font>
    <font>
      <i/>
      <sz val="8"/>
      <color indexed="12"/>
      <name val="CIR Trade Gothic Cn"/>
    </font>
    <font>
      <sz val="10"/>
      <color indexed="10"/>
      <name val="CIR Trade Gothic Cn"/>
    </font>
    <font>
      <sz val="9"/>
      <name val="CIR Trade Gothic Cn"/>
    </font>
    <font>
      <b/>
      <sz val="10"/>
      <color indexed="20"/>
      <name val="CIR Trade Gothic Cn"/>
    </font>
    <font>
      <u/>
      <sz val="10"/>
      <color indexed="20"/>
      <name val="CIR Trade Gothic Cn"/>
    </font>
    <font>
      <b/>
      <i/>
      <sz val="10"/>
      <name val="CIR Trade Gothic Cn"/>
    </font>
    <font>
      <b/>
      <u/>
      <sz val="10"/>
      <name val="CIR Trade Gothic Cn"/>
    </font>
    <font>
      <b/>
      <sz val="8"/>
      <color indexed="20"/>
      <name val="CIR Trade Gothic Cn"/>
    </font>
    <font>
      <u/>
      <sz val="8"/>
      <color indexed="20"/>
      <name val="CIR Trade Gothic Cn"/>
    </font>
    <font>
      <b/>
      <sz val="10"/>
      <color indexed="14"/>
      <name val="CIR Trade Gothic Cn"/>
    </font>
    <font>
      <i/>
      <sz val="10"/>
      <color indexed="20"/>
      <name val="Arial"/>
      <family val="2"/>
    </font>
    <font>
      <sz val="10"/>
      <name val="MS Sans Serif"/>
      <family val="2"/>
    </font>
    <font>
      <b/>
      <sz val="8"/>
      <color indexed="9"/>
      <name val="Arial"/>
      <family val="2"/>
    </font>
    <font>
      <b/>
      <sz val="10"/>
      <color indexed="8"/>
      <name val="Times New Roman"/>
      <family val="1"/>
    </font>
    <font>
      <sz val="9"/>
      <name val="Times New Roman"/>
      <family val="1"/>
    </font>
    <font>
      <sz val="10"/>
      <color indexed="8"/>
      <name val="Times New Roman"/>
      <family val="1"/>
    </font>
    <font>
      <i/>
      <sz val="8"/>
      <name val="Times New Roman"/>
      <family val="1"/>
    </font>
    <font>
      <sz val="8"/>
      <name val="Times New Roman"/>
      <family val="1"/>
    </font>
    <font>
      <sz val="11"/>
      <name val="Arial"/>
      <family val="2"/>
    </font>
    <font>
      <sz val="8"/>
      <color indexed="9"/>
      <name val="Arial"/>
      <family val="2"/>
    </font>
    <font>
      <b/>
      <sz val="14"/>
      <color indexed="18"/>
      <name val="Arial"/>
      <family val="2"/>
    </font>
    <font>
      <sz val="10"/>
      <color indexed="9"/>
      <name val="Arial"/>
      <family val="2"/>
    </font>
    <font>
      <b/>
      <sz val="10"/>
      <color indexed="9"/>
      <name val="Arial"/>
      <family val="2"/>
    </font>
    <font>
      <b/>
      <sz val="12"/>
      <color indexed="12"/>
      <name val="Arial"/>
      <family val="2"/>
    </font>
    <font>
      <sz val="10"/>
      <color indexed="53"/>
      <name val="Arial"/>
      <family val="2"/>
    </font>
    <font>
      <i/>
      <sz val="10"/>
      <color indexed="9"/>
      <name val="Arial"/>
      <family val="2"/>
    </font>
    <font>
      <b/>
      <i/>
      <sz val="10"/>
      <color indexed="12"/>
      <name val="Arial"/>
      <family val="2"/>
    </font>
    <font>
      <sz val="10"/>
      <color indexed="23"/>
      <name val="Arial"/>
      <family val="2"/>
    </font>
    <font>
      <u/>
      <sz val="8"/>
      <color indexed="81"/>
      <name val="Tahoma"/>
      <family val="2"/>
    </font>
    <font>
      <sz val="8"/>
      <color indexed="9"/>
      <name val="Arial"/>
      <family val="2"/>
    </font>
    <font>
      <sz val="8"/>
      <color indexed="22"/>
      <name val="Arial"/>
      <family val="2"/>
    </font>
    <font>
      <sz val="10"/>
      <color indexed="22"/>
      <name val="Arial"/>
      <family val="2"/>
    </font>
    <font>
      <sz val="10"/>
      <color indexed="8"/>
      <name val="Arial"/>
      <family val="2"/>
    </font>
    <font>
      <b/>
      <sz val="10"/>
      <color indexed="8"/>
      <name val="CIR Trade Gothic Cn"/>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8"/>
      <color indexed="23"/>
      <name val="Arial"/>
      <family val="2"/>
    </font>
    <font>
      <sz val="8"/>
      <color indexed="55"/>
      <name val="Arial"/>
      <family val="2"/>
    </font>
    <font>
      <b/>
      <u/>
      <sz val="8"/>
      <color indexed="23"/>
      <name val="Arial"/>
      <family val="2"/>
    </font>
    <font>
      <b/>
      <sz val="8"/>
      <color indexed="62"/>
      <name val="Arial"/>
      <family val="2"/>
    </font>
    <font>
      <b/>
      <sz val="8"/>
      <color indexed="18"/>
      <name val="Arial"/>
      <family val="2"/>
    </font>
    <font>
      <sz val="8"/>
      <color indexed="18"/>
      <name val="Arial"/>
      <family val="2"/>
    </font>
    <font>
      <sz val="8"/>
      <color indexed="62"/>
      <name val="Arial"/>
      <family val="2"/>
    </font>
    <font>
      <b/>
      <sz val="9"/>
      <color indexed="81"/>
      <name val="Tahoma"/>
      <family val="2"/>
    </font>
    <font>
      <sz val="10"/>
      <color indexed="54"/>
      <name val="Arial"/>
      <family val="2"/>
    </font>
    <font>
      <b/>
      <sz val="10"/>
      <color indexed="8"/>
      <name val="Arial"/>
      <family val="2"/>
    </font>
    <font>
      <b/>
      <u/>
      <sz val="10"/>
      <color indexed="8"/>
      <name val="CIR Trade Gothic Cn"/>
    </font>
    <font>
      <b/>
      <u/>
      <sz val="10"/>
      <color indexed="12"/>
      <name val="CIR Trade Gothic Cn"/>
    </font>
    <font>
      <u/>
      <sz val="10"/>
      <color indexed="8"/>
      <name val="CIR Trade Gothic Cn"/>
    </font>
    <font>
      <i/>
      <sz val="10"/>
      <color indexed="8"/>
      <name val="CIR Trade Gothic Cn"/>
    </font>
    <font>
      <sz val="10"/>
      <color indexed="17"/>
      <name val="CIR Trade Gothic Cn"/>
    </font>
    <font>
      <sz val="10"/>
      <color indexed="14"/>
      <name val="CIR Trade Gothic Cn"/>
    </font>
    <font>
      <u/>
      <sz val="10"/>
      <color indexed="14"/>
      <name val="CIR Trade Gothic Cn"/>
    </font>
    <font>
      <sz val="10"/>
      <color indexed="20"/>
      <name val="Arial"/>
      <family val="2"/>
    </font>
    <font>
      <sz val="10"/>
      <color indexed="9"/>
      <name val="CIR Trade Gothic Cn"/>
    </font>
    <font>
      <sz val="10"/>
      <color indexed="19"/>
      <name val="CIR Trade Gothic Cn"/>
    </font>
    <font>
      <u/>
      <sz val="10"/>
      <color indexed="12"/>
      <name val="CIR Trade Gothic Cn"/>
    </font>
    <font>
      <u/>
      <sz val="10"/>
      <color indexed="19"/>
      <name val="CIR Trade Gothic Cn"/>
    </font>
    <font>
      <b/>
      <sz val="10"/>
      <color indexed="14"/>
      <name val="Arial"/>
      <family val="2"/>
    </font>
    <font>
      <i/>
      <sz val="10"/>
      <color indexed="14"/>
      <name val="CIR Trade Gothic Cn"/>
    </font>
    <font>
      <sz val="10"/>
      <color indexed="21"/>
      <name val="Arial"/>
      <family val="2"/>
    </font>
    <font>
      <sz val="10"/>
      <color indexed="48"/>
      <name val="Arial"/>
      <family val="2"/>
    </font>
    <font>
      <i/>
      <u/>
      <sz val="10"/>
      <name val="Arial"/>
      <family val="2"/>
    </font>
    <font>
      <sz val="10"/>
      <name val="Arial"/>
      <family val="2"/>
    </font>
    <font>
      <sz val="8"/>
      <name val="Arial"/>
      <family val="2"/>
    </font>
    <font>
      <sz val="10"/>
      <color indexed="8"/>
      <name val="MS Sans Serif"/>
      <family val="2"/>
    </font>
    <font>
      <sz val="8.25"/>
      <name val="Microsoft Sans Serif"/>
      <family val="2"/>
    </font>
    <font>
      <sz val="10"/>
      <color indexed="43"/>
      <name val="Arial"/>
      <family val="2"/>
    </font>
    <font>
      <sz val="10"/>
      <name val="ＭＳ Ｐゴシック"/>
      <family val="3"/>
      <charset val="128"/>
    </font>
    <font>
      <sz val="10"/>
      <color indexed="55"/>
      <name val="Arial"/>
      <family val="2"/>
    </font>
    <font>
      <b/>
      <sz val="10"/>
      <color indexed="22"/>
      <name val="Arial"/>
      <family val="2"/>
    </font>
    <font>
      <i/>
      <sz val="10"/>
      <color indexed="22"/>
      <name val="Arial"/>
      <family val="2"/>
    </font>
    <font>
      <b/>
      <i/>
      <sz val="10"/>
      <name val="Arial"/>
      <family val="2"/>
    </font>
    <font>
      <sz val="10"/>
      <name val="Arial"/>
      <family val="2"/>
    </font>
    <font>
      <b/>
      <i/>
      <sz val="10"/>
      <color indexed="62"/>
      <name val="Arial"/>
      <family val="2"/>
    </font>
    <font>
      <i/>
      <sz val="10"/>
      <color indexed="8"/>
      <name val="Arial"/>
      <family val="2"/>
    </font>
    <font>
      <i/>
      <sz val="10"/>
      <color indexed="23"/>
      <name val="Arial"/>
      <family val="2"/>
    </font>
    <font>
      <i/>
      <sz val="10"/>
      <color indexed="44"/>
      <name val="Arial"/>
      <family val="2"/>
    </font>
    <font>
      <i/>
      <sz val="8"/>
      <color indexed="55"/>
      <name val="Arial"/>
      <family val="2"/>
    </font>
    <font>
      <i/>
      <sz val="8"/>
      <color indexed="9"/>
      <name val="Arial"/>
      <family val="2"/>
    </font>
    <font>
      <sz val="10"/>
      <color rgb="FF008080"/>
      <name val="CIR Trade Gothic Cn"/>
    </font>
    <font>
      <sz val="10"/>
      <color theme="4"/>
      <name val="CIR Trade Gothic Cn"/>
    </font>
    <font>
      <sz val="10"/>
      <color theme="3" tint="0.39997558519241921"/>
      <name val="CIR Trade Gothic Cn"/>
    </font>
    <font>
      <sz val="10"/>
      <color theme="4"/>
      <name val="Arial"/>
      <family val="2"/>
    </font>
    <font>
      <sz val="10"/>
      <color theme="0" tint="-0.249977111117893"/>
      <name val="CIR Trade Gothic Cn"/>
    </font>
    <font>
      <sz val="10"/>
      <color theme="0" tint="-0.249977111117893"/>
      <name val="Arial"/>
      <family val="2"/>
    </font>
    <font>
      <sz val="10"/>
      <color rgb="FFFF0000"/>
      <name val="CIR Trade Gothic Cn"/>
    </font>
    <font>
      <i/>
      <sz val="10"/>
      <color theme="0" tint="-4.9989318521683403E-2"/>
      <name val="CIR Trade Gothic Cn"/>
    </font>
    <font>
      <sz val="10"/>
      <color theme="0" tint="-4.9989318521683403E-2"/>
      <name val="CIR Trade Gothic Cn"/>
    </font>
    <font>
      <b/>
      <sz val="10"/>
      <color rgb="FFFF0000"/>
      <name val="Arial"/>
      <family val="2"/>
    </font>
    <font>
      <sz val="10"/>
      <color theme="4" tint="-0.249977111117893"/>
      <name val="Arial"/>
      <family val="2"/>
    </font>
    <font>
      <b/>
      <u/>
      <sz val="10"/>
      <color theme="4"/>
      <name val="CIR Trade Gothic Cn"/>
    </font>
    <font>
      <sz val="10"/>
      <color rgb="FF00B050"/>
      <name val="Arial"/>
      <family val="2"/>
    </font>
    <font>
      <sz val="10"/>
      <color rgb="FF00B050"/>
      <name val="CIR Trade Gothic Cn"/>
    </font>
    <font>
      <sz val="8"/>
      <color theme="4"/>
      <name val="Arial"/>
      <family val="2"/>
    </font>
    <font>
      <sz val="10"/>
      <color theme="3" tint="0.39997558519241921"/>
      <name val="Arial"/>
      <family val="2"/>
    </font>
    <font>
      <sz val="10"/>
      <color theme="4" tint="-0.249977111117893"/>
      <name val="CIR Trade Gothic Cn"/>
    </font>
    <font>
      <i/>
      <sz val="10"/>
      <color rgb="FF0000FF"/>
      <name val="Arial"/>
      <family val="2"/>
    </font>
    <font>
      <sz val="10"/>
      <color rgb="FF0000FF"/>
      <name val="Arial"/>
      <family val="2"/>
    </font>
    <font>
      <b/>
      <sz val="10"/>
      <color theme="4"/>
      <name val="CIR Trade Gothic Cn"/>
    </font>
    <font>
      <i/>
      <sz val="10"/>
      <color theme="4"/>
      <name val="Arial"/>
      <family val="2"/>
    </font>
    <font>
      <sz val="10"/>
      <color rgb="FF000000"/>
      <name val="Arial"/>
      <family val="2"/>
    </font>
    <font>
      <b/>
      <sz val="12"/>
      <color rgb="FF000080"/>
      <name val="Arial"/>
      <family val="2"/>
    </font>
  </fonts>
  <fills count="29">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solid">
        <fgColor indexed="42"/>
      </patternFill>
    </fill>
    <fill>
      <patternFill patternType="solid">
        <fgColor indexed="22"/>
        <bgColor indexed="64"/>
      </patternFill>
    </fill>
    <fill>
      <patternFill patternType="solid">
        <fgColor indexed="9"/>
        <bgColor indexed="64"/>
      </patternFill>
    </fill>
    <fill>
      <patternFill patternType="solid">
        <fgColor indexed="43"/>
        <bgColor indexed="64"/>
      </patternFill>
    </fill>
    <fill>
      <patternFill patternType="solid">
        <fgColor indexed="48"/>
        <bgColor indexed="64"/>
      </patternFill>
    </fill>
    <fill>
      <patternFill patternType="solid">
        <fgColor indexed="60"/>
        <bgColor indexed="64"/>
      </patternFill>
    </fill>
    <fill>
      <patternFill patternType="solid">
        <fgColor indexed="53"/>
        <bgColor indexed="64"/>
      </patternFill>
    </fill>
    <fill>
      <patternFill patternType="solid">
        <fgColor indexed="47"/>
        <bgColor indexed="64"/>
      </patternFill>
    </fill>
    <fill>
      <patternFill patternType="solid">
        <fgColor indexed="44"/>
        <bgColor indexed="64"/>
      </patternFill>
    </fill>
    <fill>
      <patternFill patternType="solid">
        <fgColor theme="0"/>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indexed="65"/>
        <bgColor indexed="64"/>
      </patternFill>
    </fill>
  </fills>
  <borders count="52">
    <border>
      <left/>
      <right/>
      <top/>
      <bottom/>
      <diagonal/>
    </border>
    <border>
      <left style="thin">
        <color indexed="64"/>
      </left>
      <right/>
      <top/>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thin">
        <color indexed="64"/>
      </top>
      <bottom/>
      <diagonal/>
    </border>
    <border>
      <left/>
      <right/>
      <top style="thin">
        <color indexed="49"/>
      </top>
      <bottom style="double">
        <color indexed="49"/>
      </bottom>
      <diagonal/>
    </border>
    <border>
      <left/>
      <right/>
      <top/>
      <bottom style="hair">
        <color indexed="64"/>
      </bottom>
      <diagonal/>
    </border>
    <border>
      <left/>
      <right/>
      <top style="hair">
        <color indexed="64"/>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top/>
      <bottom style="dashed">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top/>
      <bottom style="thin">
        <color indexed="17"/>
      </bottom>
      <diagonal/>
    </border>
    <border>
      <left/>
      <right style="thin">
        <color indexed="64"/>
      </right>
      <top style="thin">
        <color indexed="64"/>
      </top>
      <bottom style="thin">
        <color indexed="64"/>
      </bottom>
      <diagonal/>
    </border>
    <border>
      <left style="hair">
        <color indexed="64"/>
      </left>
      <right/>
      <top style="hair">
        <color indexed="64"/>
      </top>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thin">
        <color indexed="64"/>
      </bottom>
      <diagonal/>
    </border>
    <border>
      <left/>
      <right style="hair">
        <color indexed="64"/>
      </right>
      <top/>
      <bottom style="thin">
        <color indexed="64"/>
      </bottom>
      <diagonal/>
    </border>
    <border>
      <left style="hair">
        <color indexed="64"/>
      </left>
      <right/>
      <top/>
      <bottom style="hair">
        <color indexed="64"/>
      </bottom>
      <diagonal/>
    </border>
    <border>
      <left/>
      <right style="hair">
        <color indexed="64"/>
      </right>
      <top/>
      <bottom style="hair">
        <color indexed="64"/>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style="medium">
        <color indexed="64"/>
      </top>
      <bottom style="medium">
        <color indexed="64"/>
      </bottom>
      <diagonal/>
    </border>
    <border>
      <left/>
      <right/>
      <top style="thin">
        <color indexed="20"/>
      </top>
      <bottom style="thin">
        <color indexed="2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88">
    <xf numFmtId="0" fontId="0" fillId="0" borderId="0"/>
    <xf numFmtId="0" fontId="1" fillId="0" borderId="0"/>
    <xf numFmtId="0" fontId="1" fillId="0" borderId="0"/>
    <xf numFmtId="0" fontId="133" fillId="0" borderId="0" applyNumberFormat="0" applyFont="0" applyFill="0" applyBorder="0" applyAlignment="0" applyProtection="0"/>
    <xf numFmtId="0" fontId="8" fillId="0" borderId="0" applyFill="0" applyAlignment="0">
      <protection locked="0"/>
    </xf>
    <xf numFmtId="0" fontId="1" fillId="0" borderId="0"/>
    <xf numFmtId="0" fontId="1" fillId="17" borderId="0" applyNumberFormat="0" applyFont="0" applyBorder="0" applyAlignment="0" applyProtection="0"/>
    <xf numFmtId="0" fontId="66" fillId="0" borderId="0"/>
    <xf numFmtId="0" fontId="66" fillId="0" borderId="0"/>
    <xf numFmtId="0" fontId="89" fillId="2" borderId="0" applyNumberFormat="0" applyBorder="0" applyAlignment="0" applyProtection="0"/>
    <xf numFmtId="0" fontId="89" fillId="3" borderId="0" applyNumberFormat="0" applyBorder="0" applyAlignment="0" applyProtection="0"/>
    <xf numFmtId="0" fontId="89" fillId="4" borderId="0" applyNumberFormat="0" applyBorder="0" applyAlignment="0" applyProtection="0"/>
    <xf numFmtId="0" fontId="89" fillId="2" borderId="0" applyNumberFormat="0" applyBorder="0" applyAlignment="0" applyProtection="0"/>
    <xf numFmtId="0" fontId="89" fillId="5" borderId="0" applyNumberFormat="0" applyBorder="0" applyAlignment="0" applyProtection="0"/>
    <xf numFmtId="0" fontId="89" fillId="4" borderId="0" applyNumberFormat="0" applyBorder="0" applyAlignment="0" applyProtection="0"/>
    <xf numFmtId="0" fontId="89" fillId="6" borderId="0" applyNumberFormat="0" applyBorder="0" applyAlignment="0" applyProtection="0"/>
    <xf numFmtId="0" fontId="89" fillId="3" borderId="0" applyNumberFormat="0" applyBorder="0" applyAlignment="0" applyProtection="0"/>
    <xf numFmtId="0" fontId="89" fillId="4" borderId="0" applyNumberFormat="0" applyBorder="0" applyAlignment="0" applyProtection="0"/>
    <xf numFmtId="0" fontId="89" fillId="6" borderId="0" applyNumberFormat="0" applyBorder="0" applyAlignment="0" applyProtection="0"/>
    <xf numFmtId="0" fontId="89" fillId="7" borderId="0" applyNumberFormat="0" applyBorder="0" applyAlignment="0" applyProtection="0"/>
    <xf numFmtId="0" fontId="89" fillId="4" borderId="0" applyNumberFormat="0" applyBorder="0" applyAlignment="0" applyProtection="0"/>
    <xf numFmtId="0" fontId="90" fillId="8" borderId="0" applyNumberFormat="0" applyBorder="0" applyAlignment="0" applyProtection="0"/>
    <xf numFmtId="0" fontId="90" fillId="3" borderId="0" applyNumberFormat="0" applyBorder="0" applyAlignment="0" applyProtection="0"/>
    <xf numFmtId="0" fontId="90" fillId="9" borderId="0" applyNumberFormat="0" applyBorder="0" applyAlignment="0" applyProtection="0"/>
    <xf numFmtId="0" fontId="90" fillId="6" borderId="0" applyNumberFormat="0" applyBorder="0" applyAlignment="0" applyProtection="0"/>
    <xf numFmtId="0" fontId="90" fillId="8" borderId="0" applyNumberFormat="0" applyBorder="0" applyAlignment="0" applyProtection="0"/>
    <xf numFmtId="0" fontId="90" fillId="4" borderId="0" applyNumberFormat="0" applyBorder="0" applyAlignment="0" applyProtection="0"/>
    <xf numFmtId="0" fontId="90" fillId="8" borderId="0" applyNumberFormat="0" applyBorder="0" applyAlignment="0" applyProtection="0"/>
    <xf numFmtId="0" fontId="90" fillId="3" borderId="0" applyNumberFormat="0" applyBorder="0" applyAlignment="0" applyProtection="0"/>
    <xf numFmtId="0" fontId="90" fillId="9" borderId="0" applyNumberFormat="0" applyBorder="0" applyAlignment="0" applyProtection="0"/>
    <xf numFmtId="0" fontId="90" fillId="10" borderId="0" applyNumberFormat="0" applyBorder="0" applyAlignment="0" applyProtection="0"/>
    <xf numFmtId="0" fontId="90" fillId="8" borderId="0" applyNumberFormat="0" applyBorder="0" applyAlignment="0" applyProtection="0"/>
    <xf numFmtId="0" fontId="90" fillId="3" borderId="0" applyNumberFormat="0" applyBorder="0" applyAlignment="0" applyProtection="0"/>
    <xf numFmtId="0" fontId="91" fillId="11" borderId="0" applyNumberFormat="0" applyBorder="0" applyAlignment="0" applyProtection="0"/>
    <xf numFmtId="0" fontId="68" fillId="0" borderId="0"/>
    <xf numFmtId="0" fontId="92" fillId="12" borderId="3" applyNumberFormat="0" applyAlignment="0" applyProtection="0"/>
    <xf numFmtId="0" fontId="93" fillId="13" borderId="4" applyNumberFormat="0" applyAlignment="0" applyProtection="0"/>
    <xf numFmtId="43" fontId="1" fillId="0" borderId="0" applyFont="0" applyFill="0" applyBorder="0" applyAlignment="0" applyProtection="0"/>
    <xf numFmtId="43" fontId="133"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1" fillId="0" borderId="0" applyFont="0" applyFill="0" applyBorder="0" applyAlignment="0" applyProtection="0"/>
    <xf numFmtId="44" fontId="8" fillId="0" borderId="0" applyFont="0" applyFill="0" applyBorder="0" applyAlignment="0" applyProtection="0"/>
    <xf numFmtId="0" fontId="94" fillId="0" borderId="0" applyNumberFormat="0" applyFill="0" applyBorder="0" applyAlignment="0" applyProtection="0"/>
    <xf numFmtId="0" fontId="95" fillId="14" borderId="0" applyNumberFormat="0" applyBorder="0" applyAlignment="0" applyProtection="0"/>
    <xf numFmtId="0" fontId="96" fillId="0" borderId="10" applyNumberFormat="0" applyFill="0" applyAlignment="0" applyProtection="0"/>
    <xf numFmtId="0" fontId="97" fillId="0" borderId="11" applyNumberFormat="0" applyFill="0" applyAlignment="0" applyProtection="0"/>
    <xf numFmtId="0" fontId="98" fillId="0" borderId="12" applyNumberFormat="0" applyFill="0" applyAlignment="0" applyProtection="0"/>
    <xf numFmtId="0" fontId="98" fillId="0" borderId="0" applyNumberFormat="0" applyFill="0" applyBorder="0" applyAlignment="0" applyProtection="0"/>
    <xf numFmtId="0" fontId="133" fillId="0" borderId="0" applyNumberFormat="0" applyFill="0" applyBorder="0" applyAlignment="0" applyProtection="0">
      <alignment vertical="top"/>
      <protection locked="0"/>
    </xf>
    <xf numFmtId="0" fontId="99" fillId="4" borderId="3" applyNumberFormat="0" applyAlignment="0" applyProtection="0"/>
    <xf numFmtId="0" fontId="100" fillId="0" borderId="13" applyNumberFormat="0" applyFill="0" applyAlignment="0" applyProtection="0"/>
    <xf numFmtId="0" fontId="101" fillId="4" borderId="0" applyNumberFormat="0" applyBorder="0" applyAlignment="0" applyProtection="0"/>
    <xf numFmtId="0" fontId="8" fillId="0" borderId="0"/>
    <xf numFmtId="0" fontId="2" fillId="0" borderId="0"/>
    <xf numFmtId="0" fontId="8" fillId="0" borderId="0"/>
    <xf numFmtId="0" fontId="1" fillId="0" borderId="0"/>
    <xf numFmtId="0" fontId="2" fillId="0" borderId="0"/>
    <xf numFmtId="0" fontId="8" fillId="0" borderId="0"/>
    <xf numFmtId="37" fontId="3" fillId="0" borderId="0"/>
    <xf numFmtId="0" fontId="3" fillId="0" borderId="0"/>
    <xf numFmtId="178" fontId="5" fillId="0" borderId="0" applyNumberFormat="0" applyBorder="0" applyAlignment="0">
      <alignment horizontal="left"/>
    </xf>
    <xf numFmtId="0" fontId="69" fillId="0" borderId="0"/>
    <xf numFmtId="0" fontId="4" fillId="0" borderId="0"/>
    <xf numFmtId="0" fontId="4" fillId="0" borderId="0"/>
    <xf numFmtId="178" fontId="3" fillId="0" borderId="0"/>
    <xf numFmtId="0" fontId="3" fillId="0" borderId="0"/>
    <xf numFmtId="0" fontId="8" fillId="0" borderId="0"/>
    <xf numFmtId="178" fontId="3" fillId="0" borderId="0"/>
    <xf numFmtId="0" fontId="6" fillId="0" borderId="0"/>
    <xf numFmtId="0" fontId="8" fillId="0" borderId="0"/>
    <xf numFmtId="0" fontId="1" fillId="4" borderId="14" applyNumberFormat="0" applyFont="0" applyAlignment="0" applyProtection="0"/>
    <xf numFmtId="0" fontId="102" fillId="12" borderId="15" applyNumberFormat="0" applyAlignment="0" applyProtection="0"/>
    <xf numFmtId="0" fontId="69" fillId="0" borderId="0">
      <alignment vertical="center"/>
    </xf>
    <xf numFmtId="9" fontId="1" fillId="0" borderId="0" applyFont="0" applyFill="0" applyBorder="0" applyAlignment="0" applyProtection="0"/>
    <xf numFmtId="9" fontId="133" fillId="0" borderId="0" applyFont="0" applyFill="0" applyBorder="0" applyAlignment="0" applyProtection="0"/>
    <xf numFmtId="9" fontId="8" fillId="0" borderId="0" applyFont="0" applyFill="0" applyBorder="0" applyAlignment="0" applyProtection="0"/>
    <xf numFmtId="0" fontId="8" fillId="17" borderId="0" applyNumberFormat="0" applyFont="0" applyBorder="0" applyAlignment="0" applyProtection="0"/>
    <xf numFmtId="0" fontId="70" fillId="0" borderId="0"/>
    <xf numFmtId="0" fontId="70" fillId="0" borderId="16">
      <alignment horizontal="centerContinuous"/>
    </xf>
    <xf numFmtId="0" fontId="71" fillId="0" borderId="16"/>
    <xf numFmtId="0" fontId="1" fillId="0" borderId="0">
      <alignment vertical="top"/>
    </xf>
    <xf numFmtId="0" fontId="4" fillId="16" borderId="8" applyNumberFormat="0" applyProtection="0">
      <alignment wrapText="1"/>
    </xf>
    <xf numFmtId="0" fontId="103" fillId="0" borderId="0" applyNumberFormat="0" applyFill="0" applyBorder="0" applyAlignment="0" applyProtection="0"/>
    <xf numFmtId="0" fontId="104" fillId="0" borderId="18" applyNumberFormat="0" applyFill="0" applyAlignment="0" applyProtection="0"/>
    <xf numFmtId="169" fontId="7" fillId="0" borderId="0"/>
    <xf numFmtId="0" fontId="105" fillId="0" borderId="0" applyNumberFormat="0" applyFill="0" applyBorder="0" applyAlignment="0" applyProtection="0"/>
    <xf numFmtId="0" fontId="3" fillId="0" borderId="0"/>
  </cellStyleXfs>
  <cellXfs count="1823">
    <xf numFmtId="0" fontId="0" fillId="0" borderId="0" xfId="0"/>
    <xf numFmtId="0" fontId="1" fillId="0" borderId="0" xfId="1"/>
    <xf numFmtId="0" fontId="0" fillId="0" borderId="0" xfId="0" applyAlignment="1">
      <alignment horizontal="center"/>
    </xf>
    <xf numFmtId="166" fontId="8" fillId="0" borderId="0" xfId="74" applyNumberFormat="1" applyFont="1"/>
    <xf numFmtId="0" fontId="8" fillId="0" borderId="0" xfId="0" applyFont="1"/>
    <xf numFmtId="0" fontId="4" fillId="0" borderId="0" xfId="0" applyFont="1"/>
    <xf numFmtId="0" fontId="14" fillId="0" borderId="0" xfId="0" applyFont="1"/>
    <xf numFmtId="0" fontId="10" fillId="0" borderId="0" xfId="0" applyFont="1" applyBorder="1" applyAlignment="1">
      <alignment horizontal="center"/>
    </xf>
    <xf numFmtId="0" fontId="8" fillId="0" borderId="0" xfId="0" applyFont="1" applyAlignment="1">
      <alignment horizontal="center"/>
    </xf>
    <xf numFmtId="0" fontId="4" fillId="0" borderId="0" xfId="0" applyFont="1" applyAlignment="1">
      <alignment horizontal="right"/>
    </xf>
    <xf numFmtId="166" fontId="4" fillId="0" borderId="0" xfId="74" applyNumberFormat="1" applyFont="1"/>
    <xf numFmtId="0" fontId="0" fillId="0" borderId="0" xfId="0" applyFill="1"/>
    <xf numFmtId="0" fontId="14" fillId="0" borderId="0" xfId="0" applyFont="1" applyBorder="1" applyAlignment="1">
      <alignment horizontal="center"/>
    </xf>
    <xf numFmtId="0" fontId="8" fillId="0" borderId="0" xfId="0" applyFont="1" applyFill="1"/>
    <xf numFmtId="167" fontId="4" fillId="0" borderId="0" xfId="0" applyNumberFormat="1" applyFont="1"/>
    <xf numFmtId="0" fontId="4" fillId="0" borderId="0" xfId="0" applyFont="1" applyFill="1"/>
    <xf numFmtId="166" fontId="17" fillId="0" borderId="0" xfId="74" applyNumberFormat="1" applyFont="1"/>
    <xf numFmtId="167" fontId="4" fillId="0" borderId="0" xfId="0" applyNumberFormat="1" applyFont="1" applyFill="1"/>
    <xf numFmtId="9" fontId="0" fillId="0" borderId="0" xfId="0" applyNumberFormat="1"/>
    <xf numFmtId="0" fontId="40" fillId="0" borderId="0" xfId="0" applyFont="1"/>
    <xf numFmtId="0" fontId="38" fillId="0" borderId="0" xfId="0" applyFont="1" applyFill="1"/>
    <xf numFmtId="0" fontId="38" fillId="0" borderId="2" xfId="0" applyFont="1" applyFill="1" applyBorder="1"/>
    <xf numFmtId="7" fontId="40" fillId="0" borderId="0" xfId="0" applyNumberFormat="1" applyFont="1"/>
    <xf numFmtId="190" fontId="40" fillId="0" borderId="0" xfId="0" applyNumberFormat="1" applyFont="1" applyFill="1"/>
    <xf numFmtId="0" fontId="40" fillId="0" borderId="0" xfId="0" applyFont="1" applyFill="1" applyAlignment="1">
      <alignment horizontal="center"/>
    </xf>
    <xf numFmtId="0" fontId="40" fillId="0" borderId="0" xfId="0" applyFont="1" applyFill="1"/>
    <xf numFmtId="172" fontId="48" fillId="0" borderId="0" xfId="0" applyNumberFormat="1" applyFont="1" applyFill="1"/>
    <xf numFmtId="172" fontId="40" fillId="0" borderId="0" xfId="0" applyNumberFormat="1" applyFont="1"/>
    <xf numFmtId="167" fontId="48" fillId="0" borderId="0" xfId="0" applyNumberFormat="1" applyFont="1" applyFill="1"/>
    <xf numFmtId="167" fontId="40" fillId="0" borderId="0" xfId="0" applyNumberFormat="1" applyFont="1" applyFill="1"/>
    <xf numFmtId="0" fontId="40" fillId="0" borderId="0" xfId="0" applyFont="1" applyAlignment="1">
      <alignment horizontal="center"/>
    </xf>
    <xf numFmtId="167" fontId="48" fillId="0" borderId="2" xfId="0" applyNumberFormat="1" applyFont="1" applyFill="1" applyBorder="1"/>
    <xf numFmtId="171" fontId="40" fillId="0" borderId="0" xfId="0" applyNumberFormat="1" applyFont="1" applyFill="1"/>
    <xf numFmtId="167" fontId="48" fillId="0" borderId="0" xfId="0" applyNumberFormat="1" applyFont="1" applyFill="1" applyBorder="1"/>
    <xf numFmtId="169" fontId="40" fillId="0" borderId="0" xfId="0" applyNumberFormat="1" applyFont="1" applyFill="1"/>
    <xf numFmtId="164" fontId="40" fillId="0" borderId="0" xfId="0" applyNumberFormat="1" applyFont="1" applyFill="1"/>
    <xf numFmtId="43" fontId="40" fillId="0" borderId="0" xfId="37" applyFont="1"/>
    <xf numFmtId="2" fontId="40" fillId="0" borderId="0" xfId="0" applyNumberFormat="1" applyFont="1"/>
    <xf numFmtId="202" fontId="40" fillId="0" borderId="0" xfId="0" applyNumberFormat="1" applyFont="1" applyFill="1"/>
    <xf numFmtId="0" fontId="40" fillId="0" borderId="0" xfId="0" applyFont="1" applyFill="1" applyBorder="1"/>
    <xf numFmtId="0" fontId="64" fillId="0" borderId="0" xfId="0" applyFont="1"/>
    <xf numFmtId="2" fontId="38" fillId="0" borderId="2" xfId="0" applyNumberFormat="1" applyFont="1" applyFill="1" applyBorder="1"/>
    <xf numFmtId="0" fontId="4" fillId="16" borderId="0" xfId="0" applyFont="1" applyFill="1"/>
    <xf numFmtId="49" fontId="0" fillId="0" borderId="0" xfId="0" applyNumberFormat="1"/>
    <xf numFmtId="0" fontId="0" fillId="15" borderId="0" xfId="0" applyFill="1"/>
    <xf numFmtId="0" fontId="15" fillId="0" borderId="0" xfId="0" applyFont="1"/>
    <xf numFmtId="0" fontId="36" fillId="0" borderId="0" xfId="0" applyFont="1"/>
    <xf numFmtId="0" fontId="10" fillId="0" borderId="17" xfId="0" applyFont="1" applyBorder="1" applyAlignment="1">
      <alignment horizontal="center"/>
    </xf>
    <xf numFmtId="0" fontId="106" fillId="0" borderId="0" xfId="0" applyFont="1"/>
    <xf numFmtId="241" fontId="107" fillId="0" borderId="0" xfId="0" applyNumberFormat="1" applyFont="1"/>
    <xf numFmtId="167" fontId="107" fillId="0" borderId="0" xfId="0" applyNumberFormat="1" applyFont="1"/>
    <xf numFmtId="0" fontId="106" fillId="0" borderId="0" xfId="0" applyFont="1" applyAlignment="1">
      <alignment horizontal="left" indent="1"/>
    </xf>
    <xf numFmtId="0" fontId="36" fillId="0" borderId="6" xfId="0" applyFont="1" applyBorder="1"/>
    <xf numFmtId="44" fontId="4" fillId="0" borderId="6" xfId="0" applyNumberFormat="1" applyFont="1" applyBorder="1"/>
    <xf numFmtId="0" fontId="108" fillId="0" borderId="0" xfId="0" applyFont="1"/>
    <xf numFmtId="166" fontId="107" fillId="0" borderId="0" xfId="74" applyNumberFormat="1" applyFont="1"/>
    <xf numFmtId="166" fontId="107" fillId="0" borderId="0" xfId="74" applyNumberFormat="1" applyFont="1" applyAlignment="1">
      <alignment horizontal="right"/>
    </xf>
    <xf numFmtId="167" fontId="107" fillId="0" borderId="0" xfId="0" applyNumberFormat="1" applyFont="1" applyAlignment="1">
      <alignment horizontal="right"/>
    </xf>
    <xf numFmtId="241" fontId="4" fillId="0" borderId="0" xfId="0" applyNumberFormat="1" applyFont="1"/>
    <xf numFmtId="0" fontId="36" fillId="0" borderId="0" xfId="0" applyFont="1" applyAlignment="1">
      <alignment horizontal="left" indent="1"/>
    </xf>
    <xf numFmtId="166" fontId="4" fillId="0" borderId="0" xfId="74" applyNumberFormat="1" applyFont="1" applyAlignment="1">
      <alignment horizontal="right"/>
    </xf>
    <xf numFmtId="166" fontId="36" fillId="0" borderId="0" xfId="74" applyNumberFormat="1" applyFont="1" applyBorder="1"/>
    <xf numFmtId="0" fontId="67" fillId="18" borderId="0" xfId="0" applyFont="1" applyFill="1" applyAlignment="1">
      <alignment horizontal="center"/>
    </xf>
    <xf numFmtId="0" fontId="67" fillId="18" borderId="27" xfId="0" applyFont="1" applyFill="1" applyBorder="1" applyAlignment="1">
      <alignment horizontal="centerContinuous"/>
    </xf>
    <xf numFmtId="0" fontId="84" fillId="18" borderId="27" xfId="0" applyFont="1" applyFill="1" applyBorder="1" applyAlignment="1">
      <alignment horizontal="centerContinuous"/>
    </xf>
    <xf numFmtId="0" fontId="67" fillId="0" borderId="0" xfId="0" applyFont="1" applyFill="1" applyAlignment="1">
      <alignment horizontal="center"/>
    </xf>
    <xf numFmtId="5" fontId="4" fillId="16" borderId="0" xfId="0" applyNumberFormat="1" applyFont="1" applyFill="1" applyAlignment="1">
      <alignment horizontal="left"/>
    </xf>
    <xf numFmtId="0" fontId="10" fillId="16" borderId="0" xfId="0" applyFont="1" applyFill="1" applyAlignment="1">
      <alignment horizontal="left"/>
    </xf>
    <xf numFmtId="0" fontId="4" fillId="16" borderId="0" xfId="0" applyFont="1" applyFill="1" applyAlignment="1">
      <alignment horizontal="center"/>
    </xf>
    <xf numFmtId="0" fontId="10" fillId="18" borderId="0" xfId="0" applyFont="1" applyFill="1"/>
    <xf numFmtId="172" fontId="10" fillId="16" borderId="0" xfId="0" applyNumberFormat="1" applyFont="1" applyFill="1" applyAlignment="1" applyProtection="1">
      <alignment horizontal="center"/>
    </xf>
    <xf numFmtId="6" fontId="10" fillId="16" borderId="0" xfId="0" applyNumberFormat="1" applyFont="1" applyFill="1" applyAlignment="1">
      <alignment horizontal="center"/>
    </xf>
    <xf numFmtId="171" fontId="10" fillId="16" borderId="0" xfId="0" applyNumberFormat="1" applyFont="1" applyFill="1" applyAlignment="1">
      <alignment horizontal="center"/>
    </xf>
    <xf numFmtId="171" fontId="10" fillId="0" borderId="0" xfId="0" applyNumberFormat="1" applyFont="1" applyFill="1" applyAlignment="1">
      <alignment horizontal="center"/>
    </xf>
    <xf numFmtId="5" fontId="10" fillId="16" borderId="0" xfId="0" applyNumberFormat="1" applyFont="1" applyFill="1" applyAlignment="1" applyProtection="1">
      <alignment horizontal="center"/>
    </xf>
    <xf numFmtId="5" fontId="4" fillId="16" borderId="0" xfId="0" applyNumberFormat="1" applyFont="1" applyFill="1" applyAlignment="1" applyProtection="1">
      <alignment horizontal="center"/>
    </xf>
    <xf numFmtId="242" fontId="4" fillId="16" borderId="0" xfId="0" applyNumberFormat="1" applyFont="1" applyFill="1" applyAlignment="1">
      <alignment horizontal="center"/>
    </xf>
    <xf numFmtId="171" fontId="4" fillId="16" borderId="0" xfId="0" applyNumberFormat="1" applyFont="1" applyFill="1" applyAlignment="1">
      <alignment horizontal="center"/>
    </xf>
    <xf numFmtId="242" fontId="4" fillId="0" borderId="0" xfId="0" applyNumberFormat="1" applyFont="1" applyFill="1" applyAlignment="1">
      <alignment horizontal="center"/>
    </xf>
    <xf numFmtId="37" fontId="4" fillId="16" borderId="0" xfId="0" applyNumberFormat="1" applyFont="1" applyFill="1" applyAlignment="1" applyProtection="1">
      <alignment horizontal="center"/>
    </xf>
    <xf numFmtId="6" fontId="4" fillId="16" borderId="0" xfId="0" applyNumberFormat="1" applyFont="1" applyFill="1" applyAlignment="1">
      <alignment horizontal="center"/>
    </xf>
    <xf numFmtId="6" fontId="4" fillId="0" borderId="0" xfId="0" applyNumberFormat="1" applyFont="1" applyFill="1" applyAlignment="1">
      <alignment horizontal="center"/>
    </xf>
    <xf numFmtId="37" fontId="4" fillId="16" borderId="0" xfId="0" applyNumberFormat="1" applyFont="1" applyFill="1" applyAlignment="1">
      <alignment horizontal="center"/>
    </xf>
    <xf numFmtId="6" fontId="10" fillId="0" borderId="0" xfId="0" applyNumberFormat="1" applyFont="1" applyFill="1" applyAlignment="1">
      <alignment horizontal="center"/>
    </xf>
    <xf numFmtId="8" fontId="10" fillId="16" borderId="0" xfId="0" applyNumberFormat="1" applyFont="1" applyFill="1" applyAlignment="1">
      <alignment horizontal="center"/>
    </xf>
    <xf numFmtId="8" fontId="10" fillId="0" borderId="0" xfId="0" applyNumberFormat="1" applyFont="1" applyFill="1" applyAlignment="1">
      <alignment horizontal="center"/>
    </xf>
    <xf numFmtId="167" fontId="4" fillId="16" borderId="0" xfId="0" applyNumberFormat="1" applyFont="1" applyFill="1" applyAlignment="1" applyProtection="1">
      <alignment horizontal="center"/>
    </xf>
    <xf numFmtId="169" fontId="4" fillId="16" borderId="0" xfId="0" applyNumberFormat="1" applyFont="1" applyFill="1" applyAlignment="1">
      <alignment horizontal="center"/>
    </xf>
    <xf numFmtId="169" fontId="4" fillId="0" borderId="0" xfId="0" applyNumberFormat="1" applyFont="1" applyFill="1" applyAlignment="1">
      <alignment horizontal="center"/>
    </xf>
    <xf numFmtId="5" fontId="10" fillId="16" borderId="0" xfId="0" applyNumberFormat="1" applyFont="1" applyFill="1" applyAlignment="1">
      <alignment horizontal="left"/>
    </xf>
    <xf numFmtId="167" fontId="4" fillId="0" borderId="0" xfId="0" applyNumberFormat="1" applyFont="1" applyFill="1" applyAlignment="1" applyProtection="1">
      <alignment horizontal="center"/>
    </xf>
    <xf numFmtId="188" fontId="4" fillId="16" borderId="0" xfId="0" applyNumberFormat="1" applyFont="1" applyFill="1" applyAlignment="1" applyProtection="1">
      <alignment horizontal="center"/>
    </xf>
    <xf numFmtId="166" fontId="4" fillId="16" borderId="0" xfId="0" applyNumberFormat="1" applyFont="1" applyFill="1" applyAlignment="1" applyProtection="1">
      <alignment horizontal="center"/>
    </xf>
    <xf numFmtId="9" fontId="4" fillId="16" borderId="0" xfId="74" applyFont="1" applyFill="1" applyAlignment="1">
      <alignment horizontal="center"/>
    </xf>
    <xf numFmtId="0" fontId="14" fillId="16" borderId="0" xfId="0" applyFont="1" applyFill="1"/>
    <xf numFmtId="5" fontId="4" fillId="16" borderId="0" xfId="0" applyNumberFormat="1" applyFont="1" applyFill="1" applyAlignment="1">
      <alignment horizontal="left" indent="1"/>
    </xf>
    <xf numFmtId="8" fontId="4" fillId="16" borderId="0" xfId="0" applyNumberFormat="1" applyFont="1" applyFill="1" applyAlignment="1">
      <alignment horizontal="center"/>
    </xf>
    <xf numFmtId="5" fontId="10" fillId="16" borderId="0" xfId="0" applyNumberFormat="1" applyFont="1" applyFill="1" applyAlignment="1">
      <alignment horizontal="left" indent="1"/>
    </xf>
    <xf numFmtId="201" fontId="10" fillId="16" borderId="0" xfId="0" applyNumberFormat="1" applyFont="1" applyFill="1" applyAlignment="1">
      <alignment horizontal="center"/>
    </xf>
    <xf numFmtId="0" fontId="8" fillId="15" borderId="0" xfId="0" applyFont="1" applyFill="1"/>
    <xf numFmtId="0" fontId="8" fillId="19" borderId="0" xfId="0" applyFont="1" applyFill="1"/>
    <xf numFmtId="0" fontId="38" fillId="19" borderId="0" xfId="0" applyFont="1" applyFill="1"/>
    <xf numFmtId="0" fontId="41" fillId="19" borderId="2" xfId="0" applyFont="1" applyFill="1" applyBorder="1"/>
    <xf numFmtId="0" fontId="38" fillId="19" borderId="2" xfId="0" applyFont="1" applyFill="1" applyBorder="1"/>
    <xf numFmtId="0" fontId="38" fillId="19" borderId="0" xfId="0" applyFont="1" applyFill="1" applyBorder="1"/>
    <xf numFmtId="2" fontId="38" fillId="19" borderId="2" xfId="0" applyNumberFormat="1" applyFont="1" applyFill="1" applyBorder="1"/>
    <xf numFmtId="0" fontId="8" fillId="20" borderId="0" xfId="0" applyFont="1" applyFill="1"/>
    <xf numFmtId="0" fontId="109" fillId="0" borderId="0" xfId="0" applyFont="1"/>
    <xf numFmtId="0" fontId="4" fillId="0" borderId="0" xfId="0" applyFont="1" applyAlignment="1">
      <alignment horizontal="left" indent="1"/>
    </xf>
    <xf numFmtId="0" fontId="4" fillId="0" borderId="6" xfId="0" applyFont="1" applyBorder="1"/>
    <xf numFmtId="0" fontId="10" fillId="0" borderId="0" xfId="56" applyFont="1" applyFill="1" applyAlignment="1">
      <alignment horizontal="right"/>
    </xf>
    <xf numFmtId="0" fontId="10" fillId="21" borderId="22" xfId="56" applyFont="1" applyFill="1" applyBorder="1" applyAlignment="1">
      <alignment horizontal="left" indent="1"/>
    </xf>
    <xf numFmtId="0" fontId="36" fillId="0" borderId="0" xfId="56" applyFont="1" applyBorder="1" applyAlignment="1">
      <alignment horizontal="center"/>
    </xf>
    <xf numFmtId="0" fontId="4" fillId="0" borderId="0" xfId="56" applyFont="1" applyBorder="1" applyAlignment="1">
      <alignment horizontal="center"/>
    </xf>
    <xf numFmtId="166" fontId="4" fillId="0" borderId="0" xfId="74" applyNumberFormat="1" applyFont="1" applyFill="1"/>
    <xf numFmtId="166" fontId="36" fillId="0" borderId="0" xfId="74" applyNumberFormat="1" applyFont="1" applyBorder="1" applyAlignment="1">
      <alignment horizontal="right"/>
    </xf>
    <xf numFmtId="10" fontId="8" fillId="0" borderId="0" xfId="74" applyNumberFormat="1" applyFont="1"/>
    <xf numFmtId="241" fontId="4" fillId="0" borderId="0" xfId="0" applyNumberFormat="1" applyFont="1" applyFill="1"/>
    <xf numFmtId="166" fontId="36" fillId="0" borderId="0" xfId="74" applyNumberFormat="1" applyFont="1" applyFill="1" applyBorder="1"/>
    <xf numFmtId="172" fontId="110" fillId="16" borderId="0" xfId="0" applyNumberFormat="1" applyFont="1" applyFill="1" applyAlignment="1" applyProtection="1">
      <alignment horizontal="center"/>
    </xf>
    <xf numFmtId="5" fontId="110" fillId="16" borderId="0" xfId="0" applyNumberFormat="1" applyFont="1" applyFill="1" applyAlignment="1" applyProtection="1">
      <alignment horizontal="center"/>
    </xf>
    <xf numFmtId="37" fontId="111" fillId="16" borderId="0" xfId="0" applyNumberFormat="1" applyFont="1" applyFill="1" applyAlignment="1" applyProtection="1">
      <alignment horizontal="center"/>
    </xf>
    <xf numFmtId="167" fontId="111" fillId="16" borderId="0" xfId="0" applyNumberFormat="1" applyFont="1" applyFill="1" applyAlignment="1" applyProtection="1">
      <alignment horizontal="center"/>
    </xf>
    <xf numFmtId="188" fontId="111" fillId="16" borderId="0" xfId="0" applyNumberFormat="1" applyFont="1" applyFill="1" applyAlignment="1" applyProtection="1">
      <alignment horizontal="center"/>
    </xf>
    <xf numFmtId="166" fontId="111" fillId="16" borderId="0" xfId="0" applyNumberFormat="1" applyFont="1" applyFill="1" applyAlignment="1" applyProtection="1">
      <alignment horizontal="center"/>
    </xf>
    <xf numFmtId="0" fontId="67" fillId="18" borderId="26" xfId="0" applyFont="1" applyFill="1" applyBorder="1" applyAlignment="1">
      <alignment horizontal="centerContinuous"/>
    </xf>
    <xf numFmtId="0" fontId="67" fillId="18" borderId="26" xfId="0" applyFont="1" applyFill="1" applyBorder="1" applyAlignment="1">
      <alignment horizontal="center"/>
    </xf>
    <xf numFmtId="0" fontId="67" fillId="18" borderId="24" xfId="0" applyFont="1" applyFill="1" applyBorder="1" applyAlignment="1">
      <alignment horizontal="center"/>
    </xf>
    <xf numFmtId="8" fontId="4" fillId="0" borderId="24" xfId="0" applyNumberFormat="1" applyFont="1" applyFill="1" applyBorder="1" applyAlignment="1">
      <alignment horizontal="center"/>
    </xf>
    <xf numFmtId="0" fontId="4" fillId="0" borderId="24" xfId="0" applyFont="1" applyFill="1" applyBorder="1" applyAlignment="1">
      <alignment horizontal="center"/>
    </xf>
    <xf numFmtId="8" fontId="4" fillId="0" borderId="24" xfId="0" applyNumberFormat="1" applyFont="1" applyFill="1" applyBorder="1"/>
    <xf numFmtId="14" fontId="4" fillId="0" borderId="24" xfId="0" applyNumberFormat="1" applyFont="1" applyFill="1" applyBorder="1" applyAlignment="1">
      <alignment horizontal="center"/>
    </xf>
    <xf numFmtId="0" fontId="15" fillId="0" borderId="24" xfId="0" applyFont="1" applyFill="1" applyBorder="1" applyAlignment="1">
      <alignment horizontal="center"/>
    </xf>
    <xf numFmtId="0" fontId="10" fillId="0" borderId="28" xfId="0" applyFont="1" applyFill="1" applyBorder="1" applyAlignment="1">
      <alignment horizontal="center"/>
    </xf>
    <xf numFmtId="8" fontId="15" fillId="0" borderId="24" xfId="0" applyNumberFormat="1" applyFont="1" applyFill="1" applyBorder="1" applyAlignment="1">
      <alignment horizontal="center"/>
    </xf>
    <xf numFmtId="8" fontId="4" fillId="0" borderId="29" xfId="0" applyNumberFormat="1" applyFont="1" applyFill="1" applyBorder="1" applyAlignment="1">
      <alignment horizontal="center"/>
    </xf>
    <xf numFmtId="0" fontId="4" fillId="0" borderId="24" xfId="0" applyFont="1" applyFill="1" applyBorder="1"/>
    <xf numFmtId="2" fontId="15" fillId="0" borderId="24" xfId="0" applyNumberFormat="1" applyFont="1" applyFill="1" applyBorder="1" applyAlignment="1">
      <alignment horizontal="center"/>
    </xf>
    <xf numFmtId="8" fontId="10" fillId="0" borderId="24" xfId="0" applyNumberFormat="1" applyFont="1" applyFill="1" applyBorder="1" applyAlignment="1">
      <alignment horizontal="center"/>
    </xf>
    <xf numFmtId="2" fontId="4" fillId="0" borderId="24" xfId="0" applyNumberFormat="1" applyFont="1" applyFill="1" applyBorder="1" applyAlignment="1">
      <alignment horizontal="center"/>
    </xf>
    <xf numFmtId="188" fontId="4" fillId="0" borderId="24" xfId="0" applyNumberFormat="1" applyFont="1" applyFill="1" applyBorder="1" applyAlignment="1" applyProtection="1">
      <alignment horizontal="center"/>
    </xf>
    <xf numFmtId="188" fontId="4" fillId="0" borderId="0" xfId="0" applyNumberFormat="1" applyFont="1" applyFill="1" applyAlignment="1" applyProtection="1">
      <alignment horizontal="center"/>
    </xf>
    <xf numFmtId="44" fontId="0" fillId="0" borderId="0" xfId="0" applyNumberFormat="1"/>
    <xf numFmtId="166" fontId="4" fillId="16" borderId="0" xfId="74" applyNumberFormat="1" applyFont="1" applyFill="1" applyAlignment="1">
      <alignment horizontal="center"/>
    </xf>
    <xf numFmtId="0" fontId="0" fillId="16" borderId="0" xfId="0" applyFill="1"/>
    <xf numFmtId="188" fontId="4" fillId="16" borderId="24" xfId="0" applyNumberFormat="1" applyFont="1" applyFill="1" applyBorder="1" applyAlignment="1" applyProtection="1">
      <alignment horizontal="center"/>
    </xf>
    <xf numFmtId="0" fontId="4" fillId="16" borderId="24" xfId="0" applyFont="1" applyFill="1" applyBorder="1"/>
    <xf numFmtId="0" fontId="4" fillId="16" borderId="25" xfId="0" applyFont="1" applyFill="1" applyBorder="1"/>
    <xf numFmtId="0" fontId="13" fillId="16" borderId="0" xfId="0" applyFont="1" applyFill="1"/>
    <xf numFmtId="166" fontId="111" fillId="16" borderId="0" xfId="74" applyNumberFormat="1" applyFont="1" applyFill="1" applyAlignment="1">
      <alignment horizontal="center"/>
    </xf>
    <xf numFmtId="0" fontId="4" fillId="0" borderId="24" xfId="0" quotePrefix="1" applyFont="1" applyFill="1" applyBorder="1" applyAlignment="1">
      <alignment horizontal="center"/>
    </xf>
    <xf numFmtId="9" fontId="4" fillId="16" borderId="0" xfId="74" applyNumberFormat="1" applyFont="1" applyFill="1"/>
    <xf numFmtId="9" fontId="0" fillId="0" borderId="0" xfId="74" applyFont="1"/>
    <xf numFmtId="188" fontId="112" fillId="16" borderId="0" xfId="0" applyNumberFormat="1" applyFont="1" applyFill="1" applyAlignment="1" applyProtection="1">
      <alignment horizontal="center"/>
    </xf>
    <xf numFmtId="9" fontId="8" fillId="0" borderId="0" xfId="74" applyFont="1" applyFill="1" applyBorder="1"/>
    <xf numFmtId="43" fontId="40" fillId="0" borderId="0" xfId="37" applyFont="1" applyFill="1" applyBorder="1"/>
    <xf numFmtId="0" fontId="64" fillId="0" borderId="0" xfId="0" applyFont="1" applyFill="1"/>
    <xf numFmtId="0" fontId="38" fillId="0" borderId="0" xfId="0" applyFont="1" applyFill="1" applyBorder="1"/>
    <xf numFmtId="171" fontId="40" fillId="0" borderId="0" xfId="0" applyNumberFormat="1" applyFont="1" applyFill="1" applyBorder="1"/>
    <xf numFmtId="166" fontId="4" fillId="23" borderId="0" xfId="74" applyNumberFormat="1" applyFont="1" applyFill="1" applyAlignment="1">
      <alignment horizontal="center"/>
    </xf>
    <xf numFmtId="0" fontId="0" fillId="23" borderId="0" xfId="0" applyFill="1"/>
    <xf numFmtId="188" fontId="4" fillId="23" borderId="0" xfId="0" applyNumberFormat="1" applyFont="1" applyFill="1" applyAlignment="1" applyProtection="1">
      <alignment horizontal="center"/>
    </xf>
    <xf numFmtId="166" fontId="111" fillId="23" borderId="0" xfId="74" applyNumberFormat="1" applyFont="1" applyFill="1" applyAlignment="1">
      <alignment horizontal="center"/>
    </xf>
    <xf numFmtId="0" fontId="4" fillId="23" borderId="0" xfId="0" applyFont="1" applyFill="1"/>
    <xf numFmtId="0" fontId="4" fillId="23" borderId="0" xfId="0" applyFont="1" applyFill="1" applyAlignment="1">
      <alignment horizontal="center"/>
    </xf>
    <xf numFmtId="0" fontId="14" fillId="23" borderId="0" xfId="0" applyFont="1" applyFill="1"/>
    <xf numFmtId="247" fontId="4" fillId="23" borderId="0" xfId="0" applyNumberFormat="1" applyFont="1" applyFill="1" applyAlignment="1">
      <alignment horizontal="center"/>
    </xf>
    <xf numFmtId="166" fontId="4" fillId="23" borderId="0" xfId="0" applyNumberFormat="1" applyFont="1" applyFill="1" applyAlignment="1">
      <alignment horizontal="center"/>
    </xf>
    <xf numFmtId="190" fontId="40" fillId="19" borderId="0" xfId="0" applyNumberFormat="1" applyFont="1" applyFill="1"/>
    <xf numFmtId="166" fontId="40" fillId="19" borderId="0" xfId="74" applyNumberFormat="1" applyFont="1" applyFill="1"/>
    <xf numFmtId="0" fontId="40" fillId="19" borderId="0" xfId="0" applyFont="1" applyFill="1"/>
    <xf numFmtId="190" fontId="40" fillId="19" borderId="2" xfId="0" applyNumberFormat="1" applyFont="1" applyFill="1" applyBorder="1"/>
    <xf numFmtId="0" fontId="49" fillId="19" borderId="0" xfId="0" applyFont="1" applyFill="1" applyAlignment="1" applyProtection="1">
      <alignment horizontal="left"/>
    </xf>
    <xf numFmtId="0" fontId="150" fillId="0" borderId="0" xfId="0" applyFont="1" applyFill="1"/>
    <xf numFmtId="0" fontId="121" fillId="0" borderId="0" xfId="0" applyFont="1"/>
    <xf numFmtId="0" fontId="121" fillId="0" borderId="0" xfId="0" applyFont="1" applyFill="1"/>
    <xf numFmtId="0" fontId="40" fillId="19" borderId="0" xfId="0" applyFont="1" applyFill="1" applyAlignment="1">
      <alignment horizontal="right"/>
    </xf>
    <xf numFmtId="193" fontId="41" fillId="19" borderId="2" xfId="0" applyNumberFormat="1" applyFont="1" applyFill="1" applyBorder="1" applyAlignment="1">
      <alignment horizontal="centerContinuous"/>
    </xf>
    <xf numFmtId="0" fontId="40" fillId="19" borderId="2" xfId="0" applyFont="1" applyFill="1" applyBorder="1" applyAlignment="1">
      <alignment horizontal="centerContinuous"/>
    </xf>
    <xf numFmtId="193" fontId="38" fillId="19" borderId="2" xfId="0" applyNumberFormat="1" applyFont="1" applyFill="1" applyBorder="1" applyAlignment="1">
      <alignment horizontal="centerContinuous"/>
    </xf>
    <xf numFmtId="193" fontId="38" fillId="0" borderId="2" xfId="0" applyNumberFormat="1" applyFont="1" applyBorder="1" applyAlignment="1">
      <alignment horizontal="centerContinuous"/>
    </xf>
    <xf numFmtId="0" fontId="40" fillId="0" borderId="2" xfId="0" applyFont="1" applyFill="1" applyBorder="1" applyAlignment="1">
      <alignment horizontal="centerContinuous"/>
    </xf>
    <xf numFmtId="193" fontId="38" fillId="0" borderId="2" xfId="0" applyNumberFormat="1" applyFont="1" applyFill="1" applyBorder="1" applyAlignment="1">
      <alignment horizontal="centerContinuous"/>
    </xf>
    <xf numFmtId="194" fontId="121" fillId="0" borderId="0" xfId="0" applyNumberFormat="1" applyFont="1"/>
    <xf numFmtId="0" fontId="61" fillId="19" borderId="0" xfId="0" applyFont="1" applyFill="1"/>
    <xf numFmtId="0" fontId="117" fillId="19" borderId="0" xfId="0" applyFont="1" applyFill="1"/>
    <xf numFmtId="0" fontId="117" fillId="19" borderId="0" xfId="0" applyFont="1" applyFill="1" applyAlignment="1">
      <alignment horizontal="centerContinuous"/>
    </xf>
    <xf numFmtId="0" fontId="40" fillId="19" borderId="0" xfId="0" applyFont="1" applyFill="1" applyAlignment="1">
      <alignment horizontal="centerContinuous"/>
    </xf>
    <xf numFmtId="0" fontId="40" fillId="0" borderId="0" xfId="0" applyFont="1" applyFill="1" applyAlignment="1">
      <alignment horizontal="centerContinuous"/>
    </xf>
    <xf numFmtId="0" fontId="117" fillId="0" borderId="0" xfId="0" applyFont="1" applyFill="1" applyAlignment="1">
      <alignment horizontal="centerContinuous"/>
    </xf>
    <xf numFmtId="203" fontId="40" fillId="19" borderId="0" xfId="0" applyNumberFormat="1" applyFont="1" applyFill="1"/>
    <xf numFmtId="206" fontId="40" fillId="19" borderId="0" xfId="0" applyNumberFormat="1" applyFont="1" applyFill="1"/>
    <xf numFmtId="0" fontId="122" fillId="0" borderId="0" xfId="0" applyFont="1" applyFill="1" applyAlignment="1">
      <alignment horizontal="center"/>
    </xf>
    <xf numFmtId="172" fontId="48" fillId="19" borderId="0" xfId="0" applyNumberFormat="1" applyFont="1" applyFill="1"/>
    <xf numFmtId="190" fontId="40" fillId="19" borderId="0" xfId="74" applyNumberFormat="1" applyFont="1" applyFill="1"/>
    <xf numFmtId="194" fontId="48" fillId="19" borderId="0" xfId="0" applyNumberFormat="1" applyFont="1" applyFill="1" applyAlignment="1">
      <alignment horizontal="left"/>
    </xf>
    <xf numFmtId="165" fontId="40" fillId="19" borderId="0" xfId="0" applyNumberFormat="1" applyFont="1" applyFill="1"/>
    <xf numFmtId="194" fontId="40" fillId="19" borderId="0" xfId="0" applyNumberFormat="1" applyFont="1" applyFill="1"/>
    <xf numFmtId="190" fontId="40" fillId="0" borderId="0" xfId="74" applyNumberFormat="1" applyFont="1" applyFill="1"/>
    <xf numFmtId="194" fontId="48" fillId="0" borderId="0" xfId="0" applyNumberFormat="1" applyFont="1" applyFill="1" applyAlignment="1">
      <alignment horizontal="left"/>
    </xf>
    <xf numFmtId="172" fontId="40" fillId="0" borderId="0" xfId="0" applyNumberFormat="1" applyFont="1" applyFill="1"/>
    <xf numFmtId="194" fontId="40" fillId="0" borderId="0" xfId="0" applyNumberFormat="1" applyFont="1" applyFill="1" applyAlignment="1">
      <alignment horizontal="left"/>
    </xf>
    <xf numFmtId="194" fontId="121" fillId="0" borderId="0" xfId="0" applyNumberFormat="1" applyFont="1" applyFill="1" applyAlignment="1">
      <alignment horizontal="center"/>
    </xf>
    <xf numFmtId="181" fontId="48" fillId="19" borderId="0" xfId="0" applyNumberFormat="1" applyFont="1" applyFill="1"/>
    <xf numFmtId="167" fontId="48" fillId="19" borderId="0" xfId="0" applyNumberFormat="1" applyFont="1" applyFill="1"/>
    <xf numFmtId="181" fontId="40" fillId="19" borderId="0" xfId="0" applyNumberFormat="1" applyFont="1" applyFill="1"/>
    <xf numFmtId="181" fontId="40" fillId="0" borderId="0" xfId="0" applyNumberFormat="1" applyFont="1" applyFill="1"/>
    <xf numFmtId="167" fontId="151" fillId="0" borderId="0" xfId="0" applyNumberFormat="1" applyFont="1" applyFill="1"/>
    <xf numFmtId="194" fontId="151" fillId="0" borderId="0" xfId="0" applyNumberFormat="1" applyFont="1" applyFill="1" applyAlignment="1">
      <alignment horizontal="left"/>
    </xf>
    <xf numFmtId="0" fontId="40" fillId="19" borderId="0" xfId="0" applyFont="1" applyFill="1" applyBorder="1"/>
    <xf numFmtId="181" fontId="48" fillId="19" borderId="2" xfId="0" applyNumberFormat="1" applyFont="1" applyFill="1" applyBorder="1"/>
    <xf numFmtId="167" fontId="48" fillId="19" borderId="2" xfId="0" applyNumberFormat="1" applyFont="1" applyFill="1" applyBorder="1"/>
    <xf numFmtId="167" fontId="40" fillId="0" borderId="2" xfId="0" applyNumberFormat="1" applyFont="1" applyFill="1" applyBorder="1"/>
    <xf numFmtId="194" fontId="121" fillId="0" borderId="30" xfId="0" applyNumberFormat="1" applyFont="1" applyFill="1" applyBorder="1" applyAlignment="1">
      <alignment horizontal="center"/>
    </xf>
    <xf numFmtId="171" fontId="40" fillId="19" borderId="0" xfId="0" applyNumberFormat="1" applyFont="1" applyFill="1"/>
    <xf numFmtId="190" fontId="48" fillId="19" borderId="0" xfId="74" applyNumberFormat="1" applyFont="1" applyFill="1"/>
    <xf numFmtId="165" fontId="48" fillId="19" borderId="0" xfId="0" applyNumberFormat="1" applyFont="1" applyFill="1"/>
    <xf numFmtId="169" fontId="40" fillId="19" borderId="0" xfId="0" applyNumberFormat="1" applyFont="1" applyFill="1"/>
    <xf numFmtId="194" fontId="40" fillId="19" borderId="0" xfId="0" applyNumberFormat="1" applyFont="1" applyFill="1" applyAlignment="1">
      <alignment horizontal="left"/>
    </xf>
    <xf numFmtId="165" fontId="40" fillId="0" borderId="0" xfId="0" applyNumberFormat="1" applyFont="1" applyFill="1"/>
    <xf numFmtId="43" fontId="40" fillId="19" borderId="0" xfId="37" applyFont="1" applyFill="1"/>
    <xf numFmtId="43" fontId="40" fillId="19" borderId="0" xfId="0" applyNumberFormat="1" applyFont="1" applyFill="1"/>
    <xf numFmtId="10" fontId="40" fillId="19" borderId="0" xfId="74" applyNumberFormat="1" applyFont="1" applyFill="1"/>
    <xf numFmtId="43" fontId="40" fillId="0" borderId="0" xfId="37" applyFont="1" applyFill="1"/>
    <xf numFmtId="9" fontId="40" fillId="0" borderId="0" xfId="74" applyFont="1" applyFill="1"/>
    <xf numFmtId="167" fontId="40" fillId="0" borderId="0" xfId="74" applyNumberFormat="1" applyFont="1" applyFill="1"/>
    <xf numFmtId="171" fontId="121" fillId="0" borderId="0" xfId="0" applyNumberFormat="1" applyFont="1"/>
    <xf numFmtId="0" fontId="47" fillId="19" borderId="0" xfId="0" applyFont="1" applyFill="1"/>
    <xf numFmtId="2" fontId="40" fillId="19" borderId="0" xfId="0" applyNumberFormat="1" applyFont="1" applyFill="1"/>
    <xf numFmtId="172" fontId="40" fillId="19" borderId="0" xfId="0" applyNumberFormat="1" applyFont="1" applyFill="1"/>
    <xf numFmtId="236" fontId="40" fillId="19" borderId="0" xfId="0" applyNumberFormat="1" applyFont="1" applyFill="1"/>
    <xf numFmtId="212" fontId="121" fillId="0" borderId="0" xfId="37" applyNumberFormat="1" applyFont="1"/>
    <xf numFmtId="7" fontId="121" fillId="0" borderId="0" xfId="0" applyNumberFormat="1" applyFont="1"/>
    <xf numFmtId="166" fontId="121" fillId="0" borderId="0" xfId="74" applyNumberFormat="1" applyFont="1"/>
    <xf numFmtId="189" fontId="40" fillId="19" borderId="0" xfId="0" applyNumberFormat="1" applyFont="1" applyFill="1"/>
    <xf numFmtId="189" fontId="39" fillId="19" borderId="0" xfId="0" applyNumberFormat="1" applyFont="1" applyFill="1"/>
    <xf numFmtId="189" fontId="121" fillId="19" borderId="0" xfId="0" applyNumberFormat="1" applyFont="1" applyFill="1"/>
    <xf numFmtId="189" fontId="40" fillId="0" borderId="0" xfId="0" applyNumberFormat="1" applyFont="1" applyFill="1"/>
    <xf numFmtId="189" fontId="48" fillId="0" borderId="0" xfId="0" applyNumberFormat="1" applyFont="1" applyFill="1"/>
    <xf numFmtId="189" fontId="121" fillId="0" borderId="0" xfId="0" applyNumberFormat="1" applyFont="1" applyFill="1"/>
    <xf numFmtId="192" fontId="40" fillId="0" borderId="0" xfId="0" applyNumberFormat="1" applyFont="1" applyFill="1"/>
    <xf numFmtId="181" fontId="48" fillId="0" borderId="0" xfId="0" applyNumberFormat="1" applyFont="1" applyFill="1"/>
    <xf numFmtId="181" fontId="121" fillId="0" borderId="0" xfId="0" applyNumberFormat="1" applyFont="1"/>
    <xf numFmtId="189" fontId="121" fillId="0" borderId="0" xfId="0" applyNumberFormat="1" applyFont="1"/>
    <xf numFmtId="208" fontId="40" fillId="0" borderId="0" xfId="0" applyNumberFormat="1" applyFont="1" applyFill="1"/>
    <xf numFmtId="181" fontId="48" fillId="0" borderId="2" xfId="0" applyNumberFormat="1" applyFont="1" applyFill="1" applyBorder="1"/>
    <xf numFmtId="180" fontId="40" fillId="19" borderId="0" xfId="0" applyNumberFormat="1" applyFont="1" applyFill="1"/>
    <xf numFmtId="1" fontId="40" fillId="19" borderId="0" xfId="0" applyNumberFormat="1" applyFont="1" applyFill="1"/>
    <xf numFmtId="176" fontId="40" fillId="19" borderId="0" xfId="0" applyNumberFormat="1" applyFont="1" applyFill="1"/>
    <xf numFmtId="176" fontId="40" fillId="0" borderId="0" xfId="0" applyNumberFormat="1" applyFont="1" applyFill="1"/>
    <xf numFmtId="192" fontId="40" fillId="19" borderId="0" xfId="0" applyNumberFormat="1" applyFont="1" applyFill="1"/>
    <xf numFmtId="192" fontId="117" fillId="19" borderId="0" xfId="0" applyNumberFormat="1" applyFont="1" applyFill="1" applyAlignment="1">
      <alignment horizontal="centerContinuous"/>
    </xf>
    <xf numFmtId="192" fontId="117" fillId="0" borderId="0" xfId="0" applyNumberFormat="1" applyFont="1" applyFill="1" applyAlignment="1">
      <alignment horizontal="centerContinuous"/>
    </xf>
    <xf numFmtId="189" fontId="40" fillId="0" borderId="0" xfId="0" applyNumberFormat="1" applyFont="1" applyFill="1" applyAlignment="1">
      <alignment horizontal="centerContinuous"/>
    </xf>
    <xf numFmtId="208" fontId="40" fillId="0" borderId="0" xfId="0" applyNumberFormat="1" applyFont="1" applyFill="1" applyAlignment="1">
      <alignment horizontal="centerContinuous"/>
    </xf>
    <xf numFmtId="244" fontId="121" fillId="0" borderId="0" xfId="0" applyNumberFormat="1" applyFont="1"/>
    <xf numFmtId="190" fontId="121" fillId="0" borderId="0" xfId="0" applyNumberFormat="1" applyFont="1"/>
    <xf numFmtId="172" fontId="121" fillId="0" borderId="0" xfId="0" applyNumberFormat="1" applyFont="1"/>
    <xf numFmtId="166" fontId="121" fillId="0" borderId="0" xfId="74" applyNumberFormat="1" applyFont="1" applyFill="1"/>
    <xf numFmtId="0" fontId="48" fillId="19" borderId="0" xfId="0" applyFont="1" applyFill="1"/>
    <xf numFmtId="0" fontId="40" fillId="19" borderId="0" xfId="0" quotePrefix="1" applyFont="1" applyFill="1"/>
    <xf numFmtId="208" fontId="121" fillId="0" borderId="0" xfId="0" applyNumberFormat="1" applyFont="1"/>
    <xf numFmtId="208" fontId="121" fillId="0" borderId="0" xfId="0" applyNumberFormat="1" applyFont="1" applyFill="1"/>
    <xf numFmtId="208" fontId="40" fillId="19" borderId="0" xfId="0" applyNumberFormat="1" applyFont="1" applyFill="1"/>
    <xf numFmtId="208" fontId="40" fillId="19" borderId="0" xfId="0" applyNumberFormat="1" applyFont="1" applyFill="1" applyAlignment="1">
      <alignment horizontal="centerContinuous"/>
    </xf>
    <xf numFmtId="172" fontId="121" fillId="19" borderId="0" xfId="0" applyNumberFormat="1" applyFont="1" applyFill="1"/>
    <xf numFmtId="0" fontId="121" fillId="19" borderId="0" xfId="0" applyFont="1" applyFill="1"/>
    <xf numFmtId="172" fontId="52" fillId="19" borderId="0" xfId="0" applyNumberFormat="1" applyFont="1" applyFill="1"/>
    <xf numFmtId="172" fontId="52" fillId="0" borderId="0" xfId="0" applyNumberFormat="1" applyFont="1" applyFill="1"/>
    <xf numFmtId="169" fontId="52" fillId="0" borderId="0" xfId="0" applyNumberFormat="1" applyFont="1" applyFill="1"/>
    <xf numFmtId="169" fontId="121" fillId="19" borderId="0" xfId="0" applyNumberFormat="1" applyFont="1" applyFill="1"/>
    <xf numFmtId="169" fontId="52" fillId="19" borderId="0" xfId="0" applyNumberFormat="1" applyFont="1" applyFill="1"/>
    <xf numFmtId="169" fontId="121" fillId="19" borderId="2" xfId="0" applyNumberFormat="1" applyFont="1" applyFill="1" applyBorder="1"/>
    <xf numFmtId="169" fontId="52" fillId="19" borderId="2" xfId="0" applyNumberFormat="1" applyFont="1" applyFill="1" applyBorder="1"/>
    <xf numFmtId="169" fontId="52" fillId="0" borderId="2" xfId="0" applyNumberFormat="1" applyFont="1" applyFill="1" applyBorder="1"/>
    <xf numFmtId="169" fontId="40" fillId="0" borderId="2" xfId="0" applyNumberFormat="1" applyFont="1" applyFill="1" applyBorder="1"/>
    <xf numFmtId="171" fontId="52" fillId="19" borderId="0" xfId="0" applyNumberFormat="1" applyFont="1" applyFill="1"/>
    <xf numFmtId="171" fontId="52" fillId="0" borderId="0" xfId="0" applyNumberFormat="1" applyFont="1" applyFill="1"/>
    <xf numFmtId="0" fontId="61" fillId="19" borderId="0" xfId="0" applyFont="1" applyFill="1" applyAlignment="1">
      <alignment horizontal="centerContinuous"/>
    </xf>
    <xf numFmtId="0" fontId="61" fillId="0" borderId="0" xfId="0" applyFont="1" applyFill="1" applyAlignment="1">
      <alignment horizontal="centerContinuous"/>
    </xf>
    <xf numFmtId="164" fontId="40" fillId="19" borderId="0" xfId="0" applyNumberFormat="1" applyFont="1" applyFill="1"/>
    <xf numFmtId="237" fontId="121" fillId="0" borderId="0" xfId="0" applyNumberFormat="1" applyFont="1"/>
    <xf numFmtId="169" fontId="40" fillId="19" borderId="2" xfId="0" applyNumberFormat="1" applyFont="1" applyFill="1" applyBorder="1"/>
    <xf numFmtId="236" fontId="40" fillId="0" borderId="0" xfId="0" applyNumberFormat="1" applyFont="1" applyFill="1"/>
    <xf numFmtId="181" fontId="151" fillId="0" borderId="0" xfId="0" applyNumberFormat="1" applyFont="1" applyFill="1"/>
    <xf numFmtId="201" fontId="40" fillId="19" borderId="0" xfId="0" applyNumberFormat="1" applyFont="1" applyFill="1"/>
    <xf numFmtId="171" fontId="48" fillId="19" borderId="0" xfId="0" applyNumberFormat="1" applyFont="1" applyFill="1"/>
    <xf numFmtId="171" fontId="48" fillId="0" borderId="0" xfId="0" applyNumberFormat="1" applyFont="1" applyFill="1"/>
    <xf numFmtId="181" fontId="48" fillId="19" borderId="0" xfId="0" applyNumberFormat="1" applyFont="1" applyFill="1" applyBorder="1"/>
    <xf numFmtId="181" fontId="48" fillId="0" borderId="0" xfId="0" applyNumberFormat="1" applyFont="1" applyFill="1" applyBorder="1"/>
    <xf numFmtId="169" fontId="151" fillId="0" borderId="0" xfId="0" applyNumberFormat="1" applyFont="1" applyFill="1"/>
    <xf numFmtId="201" fontId="40" fillId="0" borderId="0" xfId="0" applyNumberFormat="1" applyFont="1" applyFill="1"/>
    <xf numFmtId="14" fontId="48" fillId="19" borderId="0" xfId="0" applyNumberFormat="1" applyFont="1" applyFill="1"/>
    <xf numFmtId="0" fontId="123" fillId="0" borderId="0" xfId="0" applyFont="1" applyBorder="1"/>
    <xf numFmtId="0" fontId="121" fillId="0" borderId="0" xfId="0" applyFont="1" applyBorder="1"/>
    <xf numFmtId="0" fontId="121" fillId="0" borderId="0" xfId="0" applyFont="1" applyFill="1" applyBorder="1"/>
    <xf numFmtId="0" fontId="124" fillId="19" borderId="0" xfId="0" applyFont="1" applyFill="1"/>
    <xf numFmtId="0" fontId="125" fillId="19" borderId="0" xfId="0" applyFont="1" applyFill="1"/>
    <xf numFmtId="0" fontId="125" fillId="0" borderId="0" xfId="0" applyFont="1" applyFill="1"/>
    <xf numFmtId="0" fontId="11" fillId="0" borderId="0" xfId="0" applyFont="1" applyFill="1" applyBorder="1"/>
    <xf numFmtId="0" fontId="27" fillId="0" borderId="0" xfId="0" applyFont="1" applyFill="1" applyBorder="1" applyAlignment="1">
      <alignment horizontal="center"/>
    </xf>
    <xf numFmtId="8" fontId="40" fillId="19" borderId="0" xfId="0" applyNumberFormat="1" applyFont="1" applyFill="1"/>
    <xf numFmtId="176" fontId="48" fillId="19" borderId="0" xfId="0" applyNumberFormat="1" applyFont="1" applyFill="1"/>
    <xf numFmtId="2" fontId="48" fillId="19" borderId="0" xfId="0" applyNumberFormat="1" applyFont="1" applyFill="1"/>
    <xf numFmtId="2" fontId="124" fillId="19" borderId="0" xfId="0" applyNumberFormat="1" applyFont="1" applyFill="1"/>
    <xf numFmtId="2" fontId="125" fillId="19" borderId="0" xfId="0" applyNumberFormat="1" applyFont="1" applyFill="1"/>
    <xf numFmtId="8" fontId="40" fillId="0" borderId="0" xfId="0" applyNumberFormat="1" applyFont="1" applyFill="1"/>
    <xf numFmtId="2" fontId="125" fillId="0" borderId="0" xfId="0" applyNumberFormat="1" applyFont="1" applyFill="1"/>
    <xf numFmtId="1" fontId="125" fillId="0" borderId="0" xfId="0" applyNumberFormat="1" applyFont="1" applyFill="1"/>
    <xf numFmtId="8" fontId="123" fillId="0" borderId="0" xfId="0" applyNumberFormat="1" applyFont="1" applyBorder="1"/>
    <xf numFmtId="39" fontId="8" fillId="0" borderId="0" xfId="0" applyNumberFormat="1" applyFont="1" applyFill="1" applyBorder="1"/>
    <xf numFmtId="8" fontId="123" fillId="0" borderId="0" xfId="0" applyNumberFormat="1" applyFont="1" applyFill="1" applyBorder="1" applyAlignment="1">
      <alignment horizontal="center"/>
    </xf>
    <xf numFmtId="8" fontId="123" fillId="0" borderId="0" xfId="0" applyNumberFormat="1" applyFont="1" applyFill="1" applyBorder="1" applyAlignment="1">
      <alignment horizontal="right"/>
    </xf>
    <xf numFmtId="40" fontId="40" fillId="19" borderId="0" xfId="0" applyNumberFormat="1" applyFont="1" applyFill="1"/>
    <xf numFmtId="170" fontId="125" fillId="19" borderId="0" xfId="0" applyNumberFormat="1" applyFont="1" applyFill="1"/>
    <xf numFmtId="40" fontId="40" fillId="0" borderId="0" xfId="0" applyNumberFormat="1" applyFont="1" applyFill="1"/>
    <xf numFmtId="40" fontId="40" fillId="19" borderId="2" xfId="0" applyNumberFormat="1" applyFont="1" applyFill="1" applyBorder="1"/>
    <xf numFmtId="2" fontId="48" fillId="19" borderId="2" xfId="0" applyNumberFormat="1" applyFont="1" applyFill="1" applyBorder="1"/>
    <xf numFmtId="2" fontId="126" fillId="19" borderId="0" xfId="0" applyNumberFormat="1" applyFont="1" applyFill="1"/>
    <xf numFmtId="2" fontId="127" fillId="19" borderId="0" xfId="0" applyNumberFormat="1" applyFont="1" applyFill="1"/>
    <xf numFmtId="40" fontId="40" fillId="0" borderId="2" xfId="0" applyNumberFormat="1" applyFont="1" applyFill="1" applyBorder="1"/>
    <xf numFmtId="2" fontId="127" fillId="0" borderId="0" xfId="0" applyNumberFormat="1" applyFont="1" applyFill="1"/>
    <xf numFmtId="176" fontId="48" fillId="19" borderId="8" xfId="0" applyNumberFormat="1" applyFont="1" applyFill="1" applyBorder="1"/>
    <xf numFmtId="176" fontId="48" fillId="19" borderId="0" xfId="0" applyNumberFormat="1" applyFont="1" applyFill="1" applyBorder="1"/>
    <xf numFmtId="200" fontId="123" fillId="0" borderId="0" xfId="37" applyNumberFormat="1" applyFont="1" applyBorder="1" applyAlignment="1">
      <alignment horizontal="left"/>
    </xf>
    <xf numFmtId="248" fontId="123" fillId="0" borderId="0" xfId="37" applyNumberFormat="1" applyFont="1" applyBorder="1" applyAlignment="1">
      <alignment horizontal="left"/>
    </xf>
    <xf numFmtId="0" fontId="40" fillId="19" borderId="0" xfId="0" applyFont="1" applyFill="1" applyBorder="1" applyAlignment="1">
      <alignment horizontal="right"/>
    </xf>
    <xf numFmtId="205" fontId="40" fillId="19" borderId="0" xfId="41" applyNumberFormat="1" applyFont="1" applyFill="1"/>
    <xf numFmtId="167" fontId="120" fillId="19" borderId="0" xfId="0" applyNumberFormat="1" applyFont="1" applyFill="1"/>
    <xf numFmtId="211" fontId="40" fillId="0" borderId="0" xfId="0" applyNumberFormat="1" applyFont="1" applyFill="1"/>
    <xf numFmtId="8" fontId="121" fillId="0" borderId="0" xfId="0" applyNumberFormat="1" applyFont="1" applyBorder="1"/>
    <xf numFmtId="39" fontId="40" fillId="19" borderId="0" xfId="0" applyNumberFormat="1" applyFont="1" applyFill="1"/>
    <xf numFmtId="214" fontId="40" fillId="0" borderId="0" xfId="37" applyNumberFormat="1" applyFont="1" applyFill="1"/>
    <xf numFmtId="12" fontId="40" fillId="0" borderId="0" xfId="37" applyNumberFormat="1" applyFont="1" applyFill="1"/>
    <xf numFmtId="0" fontId="121" fillId="0" borderId="0" xfId="0" applyFont="1" applyAlignment="1">
      <alignment horizontal="center"/>
    </xf>
    <xf numFmtId="2" fontId="121" fillId="0" borderId="0" xfId="0" applyNumberFormat="1" applyFont="1" applyFill="1" applyAlignment="1">
      <alignment horizontal="center"/>
    </xf>
    <xf numFmtId="0" fontId="40" fillId="19" borderId="0" xfId="0" applyFont="1" applyFill="1" applyAlignment="1">
      <alignment horizontal="left"/>
    </xf>
    <xf numFmtId="167" fontId="121" fillId="0" borderId="0" xfId="0" applyNumberFormat="1" applyFont="1"/>
    <xf numFmtId="167" fontId="40" fillId="19" borderId="0" xfId="0" applyNumberFormat="1" applyFont="1" applyFill="1"/>
    <xf numFmtId="167" fontId="48" fillId="19" borderId="0" xfId="0" applyNumberFormat="1" applyFont="1" applyFill="1" applyBorder="1"/>
    <xf numFmtId="167" fontId="40" fillId="0" borderId="0" xfId="0" applyNumberFormat="1" applyFont="1" applyFill="1" applyProtection="1"/>
    <xf numFmtId="167" fontId="151" fillId="0" borderId="0" xfId="0" applyNumberFormat="1" applyFont="1" applyFill="1" applyProtection="1"/>
    <xf numFmtId="167" fontId="40" fillId="0" borderId="2" xfId="0" applyNumberFormat="1" applyFont="1" applyFill="1" applyBorder="1" applyProtection="1"/>
    <xf numFmtId="167" fontId="40" fillId="19" borderId="0" xfId="0" applyNumberFormat="1" applyFont="1" applyFill="1" applyProtection="1"/>
    <xf numFmtId="164" fontId="40" fillId="19" borderId="0" xfId="0" applyNumberFormat="1" applyFont="1" applyFill="1" applyBorder="1"/>
    <xf numFmtId="164" fontId="40" fillId="0" borderId="0" xfId="0" applyNumberFormat="1" applyFont="1" applyFill="1" applyBorder="1"/>
    <xf numFmtId="0" fontId="117" fillId="19" borderId="0" xfId="0" applyFont="1" applyFill="1" applyAlignment="1"/>
    <xf numFmtId="0" fontId="40" fillId="19" borderId="0" xfId="0" applyFont="1" applyFill="1" applyAlignment="1"/>
    <xf numFmtId="169" fontId="40" fillId="19" borderId="0" xfId="0" applyNumberFormat="1" applyFont="1" applyFill="1" applyAlignment="1"/>
    <xf numFmtId="0" fontId="40" fillId="0" borderId="0" xfId="0" applyFont="1" applyFill="1" applyAlignment="1"/>
    <xf numFmtId="169" fontId="40" fillId="0" borderId="0" xfId="0" applyNumberFormat="1" applyFont="1" applyFill="1" applyAlignment="1"/>
    <xf numFmtId="0" fontId="40" fillId="0" borderId="0" xfId="0" applyFont="1" applyFill="1" applyBorder="1" applyAlignment="1"/>
    <xf numFmtId="0" fontId="121" fillId="0" borderId="0" xfId="0" applyFont="1" applyFill="1" applyAlignment="1"/>
    <xf numFmtId="169" fontId="152" fillId="0" borderId="0" xfId="0" applyNumberFormat="1" applyFont="1" applyFill="1"/>
    <xf numFmtId="40" fontId="152" fillId="0" borderId="0" xfId="0" applyNumberFormat="1" applyFont="1" applyFill="1"/>
    <xf numFmtId="0" fontId="28" fillId="0" borderId="0" xfId="0" applyFont="1" applyFill="1" applyBorder="1"/>
    <xf numFmtId="0" fontId="128" fillId="0" borderId="0" xfId="0" applyFont="1" applyFill="1" applyBorder="1"/>
    <xf numFmtId="167" fontId="48" fillId="19" borderId="0" xfId="0" applyNumberFormat="1" applyFont="1" applyFill="1" applyProtection="1"/>
    <xf numFmtId="167" fontId="48" fillId="0" borderId="0" xfId="0" applyNumberFormat="1" applyFont="1" applyFill="1" applyProtection="1"/>
    <xf numFmtId="39" fontId="28" fillId="0" borderId="0" xfId="0" applyNumberFormat="1" applyFont="1" applyFill="1" applyBorder="1"/>
    <xf numFmtId="167" fontId="40" fillId="19" borderId="2" xfId="0" applyNumberFormat="1" applyFont="1" applyFill="1" applyBorder="1"/>
    <xf numFmtId="167" fontId="48" fillId="19" borderId="2" xfId="0" applyNumberFormat="1" applyFont="1" applyFill="1" applyBorder="1" applyProtection="1"/>
    <xf numFmtId="167" fontId="48" fillId="0" borderId="2" xfId="0" applyNumberFormat="1" applyFont="1" applyFill="1" applyBorder="1" applyProtection="1"/>
    <xf numFmtId="200" fontId="28" fillId="0" borderId="0" xfId="37" applyNumberFormat="1" applyFont="1" applyFill="1" applyBorder="1" applyAlignment="1">
      <alignment horizontal="left"/>
    </xf>
    <xf numFmtId="167" fontId="40" fillId="19" borderId="0" xfId="0" applyNumberFormat="1" applyFont="1" applyFill="1" applyBorder="1"/>
    <xf numFmtId="167" fontId="40" fillId="0" borderId="0" xfId="0" applyNumberFormat="1" applyFont="1" applyFill="1" applyBorder="1"/>
    <xf numFmtId="181" fontId="40" fillId="19" borderId="2" xfId="0" applyNumberFormat="1" applyFont="1" applyFill="1" applyBorder="1"/>
    <xf numFmtId="181" fontId="40" fillId="0" borderId="2" xfId="0" applyNumberFormat="1" applyFont="1" applyFill="1" applyBorder="1"/>
    <xf numFmtId="0" fontId="49" fillId="19" borderId="0" xfId="0" applyFont="1" applyFill="1"/>
    <xf numFmtId="0" fontId="49" fillId="0" borderId="0" xfId="0" applyFont="1" applyFill="1"/>
    <xf numFmtId="0" fontId="49" fillId="0" borderId="0" xfId="0" applyFont="1" applyFill="1" applyBorder="1"/>
    <xf numFmtId="0" fontId="129" fillId="0" borderId="0" xfId="0" applyFont="1"/>
    <xf numFmtId="0" fontId="129" fillId="0" borderId="0" xfId="0" applyFont="1" applyFill="1"/>
    <xf numFmtId="169" fontId="40" fillId="0" borderId="0" xfId="0" applyNumberFormat="1" applyFont="1" applyFill="1" applyBorder="1"/>
    <xf numFmtId="190" fontId="40" fillId="0" borderId="0" xfId="0" applyNumberFormat="1" applyFont="1" applyFill="1" applyBorder="1"/>
    <xf numFmtId="0" fontId="61" fillId="0" borderId="0" xfId="0" applyFont="1" applyFill="1" applyBorder="1" applyAlignment="1">
      <alignment horizontal="centerContinuous"/>
    </xf>
    <xf numFmtId="0" fontId="40" fillId="0" borderId="0" xfId="0" applyFont="1" applyFill="1" applyBorder="1" applyAlignment="1">
      <alignment horizontal="centerContinuous"/>
    </xf>
    <xf numFmtId="8" fontId="40" fillId="0" borderId="0" xfId="0" applyNumberFormat="1" applyFont="1" applyFill="1" applyBorder="1"/>
    <xf numFmtId="40" fontId="40" fillId="0" borderId="0" xfId="0" applyNumberFormat="1" applyFont="1" applyFill="1" applyBorder="1"/>
    <xf numFmtId="201" fontId="40" fillId="0" borderId="0" xfId="0" applyNumberFormat="1" applyFont="1" applyFill="1" applyBorder="1"/>
    <xf numFmtId="0" fontId="117" fillId="0" borderId="0" xfId="0" applyFont="1" applyFill="1" applyBorder="1" applyAlignment="1">
      <alignment horizontal="centerContinuous"/>
    </xf>
    <xf numFmtId="12" fontId="40" fillId="0" borderId="0" xfId="37" applyNumberFormat="1" applyFont="1" applyFill="1" applyBorder="1"/>
    <xf numFmtId="167" fontId="120" fillId="0" borderId="0" xfId="0" applyNumberFormat="1" applyFont="1" applyFill="1" applyBorder="1"/>
    <xf numFmtId="167" fontId="40" fillId="0" borderId="0" xfId="0" applyNumberFormat="1" applyFont="1" applyFill="1" applyBorder="1" applyProtection="1"/>
    <xf numFmtId="181" fontId="120" fillId="0" borderId="0" xfId="0" applyNumberFormat="1" applyFont="1" applyFill="1" applyBorder="1"/>
    <xf numFmtId="169" fontId="151" fillId="19" borderId="0" xfId="0" applyNumberFormat="1" applyFont="1" applyFill="1"/>
    <xf numFmtId="0" fontId="151" fillId="19" borderId="0" xfId="0" applyFont="1" applyFill="1"/>
    <xf numFmtId="0" fontId="151" fillId="0" borderId="0" xfId="0" applyFont="1" applyFill="1"/>
    <xf numFmtId="0" fontId="153" fillId="19" borderId="0" xfId="0" applyFont="1" applyFill="1"/>
    <xf numFmtId="167" fontId="154" fillId="0" borderId="0" xfId="0" applyNumberFormat="1" applyFont="1" applyFill="1"/>
    <xf numFmtId="164" fontId="154" fillId="0" borderId="0" xfId="0" applyNumberFormat="1" applyFont="1" applyFill="1"/>
    <xf numFmtId="200" fontId="155" fillId="0" borderId="0" xfId="37" applyNumberFormat="1" applyFont="1" applyFill="1" applyBorder="1" applyAlignment="1">
      <alignment horizontal="left"/>
    </xf>
    <xf numFmtId="167" fontId="151" fillId="0" borderId="2" xfId="0" applyNumberFormat="1" applyFont="1" applyFill="1" applyBorder="1"/>
    <xf numFmtId="0" fontId="156" fillId="0" borderId="0" xfId="0" applyFont="1" applyFill="1"/>
    <xf numFmtId="0" fontId="157" fillId="0" borderId="0" xfId="0" applyFont="1"/>
    <xf numFmtId="165" fontId="157" fillId="0" borderId="0" xfId="0" applyNumberFormat="1" applyFont="1" applyFill="1"/>
    <xf numFmtId="0" fontId="158" fillId="0" borderId="0" xfId="0" applyFont="1"/>
    <xf numFmtId="0" fontId="158" fillId="0" borderId="0" xfId="0" applyFont="1" applyFill="1"/>
    <xf numFmtId="0" fontId="157" fillId="0" borderId="0" xfId="0" applyFont="1" applyFill="1"/>
    <xf numFmtId="181" fontId="151" fillId="0" borderId="2" xfId="0" applyNumberFormat="1" applyFont="1" applyFill="1" applyBorder="1"/>
    <xf numFmtId="169" fontId="151" fillId="0" borderId="2" xfId="0" applyNumberFormat="1" applyFont="1" applyFill="1" applyBorder="1"/>
    <xf numFmtId="167" fontId="151" fillId="0" borderId="2" xfId="0" applyNumberFormat="1" applyFont="1" applyFill="1" applyBorder="1" applyProtection="1"/>
    <xf numFmtId="213" fontId="10" fillId="0" borderId="17" xfId="0" applyNumberFormat="1" applyFont="1" applyBorder="1" applyAlignment="1">
      <alignment horizontal="center"/>
    </xf>
    <xf numFmtId="213" fontId="10" fillId="0" borderId="0" xfId="0" applyNumberFormat="1" applyFont="1" applyBorder="1" applyAlignment="1">
      <alignment horizontal="center"/>
    </xf>
    <xf numFmtId="219" fontId="10" fillId="0" borderId="0" xfId="0" applyNumberFormat="1" applyFont="1" applyBorder="1" applyAlignment="1">
      <alignment horizontal="center"/>
    </xf>
    <xf numFmtId="0" fontId="0" fillId="15" borderId="0" xfId="0" applyFill="1" applyBorder="1"/>
    <xf numFmtId="166" fontId="0" fillId="0" borderId="0" xfId="0" applyNumberFormat="1"/>
    <xf numFmtId="205" fontId="107" fillId="0" borderId="0" xfId="0" applyNumberFormat="1" applyFont="1"/>
    <xf numFmtId="166" fontId="111" fillId="16" borderId="0" xfId="74" quotePrefix="1" applyNumberFormat="1" applyFont="1" applyFill="1" applyAlignment="1">
      <alignment horizontal="center"/>
    </xf>
    <xf numFmtId="0" fontId="0" fillId="0" borderId="0" xfId="0"/>
    <xf numFmtId="0" fontId="8" fillId="23" borderId="0" xfId="0" applyFont="1" applyFill="1"/>
    <xf numFmtId="0" fontId="25" fillId="23" borderId="0" xfId="0" applyFont="1" applyFill="1"/>
    <xf numFmtId="0" fontId="11" fillId="23" borderId="0" xfId="0" applyFont="1" applyFill="1"/>
    <xf numFmtId="167" fontId="121" fillId="0" borderId="0" xfId="0" applyNumberFormat="1" applyFont="1" applyFill="1"/>
    <xf numFmtId="0" fontId="20" fillId="23" borderId="2" xfId="0" applyFont="1" applyFill="1" applyBorder="1"/>
    <xf numFmtId="0" fontId="8" fillId="23" borderId="2" xfId="0" applyFont="1" applyFill="1" applyBorder="1"/>
    <xf numFmtId="0" fontId="8" fillId="23" borderId="0" xfId="0" applyFont="1" applyFill="1" applyBorder="1"/>
    <xf numFmtId="0" fontId="25" fillId="23" borderId="0" xfId="0" applyFont="1" applyFill="1" applyAlignment="1" applyProtection="1">
      <alignment horizontal="left"/>
    </xf>
    <xf numFmtId="0" fontId="8" fillId="23" borderId="32" xfId="0" applyFont="1" applyFill="1" applyBorder="1"/>
    <xf numFmtId="0" fontId="8" fillId="23" borderId="20" xfId="0" applyFont="1" applyFill="1" applyBorder="1"/>
    <xf numFmtId="0" fontId="8" fillId="23" borderId="33" xfId="0" applyFont="1" applyFill="1" applyBorder="1"/>
    <xf numFmtId="0" fontId="11" fillId="23" borderId="0" xfId="0" applyFont="1" applyFill="1" applyAlignment="1">
      <alignment horizontal="center"/>
    </xf>
    <xf numFmtId="0" fontId="25" fillId="23" borderId="0" xfId="0" applyFont="1" applyFill="1" applyAlignment="1">
      <alignment horizontal="center"/>
    </xf>
    <xf numFmtId="0" fontId="11" fillId="23" borderId="0" xfId="0" applyFont="1" applyFill="1" applyBorder="1" applyAlignment="1">
      <alignment horizontal="center"/>
    </xf>
    <xf numFmtId="0" fontId="11" fillId="23" borderId="34" xfId="0" applyFont="1" applyFill="1" applyBorder="1" applyAlignment="1">
      <alignment horizontal="center"/>
    </xf>
    <xf numFmtId="0" fontId="25" fillId="23" borderId="0" xfId="0" applyFont="1" applyFill="1" applyBorder="1" applyAlignment="1">
      <alignment horizontal="center"/>
    </xf>
    <xf numFmtId="0" fontId="25" fillId="23" borderId="35" xfId="0" applyFont="1" applyFill="1" applyBorder="1" applyAlignment="1">
      <alignment horizontal="center"/>
    </xf>
    <xf numFmtId="0" fontId="11" fillId="23" borderId="2" xfId="0" applyFont="1" applyFill="1" applyBorder="1" applyAlignment="1">
      <alignment horizontal="center"/>
    </xf>
    <xf numFmtId="0" fontId="25" fillId="23" borderId="2" xfId="0" applyFont="1" applyFill="1" applyBorder="1" applyAlignment="1">
      <alignment horizontal="center"/>
    </xf>
    <xf numFmtId="0" fontId="11" fillId="23" borderId="36" xfId="0" applyFont="1" applyFill="1" applyBorder="1" applyAlignment="1">
      <alignment horizontal="center"/>
    </xf>
    <xf numFmtId="0" fontId="25" fillId="23" borderId="37" xfId="0" applyFont="1" applyFill="1" applyBorder="1" applyAlignment="1">
      <alignment horizontal="center"/>
    </xf>
    <xf numFmtId="193" fontId="21" fillId="23" borderId="0" xfId="0" applyNumberFormat="1" applyFont="1" applyFill="1" applyAlignment="1">
      <alignment horizontal="left"/>
    </xf>
    <xf numFmtId="0" fontId="8" fillId="23" borderId="34" xfId="0" applyFont="1" applyFill="1" applyBorder="1"/>
    <xf numFmtId="0" fontId="8" fillId="23" borderId="35" xfId="0" applyFont="1" applyFill="1" applyBorder="1"/>
    <xf numFmtId="172" fontId="12" fillId="23" borderId="0" xfId="0" applyNumberFormat="1" applyFont="1" applyFill="1" applyAlignment="1">
      <alignment horizontal="right"/>
    </xf>
    <xf numFmtId="172" fontId="12" fillId="23" borderId="0" xfId="0" applyNumberFormat="1" applyFont="1" applyFill="1"/>
    <xf numFmtId="172" fontId="8" fillId="23" borderId="34" xfId="0" applyNumberFormat="1" applyFont="1" applyFill="1" applyBorder="1"/>
    <xf numFmtId="172" fontId="12" fillId="23" borderId="0" xfId="0" applyNumberFormat="1" applyFont="1" applyFill="1" applyBorder="1"/>
    <xf numFmtId="172" fontId="12" fillId="23" borderId="35" xfId="0" applyNumberFormat="1" applyFont="1" applyFill="1" applyBorder="1"/>
    <xf numFmtId="172" fontId="8" fillId="23" borderId="0" xfId="0" applyNumberFormat="1" applyFont="1" applyFill="1" applyBorder="1"/>
    <xf numFmtId="181" fontId="12" fillId="23" borderId="0" xfId="0" applyNumberFormat="1" applyFont="1" applyFill="1"/>
    <xf numFmtId="181" fontId="8" fillId="23" borderId="34" xfId="0" applyNumberFormat="1" applyFont="1" applyFill="1" applyBorder="1"/>
    <xf numFmtId="181" fontId="12" fillId="23" borderId="0" xfId="0" applyNumberFormat="1" applyFont="1" applyFill="1" applyBorder="1"/>
    <xf numFmtId="181" fontId="12" fillId="23" borderId="35" xfId="0" applyNumberFormat="1" applyFont="1" applyFill="1" applyBorder="1"/>
    <xf numFmtId="181" fontId="8" fillId="23" borderId="0" xfId="0" applyNumberFormat="1" applyFont="1" applyFill="1" applyBorder="1"/>
    <xf numFmtId="181" fontId="12" fillId="23" borderId="2" xfId="0" applyNumberFormat="1" applyFont="1" applyFill="1" applyBorder="1" applyAlignment="1">
      <alignment horizontal="right"/>
    </xf>
    <xf numFmtId="181" fontId="8" fillId="23" borderId="36" xfId="0" applyNumberFormat="1" applyFont="1" applyFill="1" applyBorder="1"/>
    <xf numFmtId="181" fontId="12" fillId="23" borderId="2" xfId="0" applyNumberFormat="1" applyFont="1" applyFill="1" applyBorder="1"/>
    <xf numFmtId="181" fontId="12" fillId="23" borderId="0" xfId="0" applyNumberFormat="1" applyFont="1" applyFill="1" applyBorder="1" applyAlignment="1">
      <alignment horizontal="right"/>
    </xf>
    <xf numFmtId="172" fontId="8" fillId="23" borderId="0" xfId="0" applyNumberFormat="1" applyFont="1" applyFill="1"/>
    <xf numFmtId="172" fontId="8" fillId="23" borderId="35" xfId="0" applyNumberFormat="1" applyFont="1" applyFill="1" applyBorder="1"/>
    <xf numFmtId="190" fontId="8" fillId="23" borderId="0" xfId="74" applyNumberFormat="1" applyFont="1" applyFill="1" applyBorder="1"/>
    <xf numFmtId="190" fontId="8" fillId="23" borderId="35" xfId="74" applyNumberFormat="1" applyFont="1" applyFill="1" applyBorder="1"/>
    <xf numFmtId="190" fontId="8" fillId="23" borderId="0" xfId="74" applyNumberFormat="1" applyFont="1" applyFill="1"/>
    <xf numFmtId="0" fontId="12" fillId="23" borderId="0" xfId="0" applyFont="1" applyFill="1"/>
    <xf numFmtId="194" fontId="8" fillId="23" borderId="0" xfId="0" applyNumberFormat="1" applyFont="1" applyFill="1" applyAlignment="1">
      <alignment horizontal="left"/>
    </xf>
    <xf numFmtId="194" fontId="8" fillId="23" borderId="35" xfId="0" applyNumberFormat="1" applyFont="1" applyFill="1" applyBorder="1" applyAlignment="1">
      <alignment horizontal="left"/>
    </xf>
    <xf numFmtId="181" fontId="8" fillId="23" borderId="0" xfId="0" applyNumberFormat="1" applyFont="1" applyFill="1"/>
    <xf numFmtId="166" fontId="8" fillId="23" borderId="0" xfId="74" applyNumberFormat="1" applyFont="1" applyFill="1" applyBorder="1"/>
    <xf numFmtId="0" fontId="12" fillId="23" borderId="0" xfId="0" applyFont="1" applyFill="1" applyBorder="1"/>
    <xf numFmtId="166" fontId="12" fillId="23" borderId="0" xfId="74" applyNumberFormat="1" applyFont="1" applyFill="1"/>
    <xf numFmtId="194" fontId="12" fillId="23" borderId="0" xfId="0" applyNumberFormat="1" applyFont="1" applyFill="1" applyBorder="1" applyAlignment="1">
      <alignment horizontal="left"/>
    </xf>
    <xf numFmtId="167" fontId="12" fillId="23" borderId="0" xfId="0" applyNumberFormat="1" applyFont="1" applyFill="1" applyBorder="1"/>
    <xf numFmtId="172" fontId="8" fillId="23" borderId="36" xfId="0" applyNumberFormat="1" applyFont="1" applyFill="1" applyBorder="1"/>
    <xf numFmtId="167" fontId="12" fillId="23" borderId="36" xfId="0" applyNumberFormat="1" applyFont="1" applyFill="1" applyBorder="1"/>
    <xf numFmtId="7" fontId="8" fillId="23" borderId="0" xfId="0" applyNumberFormat="1" applyFont="1" applyFill="1" applyBorder="1"/>
    <xf numFmtId="249" fontId="8" fillId="23" borderId="0" xfId="0" applyNumberFormat="1" applyFont="1" applyFill="1" applyBorder="1" applyAlignment="1">
      <alignment horizontal="left"/>
    </xf>
    <xf numFmtId="167" fontId="12" fillId="23" borderId="0" xfId="0" applyNumberFormat="1" applyFont="1" applyFill="1"/>
    <xf numFmtId="167" fontId="12" fillId="23" borderId="2" xfId="0" applyNumberFormat="1" applyFont="1" applyFill="1" applyBorder="1"/>
    <xf numFmtId="0" fontId="12" fillId="23" borderId="2" xfId="0" applyFont="1" applyFill="1" applyBorder="1"/>
    <xf numFmtId="194" fontId="8" fillId="23" borderId="0" xfId="0" applyNumberFormat="1" applyFont="1" applyFill="1" applyBorder="1" applyAlignment="1">
      <alignment horizontal="left"/>
    </xf>
    <xf numFmtId="167" fontId="8" fillId="23" borderId="0" xfId="68" applyNumberFormat="1" applyFont="1" applyFill="1" applyBorder="1" applyProtection="1"/>
    <xf numFmtId="167" fontId="8" fillId="23" borderId="0" xfId="0" applyNumberFormat="1" applyFont="1" applyFill="1"/>
    <xf numFmtId="167" fontId="8" fillId="23" borderId="2" xfId="0" applyNumberFormat="1" applyFont="1" applyFill="1" applyBorder="1"/>
    <xf numFmtId="166" fontId="12" fillId="23" borderId="0" xfId="74" applyNumberFormat="1" applyFont="1" applyFill="1" applyBorder="1"/>
    <xf numFmtId="216" fontId="8" fillId="23" borderId="0" xfId="74" applyNumberFormat="1" applyFont="1" applyFill="1"/>
    <xf numFmtId="166" fontId="8" fillId="23" borderId="0" xfId="74" applyNumberFormat="1" applyFont="1" applyFill="1" applyBorder="1" applyProtection="1"/>
    <xf numFmtId="167" fontId="8" fillId="23" borderId="0" xfId="0" applyNumberFormat="1" applyFont="1" applyFill="1" applyBorder="1"/>
    <xf numFmtId="7" fontId="8" fillId="23" borderId="34" xfId="0" applyNumberFormat="1" applyFont="1" applyFill="1" applyBorder="1"/>
    <xf numFmtId="7" fontId="8" fillId="23" borderId="35" xfId="0" applyNumberFormat="1" applyFont="1" applyFill="1" applyBorder="1"/>
    <xf numFmtId="218" fontId="8" fillId="23" borderId="0" xfId="0" applyNumberFormat="1" applyFont="1" applyFill="1" applyBorder="1"/>
    <xf numFmtId="218" fontId="8" fillId="23" borderId="0" xfId="0" applyNumberFormat="1" applyFont="1" applyFill="1"/>
    <xf numFmtId="9" fontId="8" fillId="23" borderId="0" xfId="74" applyFont="1" applyFill="1"/>
    <xf numFmtId="9" fontId="8" fillId="23" borderId="0" xfId="74" applyFont="1" applyFill="1" applyBorder="1"/>
    <xf numFmtId="9" fontId="8" fillId="23" borderId="34" xfId="74" applyFont="1" applyFill="1" applyBorder="1"/>
    <xf numFmtId="194" fontId="11" fillId="23" borderId="0" xfId="0" applyNumberFormat="1" applyFont="1" applyFill="1" applyAlignment="1">
      <alignment horizontal="left"/>
    </xf>
    <xf numFmtId="194" fontId="130" fillId="23" borderId="0" xfId="0" applyNumberFormat="1" applyFont="1" applyFill="1" applyAlignment="1">
      <alignment horizontal="left"/>
    </xf>
    <xf numFmtId="194" fontId="12" fillId="23" borderId="0" xfId="0" applyNumberFormat="1" applyFont="1" applyFill="1" applyAlignment="1">
      <alignment horizontal="left"/>
    </xf>
    <xf numFmtId="181" fontId="8" fillId="23" borderId="2" xfId="0" applyNumberFormat="1" applyFont="1" applyFill="1" applyBorder="1"/>
    <xf numFmtId="194" fontId="130" fillId="23" borderId="2" xfId="0" applyNumberFormat="1" applyFont="1" applyFill="1" applyBorder="1" applyAlignment="1">
      <alignment horizontal="left"/>
    </xf>
    <xf numFmtId="172" fontId="8" fillId="23" borderId="0" xfId="74" applyNumberFormat="1" applyFont="1" applyFill="1"/>
    <xf numFmtId="172" fontId="8" fillId="23" borderId="34" xfId="74" applyNumberFormat="1" applyFont="1" applyFill="1" applyBorder="1"/>
    <xf numFmtId="172" fontId="12" fillId="23" borderId="34" xfId="0" applyNumberFormat="1" applyFont="1" applyFill="1" applyBorder="1"/>
    <xf numFmtId="194" fontId="87" fillId="23" borderId="0" xfId="0" applyNumberFormat="1" applyFont="1" applyFill="1" applyBorder="1" applyAlignment="1">
      <alignment horizontal="left"/>
    </xf>
    <xf numFmtId="181" fontId="12" fillId="23" borderId="34" xfId="0" applyNumberFormat="1" applyFont="1" applyFill="1" applyBorder="1"/>
    <xf numFmtId="181" fontId="12" fillId="23" borderId="36" xfId="0" applyNumberFormat="1" applyFont="1" applyFill="1" applyBorder="1"/>
    <xf numFmtId="0" fontId="87" fillId="23" borderId="0" xfId="0" applyFont="1" applyFill="1"/>
    <xf numFmtId="190" fontId="87" fillId="23" borderId="0" xfId="74" applyNumberFormat="1" applyFont="1" applyFill="1"/>
    <xf numFmtId="194" fontId="87" fillId="23" borderId="0" xfId="0" applyNumberFormat="1" applyFont="1" applyFill="1" applyAlignment="1">
      <alignment horizontal="left"/>
    </xf>
    <xf numFmtId="190" fontId="87" fillId="23" borderId="0" xfId="74" applyNumberFormat="1" applyFont="1" applyFill="1" applyBorder="1"/>
    <xf numFmtId="194" fontId="87" fillId="23" borderId="35" xfId="0" applyNumberFormat="1" applyFont="1" applyFill="1" applyBorder="1" applyAlignment="1">
      <alignment horizontal="left"/>
    </xf>
    <xf numFmtId="0" fontId="87" fillId="23" borderId="0" xfId="0" applyFont="1" applyFill="1" applyBorder="1"/>
    <xf numFmtId="172" fontId="87" fillId="23" borderId="34" xfId="0" applyNumberFormat="1" applyFont="1" applyFill="1" applyBorder="1"/>
    <xf numFmtId="190" fontId="87" fillId="23" borderId="35" xfId="74" applyNumberFormat="1" applyFont="1" applyFill="1" applyBorder="1"/>
    <xf numFmtId="9" fontId="87" fillId="23" borderId="0" xfId="74" applyFont="1" applyFill="1" applyBorder="1" applyAlignment="1">
      <alignment horizontal="left"/>
    </xf>
    <xf numFmtId="172" fontId="87" fillId="23" borderId="0" xfId="0" applyNumberFormat="1" applyFont="1" applyFill="1"/>
    <xf numFmtId="194" fontId="12" fillId="23" borderId="2" xfId="0" applyNumberFormat="1" applyFont="1" applyFill="1" applyBorder="1" applyAlignment="1">
      <alignment horizontal="left"/>
    </xf>
    <xf numFmtId="172" fontId="87" fillId="23" borderId="36" xfId="0" applyNumberFormat="1" applyFont="1" applyFill="1" applyBorder="1"/>
    <xf numFmtId="194" fontId="130" fillId="23" borderId="0" xfId="0" applyNumberFormat="1" applyFont="1" applyFill="1" applyBorder="1" applyAlignment="1">
      <alignment horizontal="left"/>
    </xf>
    <xf numFmtId="194" fontId="131" fillId="23" borderId="0" xfId="0" applyNumberFormat="1" applyFont="1" applyFill="1" applyAlignment="1">
      <alignment horizontal="left"/>
    </xf>
    <xf numFmtId="172" fontId="25" fillId="23" borderId="0" xfId="0" applyNumberFormat="1" applyFont="1" applyFill="1" applyBorder="1"/>
    <xf numFmtId="190" fontId="12" fillId="23" borderId="0" xfId="74" applyNumberFormat="1" applyFont="1" applyFill="1" applyBorder="1"/>
    <xf numFmtId="194" fontId="131" fillId="23" borderId="0" xfId="0" applyNumberFormat="1" applyFont="1" applyFill="1" applyBorder="1" applyAlignment="1">
      <alignment horizontal="left"/>
    </xf>
    <xf numFmtId="194" fontId="131" fillId="23" borderId="2" xfId="0" applyNumberFormat="1" applyFont="1" applyFill="1" applyBorder="1" applyAlignment="1">
      <alignment horizontal="left"/>
    </xf>
    <xf numFmtId="44" fontId="8" fillId="23" borderId="0" xfId="41" applyFont="1" applyFill="1"/>
    <xf numFmtId="43" fontId="8" fillId="23" borderId="0" xfId="37" applyFont="1" applyFill="1"/>
    <xf numFmtId="9" fontId="8" fillId="23" borderId="0" xfId="74" applyFont="1" applyFill="1" applyAlignment="1">
      <alignment horizontal="left"/>
    </xf>
    <xf numFmtId="166" fontId="8" fillId="23" borderId="0" xfId="0" applyNumberFormat="1" applyFont="1" applyFill="1" applyBorder="1"/>
    <xf numFmtId="195" fontId="22" fillId="23" borderId="0" xfId="0" applyNumberFormat="1" applyFont="1" applyFill="1" applyAlignment="1">
      <alignment horizontal="left"/>
    </xf>
    <xf numFmtId="181" fontId="153" fillId="23" borderId="0" xfId="0" applyNumberFormat="1" applyFont="1" applyFill="1"/>
    <xf numFmtId="181" fontId="153" fillId="23" borderId="2" xfId="0" applyNumberFormat="1" applyFont="1" applyFill="1" applyBorder="1"/>
    <xf numFmtId="175" fontId="8" fillId="23" borderId="0" xfId="37" applyNumberFormat="1" applyFont="1" applyFill="1"/>
    <xf numFmtId="165" fontId="25" fillId="23" borderId="0" xfId="0" applyNumberFormat="1" applyFont="1" applyFill="1" applyAlignment="1">
      <alignment horizontal="center"/>
    </xf>
    <xf numFmtId="9" fontId="12" fillId="23" borderId="0" xfId="74" applyFont="1" applyFill="1" applyBorder="1"/>
    <xf numFmtId="2" fontId="8" fillId="23" borderId="0" xfId="0" applyNumberFormat="1" applyFont="1" applyFill="1" applyBorder="1" applyAlignment="1">
      <alignment horizontal="left"/>
    </xf>
    <xf numFmtId="175" fontId="11" fillId="23" borderId="0" xfId="37" applyNumberFormat="1" applyFont="1" applyFill="1"/>
    <xf numFmtId="220" fontId="8" fillId="23" borderId="0" xfId="74" applyNumberFormat="1" applyFont="1" applyFill="1"/>
    <xf numFmtId="166" fontId="8" fillId="23" borderId="0" xfId="74" applyNumberFormat="1" applyFont="1" applyFill="1"/>
    <xf numFmtId="194" fontId="12" fillId="23" borderId="35" xfId="0" applyNumberFormat="1" applyFont="1" applyFill="1" applyBorder="1" applyAlignment="1">
      <alignment horizontal="left"/>
    </xf>
    <xf numFmtId="181" fontId="8" fillId="23" borderId="35" xfId="0" applyNumberFormat="1" applyFont="1" applyFill="1" applyBorder="1"/>
    <xf numFmtId="166" fontId="12" fillId="23" borderId="2" xfId="74" applyNumberFormat="1" applyFont="1" applyFill="1" applyBorder="1"/>
    <xf numFmtId="7" fontId="8" fillId="23" borderId="0" xfId="0" applyNumberFormat="1" applyFont="1" applyFill="1"/>
    <xf numFmtId="190" fontId="12" fillId="23" borderId="0" xfId="74" applyNumberFormat="1" applyFont="1" applyFill="1"/>
    <xf numFmtId="172" fontId="8" fillId="23" borderId="17" xfId="0" applyNumberFormat="1" applyFont="1" applyFill="1" applyBorder="1"/>
    <xf numFmtId="195" fontId="21" fillId="23" borderId="0" xfId="0" applyNumberFormat="1" applyFont="1" applyFill="1" applyAlignment="1">
      <alignment horizontal="left"/>
    </xf>
    <xf numFmtId="172" fontId="8" fillId="23" borderId="0" xfId="0" applyNumberFormat="1" applyFont="1" applyFill="1" applyAlignment="1">
      <alignment horizontal="right"/>
    </xf>
    <xf numFmtId="165" fontId="8" fillId="23" borderId="0" xfId="0" applyNumberFormat="1" applyFont="1" applyFill="1" applyAlignment="1">
      <alignment horizontal="right"/>
    </xf>
    <xf numFmtId="211" fontId="8" fillId="23" borderId="0" xfId="74" applyNumberFormat="1" applyFont="1" applyFill="1"/>
    <xf numFmtId="205" fontId="8" fillId="23" borderId="0" xfId="0" applyNumberFormat="1" applyFont="1" applyFill="1"/>
    <xf numFmtId="165" fontId="8" fillId="23" borderId="0" xfId="0" applyNumberFormat="1" applyFont="1" applyFill="1"/>
    <xf numFmtId="194" fontId="8" fillId="23" borderId="0" xfId="0" applyNumberFormat="1" applyFont="1" applyFill="1"/>
    <xf numFmtId="178" fontId="8" fillId="23" borderId="0" xfId="61" applyFont="1" applyFill="1" applyAlignment="1"/>
    <xf numFmtId="172" fontId="8" fillId="23" borderId="38" xfId="0" applyNumberFormat="1" applyFont="1" applyFill="1" applyBorder="1"/>
    <xf numFmtId="190" fontId="8" fillId="23" borderId="39" xfId="74" applyNumberFormat="1" applyFont="1" applyFill="1" applyBorder="1"/>
    <xf numFmtId="43" fontId="8" fillId="23" borderId="34" xfId="37" applyFont="1" applyFill="1" applyBorder="1"/>
    <xf numFmtId="175" fontId="8" fillId="23" borderId="34" xfId="37" applyNumberFormat="1" applyFont="1" applyFill="1" applyBorder="1"/>
    <xf numFmtId="166" fontId="8" fillId="23" borderId="34" xfId="74" applyNumberFormat="1" applyFont="1" applyFill="1" applyBorder="1"/>
    <xf numFmtId="167" fontId="12" fillId="23" borderId="34" xfId="0" applyNumberFormat="1" applyFont="1" applyFill="1" applyBorder="1"/>
    <xf numFmtId="167" fontId="8" fillId="23" borderId="34" xfId="0" applyNumberFormat="1" applyFont="1" applyFill="1" applyBorder="1"/>
    <xf numFmtId="167" fontId="12" fillId="23" borderId="35" xfId="0" applyNumberFormat="1" applyFont="1" applyFill="1" applyBorder="1"/>
    <xf numFmtId="10" fontId="8" fillId="23" borderId="35" xfId="74" applyNumberFormat="1" applyFont="1" applyFill="1" applyBorder="1"/>
    <xf numFmtId="190" fontId="12" fillId="23" borderId="35" xfId="74" applyNumberFormat="1" applyFont="1" applyFill="1" applyBorder="1"/>
    <xf numFmtId="167" fontId="153" fillId="23" borderId="34" xfId="0" applyNumberFormat="1" applyFont="1" applyFill="1" applyBorder="1"/>
    <xf numFmtId="10" fontId="8" fillId="23" borderId="34" xfId="74" applyNumberFormat="1" applyFont="1" applyFill="1" applyBorder="1"/>
    <xf numFmtId="249" fontId="8" fillId="23" borderId="19" xfId="0" applyNumberFormat="1" applyFont="1" applyFill="1" applyBorder="1" applyAlignment="1">
      <alignment horizontal="left"/>
    </xf>
    <xf numFmtId="0" fontId="11" fillId="23" borderId="0" xfId="0" applyFont="1" applyFill="1" applyAlignment="1">
      <alignment horizontal="left"/>
    </xf>
    <xf numFmtId="190" fontId="8" fillId="23" borderId="0" xfId="0" applyNumberFormat="1" applyFont="1" applyFill="1"/>
    <xf numFmtId="0" fontId="11" fillId="23" borderId="0" xfId="0" applyFont="1" applyFill="1" applyBorder="1"/>
    <xf numFmtId="190" fontId="8" fillId="23" borderId="0" xfId="0" applyNumberFormat="1" applyFont="1" applyFill="1" applyBorder="1"/>
    <xf numFmtId="0" fontId="11" fillId="23" borderId="2" xfId="0" applyFont="1" applyFill="1" applyBorder="1" applyAlignment="1">
      <alignment horizontal="left"/>
    </xf>
    <xf numFmtId="0" fontId="11" fillId="23" borderId="2" xfId="0" applyFont="1" applyFill="1" applyBorder="1"/>
    <xf numFmtId="190" fontId="8" fillId="23" borderId="2" xfId="0" applyNumberFormat="1" applyFont="1" applyFill="1" applyBorder="1"/>
    <xf numFmtId="0" fontId="8" fillId="23" borderId="0" xfId="0" applyFont="1" applyFill="1" applyAlignment="1">
      <alignment horizontal="left"/>
    </xf>
    <xf numFmtId="0" fontId="8" fillId="23" borderId="0" xfId="0" applyFont="1" applyFill="1" applyAlignment="1">
      <alignment horizontal="center"/>
    </xf>
    <xf numFmtId="0" fontId="11" fillId="23" borderId="21" xfId="0" applyFont="1" applyFill="1" applyBorder="1" applyAlignment="1">
      <alignment horizontal="centerContinuous"/>
    </xf>
    <xf numFmtId="0" fontId="11" fillId="23" borderId="6" xfId="0" applyFont="1" applyFill="1" applyBorder="1" applyAlignment="1">
      <alignment horizontal="centerContinuous"/>
    </xf>
    <xf numFmtId="0" fontId="11" fillId="23" borderId="31" xfId="0" applyFont="1" applyFill="1" applyBorder="1" applyAlignment="1">
      <alignment horizontal="centerContinuous"/>
    </xf>
    <xf numFmtId="0" fontId="11" fillId="23" borderId="0" xfId="0" applyFont="1" applyFill="1" applyBorder="1" applyAlignment="1">
      <alignment horizontal="centerContinuous"/>
    </xf>
    <xf numFmtId="0" fontId="11" fillId="23" borderId="2" xfId="0" applyFont="1" applyFill="1" applyBorder="1" applyAlignment="1"/>
    <xf numFmtId="0" fontId="11" fillId="23" borderId="0" xfId="0" applyFont="1" applyFill="1" applyAlignment="1">
      <alignment horizontal="centerContinuous"/>
    </xf>
    <xf numFmtId="0" fontId="8" fillId="23" borderId="0" xfId="0" applyFont="1" applyFill="1" applyAlignment="1">
      <alignment horizontal="centerContinuous"/>
    </xf>
    <xf numFmtId="0" fontId="11" fillId="23" borderId="2" xfId="0" applyFont="1" applyFill="1" applyBorder="1" applyAlignment="1">
      <alignment horizontal="centerContinuous"/>
    </xf>
    <xf numFmtId="0" fontId="11" fillId="23" borderId="0" xfId="0" quotePrefix="1" applyFont="1" applyFill="1" applyAlignment="1">
      <alignment horizontal="center"/>
    </xf>
    <xf numFmtId="0" fontId="11" fillId="23" borderId="0" xfId="0" quotePrefix="1" applyFont="1" applyFill="1" applyBorder="1" applyAlignment="1">
      <alignment horizontal="centerContinuous"/>
    </xf>
    <xf numFmtId="0" fontId="132" fillId="23" borderId="0" xfId="0" applyFont="1" applyFill="1" applyBorder="1"/>
    <xf numFmtId="0" fontId="9" fillId="23" borderId="0" xfId="0" applyFont="1" applyFill="1" applyBorder="1" applyAlignment="1">
      <alignment horizontal="left"/>
    </xf>
    <xf numFmtId="193" fontId="21" fillId="23" borderId="0" xfId="0" quotePrefix="1" applyNumberFormat="1" applyFont="1" applyFill="1"/>
    <xf numFmtId="193" fontId="22" fillId="23" borderId="0" xfId="0" quotePrefix="1" applyNumberFormat="1" applyFont="1" applyFill="1" applyAlignment="1">
      <alignment horizontal="left"/>
    </xf>
    <xf numFmtId="0" fontId="12" fillId="23" borderId="0" xfId="0" quotePrefix="1" applyFont="1" applyFill="1" applyAlignment="1">
      <alignment horizontal="right"/>
    </xf>
    <xf numFmtId="180" fontId="8" fillId="23" borderId="0" xfId="0" applyNumberFormat="1" applyFont="1" applyFill="1"/>
    <xf numFmtId="176" fontId="8" fillId="23" borderId="0" xfId="0" applyNumberFormat="1" applyFont="1" applyFill="1"/>
    <xf numFmtId="170" fontId="12" fillId="23" borderId="0" xfId="0" applyNumberFormat="1" applyFont="1" applyFill="1"/>
    <xf numFmtId="170" fontId="87" fillId="23" borderId="0" xfId="0" applyNumberFormat="1" applyFont="1" applyFill="1"/>
    <xf numFmtId="177" fontId="8" fillId="23" borderId="0" xfId="0" applyNumberFormat="1" applyFont="1" applyFill="1"/>
    <xf numFmtId="164" fontId="8" fillId="23" borderId="0" xfId="0" applyNumberFormat="1" applyFont="1" applyFill="1"/>
    <xf numFmtId="4" fontId="8" fillId="23" borderId="0" xfId="0" applyNumberFormat="1" applyFont="1" applyFill="1"/>
    <xf numFmtId="3" fontId="8" fillId="23" borderId="0" xfId="0" applyNumberFormat="1" applyFont="1" applyFill="1"/>
    <xf numFmtId="1" fontId="8" fillId="23" borderId="0" xfId="0" applyNumberFormat="1" applyFont="1" applyFill="1"/>
    <xf numFmtId="1" fontId="8" fillId="23" borderId="2" xfId="0" applyNumberFormat="1" applyFont="1" applyFill="1" applyBorder="1"/>
    <xf numFmtId="164" fontId="8" fillId="23" borderId="2" xfId="0" applyNumberFormat="1" applyFont="1" applyFill="1" applyBorder="1"/>
    <xf numFmtId="4" fontId="8" fillId="23" borderId="2" xfId="0" applyNumberFormat="1" applyFont="1" applyFill="1" applyBorder="1"/>
    <xf numFmtId="170" fontId="87" fillId="23" borderId="2" xfId="0" applyNumberFormat="1" applyFont="1" applyFill="1" applyBorder="1"/>
    <xf numFmtId="3" fontId="8" fillId="23" borderId="2" xfId="0" applyNumberFormat="1" applyFont="1" applyFill="1" applyBorder="1"/>
    <xf numFmtId="0" fontId="21" fillId="23" borderId="0" xfId="0" quotePrefix="1" applyFont="1" applyFill="1" applyAlignment="1">
      <alignment horizontal="left"/>
    </xf>
    <xf numFmtId="197" fontId="8" fillId="23" borderId="0" xfId="0" applyNumberFormat="1" applyFont="1" applyFill="1"/>
    <xf numFmtId="204" fontId="8" fillId="23" borderId="0" xfId="0" applyNumberFormat="1" applyFont="1" applyFill="1" applyBorder="1"/>
    <xf numFmtId="165" fontId="8" fillId="23" borderId="2" xfId="0" applyNumberFormat="1" applyFont="1" applyFill="1" applyBorder="1"/>
    <xf numFmtId="197" fontId="8" fillId="23" borderId="2" xfId="0" applyNumberFormat="1" applyFont="1" applyFill="1" applyBorder="1"/>
    <xf numFmtId="204" fontId="8" fillId="23" borderId="2" xfId="0" applyNumberFormat="1" applyFont="1" applyFill="1" applyBorder="1"/>
    <xf numFmtId="197" fontId="8" fillId="23" borderId="0" xfId="0" applyNumberFormat="1" applyFont="1" applyFill="1" applyBorder="1"/>
    <xf numFmtId="170" fontId="8" fillId="23" borderId="0" xfId="0" applyNumberFormat="1" applyFont="1" applyFill="1"/>
    <xf numFmtId="196" fontId="8" fillId="23" borderId="0" xfId="0" applyNumberFormat="1" applyFont="1" applyFill="1"/>
    <xf numFmtId="180" fontId="12" fillId="23" borderId="0" xfId="0" applyNumberFormat="1" applyFont="1" applyFill="1"/>
    <xf numFmtId="164" fontId="12" fillId="23" borderId="0" xfId="0" applyNumberFormat="1" applyFont="1" applyFill="1"/>
    <xf numFmtId="196" fontId="8" fillId="23" borderId="2" xfId="0" applyNumberFormat="1" applyFont="1" applyFill="1" applyBorder="1"/>
    <xf numFmtId="2" fontId="8" fillId="23" borderId="0" xfId="0" applyNumberFormat="1" applyFont="1" applyFill="1"/>
    <xf numFmtId="196" fontId="12" fillId="23" borderId="0" xfId="0" applyNumberFormat="1" applyFont="1" applyFill="1"/>
    <xf numFmtId="0" fontId="29" fillId="23" borderId="0" xfId="0" applyFont="1" applyFill="1"/>
    <xf numFmtId="170" fontId="29" fillId="23" borderId="0" xfId="0" applyNumberFormat="1" applyFont="1" applyFill="1"/>
    <xf numFmtId="196" fontId="12" fillId="23" borderId="2" xfId="0" applyNumberFormat="1" applyFont="1" applyFill="1" applyBorder="1"/>
    <xf numFmtId="164" fontId="8" fillId="23" borderId="0" xfId="0" applyNumberFormat="1" applyFont="1" applyFill="1" applyBorder="1"/>
    <xf numFmtId="166" fontId="8" fillId="23" borderId="0" xfId="0" applyNumberFormat="1" applyFont="1" applyFill="1"/>
    <xf numFmtId="166" fontId="11" fillId="23" borderId="0" xfId="0" applyNumberFormat="1" applyFont="1" applyFill="1" applyAlignment="1">
      <alignment horizontal="center"/>
    </xf>
    <xf numFmtId="164" fontId="29" fillId="23" borderId="0" xfId="0" applyNumberFormat="1" applyFont="1" applyFill="1"/>
    <xf numFmtId="164" fontId="29" fillId="23" borderId="2" xfId="0" applyNumberFormat="1" applyFont="1" applyFill="1" applyBorder="1"/>
    <xf numFmtId="166" fontId="8" fillId="23" borderId="2" xfId="0" applyNumberFormat="1" applyFont="1" applyFill="1" applyBorder="1"/>
    <xf numFmtId="180" fontId="29" fillId="23" borderId="0" xfId="0" applyNumberFormat="1" applyFont="1" applyFill="1"/>
    <xf numFmtId="0" fontId="26" fillId="23" borderId="0" xfId="0" applyFont="1" applyFill="1"/>
    <xf numFmtId="199" fontId="8" fillId="23" borderId="0" xfId="0" applyNumberFormat="1" applyFont="1" applyFill="1" applyBorder="1"/>
    <xf numFmtId="176" fontId="159" fillId="23" borderId="0" xfId="0" applyNumberFormat="1" applyFont="1" applyFill="1"/>
    <xf numFmtId="0" fontId="159" fillId="23" borderId="0" xfId="0" applyFont="1" applyFill="1"/>
    <xf numFmtId="197" fontId="159" fillId="23" borderId="0" xfId="0" applyNumberFormat="1" applyFont="1" applyFill="1" applyBorder="1"/>
    <xf numFmtId="0" fontId="159" fillId="23" borderId="0" xfId="0" applyFont="1" applyFill="1" applyAlignment="1">
      <alignment horizontal="center"/>
    </xf>
    <xf numFmtId="214" fontId="8" fillId="23" borderId="0" xfId="37" applyNumberFormat="1" applyFont="1" applyFill="1"/>
    <xf numFmtId="214" fontId="8" fillId="23" borderId="2" xfId="37" applyNumberFormat="1" applyFont="1" applyFill="1" applyBorder="1"/>
    <xf numFmtId="166" fontId="8" fillId="23" borderId="2" xfId="74" applyNumberFormat="1" applyFont="1" applyFill="1" applyBorder="1"/>
    <xf numFmtId="180" fontId="8" fillId="23" borderId="2" xfId="0" applyNumberFormat="1" applyFont="1" applyFill="1" applyBorder="1"/>
    <xf numFmtId="166" fontId="8" fillId="23" borderId="2" xfId="74" applyNumberFormat="1" applyFont="1" applyFill="1" applyBorder="1" applyAlignment="1">
      <alignment horizontal="center"/>
    </xf>
    <xf numFmtId="180" fontId="8" fillId="23" borderId="0" xfId="0" applyNumberFormat="1" applyFont="1" applyFill="1" applyBorder="1"/>
    <xf numFmtId="166" fontId="8" fillId="23" borderId="0" xfId="74" applyNumberFormat="1" applyFont="1" applyFill="1" applyBorder="1" applyAlignment="1">
      <alignment horizontal="center"/>
    </xf>
    <xf numFmtId="192" fontId="8" fillId="23" borderId="0" xfId="0" applyNumberFormat="1" applyFont="1" applyFill="1"/>
    <xf numFmtId="180" fontId="12" fillId="23" borderId="0" xfId="0" applyNumberFormat="1" applyFont="1" applyFill="1" applyBorder="1"/>
    <xf numFmtId="0" fontId="8" fillId="23" borderId="0" xfId="0" applyFont="1" applyFill="1" applyBorder="1" applyAlignment="1">
      <alignment horizontal="center"/>
    </xf>
    <xf numFmtId="240" fontId="8" fillId="23" borderId="0" xfId="0" applyNumberFormat="1" applyFont="1" applyFill="1"/>
    <xf numFmtId="0" fontId="9" fillId="23" borderId="0" xfId="0" applyFont="1" applyFill="1" applyBorder="1"/>
    <xf numFmtId="165" fontId="8" fillId="23" borderId="0" xfId="0" applyNumberFormat="1" applyFont="1" applyFill="1" applyBorder="1"/>
    <xf numFmtId="196" fontId="12" fillId="23" borderId="0" xfId="0" applyNumberFormat="1" applyFont="1" applyFill="1" applyBorder="1"/>
    <xf numFmtId="176" fontId="8" fillId="23" borderId="0" xfId="0" applyNumberFormat="1" applyFont="1" applyFill="1" applyBorder="1"/>
    <xf numFmtId="170" fontId="12" fillId="23" borderId="0" xfId="0" applyNumberFormat="1" applyFont="1" applyFill="1" applyBorder="1"/>
    <xf numFmtId="177" fontId="8" fillId="23" borderId="0" xfId="0" applyNumberFormat="1" applyFont="1" applyFill="1" applyBorder="1"/>
    <xf numFmtId="204" fontId="12" fillId="23" borderId="0" xfId="0" applyNumberFormat="1" applyFont="1" applyFill="1" applyBorder="1"/>
    <xf numFmtId="165" fontId="12" fillId="23" borderId="0" xfId="0" applyNumberFormat="1" applyFont="1" applyFill="1" applyBorder="1"/>
    <xf numFmtId="4" fontId="8" fillId="23" borderId="0" xfId="0" applyNumberFormat="1" applyFont="1" applyFill="1" applyBorder="1"/>
    <xf numFmtId="3" fontId="8" fillId="23" borderId="0" xfId="0" applyNumberFormat="1" applyFont="1" applyFill="1" applyBorder="1"/>
    <xf numFmtId="196" fontId="8" fillId="23" borderId="0" xfId="0" applyNumberFormat="1" applyFont="1" applyFill="1" applyBorder="1"/>
    <xf numFmtId="199" fontId="8" fillId="23" borderId="0" xfId="0" applyNumberFormat="1" applyFont="1" applyFill="1"/>
    <xf numFmtId="199" fontId="8" fillId="23" borderId="2" xfId="0" applyNumberFormat="1" applyFont="1" applyFill="1" applyBorder="1"/>
    <xf numFmtId="165" fontId="12" fillId="23" borderId="0" xfId="0" applyNumberFormat="1" applyFont="1" applyFill="1"/>
    <xf numFmtId="204" fontId="12" fillId="23" borderId="2" xfId="0" applyNumberFormat="1" applyFont="1" applyFill="1" applyBorder="1"/>
    <xf numFmtId="165" fontId="12" fillId="23" borderId="2" xfId="0" applyNumberFormat="1" applyFont="1" applyFill="1" applyBorder="1"/>
    <xf numFmtId="214" fontId="8" fillId="23" borderId="0" xfId="0" applyNumberFormat="1" applyFont="1" applyFill="1"/>
    <xf numFmtId="43" fontId="8" fillId="23" borderId="0" xfId="0" applyNumberFormat="1" applyFont="1" applyFill="1"/>
    <xf numFmtId="0" fontId="153" fillId="23" borderId="0" xfId="0" applyFont="1" applyFill="1"/>
    <xf numFmtId="203" fontId="8" fillId="23" borderId="0" xfId="0" applyNumberFormat="1" applyFont="1" applyFill="1"/>
    <xf numFmtId="204" fontId="87" fillId="23" borderId="2" xfId="0" applyNumberFormat="1" applyFont="1" applyFill="1" applyBorder="1"/>
    <xf numFmtId="9" fontId="8" fillId="23" borderId="0" xfId="0" applyNumberFormat="1" applyFont="1" applyFill="1"/>
    <xf numFmtId="165" fontId="8" fillId="23" borderId="0" xfId="0" applyNumberFormat="1" applyFont="1" applyFill="1" applyAlignment="1">
      <alignment horizontal="center"/>
    </xf>
    <xf numFmtId="196" fontId="12" fillId="23" borderId="0" xfId="0" applyNumberFormat="1" applyFont="1" applyFill="1" applyAlignment="1">
      <alignment horizontal="center"/>
    </xf>
    <xf numFmtId="165" fontId="8" fillId="23" borderId="2" xfId="0" applyNumberFormat="1" applyFont="1" applyFill="1" applyBorder="1" applyAlignment="1">
      <alignment horizontal="center"/>
    </xf>
    <xf numFmtId="196" fontId="12" fillId="23" borderId="2" xfId="0" applyNumberFormat="1" applyFont="1" applyFill="1" applyBorder="1" applyAlignment="1">
      <alignment horizontal="center"/>
    </xf>
    <xf numFmtId="196" fontId="8" fillId="23" borderId="0" xfId="0" applyNumberFormat="1" applyFont="1" applyFill="1" applyAlignment="1">
      <alignment horizontal="center"/>
    </xf>
    <xf numFmtId="199" fontId="8" fillId="23" borderId="0" xfId="0" applyNumberFormat="1" applyFont="1" applyFill="1" applyBorder="1" applyAlignment="1">
      <alignment horizontal="center"/>
    </xf>
    <xf numFmtId="196" fontId="26" fillId="23" borderId="0" xfId="0" applyNumberFormat="1" applyFont="1" applyFill="1" applyAlignment="1">
      <alignment horizontal="center"/>
    </xf>
    <xf numFmtId="196" fontId="26" fillId="23" borderId="2" xfId="0" applyNumberFormat="1" applyFont="1" applyFill="1" applyBorder="1" applyAlignment="1">
      <alignment horizontal="center"/>
    </xf>
    <xf numFmtId="170" fontId="114" fillId="23" borderId="0" xfId="0" applyNumberFormat="1" applyFont="1" applyFill="1"/>
    <xf numFmtId="217" fontId="8" fillId="23" borderId="0" xfId="0" applyNumberFormat="1" applyFont="1" applyFill="1" applyBorder="1"/>
    <xf numFmtId="165" fontId="153" fillId="23" borderId="0" xfId="0" applyNumberFormat="1" applyFont="1" applyFill="1"/>
    <xf numFmtId="170" fontId="153" fillId="23" borderId="0" xfId="0" applyNumberFormat="1" applyFont="1" applyFill="1"/>
    <xf numFmtId="196" fontId="8" fillId="23" borderId="2" xfId="0" applyNumberFormat="1" applyFont="1" applyFill="1" applyBorder="1" applyAlignment="1">
      <alignment horizontal="center"/>
    </xf>
    <xf numFmtId="0" fontId="160" fillId="23" borderId="0" xfId="0" applyFont="1" applyFill="1"/>
    <xf numFmtId="165" fontId="153" fillId="23" borderId="2" xfId="0" applyNumberFormat="1" applyFont="1" applyFill="1" applyBorder="1"/>
    <xf numFmtId="0" fontId="11" fillId="23" borderId="0" xfId="0" applyFont="1" applyFill="1" applyBorder="1" applyAlignment="1">
      <alignment horizontal="left"/>
    </xf>
    <xf numFmtId="190" fontId="8" fillId="23" borderId="0" xfId="0" applyNumberFormat="1" applyFont="1" applyFill="1" applyBorder="1" applyAlignment="1">
      <alignment horizontal="center"/>
    </xf>
    <xf numFmtId="196" fontId="12" fillId="23" borderId="0" xfId="0" applyNumberFormat="1" applyFont="1" applyFill="1" applyBorder="1" applyAlignment="1">
      <alignment horizontal="center"/>
    </xf>
    <xf numFmtId="1" fontId="29" fillId="23" borderId="0" xfId="0" applyNumberFormat="1" applyFont="1" applyFill="1"/>
    <xf numFmtId="196" fontId="8" fillId="23" borderId="0" xfId="0" applyNumberFormat="1" applyFont="1" applyFill="1" applyBorder="1" applyAlignment="1">
      <alignment horizontal="center"/>
    </xf>
    <xf numFmtId="197" fontId="8" fillId="23" borderId="0" xfId="0" applyNumberFormat="1" applyFont="1" applyFill="1" applyBorder="1" applyAlignment="1">
      <alignment horizontal="center"/>
    </xf>
    <xf numFmtId="197" fontId="8" fillId="23" borderId="0" xfId="0" applyNumberFormat="1" applyFont="1" applyFill="1" applyAlignment="1">
      <alignment horizontal="center"/>
    </xf>
    <xf numFmtId="199" fontId="12" fillId="23" borderId="0" xfId="0" applyNumberFormat="1" applyFont="1" applyFill="1" applyBorder="1" applyAlignment="1">
      <alignment horizontal="center"/>
    </xf>
    <xf numFmtId="181" fontId="12" fillId="23" borderId="0" xfId="0" applyNumberFormat="1" applyFont="1" applyFill="1" applyAlignment="1">
      <alignment horizontal="center"/>
    </xf>
    <xf numFmtId="181" fontId="12" fillId="23" borderId="2" xfId="0" applyNumberFormat="1" applyFont="1" applyFill="1" applyBorder="1" applyAlignment="1">
      <alignment horizontal="center"/>
    </xf>
    <xf numFmtId="181" fontId="12" fillId="23" borderId="0" xfId="0" applyNumberFormat="1" applyFont="1" applyFill="1" applyBorder="1" applyAlignment="1">
      <alignment horizontal="center"/>
    </xf>
    <xf numFmtId="181" fontId="26" fillId="23" borderId="0" xfId="0" applyNumberFormat="1" applyFont="1" applyFill="1" applyAlignment="1">
      <alignment horizontal="center"/>
    </xf>
    <xf numFmtId="181" fontId="26" fillId="23" borderId="2" xfId="0" applyNumberFormat="1" applyFont="1" applyFill="1" applyBorder="1" applyAlignment="1">
      <alignment horizontal="center"/>
    </xf>
    <xf numFmtId="181" fontId="8" fillId="23" borderId="2" xfId="0" applyNumberFormat="1" applyFont="1" applyFill="1" applyBorder="1" applyAlignment="1">
      <alignment horizontal="center"/>
    </xf>
    <xf numFmtId="165" fontId="87" fillId="23" borderId="2" xfId="0" applyNumberFormat="1" applyFont="1" applyFill="1" applyBorder="1"/>
    <xf numFmtId="181" fontId="8" fillId="23" borderId="0" xfId="0" applyNumberFormat="1" applyFont="1" applyFill="1" applyAlignment="1">
      <alignment horizontal="center"/>
    </xf>
    <xf numFmtId="204" fontId="8" fillId="23" borderId="0" xfId="0" applyNumberFormat="1" applyFont="1" applyFill="1" applyBorder="1" applyAlignment="1">
      <alignment horizontal="right"/>
    </xf>
    <xf numFmtId="199" fontId="8" fillId="23" borderId="0" xfId="0" applyNumberFormat="1" applyFont="1" applyFill="1" applyAlignment="1">
      <alignment horizontal="right"/>
    </xf>
    <xf numFmtId="199" fontId="8" fillId="23" borderId="2" xfId="0" applyNumberFormat="1" applyFont="1" applyFill="1" applyBorder="1" applyAlignment="1">
      <alignment horizontal="right"/>
    </xf>
    <xf numFmtId="199" fontId="8" fillId="23" borderId="0" xfId="0" applyNumberFormat="1" applyFont="1" applyFill="1" applyBorder="1" applyAlignment="1">
      <alignment horizontal="right"/>
    </xf>
    <xf numFmtId="204" fontId="12" fillId="23" borderId="0" xfId="0" applyNumberFormat="1" applyFont="1" applyFill="1" applyBorder="1" applyAlignment="1">
      <alignment horizontal="right"/>
    </xf>
    <xf numFmtId="170" fontId="8" fillId="23" borderId="0" xfId="0" applyNumberFormat="1" applyFont="1" applyFill="1" applyBorder="1"/>
    <xf numFmtId="170" fontId="87" fillId="23" borderId="0" xfId="0" applyNumberFormat="1" applyFont="1" applyFill="1" applyBorder="1"/>
    <xf numFmtId="0" fontId="114" fillId="23" borderId="0" xfId="0" applyFont="1" applyFill="1"/>
    <xf numFmtId="204" fontId="12" fillId="23" borderId="2" xfId="0" applyNumberFormat="1" applyFont="1" applyFill="1" applyBorder="1" applyAlignment="1">
      <alignment horizontal="right"/>
    </xf>
    <xf numFmtId="37" fontId="4" fillId="23" borderId="0" xfId="70" applyNumberFormat="1" applyFont="1" applyFill="1" applyAlignment="1">
      <alignment horizontal="center"/>
    </xf>
    <xf numFmtId="0" fontId="4" fillId="16" borderId="0" xfId="70" applyNumberFormat="1" applyFont="1" applyFill="1" applyAlignment="1">
      <alignment horizontal="right"/>
    </xf>
    <xf numFmtId="6" fontId="4" fillId="23" borderId="0" xfId="53" applyNumberFormat="1" applyFont="1" applyFill="1" applyAlignment="1" applyProtection="1">
      <alignment horizontal="center"/>
    </xf>
    <xf numFmtId="188" fontId="111" fillId="16" borderId="0" xfId="74" applyNumberFormat="1" applyFont="1" applyFill="1" applyAlignment="1">
      <alignment horizontal="center"/>
    </xf>
    <xf numFmtId="212" fontId="8" fillId="23" borderId="0" xfId="37" applyNumberFormat="1" applyFont="1" applyFill="1"/>
    <xf numFmtId="181" fontId="153" fillId="24" borderId="0" xfId="0" applyNumberFormat="1" applyFont="1" applyFill="1"/>
    <xf numFmtId="181" fontId="153" fillId="24" borderId="2" xfId="0" applyNumberFormat="1" applyFont="1" applyFill="1" applyBorder="1"/>
    <xf numFmtId="0" fontId="40" fillId="23" borderId="0" xfId="0" applyFont="1" applyFill="1" applyBorder="1"/>
    <xf numFmtId="0" fontId="40" fillId="23" borderId="0" xfId="0" applyFont="1" applyFill="1"/>
    <xf numFmtId="167" fontId="40" fillId="23" borderId="0" xfId="0" applyNumberFormat="1" applyFont="1" applyFill="1" applyBorder="1" applyProtection="1"/>
    <xf numFmtId="164" fontId="40" fillId="23" borderId="0" xfId="0" applyNumberFormat="1" applyFont="1" applyFill="1" applyBorder="1"/>
    <xf numFmtId="164" fontId="40" fillId="23" borderId="0" xfId="0" applyNumberFormat="1" applyFont="1" applyFill="1"/>
    <xf numFmtId="169" fontId="40" fillId="23" borderId="0" xfId="0" applyNumberFormat="1" applyFont="1" applyFill="1" applyBorder="1"/>
    <xf numFmtId="0" fontId="88" fillId="23" borderId="0" xfId="0" applyFont="1" applyFill="1"/>
    <xf numFmtId="0" fontId="39" fillId="23" borderId="0" xfId="60" applyFont="1" applyFill="1" applyAlignment="1">
      <alignment horizontal="left"/>
    </xf>
    <xf numFmtId="0" fontId="39" fillId="23" borderId="0" xfId="60" applyFont="1" applyFill="1"/>
    <xf numFmtId="0" fontId="39" fillId="23" borderId="0" xfId="60" applyFont="1" applyFill="1" applyBorder="1"/>
    <xf numFmtId="0" fontId="41" fillId="23" borderId="2" xfId="60" applyFont="1" applyFill="1" applyBorder="1"/>
    <xf numFmtId="0" fontId="39" fillId="23" borderId="2" xfId="60" applyFont="1" applyFill="1" applyBorder="1" applyAlignment="1">
      <alignment horizontal="left"/>
    </xf>
    <xf numFmtId="0" fontId="39" fillId="23" borderId="2" xfId="60" applyFont="1" applyFill="1" applyBorder="1"/>
    <xf numFmtId="5" fontId="39" fillId="23" borderId="0" xfId="60" applyNumberFormat="1" applyFont="1" applyFill="1" applyAlignment="1">
      <alignment horizontal="left"/>
    </xf>
    <xf numFmtId="7" fontId="39" fillId="23" borderId="0" xfId="60" applyNumberFormat="1" applyFont="1" applyFill="1" applyBorder="1"/>
    <xf numFmtId="15" fontId="39" fillId="23" borderId="0" xfId="60" applyNumberFormat="1" applyFont="1" applyFill="1"/>
    <xf numFmtId="0" fontId="88" fillId="23" borderId="0" xfId="60" applyFont="1" applyFill="1" applyBorder="1" applyAlignment="1">
      <alignment horizontal="centerContinuous"/>
    </xf>
    <xf numFmtId="0" fontId="88" fillId="23" borderId="2" xfId="60" applyFont="1" applyFill="1" applyBorder="1" applyAlignment="1">
      <alignment horizontal="centerContinuous"/>
    </xf>
    <xf numFmtId="0" fontId="88" fillId="23" borderId="2" xfId="60" applyFont="1" applyFill="1" applyBorder="1" applyAlignment="1">
      <alignment horizontal="center"/>
    </xf>
    <xf numFmtId="0" fontId="88" fillId="23" borderId="2" xfId="60" applyFont="1" applyFill="1" applyBorder="1" applyAlignment="1"/>
    <xf numFmtId="0" fontId="88" fillId="23" borderId="0" xfId="60" applyFont="1" applyFill="1" applyBorder="1" applyAlignment="1"/>
    <xf numFmtId="7" fontId="88" fillId="23" borderId="2" xfId="60" applyNumberFormat="1" applyFont="1" applyFill="1" applyBorder="1" applyAlignment="1">
      <alignment horizontal="centerContinuous"/>
    </xf>
    <xf numFmtId="0" fontId="88" fillId="23" borderId="0" xfId="60" applyFont="1" applyFill="1" applyBorder="1" applyAlignment="1">
      <alignment horizontal="left"/>
    </xf>
    <xf numFmtId="0" fontId="39" fillId="23" borderId="0" xfId="60" applyNumberFormat="1" applyFont="1" applyFill="1"/>
    <xf numFmtId="0" fontId="39" fillId="23" borderId="0" xfId="74" quotePrefix="1" applyNumberFormat="1" applyFont="1" applyFill="1" applyBorder="1" applyAlignment="1">
      <alignment horizontal="centerContinuous"/>
    </xf>
    <xf numFmtId="0" fontId="38" fillId="23" borderId="2" xfId="74" applyNumberFormat="1" applyFont="1" applyFill="1" applyBorder="1" applyAlignment="1">
      <alignment horizontal="centerContinuous"/>
    </xf>
    <xf numFmtId="0" fontId="40" fillId="23" borderId="2" xfId="74" applyNumberFormat="1" applyFont="1" applyFill="1" applyBorder="1" applyAlignment="1">
      <alignment horizontal="centerContinuous"/>
    </xf>
    <xf numFmtId="0" fontId="40" fillId="23" borderId="0" xfId="74" applyNumberFormat="1" applyFont="1" applyFill="1" applyBorder="1" applyAlignment="1">
      <alignment horizontal="centerContinuous"/>
    </xf>
    <xf numFmtId="0" fontId="39" fillId="23" borderId="2" xfId="74" applyNumberFormat="1" applyFont="1" applyFill="1" applyBorder="1" applyAlignment="1">
      <alignment horizontal="centerContinuous"/>
    </xf>
    <xf numFmtId="0" fontId="40" fillId="23" borderId="6" xfId="74" applyNumberFormat="1" applyFont="1" applyFill="1" applyBorder="1" applyAlignment="1">
      <alignment horizontal="centerContinuous"/>
    </xf>
    <xf numFmtId="0" fontId="40" fillId="23" borderId="17" xfId="74" applyNumberFormat="1" applyFont="1" applyFill="1" applyBorder="1" applyAlignment="1">
      <alignment horizontal="centerContinuous"/>
    </xf>
    <xf numFmtId="0" fontId="39" fillId="23" borderId="6" xfId="74" applyNumberFormat="1" applyFont="1" applyFill="1" applyBorder="1" applyAlignment="1">
      <alignment horizontal="centerContinuous"/>
    </xf>
    <xf numFmtId="0" fontId="41" fillId="23" borderId="0" xfId="85" applyNumberFormat="1" applyFont="1" applyFill="1" applyBorder="1" applyAlignment="1">
      <alignment horizontal="center"/>
    </xf>
    <xf numFmtId="0" fontId="38" fillId="23" borderId="7" xfId="85" applyNumberFormat="1" applyFont="1" applyFill="1" applyBorder="1" applyAlignment="1">
      <alignment horizontal="center"/>
    </xf>
    <xf numFmtId="0" fontId="38" fillId="23" borderId="17" xfId="85" applyNumberFormat="1" applyFont="1" applyFill="1" applyBorder="1" applyAlignment="1">
      <alignment horizontal="center"/>
    </xf>
    <xf numFmtId="239" fontId="38" fillId="23" borderId="17" xfId="85" applyNumberFormat="1" applyFont="1" applyFill="1" applyBorder="1" applyAlignment="1">
      <alignment horizontal="center"/>
    </xf>
    <xf numFmtId="0" fontId="41" fillId="23" borderId="17" xfId="85" applyNumberFormat="1" applyFont="1" applyFill="1" applyBorder="1" applyAlignment="1">
      <alignment horizontal="center"/>
    </xf>
    <xf numFmtId="0" fontId="41" fillId="23" borderId="40" xfId="85" applyNumberFormat="1" applyFont="1" applyFill="1" applyBorder="1" applyAlignment="1">
      <alignment horizontal="center"/>
    </xf>
    <xf numFmtId="0" fontId="116" fillId="23" borderId="0" xfId="60" applyFont="1" applyFill="1"/>
    <xf numFmtId="169" fontId="116" fillId="23" borderId="0" xfId="85" applyFont="1" applyFill="1" applyAlignment="1">
      <alignment horizontal="center"/>
    </xf>
    <xf numFmtId="169" fontId="117" fillId="23" borderId="0" xfId="85" applyFont="1" applyFill="1" applyAlignment="1">
      <alignment horizontal="center"/>
    </xf>
    <xf numFmtId="169" fontId="61" fillId="23" borderId="0" xfId="85" applyFont="1" applyFill="1" applyAlignment="1">
      <alignment horizontal="center"/>
    </xf>
    <xf numFmtId="169" fontId="116" fillId="23" borderId="0" xfId="85" applyFont="1" applyFill="1" applyBorder="1" applyAlignment="1">
      <alignment horizontal="center"/>
    </xf>
    <xf numFmtId="169" fontId="117" fillId="23" borderId="0" xfId="85" applyFont="1" applyFill="1" applyBorder="1" applyAlignment="1">
      <alignment horizontal="center"/>
    </xf>
    <xf numFmtId="169" fontId="61" fillId="23" borderId="1" xfId="85" applyFont="1" applyFill="1" applyBorder="1" applyAlignment="1">
      <alignment horizontal="center"/>
    </xf>
    <xf numFmtId="169" fontId="61" fillId="23" borderId="0" xfId="85" applyFont="1" applyFill="1" applyBorder="1" applyAlignment="1">
      <alignment horizontal="center"/>
    </xf>
    <xf numFmtId="169" fontId="61" fillId="23" borderId="41" xfId="85" applyFont="1" applyFill="1" applyBorder="1" applyAlignment="1">
      <alignment horizontal="center"/>
    </xf>
    <xf numFmtId="169" fontId="118" fillId="23" borderId="0" xfId="85" applyFont="1" applyFill="1" applyAlignment="1">
      <alignment horizontal="center"/>
    </xf>
    <xf numFmtId="0" fontId="39" fillId="23" borderId="1" xfId="60" applyFont="1" applyFill="1" applyBorder="1"/>
    <xf numFmtId="5" fontId="39" fillId="23" borderId="1" xfId="60" applyNumberFormat="1" applyFont="1" applyFill="1" applyBorder="1"/>
    <xf numFmtId="5" fontId="39" fillId="23" borderId="0" xfId="60" applyNumberFormat="1" applyFont="1" applyFill="1" applyBorder="1"/>
    <xf numFmtId="5" fontId="39" fillId="23" borderId="41" xfId="60" applyNumberFormat="1" applyFont="1" applyFill="1" applyBorder="1"/>
    <xf numFmtId="5" fontId="39" fillId="23" borderId="0" xfId="60" applyNumberFormat="1" applyFont="1" applyFill="1"/>
    <xf numFmtId="5" fontId="39" fillId="23" borderId="0" xfId="60" applyNumberFormat="1" applyFont="1" applyFill="1" applyAlignment="1">
      <alignment horizontal="right"/>
    </xf>
    <xf numFmtId="5" fontId="39" fillId="23" borderId="0" xfId="60" applyNumberFormat="1" applyFont="1" applyFill="1" applyBorder="1" applyAlignment="1">
      <alignment horizontal="right"/>
    </xf>
    <xf numFmtId="5" fontId="39" fillId="23" borderId="1" xfId="60" applyNumberFormat="1" applyFont="1" applyFill="1" applyBorder="1" applyAlignment="1">
      <alignment horizontal="right"/>
    </xf>
    <xf numFmtId="172" fontId="39" fillId="23" borderId="1" xfId="60" applyNumberFormat="1" applyFont="1" applyFill="1" applyBorder="1" applyAlignment="1">
      <alignment horizontal="right"/>
    </xf>
    <xf numFmtId="172" fontId="39" fillId="23" borderId="0" xfId="60" applyNumberFormat="1" applyFont="1" applyFill="1" applyBorder="1" applyAlignment="1">
      <alignment horizontal="right"/>
    </xf>
    <xf numFmtId="5" fontId="39" fillId="23" borderId="41" xfId="60" applyNumberFormat="1" applyFont="1" applyFill="1" applyBorder="1" applyAlignment="1">
      <alignment horizontal="right"/>
    </xf>
    <xf numFmtId="9" fontId="40" fillId="23" borderId="0" xfId="74" applyFont="1" applyFill="1"/>
    <xf numFmtId="0" fontId="8" fillId="23" borderId="1" xfId="0" applyFont="1" applyFill="1" applyBorder="1"/>
    <xf numFmtId="0" fontId="8" fillId="23" borderId="41" xfId="0" applyFont="1" applyFill="1" applyBorder="1"/>
    <xf numFmtId="37" fontId="39" fillId="23" borderId="0" xfId="60" applyNumberFormat="1" applyFont="1" applyFill="1"/>
    <xf numFmtId="37" fontId="39" fillId="23" borderId="0" xfId="60" applyNumberFormat="1" applyFont="1" applyFill="1" applyBorder="1"/>
    <xf numFmtId="37" fontId="39" fillId="23" borderId="1" xfId="60" applyNumberFormat="1" applyFont="1" applyFill="1" applyBorder="1"/>
    <xf numFmtId="37" fontId="39" fillId="23" borderId="41" xfId="60" applyNumberFormat="1" applyFont="1" applyFill="1" applyBorder="1"/>
    <xf numFmtId="37" fontId="52" fillId="23" borderId="0" xfId="60" applyNumberFormat="1" applyFont="1" applyFill="1"/>
    <xf numFmtId="37" fontId="52" fillId="23" borderId="1" xfId="60" applyNumberFormat="1" applyFont="1" applyFill="1" applyBorder="1"/>
    <xf numFmtId="37" fontId="52" fillId="23" borderId="0" xfId="60" applyNumberFormat="1" applyFont="1" applyFill="1" applyBorder="1"/>
    <xf numFmtId="37" fontId="52" fillId="23" borderId="41" xfId="60" applyNumberFormat="1" applyFont="1" applyFill="1" applyBorder="1"/>
    <xf numFmtId="37" fontId="50" fillId="23" borderId="0" xfId="60" applyNumberFormat="1" applyFont="1" applyFill="1" applyAlignment="1">
      <alignment horizontal="left" indent="1"/>
    </xf>
    <xf numFmtId="37" fontId="50" fillId="23" borderId="0" xfId="60" applyNumberFormat="1" applyFont="1" applyFill="1"/>
    <xf numFmtId="37" fontId="50" fillId="23" borderId="0" xfId="60" applyNumberFormat="1" applyFont="1" applyFill="1" applyBorder="1"/>
    <xf numFmtId="37" fontId="50" fillId="23" borderId="1" xfId="60" applyNumberFormat="1" applyFont="1" applyFill="1" applyBorder="1"/>
    <xf numFmtId="37" fontId="50" fillId="23" borderId="41" xfId="60" applyNumberFormat="1" applyFont="1" applyFill="1" applyBorder="1"/>
    <xf numFmtId="0" fontId="50" fillId="23" borderId="0" xfId="0" applyFont="1" applyFill="1"/>
    <xf numFmtId="0" fontId="82" fillId="23" borderId="0" xfId="0" applyFont="1" applyFill="1"/>
    <xf numFmtId="2" fontId="39" fillId="23" borderId="0" xfId="60" applyNumberFormat="1" applyFont="1" applyFill="1"/>
    <xf numFmtId="2" fontId="39" fillId="23" borderId="0" xfId="60" applyNumberFormat="1" applyFont="1" applyFill="1" applyBorder="1"/>
    <xf numFmtId="2" fontId="39" fillId="23" borderId="1" xfId="60" applyNumberFormat="1" applyFont="1" applyFill="1" applyBorder="1"/>
    <xf numFmtId="2" fontId="39" fillId="23" borderId="41" xfId="60" applyNumberFormat="1" applyFont="1" applyFill="1" applyBorder="1"/>
    <xf numFmtId="187" fontId="39" fillId="23" borderId="0" xfId="60" applyNumberFormat="1" applyFont="1" applyFill="1"/>
    <xf numFmtId="187" fontId="39" fillId="23" borderId="0" xfId="60" applyNumberFormat="1" applyFont="1" applyFill="1" applyBorder="1"/>
    <xf numFmtId="187" fontId="39" fillId="23" borderId="1" xfId="60" applyNumberFormat="1" applyFont="1" applyFill="1" applyBorder="1"/>
    <xf numFmtId="187" fontId="39" fillId="23" borderId="41" xfId="60" applyNumberFormat="1" applyFont="1" applyFill="1" applyBorder="1"/>
    <xf numFmtId="5" fontId="39" fillId="23" borderId="21" xfId="60" applyNumberFormat="1" applyFont="1" applyFill="1" applyBorder="1"/>
    <xf numFmtId="5" fontId="39" fillId="23" borderId="6" xfId="60" applyNumberFormat="1" applyFont="1" applyFill="1" applyBorder="1" applyAlignment="1">
      <alignment horizontal="right"/>
    </xf>
    <xf numFmtId="7" fontId="39" fillId="23" borderId="6" xfId="60" applyNumberFormat="1" applyFont="1" applyFill="1" applyBorder="1" applyAlignment="1">
      <alignment horizontal="right"/>
    </xf>
    <xf numFmtId="7" fontId="39" fillId="23" borderId="21" xfId="60" applyNumberFormat="1" applyFont="1" applyFill="1" applyBorder="1" applyAlignment="1">
      <alignment horizontal="right"/>
    </xf>
    <xf numFmtId="7" fontId="39" fillId="23" borderId="31" xfId="60" applyNumberFormat="1" applyFont="1" applyFill="1" applyBorder="1" applyAlignment="1">
      <alignment horizontal="right"/>
    </xf>
    <xf numFmtId="7" fontId="40" fillId="23" borderId="0" xfId="0" applyNumberFormat="1" applyFont="1" applyFill="1"/>
    <xf numFmtId="167" fontId="39" fillId="23" borderId="0" xfId="60" applyNumberFormat="1" applyFont="1" applyFill="1"/>
    <xf numFmtId="167" fontId="39" fillId="23" borderId="0" xfId="60" applyNumberFormat="1" applyFont="1" applyFill="1" applyAlignment="1">
      <alignment horizontal="right"/>
    </xf>
    <xf numFmtId="167" fontId="39" fillId="23" borderId="0" xfId="60" applyNumberFormat="1" applyFont="1" applyFill="1" applyBorder="1" applyAlignment="1">
      <alignment horizontal="right"/>
    </xf>
    <xf numFmtId="167" fontId="39" fillId="23" borderId="1" xfId="60" applyNumberFormat="1" applyFont="1" applyFill="1" applyBorder="1" applyAlignment="1">
      <alignment horizontal="right"/>
    </xf>
    <xf numFmtId="167" fontId="39" fillId="23" borderId="41" xfId="60" applyNumberFormat="1" applyFont="1" applyFill="1" applyBorder="1" applyAlignment="1">
      <alignment horizontal="right"/>
    </xf>
    <xf numFmtId="0" fontId="115" fillId="23" borderId="6" xfId="58" applyFont="1" applyFill="1" applyBorder="1"/>
    <xf numFmtId="0" fontId="11" fillId="23" borderId="0" xfId="81" applyFont="1" applyFill="1" applyBorder="1" applyAlignment="1"/>
    <xf numFmtId="0" fontId="8" fillId="23" borderId="0" xfId="81" applyFont="1" applyFill="1" applyBorder="1" applyAlignment="1"/>
    <xf numFmtId="167" fontId="39" fillId="23" borderId="2" xfId="60" applyNumberFormat="1" applyFont="1" applyFill="1" applyBorder="1" applyAlignment="1">
      <alignment horizontal="right"/>
    </xf>
    <xf numFmtId="167" fontId="39" fillId="23" borderId="42" xfId="60" applyNumberFormat="1" applyFont="1" applyFill="1" applyBorder="1" applyAlignment="1">
      <alignment horizontal="right"/>
    </xf>
    <xf numFmtId="0" fontId="11" fillId="23" borderId="0" xfId="81" applyFont="1" applyFill="1" applyAlignment="1"/>
    <xf numFmtId="39" fontId="8" fillId="23" borderId="0" xfId="81" applyNumberFormat="1" applyFont="1" applyFill="1" applyAlignment="1"/>
    <xf numFmtId="168" fontId="8" fillId="23" borderId="0" xfId="81" applyNumberFormat="1" applyFont="1" applyFill="1" applyAlignment="1">
      <alignment horizontal="left"/>
    </xf>
    <xf numFmtId="0" fontId="8" fillId="23" borderId="0" xfId="81" applyFont="1" applyFill="1" applyAlignment="1"/>
    <xf numFmtId="0" fontId="25" fillId="23" borderId="0" xfId="81" applyFont="1" applyFill="1" applyAlignment="1"/>
    <xf numFmtId="9" fontId="39" fillId="23" borderId="0" xfId="74" applyFont="1" applyFill="1" applyAlignment="1">
      <alignment horizontal="right"/>
    </xf>
    <xf numFmtId="9" fontId="119" fillId="23" borderId="0" xfId="74" applyFont="1" applyFill="1" applyAlignment="1">
      <alignment horizontal="right"/>
    </xf>
    <xf numFmtId="9" fontId="39" fillId="23" borderId="0" xfId="74" applyFont="1" applyFill="1" applyBorder="1" applyAlignment="1">
      <alignment horizontal="right"/>
    </xf>
    <xf numFmtId="9" fontId="39" fillId="23" borderId="1" xfId="74" applyFont="1" applyFill="1" applyBorder="1" applyAlignment="1">
      <alignment horizontal="right"/>
    </xf>
    <xf numFmtId="167" fontId="8" fillId="23" borderId="0" xfId="81" applyNumberFormat="1" applyFont="1" applyFill="1" applyAlignment="1" applyProtection="1"/>
    <xf numFmtId="172" fontId="39" fillId="23" borderId="0" xfId="60" applyNumberFormat="1" applyFont="1" applyFill="1" applyAlignment="1">
      <alignment horizontal="right"/>
    </xf>
    <xf numFmtId="10" fontId="39" fillId="23" borderId="0" xfId="60" applyNumberFormat="1" applyFont="1" applyFill="1"/>
    <xf numFmtId="0" fontId="39" fillId="23" borderId="41" xfId="60" applyFont="1" applyFill="1" applyBorder="1"/>
    <xf numFmtId="166" fontId="39" fillId="23" borderId="0" xfId="74" applyNumberFormat="1" applyFont="1" applyFill="1"/>
    <xf numFmtId="10" fontId="39" fillId="23" borderId="0" xfId="60" applyNumberFormat="1" applyFont="1" applyFill="1" applyBorder="1"/>
    <xf numFmtId="166" fontId="39" fillId="23" borderId="0" xfId="60" applyNumberFormat="1" applyFont="1" applyFill="1" applyAlignment="1">
      <alignment horizontal="right"/>
    </xf>
    <xf numFmtId="166" fontId="39" fillId="23" borderId="0" xfId="74" applyNumberFormat="1" applyFont="1" applyFill="1" applyBorder="1" applyAlignment="1">
      <alignment horizontal="right"/>
    </xf>
    <xf numFmtId="166" fontId="39" fillId="23" borderId="1" xfId="74" applyNumberFormat="1" applyFont="1" applyFill="1" applyBorder="1" applyAlignment="1">
      <alignment horizontal="right"/>
    </xf>
    <xf numFmtId="166" fontId="39" fillId="23" borderId="41" xfId="74" applyNumberFormat="1" applyFont="1" applyFill="1" applyBorder="1" applyAlignment="1">
      <alignment horizontal="right"/>
    </xf>
    <xf numFmtId="166" fontId="40" fillId="23" borderId="0" xfId="0" applyNumberFormat="1" applyFont="1" applyFill="1"/>
    <xf numFmtId="166" fontId="39" fillId="23" borderId="0" xfId="74" applyNumberFormat="1" applyFont="1" applyFill="1" applyAlignment="1">
      <alignment horizontal="right"/>
    </xf>
    <xf numFmtId="166" fontId="40" fillId="23" borderId="0" xfId="74" applyNumberFormat="1" applyFont="1" applyFill="1"/>
    <xf numFmtId="166" fontId="39" fillId="23" borderId="0" xfId="60" applyNumberFormat="1" applyFont="1" applyFill="1"/>
    <xf numFmtId="166" fontId="39" fillId="23" borderId="0" xfId="60" applyNumberFormat="1" applyFont="1" applyFill="1" applyBorder="1"/>
    <xf numFmtId="166" fontId="39" fillId="23" borderId="1" xfId="60" applyNumberFormat="1" applyFont="1" applyFill="1" applyBorder="1"/>
    <xf numFmtId="166" fontId="39" fillId="23" borderId="41" xfId="60" applyNumberFormat="1" applyFont="1" applyFill="1" applyBorder="1"/>
    <xf numFmtId="188" fontId="39" fillId="23" borderId="0" xfId="66" applyNumberFormat="1" applyFont="1" applyFill="1" applyAlignment="1">
      <alignment horizontal="right"/>
    </xf>
    <xf numFmtId="166" fontId="39" fillId="23" borderId="0" xfId="66" applyNumberFormat="1" applyFont="1" applyFill="1" applyAlignment="1">
      <alignment horizontal="right"/>
    </xf>
    <xf numFmtId="166" fontId="39" fillId="23" borderId="0" xfId="66" applyNumberFormat="1" applyFont="1" applyFill="1" applyBorder="1" applyAlignment="1">
      <alignment horizontal="right"/>
    </xf>
    <xf numFmtId="169" fontId="39" fillId="23" borderId="0" xfId="37" applyNumberFormat="1" applyFont="1" applyFill="1" applyAlignment="1">
      <alignment horizontal="right"/>
    </xf>
    <xf numFmtId="188" fontId="120" fillId="23" borderId="0" xfId="74" applyNumberFormat="1" applyFont="1" applyFill="1" applyAlignment="1">
      <alignment horizontal="right"/>
    </xf>
    <xf numFmtId="188" fontId="120" fillId="23" borderId="0" xfId="74" applyNumberFormat="1" applyFont="1" applyFill="1" applyBorder="1" applyAlignment="1">
      <alignment horizontal="right"/>
    </xf>
    <xf numFmtId="188" fontId="40" fillId="23" borderId="1" xfId="74" applyNumberFormat="1" applyFont="1" applyFill="1" applyBorder="1" applyAlignment="1">
      <alignment horizontal="right"/>
    </xf>
    <xf numFmtId="188" fontId="120" fillId="23" borderId="1" xfId="74" applyNumberFormat="1" applyFont="1" applyFill="1" applyBorder="1" applyAlignment="1">
      <alignment horizontal="right"/>
    </xf>
    <xf numFmtId="167" fontId="39" fillId="23" borderId="0" xfId="60" applyNumberFormat="1" applyFont="1" applyFill="1" applyAlignment="1">
      <alignment horizontal="left" indent="1"/>
    </xf>
    <xf numFmtId="166" fontId="120" fillId="23" borderId="0" xfId="74" applyNumberFormat="1" applyFont="1" applyFill="1" applyAlignment="1">
      <alignment horizontal="right"/>
    </xf>
    <xf numFmtId="166" fontId="40" fillId="23" borderId="0" xfId="74" applyNumberFormat="1" applyFont="1" applyFill="1" applyAlignment="1">
      <alignment horizontal="right"/>
    </xf>
    <xf numFmtId="188" fontId="40" fillId="23" borderId="0" xfId="74" applyNumberFormat="1" applyFont="1" applyFill="1" applyAlignment="1">
      <alignment horizontal="right"/>
    </xf>
    <xf numFmtId="167" fontId="39" fillId="23" borderId="0" xfId="60" applyNumberFormat="1" applyFont="1" applyFill="1" applyBorder="1"/>
    <xf numFmtId="166" fontId="39" fillId="23" borderId="0" xfId="60" applyNumberFormat="1" applyFont="1" applyFill="1" applyBorder="1" applyAlignment="1">
      <alignment horizontal="right"/>
    </xf>
    <xf numFmtId="166" fontId="54" fillId="23" borderId="0" xfId="74" applyNumberFormat="1" applyFont="1" applyFill="1" applyBorder="1" applyAlignment="1">
      <alignment horizontal="right"/>
    </xf>
    <xf numFmtId="166" fontId="39" fillId="23" borderId="2" xfId="74" applyNumberFormat="1" applyFont="1" applyFill="1" applyBorder="1" applyAlignment="1">
      <alignment horizontal="right"/>
    </xf>
    <xf numFmtId="166" fontId="39" fillId="23" borderId="42" xfId="74" applyNumberFormat="1" applyFont="1" applyFill="1" applyBorder="1" applyAlignment="1">
      <alignment horizontal="right"/>
    </xf>
    <xf numFmtId="188" fontId="40" fillId="23" borderId="42" xfId="74" applyNumberFormat="1" applyFont="1" applyFill="1" applyBorder="1" applyAlignment="1">
      <alignment horizontal="right"/>
    </xf>
    <xf numFmtId="188" fontId="40" fillId="23" borderId="2" xfId="74" applyNumberFormat="1" applyFont="1" applyFill="1" applyBorder="1" applyAlignment="1">
      <alignment horizontal="right"/>
    </xf>
    <xf numFmtId="188" fontId="40" fillId="23" borderId="43" xfId="74" applyNumberFormat="1" applyFont="1" applyFill="1" applyBorder="1" applyAlignment="1">
      <alignment horizontal="right"/>
    </xf>
    <xf numFmtId="167" fontId="39" fillId="23" borderId="0" xfId="60" applyNumberFormat="1" applyFont="1" applyFill="1" applyBorder="1" applyAlignment="1">
      <alignment horizontal="centerContinuous"/>
    </xf>
    <xf numFmtId="167" fontId="39" fillId="23" borderId="0" xfId="60" applyNumberFormat="1" applyFont="1" applyFill="1" applyAlignment="1">
      <alignment horizontal="centerContinuous"/>
    </xf>
    <xf numFmtId="167" fontId="39" fillId="23" borderId="0" xfId="60" quotePrefix="1" applyNumberFormat="1" applyFont="1" applyFill="1" applyBorder="1" applyAlignment="1">
      <alignment horizontal="centerContinuous"/>
    </xf>
    <xf numFmtId="0" fontId="39" fillId="23" borderId="0" xfId="60" applyNumberFormat="1" applyFont="1" applyFill="1" applyBorder="1"/>
    <xf numFmtId="0" fontId="39" fillId="23" borderId="2" xfId="60" applyNumberFormat="1" applyFont="1" applyFill="1" applyBorder="1"/>
    <xf numFmtId="0" fontId="116" fillId="23" borderId="7" xfId="60" applyFont="1" applyFill="1" applyBorder="1"/>
    <xf numFmtId="0" fontId="116" fillId="23" borderId="17" xfId="60" applyFont="1" applyFill="1" applyBorder="1"/>
    <xf numFmtId="0" fontId="40" fillId="23" borderId="17" xfId="0" applyFont="1" applyFill="1" applyBorder="1"/>
    <xf numFmtId="0" fontId="116" fillId="23" borderId="17" xfId="60" applyFont="1" applyFill="1" applyBorder="1" applyAlignment="1">
      <alignment horizontal="right"/>
    </xf>
    <xf numFmtId="0" fontId="8" fillId="23" borderId="17" xfId="0" applyFont="1" applyFill="1" applyBorder="1"/>
    <xf numFmtId="246" fontId="116" fillId="23" borderId="17" xfId="60" applyNumberFormat="1" applyFont="1" applyFill="1" applyBorder="1" applyAlignment="1">
      <alignment horizontal="right"/>
    </xf>
    <xf numFmtId="0" fontId="116" fillId="23" borderId="40" xfId="60" applyFont="1" applyFill="1" applyBorder="1" applyAlignment="1">
      <alignment horizontal="right"/>
    </xf>
    <xf numFmtId="0" fontId="116" fillId="23" borderId="0" xfId="60" applyFont="1" applyFill="1" applyBorder="1" applyAlignment="1">
      <alignment horizontal="right"/>
    </xf>
    <xf numFmtId="0" fontId="116" fillId="23" borderId="1" xfId="60" applyFont="1" applyFill="1" applyBorder="1"/>
    <xf numFmtId="172" fontId="39" fillId="23" borderId="1" xfId="60" applyNumberFormat="1" applyFont="1" applyFill="1" applyBorder="1" applyAlignment="1">
      <alignment horizontal="left"/>
    </xf>
    <xf numFmtId="172" fontId="39" fillId="23" borderId="0" xfId="60" applyNumberFormat="1" applyFont="1" applyFill="1" applyBorder="1" applyAlignment="1">
      <alignment horizontal="left"/>
    </xf>
    <xf numFmtId="39" fontId="39" fillId="23" borderId="0" xfId="60" applyNumberFormat="1" applyFont="1" applyFill="1" applyBorder="1" applyAlignment="1">
      <alignment horizontal="right"/>
    </xf>
    <xf numFmtId="39" fontId="39" fillId="23" borderId="0" xfId="60" quotePrefix="1" applyNumberFormat="1" applyFont="1" applyFill="1" applyBorder="1" applyAlignment="1">
      <alignment horizontal="right"/>
    </xf>
    <xf numFmtId="37" fontId="39" fillId="23" borderId="0" xfId="60" applyNumberFormat="1" applyFont="1" applyFill="1" applyBorder="1" applyAlignment="1">
      <alignment horizontal="right"/>
    </xf>
    <xf numFmtId="39" fontId="39" fillId="23" borderId="41" xfId="60" quotePrefix="1" applyNumberFormat="1" applyFont="1" applyFill="1" applyBorder="1" applyAlignment="1">
      <alignment horizontal="right"/>
    </xf>
    <xf numFmtId="172" fontId="39" fillId="23" borderId="1" xfId="60" applyNumberFormat="1" applyFont="1" applyFill="1" applyBorder="1"/>
    <xf numFmtId="37" fontId="39" fillId="23" borderId="41" xfId="60" applyNumberFormat="1" applyFont="1" applyFill="1" applyBorder="1" applyAlignment="1">
      <alignment horizontal="right"/>
    </xf>
    <xf numFmtId="37" fontId="39" fillId="23" borderId="1" xfId="60" applyNumberFormat="1" applyFont="1" applyFill="1" applyBorder="1" applyAlignment="1">
      <alignment horizontal="left"/>
    </xf>
    <xf numFmtId="37" fontId="39" fillId="23" borderId="0" xfId="60" applyNumberFormat="1" applyFont="1" applyFill="1" applyBorder="1" applyAlignment="1">
      <alignment horizontal="left"/>
    </xf>
    <xf numFmtId="9" fontId="39" fillId="23" borderId="0" xfId="60" applyNumberFormat="1" applyFont="1" applyFill="1" applyBorder="1" applyAlignment="1">
      <alignment horizontal="right"/>
    </xf>
    <xf numFmtId="9" fontId="39" fillId="23" borderId="41" xfId="74" quotePrefix="1" applyFont="1" applyFill="1" applyBorder="1" applyAlignment="1">
      <alignment horizontal="right"/>
    </xf>
    <xf numFmtId="0" fontId="40" fillId="23" borderId="1" xfId="0" applyFont="1" applyFill="1" applyBorder="1" applyAlignment="1">
      <alignment horizontal="left" indent="1"/>
    </xf>
    <xf numFmtId="0" fontId="39" fillId="23" borderId="1" xfId="60" applyFont="1" applyFill="1" applyBorder="1" applyAlignment="1">
      <alignment horizontal="left"/>
    </xf>
    <xf numFmtId="0" fontId="39" fillId="23" borderId="0" xfId="60" applyFont="1" applyFill="1" applyBorder="1" applyAlignment="1">
      <alignment horizontal="left"/>
    </xf>
    <xf numFmtId="9" fontId="48" fillId="23" borderId="0" xfId="74" quotePrefix="1" applyFont="1" applyFill="1" applyBorder="1" applyAlignment="1">
      <alignment horizontal="right"/>
    </xf>
    <xf numFmtId="9" fontId="39" fillId="23" borderId="0" xfId="60" quotePrefix="1" applyNumberFormat="1" applyFont="1" applyFill="1" applyBorder="1" applyAlignment="1">
      <alignment horizontal="right"/>
    </xf>
    <xf numFmtId="9" fontId="39" fillId="23" borderId="41" xfId="60" applyNumberFormat="1" applyFont="1" applyFill="1" applyBorder="1" applyAlignment="1">
      <alignment horizontal="right"/>
    </xf>
    <xf numFmtId="166" fontId="39" fillId="23" borderId="1" xfId="60" applyNumberFormat="1" applyFont="1" applyFill="1" applyBorder="1" applyAlignment="1">
      <alignment horizontal="left"/>
    </xf>
    <xf numFmtId="166" fontId="39" fillId="23" borderId="0" xfId="60" applyNumberFormat="1" applyFont="1" applyFill="1" applyBorder="1" applyAlignment="1">
      <alignment horizontal="left"/>
    </xf>
    <xf numFmtId="166" fontId="39" fillId="23" borderId="0" xfId="60" quotePrefix="1" applyNumberFormat="1" applyFont="1" applyFill="1" applyBorder="1" applyAlignment="1">
      <alignment horizontal="right"/>
    </xf>
    <xf numFmtId="9" fontId="39" fillId="23" borderId="41" xfId="60" quotePrefix="1" applyNumberFormat="1" applyFont="1" applyFill="1" applyBorder="1" applyAlignment="1">
      <alignment horizontal="right"/>
    </xf>
    <xf numFmtId="166" fontId="39" fillId="23" borderId="42" xfId="60" applyNumberFormat="1" applyFont="1" applyFill="1" applyBorder="1" applyAlignment="1">
      <alignment horizontal="left"/>
    </xf>
    <xf numFmtId="166" fontId="39" fillId="23" borderId="2" xfId="60" applyNumberFormat="1" applyFont="1" applyFill="1" applyBorder="1" applyAlignment="1">
      <alignment horizontal="left"/>
    </xf>
    <xf numFmtId="166" fontId="39" fillId="23" borderId="2" xfId="60" applyNumberFormat="1" applyFont="1" applyFill="1" applyBorder="1" applyAlignment="1">
      <alignment horizontal="right"/>
    </xf>
    <xf numFmtId="0" fontId="40" fillId="23" borderId="2" xfId="0" applyFont="1" applyFill="1" applyBorder="1"/>
    <xf numFmtId="166" fontId="39" fillId="23" borderId="2" xfId="60" quotePrefix="1" applyNumberFormat="1" applyFont="1" applyFill="1" applyBorder="1" applyAlignment="1">
      <alignment horizontal="right"/>
    </xf>
    <xf numFmtId="214" fontId="39" fillId="23" borderId="2" xfId="37" quotePrefix="1" applyNumberFormat="1" applyFont="1" applyFill="1" applyBorder="1" applyAlignment="1">
      <alignment horizontal="right"/>
    </xf>
    <xf numFmtId="214" fontId="39" fillId="23" borderId="43" xfId="37" quotePrefix="1" applyNumberFormat="1" applyFont="1" applyFill="1" applyBorder="1" applyAlignment="1">
      <alignment horizontal="right"/>
    </xf>
    <xf numFmtId="0" fontId="61" fillId="23" borderId="7" xfId="0" applyFont="1" applyFill="1" applyBorder="1"/>
    <xf numFmtId="0" fontId="39" fillId="23" borderId="17" xfId="60" applyFont="1" applyFill="1" applyBorder="1"/>
    <xf numFmtId="167" fontId="39" fillId="23" borderId="17" xfId="60" applyNumberFormat="1" applyFont="1" applyFill="1" applyBorder="1"/>
    <xf numFmtId="39" fontId="39" fillId="23" borderId="17" xfId="60" applyNumberFormat="1" applyFont="1" applyFill="1" applyBorder="1" applyAlignment="1">
      <alignment horizontal="right"/>
    </xf>
    <xf numFmtId="167" fontId="39" fillId="23" borderId="1" xfId="60" applyNumberFormat="1" applyFont="1" applyFill="1" applyBorder="1"/>
    <xf numFmtId="39" fontId="39" fillId="23" borderId="41" xfId="60" applyNumberFormat="1" applyFont="1" applyFill="1" applyBorder="1" applyAlignment="1">
      <alignment horizontal="right"/>
    </xf>
    <xf numFmtId="0" fontId="40" fillId="23" borderId="1" xfId="0" applyFont="1" applyFill="1" applyBorder="1"/>
    <xf numFmtId="6" fontId="39" fillId="23" borderId="0" xfId="41" applyNumberFormat="1" applyFont="1" applyFill="1" applyBorder="1" applyAlignment="1">
      <alignment horizontal="right"/>
    </xf>
    <xf numFmtId="242" fontId="39" fillId="23" borderId="0" xfId="60" quotePrefix="1" applyNumberFormat="1" applyFont="1" applyFill="1" applyBorder="1" applyAlignment="1">
      <alignment horizontal="right"/>
    </xf>
    <xf numFmtId="242" fontId="39" fillId="23" borderId="41" xfId="60" quotePrefix="1" applyNumberFormat="1" applyFont="1" applyFill="1" applyBorder="1" applyAlignment="1">
      <alignment horizontal="right"/>
    </xf>
    <xf numFmtId="166" fontId="40" fillId="23" borderId="0" xfId="74" applyNumberFormat="1" applyFont="1" applyFill="1" applyBorder="1"/>
    <xf numFmtId="166" fontId="40" fillId="23" borderId="41" xfId="74" applyNumberFormat="1" applyFont="1" applyFill="1" applyBorder="1"/>
    <xf numFmtId="245" fontId="39" fillId="23" borderId="0" xfId="60" quotePrefix="1" applyNumberFormat="1" applyFont="1" applyFill="1" applyBorder="1" applyAlignment="1">
      <alignment horizontal="right"/>
    </xf>
    <xf numFmtId="245" fontId="39" fillId="23" borderId="41" xfId="60" quotePrefix="1" applyNumberFormat="1" applyFont="1" applyFill="1" applyBorder="1" applyAlignment="1">
      <alignment horizontal="right"/>
    </xf>
    <xf numFmtId="0" fontId="40" fillId="23" borderId="42" xfId="0" applyFont="1" applyFill="1" applyBorder="1"/>
    <xf numFmtId="37" fontId="39" fillId="23" borderId="2" xfId="60" applyNumberFormat="1" applyFont="1" applyFill="1" applyBorder="1" applyAlignment="1">
      <alignment horizontal="right"/>
    </xf>
    <xf numFmtId="6" fontId="39" fillId="23" borderId="2" xfId="41" applyNumberFormat="1" applyFont="1" applyFill="1" applyBorder="1" applyAlignment="1">
      <alignment horizontal="right"/>
    </xf>
    <xf numFmtId="167" fontId="39" fillId="23" borderId="2" xfId="60" applyNumberFormat="1" applyFont="1" applyFill="1" applyBorder="1"/>
    <xf numFmtId="245" fontId="39" fillId="23" borderId="2" xfId="60" quotePrefix="1" applyNumberFormat="1" applyFont="1" applyFill="1" applyBorder="1" applyAlignment="1">
      <alignment horizontal="right"/>
    </xf>
    <xf numFmtId="245" fontId="39" fillId="23" borderId="43" xfId="60" quotePrefix="1" applyNumberFormat="1" applyFont="1" applyFill="1" applyBorder="1" applyAlignment="1">
      <alignment horizontal="right"/>
    </xf>
    <xf numFmtId="167" fontId="39" fillId="23" borderId="42" xfId="60" applyNumberFormat="1" applyFont="1" applyFill="1" applyBorder="1"/>
    <xf numFmtId="6" fontId="39" fillId="23" borderId="43" xfId="41" applyNumberFormat="1" applyFont="1" applyFill="1" applyBorder="1" applyAlignment="1">
      <alignment horizontal="right"/>
    </xf>
    <xf numFmtId="167" fontId="40" fillId="23" borderId="0" xfId="0" applyNumberFormat="1" applyFont="1" applyFill="1"/>
    <xf numFmtId="167" fontId="40" fillId="23" borderId="0" xfId="0" applyNumberFormat="1" applyFont="1" applyFill="1" applyBorder="1"/>
    <xf numFmtId="166" fontId="39" fillId="23" borderId="0" xfId="74" applyNumberFormat="1" applyFont="1" applyFill="1" applyBorder="1"/>
    <xf numFmtId="166" fontId="39" fillId="23" borderId="1" xfId="74" applyNumberFormat="1" applyFont="1" applyFill="1" applyBorder="1"/>
    <xf numFmtId="166" fontId="40" fillId="23" borderId="0" xfId="74" applyNumberFormat="1" applyFont="1" applyFill="1" applyAlignment="1">
      <alignment horizontal="left" indent="1"/>
    </xf>
    <xf numFmtId="178" fontId="40" fillId="23" borderId="0" xfId="61" applyFont="1" applyFill="1" applyAlignment="1"/>
    <xf numFmtId="40" fontId="118" fillId="23" borderId="0" xfId="85" applyNumberFormat="1" applyFont="1" applyFill="1" applyAlignment="1">
      <alignment horizontal="center"/>
    </xf>
    <xf numFmtId="204" fontId="12" fillId="0" borderId="2" xfId="0" applyNumberFormat="1" applyFont="1" applyFill="1" applyBorder="1"/>
    <xf numFmtId="10" fontId="39" fillId="23" borderId="0" xfId="74" applyNumberFormat="1" applyFont="1" applyFill="1" applyAlignment="1">
      <alignment horizontal="left"/>
    </xf>
    <xf numFmtId="178" fontId="8" fillId="23" borderId="0" xfId="68" applyFont="1" applyFill="1"/>
    <xf numFmtId="0" fontId="8" fillId="23" borderId="0" xfId="54" applyFont="1" applyFill="1" applyBorder="1"/>
    <xf numFmtId="178" fontId="20" fillId="23" borderId="2" xfId="68" applyFont="1" applyFill="1" applyBorder="1" applyAlignment="1" applyProtection="1">
      <alignment horizontal="left"/>
    </xf>
    <xf numFmtId="178" fontId="8" fillId="23" borderId="2" xfId="68" applyFont="1" applyFill="1" applyBorder="1"/>
    <xf numFmtId="0" fontId="8" fillId="23" borderId="2" xfId="54" applyFont="1" applyFill="1" applyBorder="1"/>
    <xf numFmtId="178" fontId="11" fillId="23" borderId="0" xfId="68" applyFont="1" applyFill="1" applyBorder="1" applyAlignment="1" applyProtection="1">
      <alignment horizontal="left"/>
    </xf>
    <xf numFmtId="178" fontId="8" fillId="23" borderId="0" xfId="68" applyFont="1" applyFill="1" applyBorder="1"/>
    <xf numFmtId="178" fontId="8" fillId="23" borderId="6" xfId="68" applyFont="1" applyFill="1" applyBorder="1"/>
    <xf numFmtId="186" fontId="8" fillId="23" borderId="0" xfId="68" applyNumberFormat="1" applyFont="1" applyFill="1" applyBorder="1" applyAlignment="1" applyProtection="1">
      <alignment horizontal="left"/>
    </xf>
    <xf numFmtId="178" fontId="11" fillId="23" borderId="7" xfId="68" applyFont="1" applyFill="1" applyBorder="1"/>
    <xf numFmtId="178" fontId="11" fillId="23" borderId="6" xfId="68" applyFont="1" applyFill="1" applyBorder="1" applyAlignment="1" applyProtection="1">
      <alignment horizontal="center"/>
    </xf>
    <xf numFmtId="178" fontId="38" fillId="23" borderId="6" xfId="68" applyFont="1" applyFill="1" applyBorder="1" applyAlignment="1" applyProtection="1">
      <alignment horizontal="center"/>
    </xf>
    <xf numFmtId="0" fontId="8" fillId="23" borderId="40" xfId="54" applyFont="1" applyFill="1" applyBorder="1"/>
    <xf numFmtId="178" fontId="8" fillId="23" borderId="0" xfId="68" applyNumberFormat="1" applyFont="1" applyFill="1" applyProtection="1"/>
    <xf numFmtId="193" fontId="22" fillId="23" borderId="0" xfId="54" applyNumberFormat="1" applyFont="1" applyFill="1" applyBorder="1" applyAlignment="1">
      <alignment horizontal="center"/>
    </xf>
    <xf numFmtId="193" fontId="11" fillId="23" borderId="2" xfId="54" applyNumberFormat="1" applyFont="1" applyFill="1" applyBorder="1" applyAlignment="1">
      <alignment horizontal="center"/>
    </xf>
    <xf numFmtId="195" fontId="20" fillId="23" borderId="2" xfId="54" applyNumberFormat="1" applyFont="1" applyFill="1" applyBorder="1" applyAlignment="1">
      <alignment horizontal="center"/>
    </xf>
    <xf numFmtId="178" fontId="9" fillId="23" borderId="1" xfId="68" applyFont="1" applyFill="1" applyBorder="1"/>
    <xf numFmtId="178" fontId="21" fillId="23" borderId="0" xfId="68" applyFont="1" applyFill="1" applyBorder="1"/>
    <xf numFmtId="178" fontId="11" fillId="23" borderId="17" xfId="68" applyFont="1" applyFill="1" applyBorder="1" applyAlignment="1" applyProtection="1">
      <alignment horizontal="center"/>
    </xf>
    <xf numFmtId="0" fontId="11" fillId="23" borderId="41" xfId="54" applyFont="1" applyFill="1" applyBorder="1"/>
    <xf numFmtId="166" fontId="8" fillId="23" borderId="0" xfId="68" applyNumberFormat="1" applyFont="1" applyFill="1" applyProtection="1"/>
    <xf numFmtId="178" fontId="8" fillId="23" borderId="1" xfId="68" applyFont="1" applyFill="1" applyBorder="1"/>
    <xf numFmtId="0" fontId="8" fillId="23" borderId="17" xfId="54" applyFont="1" applyFill="1" applyBorder="1"/>
    <xf numFmtId="0" fontId="8" fillId="23" borderId="41" xfId="54" applyFont="1" applyFill="1" applyBorder="1"/>
    <xf numFmtId="178" fontId="25" fillId="23" borderId="0" xfId="68" applyNumberFormat="1" applyFont="1" applyFill="1" applyAlignment="1" applyProtection="1">
      <alignment horizontal="left"/>
    </xf>
    <xf numFmtId="5" fontId="29" fillId="23" borderId="0" xfId="68" applyNumberFormat="1" applyFont="1" applyFill="1" applyProtection="1"/>
    <xf numFmtId="5" fontId="8" fillId="23" borderId="0" xfId="68" applyNumberFormat="1" applyFont="1" applyFill="1" applyProtection="1"/>
    <xf numFmtId="5" fontId="12" fillId="23" borderId="0" xfId="68" applyNumberFormat="1" applyFont="1" applyFill="1" applyProtection="1"/>
    <xf numFmtId="9" fontId="8" fillId="23" borderId="0" xfId="74" applyFont="1" applyFill="1" applyBorder="1" applyProtection="1"/>
    <xf numFmtId="178" fontId="8" fillId="23" borderId="0" xfId="68" applyFont="1" applyFill="1" applyBorder="1" applyAlignment="1" applyProtection="1">
      <alignment horizontal="left"/>
    </xf>
    <xf numFmtId="178" fontId="8" fillId="23" borderId="41" xfId="68" applyFont="1" applyFill="1" applyBorder="1" applyAlignment="1" applyProtection="1">
      <alignment horizontal="center"/>
    </xf>
    <xf numFmtId="178" fontId="8" fillId="23" borderId="0" xfId="68" applyNumberFormat="1" applyFont="1" applyFill="1" applyAlignment="1" applyProtection="1">
      <alignment horizontal="left" indent="3"/>
    </xf>
    <xf numFmtId="37" fontId="12" fillId="23" borderId="0" xfId="68" applyNumberFormat="1" applyFont="1" applyFill="1" applyProtection="1"/>
    <xf numFmtId="37" fontId="12" fillId="23" borderId="0" xfId="68" applyNumberFormat="1" applyFont="1" applyFill="1" applyBorder="1" applyProtection="1"/>
    <xf numFmtId="37" fontId="8" fillId="23" borderId="0" xfId="68" applyNumberFormat="1" applyFont="1" applyFill="1" applyBorder="1" applyProtection="1"/>
    <xf numFmtId="37" fontId="29" fillId="23" borderId="0" xfId="68" applyNumberFormat="1" applyFont="1" applyFill="1" applyBorder="1" applyProtection="1"/>
    <xf numFmtId="178" fontId="8" fillId="23" borderId="41" xfId="68" applyFont="1" applyFill="1" applyBorder="1" applyAlignment="1">
      <alignment horizontal="center"/>
    </xf>
    <xf numFmtId="178" fontId="8" fillId="23" borderId="0" xfId="68" applyFont="1" applyFill="1" applyBorder="1" applyAlignment="1">
      <alignment horizontal="right"/>
    </xf>
    <xf numFmtId="37" fontId="8" fillId="23" borderId="0" xfId="68" applyNumberFormat="1" applyFont="1" applyFill="1" applyProtection="1"/>
    <xf numFmtId="178" fontId="8" fillId="23" borderId="0" xfId="68" applyNumberFormat="1" applyFont="1" applyFill="1" applyAlignment="1" applyProtection="1">
      <alignment horizontal="left"/>
    </xf>
    <xf numFmtId="178" fontId="12" fillId="23" borderId="0" xfId="68" applyNumberFormat="1" applyFont="1" applyFill="1" applyProtection="1"/>
    <xf numFmtId="200" fontId="8" fillId="23" borderId="0" xfId="68" applyNumberFormat="1" applyFont="1" applyFill="1" applyProtection="1"/>
    <xf numFmtId="178" fontId="8" fillId="23" borderId="0" xfId="68" quotePrefix="1" applyNumberFormat="1" applyFont="1" applyFill="1" applyAlignment="1" applyProtection="1">
      <alignment horizontal="left"/>
    </xf>
    <xf numFmtId="183" fontId="8" fillId="23" borderId="0" xfId="68" applyNumberFormat="1" applyFont="1" applyFill="1" applyProtection="1"/>
    <xf numFmtId="37" fontId="8" fillId="23" borderId="41" xfId="68" applyNumberFormat="1" applyFont="1" applyFill="1" applyBorder="1" applyAlignment="1" applyProtection="1">
      <alignment horizontal="center"/>
    </xf>
    <xf numFmtId="183" fontId="12" fillId="23" borderId="0" xfId="68" applyNumberFormat="1" applyFont="1" applyFill="1" applyProtection="1"/>
    <xf numFmtId="178" fontId="12" fillId="23" borderId="0" xfId="68" applyFont="1" applyFill="1" applyBorder="1"/>
    <xf numFmtId="178" fontId="26" fillId="23" borderId="0" xfId="68" applyFont="1" applyFill="1" applyBorder="1"/>
    <xf numFmtId="178" fontId="8" fillId="23" borderId="0" xfId="68" applyFont="1" applyFill="1" applyAlignment="1">
      <alignment horizontal="right"/>
    </xf>
    <xf numFmtId="178" fontId="25" fillId="23" borderId="0" xfId="68" applyNumberFormat="1" applyFont="1" applyFill="1" applyAlignment="1" applyProtection="1">
      <alignment horizontal="left" indent="3"/>
    </xf>
    <xf numFmtId="178" fontId="23" fillId="23" borderId="0" xfId="68" applyFont="1" applyFill="1" applyAlignment="1">
      <alignment horizontal="right"/>
    </xf>
    <xf numFmtId="178" fontId="23" fillId="23" borderId="0" xfId="68" applyFont="1" applyFill="1"/>
    <xf numFmtId="200" fontId="32" fillId="23" borderId="0" xfId="68" applyNumberFormat="1" applyFont="1" applyFill="1" applyProtection="1"/>
    <xf numFmtId="200" fontId="25" fillId="23" borderId="0" xfId="68" applyNumberFormat="1" applyFont="1" applyFill="1" applyProtection="1"/>
    <xf numFmtId="37" fontId="8" fillId="23" borderId="1" xfId="68" applyNumberFormat="1" applyFont="1" applyFill="1" applyBorder="1" applyProtection="1"/>
    <xf numFmtId="184" fontId="8" fillId="23" borderId="0" xfId="68" applyNumberFormat="1" applyFont="1" applyFill="1" applyProtection="1"/>
    <xf numFmtId="188" fontId="8" fillId="23" borderId="0" xfId="69" applyNumberFormat="1" applyFont="1" applyFill="1" applyProtection="1"/>
    <xf numFmtId="191" fontId="28" fillId="23" borderId="0" xfId="68" applyNumberFormat="1" applyFont="1" applyFill="1" applyProtection="1"/>
    <xf numFmtId="191" fontId="12" fillId="23" borderId="0" xfId="68" applyNumberFormat="1" applyFont="1" applyFill="1" applyProtection="1"/>
    <xf numFmtId="191" fontId="8" fillId="23" borderId="0" xfId="68" applyNumberFormat="1" applyFont="1" applyFill="1" applyProtection="1"/>
    <xf numFmtId="9" fontId="8" fillId="23" borderId="0" xfId="68" applyNumberFormat="1" applyFont="1" applyFill="1" applyAlignment="1" applyProtection="1">
      <alignment horizontal="left"/>
    </xf>
    <xf numFmtId="175" fontId="8" fillId="23" borderId="0" xfId="37" applyNumberFormat="1" applyFont="1" applyFill="1" applyProtection="1"/>
    <xf numFmtId="191" fontId="29" fillId="23" borderId="0" xfId="68" applyNumberFormat="1" applyFont="1" applyFill="1" applyProtection="1"/>
    <xf numFmtId="0" fontId="8" fillId="23" borderId="41" xfId="54" applyFont="1" applyFill="1" applyBorder="1" applyAlignment="1">
      <alignment horizontal="center"/>
    </xf>
    <xf numFmtId="188" fontId="12" fillId="23" borderId="0" xfId="69" applyNumberFormat="1" applyFont="1" applyFill="1" applyProtection="1"/>
    <xf numFmtId="198" fontId="8" fillId="23" borderId="0" xfId="74" applyNumberFormat="1" applyFont="1" applyFill="1" applyBorder="1"/>
    <xf numFmtId="188" fontId="8" fillId="23" borderId="1" xfId="69" applyNumberFormat="1" applyFont="1" applyFill="1" applyBorder="1" applyProtection="1"/>
    <xf numFmtId="178" fontId="8" fillId="23" borderId="0" xfId="68" applyNumberFormat="1" applyFont="1" applyFill="1" applyAlignment="1" applyProtection="1">
      <alignment horizontal="left" indent="2"/>
    </xf>
    <xf numFmtId="207" fontId="12" fillId="23" borderId="0" xfId="74" applyNumberFormat="1" applyFont="1" applyFill="1" applyBorder="1"/>
    <xf numFmtId="178" fontId="8" fillId="23" borderId="41" xfId="68" applyFont="1" applyFill="1" applyBorder="1"/>
    <xf numFmtId="166" fontId="8" fillId="23" borderId="0" xfId="68" applyNumberFormat="1" applyFont="1" applyFill="1" applyBorder="1" applyProtection="1"/>
    <xf numFmtId="6" fontId="8" fillId="23" borderId="0" xfId="41" applyNumberFormat="1" applyFont="1" applyFill="1"/>
    <xf numFmtId="169" fontId="8" fillId="23" borderId="1" xfId="37" applyNumberFormat="1" applyFont="1" applyFill="1" applyBorder="1"/>
    <xf numFmtId="178" fontId="8" fillId="23" borderId="0" xfId="68" quotePrefix="1" applyFont="1" applyFill="1"/>
    <xf numFmtId="178" fontId="8" fillId="23" borderId="42" xfId="68" applyFont="1" applyFill="1" applyBorder="1"/>
    <xf numFmtId="0" fontId="8" fillId="23" borderId="43" xfId="0" applyFont="1" applyFill="1" applyBorder="1"/>
    <xf numFmtId="178" fontId="8" fillId="23" borderId="0" xfId="68" applyFont="1" applyFill="1" applyAlignment="1">
      <alignment horizontal="left"/>
    </xf>
    <xf numFmtId="178" fontId="25" fillId="23" borderId="0" xfId="68" applyFont="1" applyFill="1"/>
    <xf numFmtId="178" fontId="25" fillId="23" borderId="0" xfId="68" applyFont="1" applyFill="1" applyAlignment="1">
      <alignment horizontal="left"/>
    </xf>
    <xf numFmtId="0" fontId="161" fillId="0" borderId="0" xfId="0" applyFont="1" applyFill="1" applyAlignment="1">
      <alignment horizontal="centerContinuous"/>
    </xf>
    <xf numFmtId="37" fontId="40" fillId="23" borderId="0" xfId="0" applyNumberFormat="1" applyFont="1" applyFill="1"/>
    <xf numFmtId="0" fontId="4" fillId="0" borderId="23" xfId="67" applyFont="1" applyBorder="1" applyAlignment="1">
      <alignment wrapText="1"/>
    </xf>
    <xf numFmtId="0" fontId="74" fillId="0" borderId="9" xfId="67" applyFont="1" applyBorder="1"/>
    <xf numFmtId="0" fontId="75" fillId="16" borderId="9" xfId="64" applyFont="1" applyFill="1" applyBorder="1" applyAlignment="1">
      <alignment vertical="center"/>
    </xf>
    <xf numFmtId="0" fontId="4" fillId="0" borderId="9" xfId="67" applyFont="1" applyBorder="1"/>
    <xf numFmtId="0" fontId="4" fillId="0" borderId="9" xfId="67" applyFont="1" applyBorder="1" applyAlignment="1">
      <alignment horizontal="right"/>
    </xf>
    <xf numFmtId="0" fontId="74" fillId="0" borderId="9" xfId="67" applyFont="1" applyBorder="1" applyAlignment="1">
      <alignment horizontal="right"/>
    </xf>
    <xf numFmtId="0" fontId="4" fillId="0" borderId="44" xfId="67" applyFont="1" applyBorder="1"/>
    <xf numFmtId="0" fontId="4" fillId="0" borderId="0" xfId="67" applyFont="1"/>
    <xf numFmtId="0" fontId="85" fillId="0" borderId="5" xfId="67" applyFont="1" applyBorder="1"/>
    <xf numFmtId="0" fontId="8" fillId="17" borderId="0" xfId="67" applyFont="1" applyFill="1" applyAlignment="1">
      <alignment wrapText="1"/>
    </xf>
    <xf numFmtId="0" fontId="76" fillId="17" borderId="0" xfId="67" applyFont="1" applyFill="1"/>
    <xf numFmtId="0" fontId="8" fillId="17" borderId="0" xfId="67" applyFont="1" applyFill="1" applyBorder="1"/>
    <xf numFmtId="0" fontId="8" fillId="17" borderId="0" xfId="67" applyFont="1" applyFill="1" applyAlignment="1">
      <alignment horizontal="right"/>
    </xf>
    <xf numFmtId="0" fontId="137" fillId="17" borderId="0" xfId="67" applyFont="1" applyFill="1" applyAlignment="1">
      <alignment horizontal="right"/>
    </xf>
    <xf numFmtId="0" fontId="8" fillId="17" borderId="0" xfId="67" applyFont="1" applyFill="1"/>
    <xf numFmtId="0" fontId="8" fillId="0" borderId="0" xfId="67" applyFont="1"/>
    <xf numFmtId="0" fontId="86" fillId="0" borderId="5" xfId="67" applyFont="1" applyBorder="1"/>
    <xf numFmtId="0" fontId="8" fillId="0" borderId="0" xfId="67" applyFont="1" applyFill="1" applyAlignment="1">
      <alignment wrapText="1"/>
    </xf>
    <xf numFmtId="0" fontId="76" fillId="0" borderId="0" xfId="67" applyFont="1" applyFill="1"/>
    <xf numFmtId="0" fontId="8" fillId="0" borderId="0" xfId="67" applyFont="1" applyFill="1" applyBorder="1"/>
    <xf numFmtId="0" fontId="8" fillId="0" borderId="0" xfId="67" applyFont="1" applyFill="1" applyAlignment="1">
      <alignment horizontal="right"/>
    </xf>
    <xf numFmtId="0" fontId="138" fillId="21" borderId="22" xfId="67" applyFont="1" applyFill="1" applyBorder="1" applyAlignment="1">
      <alignment horizontal="center"/>
    </xf>
    <xf numFmtId="0" fontId="12" fillId="15" borderId="22" xfId="62" applyFont="1" applyFill="1" applyBorder="1" applyAlignment="1">
      <alignment horizontal="center"/>
    </xf>
    <xf numFmtId="0" fontId="8" fillId="0" borderId="0" xfId="67" applyFont="1" applyFill="1"/>
    <xf numFmtId="0" fontId="8" fillId="16" borderId="0" xfId="67" applyFont="1" applyFill="1" applyBorder="1" applyAlignment="1">
      <alignment horizontal="left"/>
    </xf>
    <xf numFmtId="0" fontId="8" fillId="16" borderId="0" xfId="67" applyFont="1" applyFill="1" applyBorder="1" applyAlignment="1">
      <alignment horizontal="right"/>
    </xf>
    <xf numFmtId="0" fontId="139" fillId="16" borderId="0" xfId="67" applyFont="1" applyFill="1" applyBorder="1" applyAlignment="1">
      <alignment horizontal="right"/>
    </xf>
    <xf numFmtId="0" fontId="139" fillId="0" borderId="0" xfId="67" applyFont="1" applyFill="1" applyAlignment="1">
      <alignment horizontal="right"/>
    </xf>
    <xf numFmtId="0" fontId="86" fillId="0" borderId="0" xfId="67" applyFont="1" applyFill="1" applyAlignment="1">
      <alignment horizontal="right"/>
    </xf>
    <xf numFmtId="0" fontId="86" fillId="0" borderId="5" xfId="67" applyFont="1" applyFill="1" applyBorder="1"/>
    <xf numFmtId="0" fontId="8" fillId="0" borderId="0" xfId="67" applyFont="1" applyAlignment="1">
      <alignment wrapText="1"/>
    </xf>
    <xf numFmtId="0" fontId="76" fillId="0" borderId="0" xfId="67" applyFont="1"/>
    <xf numFmtId="0" fontId="37" fillId="0" borderId="0" xfId="64" applyFont="1" applyFill="1" applyBorder="1"/>
    <xf numFmtId="0" fontId="20" fillId="0" borderId="0" xfId="62" applyFont="1" applyFill="1" applyBorder="1"/>
    <xf numFmtId="0" fontId="11" fillId="0" borderId="0" xfId="82" applyNumberFormat="1" applyFont="1" applyFill="1" applyBorder="1" applyAlignment="1">
      <alignment horizontal="center" wrapText="1"/>
    </xf>
    <xf numFmtId="0" fontId="76" fillId="0" borderId="0" xfId="67" applyFont="1" applyFill="1" applyBorder="1"/>
    <xf numFmtId="14" fontId="74" fillId="0" borderId="0" xfId="62" applyNumberFormat="1" applyFont="1" applyFill="1" applyAlignment="1">
      <alignment horizontal="right"/>
    </xf>
    <xf numFmtId="0" fontId="8" fillId="0" borderId="0" xfId="67" applyFont="1" applyAlignment="1">
      <alignment horizontal="right"/>
    </xf>
    <xf numFmtId="0" fontId="37" fillId="0" borderId="0" xfId="64" applyFont="1" applyBorder="1"/>
    <xf numFmtId="0" fontId="20" fillId="0" borderId="0" xfId="62" applyFont="1" applyBorder="1"/>
    <xf numFmtId="0" fontId="8" fillId="0" borderId="0" xfId="67" applyFont="1" applyBorder="1"/>
    <xf numFmtId="1" fontId="78" fillId="0" borderId="0" xfId="82" applyNumberFormat="1" applyFont="1" applyFill="1" applyBorder="1" applyAlignment="1">
      <alignment horizontal="center" wrapText="1"/>
    </xf>
    <xf numFmtId="0" fontId="76" fillId="0" borderId="0" xfId="67" applyFont="1" applyAlignment="1">
      <alignment horizontal="right"/>
    </xf>
    <xf numFmtId="0" fontId="85" fillId="16" borderId="5" xfId="64" applyFont="1" applyFill="1" applyBorder="1"/>
    <xf numFmtId="0" fontId="77" fillId="0" borderId="0" xfId="62" applyFont="1" applyBorder="1"/>
    <xf numFmtId="0" fontId="8" fillId="0" borderId="0" xfId="67" applyNumberFormat="1" applyFont="1" applyBorder="1"/>
    <xf numFmtId="0" fontId="76" fillId="16" borderId="0" xfId="67" applyFont="1" applyFill="1" applyAlignment="1">
      <alignment horizontal="right"/>
    </xf>
    <xf numFmtId="0" fontId="76" fillId="0" borderId="0" xfId="67" applyFont="1" applyAlignment="1">
      <alignment wrapText="1"/>
    </xf>
    <xf numFmtId="1" fontId="8" fillId="0" borderId="0" xfId="62" applyNumberFormat="1" applyFont="1" applyBorder="1" applyAlignment="1">
      <alignment horizontal="right"/>
    </xf>
    <xf numFmtId="37" fontId="37" fillId="0" borderId="0" xfId="64" applyNumberFormat="1" applyFont="1" applyFill="1" applyBorder="1"/>
    <xf numFmtId="183" fontId="11" fillId="0" borderId="0" xfId="63" applyNumberFormat="1" applyFont="1" applyFill="1" applyBorder="1"/>
    <xf numFmtId="252" fontId="11" fillId="0" borderId="6" xfId="62" applyNumberFormat="1" applyFont="1" applyBorder="1" applyAlignment="1">
      <alignment horizontal="right"/>
    </xf>
    <xf numFmtId="37" fontId="11" fillId="0" borderId="0" xfId="64" applyNumberFormat="1" applyFont="1" applyFill="1" applyBorder="1"/>
    <xf numFmtId="183" fontId="8" fillId="0" borderId="0" xfId="63" applyNumberFormat="1" applyFont="1" applyFill="1" applyBorder="1"/>
    <xf numFmtId="177" fontId="8" fillId="0" borderId="0" xfId="67" applyNumberFormat="1" applyFont="1" applyAlignment="1">
      <alignment horizontal="right"/>
    </xf>
    <xf numFmtId="0" fontId="8" fillId="0" borderId="0" xfId="63" applyFont="1" applyFill="1" applyBorder="1"/>
    <xf numFmtId="215" fontId="8" fillId="0" borderId="0" xfId="40" applyNumberFormat="1" applyFont="1" applyFill="1" applyBorder="1" applyAlignment="1">
      <alignment horizontal="right"/>
    </xf>
    <xf numFmtId="215" fontId="8" fillId="0" borderId="0" xfId="40" applyNumberFormat="1" applyFont="1" applyFill="1" applyAlignment="1">
      <alignment horizontal="right"/>
    </xf>
    <xf numFmtId="183" fontId="8" fillId="0" borderId="0" xfId="63" applyNumberFormat="1" applyFont="1" applyFill="1" applyBorder="1" applyAlignment="1" applyProtection="1">
      <alignment horizontal="left"/>
    </xf>
    <xf numFmtId="215" fontId="8" fillId="0" borderId="2" xfId="40" applyNumberFormat="1" applyFont="1" applyFill="1" applyBorder="1" applyAlignment="1">
      <alignment horizontal="right"/>
    </xf>
    <xf numFmtId="0" fontId="11" fillId="0" borderId="0" xfId="63" applyFont="1" applyFill="1" applyBorder="1"/>
    <xf numFmtId="215" fontId="11" fillId="0" borderId="0" xfId="40" applyNumberFormat="1" applyFont="1" applyFill="1" applyAlignment="1">
      <alignment horizontal="right"/>
    </xf>
    <xf numFmtId="177" fontId="8" fillId="0" borderId="0" xfId="67" applyNumberFormat="1" applyFont="1" applyFill="1" applyBorder="1" applyAlignment="1">
      <alignment horizontal="right"/>
    </xf>
    <xf numFmtId="177" fontId="8" fillId="0" borderId="0" xfId="67" applyNumberFormat="1" applyFont="1" applyFill="1" applyAlignment="1">
      <alignment horizontal="right"/>
    </xf>
    <xf numFmtId="0" fontId="8" fillId="0" borderId="0" xfId="67" applyFont="1" applyBorder="1" applyAlignment="1">
      <alignment wrapText="1"/>
    </xf>
    <xf numFmtId="0" fontId="11" fillId="0" borderId="0" xfId="67" applyFont="1" applyFill="1" applyBorder="1"/>
    <xf numFmtId="223" fontId="11" fillId="0" borderId="0" xfId="55" applyNumberFormat="1" applyFont="1" applyFill="1" applyBorder="1" applyAlignment="1">
      <alignment horizontal="right"/>
    </xf>
    <xf numFmtId="222" fontId="20" fillId="0" borderId="0" xfId="62" applyNumberFormat="1" applyFont="1" applyFill="1" applyBorder="1" applyAlignment="1">
      <alignment horizontal="right"/>
    </xf>
    <xf numFmtId="0" fontId="76" fillId="0" borderId="0" xfId="67" applyFont="1" applyBorder="1"/>
    <xf numFmtId="0" fontId="8" fillId="0" borderId="0" xfId="63" applyFont="1" applyFill="1" applyBorder="1" applyAlignment="1">
      <alignment horizontal="left"/>
    </xf>
    <xf numFmtId="215" fontId="8" fillId="0" borderId="0" xfId="67" applyNumberFormat="1" applyFont="1" applyFill="1" applyAlignment="1">
      <alignment horizontal="right"/>
    </xf>
    <xf numFmtId="215" fontId="76" fillId="0" borderId="0" xfId="67" applyNumberFormat="1" applyFont="1"/>
    <xf numFmtId="0" fontId="8" fillId="0" borderId="0" xfId="67" applyFont="1" applyFill="1" applyBorder="1" applyAlignment="1">
      <alignment horizontal="left" indent="1"/>
    </xf>
    <xf numFmtId="215" fontId="8" fillId="0" borderId="2" xfId="67" applyNumberFormat="1" applyFont="1" applyFill="1" applyBorder="1" applyAlignment="1">
      <alignment horizontal="right"/>
    </xf>
    <xf numFmtId="215" fontId="11" fillId="0" borderId="0" xfId="67" applyNumberFormat="1" applyFont="1" applyFill="1" applyAlignment="1">
      <alignment horizontal="right"/>
    </xf>
    <xf numFmtId="223" fontId="11" fillId="0" borderId="0" xfId="55" applyNumberFormat="1" applyFont="1" applyBorder="1" applyAlignment="1">
      <alignment horizontal="right"/>
    </xf>
    <xf numFmtId="222" fontId="20" fillId="0" borderId="0" xfId="62" applyNumberFormat="1" applyFont="1" applyBorder="1" applyAlignment="1">
      <alignment horizontal="right"/>
    </xf>
    <xf numFmtId="0" fontId="8" fillId="0" borderId="0" xfId="63" applyFont="1" applyFill="1" applyBorder="1" applyAlignment="1">
      <alignment horizontal="left" indent="1"/>
    </xf>
    <xf numFmtId="0" fontId="8" fillId="0" borderId="0" xfId="63" applyFont="1" applyFill="1" applyBorder="1" applyAlignment="1">
      <alignment horizontal="left" indent="2"/>
    </xf>
    <xf numFmtId="0" fontId="11" fillId="0" borderId="0" xfId="67" applyFont="1" applyAlignment="1">
      <alignment wrapText="1"/>
    </xf>
    <xf numFmtId="0" fontId="77" fillId="0" borderId="0" xfId="67" applyFont="1"/>
    <xf numFmtId="0" fontId="11" fillId="0" borderId="0" xfId="63" applyFont="1" applyFill="1" applyBorder="1" applyAlignment="1">
      <alignment horizontal="left" indent="1"/>
    </xf>
    <xf numFmtId="0" fontId="11" fillId="0" borderId="0" xfId="67" applyFont="1"/>
    <xf numFmtId="0" fontId="140" fillId="0" borderId="5" xfId="67" applyFont="1" applyBorder="1"/>
    <xf numFmtId="215" fontId="79" fillId="0" borderId="0" xfId="67" applyNumberFormat="1" applyFont="1" applyAlignment="1">
      <alignment horizontal="right"/>
    </xf>
    <xf numFmtId="0" fontId="8" fillId="16" borderId="0" xfId="67" applyFont="1" applyFill="1" applyAlignment="1">
      <alignment wrapText="1"/>
    </xf>
    <xf numFmtId="0" fontId="76" fillId="16" borderId="0" xfId="67" applyFont="1" applyFill="1"/>
    <xf numFmtId="0" fontId="8" fillId="16" borderId="0" xfId="67" applyFont="1" applyFill="1" applyBorder="1"/>
    <xf numFmtId="0" fontId="11" fillId="16" borderId="0" xfId="67" applyFont="1" applyFill="1" applyBorder="1"/>
    <xf numFmtId="9" fontId="20" fillId="16" borderId="14" xfId="76" applyFont="1" applyFill="1" applyBorder="1" applyAlignment="1">
      <alignment horizontal="right"/>
    </xf>
    <xf numFmtId="9" fontId="8" fillId="16" borderId="0" xfId="76" applyFont="1" applyFill="1" applyAlignment="1">
      <alignment horizontal="right"/>
    </xf>
    <xf numFmtId="9" fontId="8" fillId="16" borderId="0" xfId="76" applyFont="1" applyFill="1"/>
    <xf numFmtId="0" fontId="8" fillId="16" borderId="0" xfId="67" applyFont="1" applyFill="1"/>
    <xf numFmtId="0" fontId="86" fillId="16" borderId="5" xfId="67" applyFont="1" applyFill="1" applyBorder="1"/>
    <xf numFmtId="215" fontId="8" fillId="0" borderId="0" xfId="67" applyNumberFormat="1" applyFont="1" applyAlignment="1">
      <alignment horizontal="right"/>
    </xf>
    <xf numFmtId="0" fontId="11" fillId="0" borderId="0" xfId="63" applyFont="1" applyBorder="1"/>
    <xf numFmtId="0" fontId="11" fillId="0" borderId="0" xfId="67" applyFont="1" applyBorder="1" applyAlignment="1">
      <alignment horizontal="left" indent="1"/>
    </xf>
    <xf numFmtId="0" fontId="8" fillId="0" borderId="0" xfId="67" applyFont="1" applyBorder="1" applyAlignment="1">
      <alignment horizontal="left" indent="1"/>
    </xf>
    <xf numFmtId="166" fontId="8" fillId="0" borderId="0" xfId="67" applyNumberFormat="1" applyFont="1" applyAlignment="1">
      <alignment horizontal="right"/>
    </xf>
    <xf numFmtId="0" fontId="37" fillId="0" borderId="0" xfId="67" applyFont="1" applyBorder="1"/>
    <xf numFmtId="0" fontId="11" fillId="0" borderId="0" xfId="67" applyFont="1" applyBorder="1"/>
    <xf numFmtId="0" fontId="25" fillId="0" borderId="0" xfId="67" applyFont="1" applyAlignment="1">
      <alignment wrapText="1"/>
    </xf>
    <xf numFmtId="0" fontId="80" fillId="0" borderId="0" xfId="67" applyFont="1"/>
    <xf numFmtId="0" fontId="25" fillId="0" borderId="0" xfId="67" applyFont="1" applyBorder="1"/>
    <xf numFmtId="0" fontId="25" fillId="0" borderId="0" xfId="67" applyFont="1"/>
    <xf numFmtId="0" fontId="141" fillId="0" borderId="5" xfId="67" applyFont="1" applyBorder="1"/>
    <xf numFmtId="166" fontId="8" fillId="16" borderId="0" xfId="67" applyNumberFormat="1" applyFont="1" applyFill="1" applyAlignment="1">
      <alignment wrapText="1"/>
    </xf>
    <xf numFmtId="166" fontId="8" fillId="15" borderId="0" xfId="67" applyNumberFormat="1" applyFont="1" applyFill="1" applyAlignment="1"/>
    <xf numFmtId="166" fontId="8" fillId="15" borderId="0" xfId="67" applyNumberFormat="1" applyFont="1" applyFill="1" applyAlignment="1">
      <alignment wrapText="1"/>
    </xf>
    <xf numFmtId="166" fontId="12" fillId="16" borderId="0" xfId="67" applyNumberFormat="1" applyFont="1" applyFill="1" applyAlignment="1">
      <alignment wrapText="1"/>
    </xf>
    <xf numFmtId="166" fontId="32" fillId="16" borderId="0" xfId="67" applyNumberFormat="1" applyFont="1" applyFill="1" applyBorder="1" applyAlignment="1">
      <alignment horizontal="right"/>
    </xf>
    <xf numFmtId="166" fontId="76" fillId="16" borderId="0" xfId="67" applyNumberFormat="1" applyFont="1" applyFill="1" applyAlignment="1">
      <alignment wrapText="1"/>
    </xf>
    <xf numFmtId="166" fontId="12" fillId="16" borderId="0" xfId="76" applyNumberFormat="1" applyFont="1" applyFill="1" applyBorder="1"/>
    <xf numFmtId="166" fontId="8" fillId="16" borderId="0" xfId="67" applyNumberFormat="1" applyFont="1" applyFill="1" applyAlignment="1"/>
    <xf numFmtId="166" fontId="12" fillId="0" borderId="0" xfId="76" applyNumberFormat="1" applyFont="1" applyFill="1" applyBorder="1"/>
    <xf numFmtId="165" fontId="8" fillId="0" borderId="0" xfId="67" applyNumberFormat="1" applyFont="1" applyFill="1" applyAlignment="1">
      <alignment horizontal="right"/>
    </xf>
    <xf numFmtId="215" fontId="12" fillId="0" borderId="0" xfId="40" applyNumberFormat="1" applyFont="1" applyFill="1" applyAlignment="1">
      <alignment horizontal="right"/>
    </xf>
    <xf numFmtId="215" fontId="8" fillId="0" borderId="0" xfId="40" applyNumberFormat="1" applyFont="1" applyAlignment="1">
      <alignment horizontal="right"/>
    </xf>
    <xf numFmtId="166" fontId="8" fillId="0" borderId="0" xfId="76" applyNumberFormat="1" applyFont="1" applyBorder="1" applyAlignment="1">
      <alignment horizontal="right"/>
    </xf>
    <xf numFmtId="166" fontId="12" fillId="0" borderId="0" xfId="76" applyNumberFormat="1" applyFont="1" applyFill="1" applyBorder="1" applyAlignment="1">
      <alignment horizontal="right"/>
    </xf>
    <xf numFmtId="221" fontId="8" fillId="0" borderId="0" xfId="55" applyNumberFormat="1" applyFont="1" applyBorder="1" applyAlignment="1">
      <alignment horizontal="right"/>
    </xf>
    <xf numFmtId="166" fontId="8" fillId="0" borderId="0" xfId="55" quotePrefix="1" applyNumberFormat="1" applyFont="1" applyBorder="1" applyAlignment="1">
      <alignment horizontal="right"/>
    </xf>
    <xf numFmtId="222" fontId="12" fillId="0" borderId="0" xfId="62" applyNumberFormat="1" applyFont="1" applyBorder="1" applyAlignment="1">
      <alignment horizontal="right"/>
    </xf>
    <xf numFmtId="215" fontId="8" fillId="0" borderId="0" xfId="62" applyNumberFormat="1" applyFont="1" applyBorder="1" applyAlignment="1">
      <alignment horizontal="right"/>
    </xf>
    <xf numFmtId="188" fontId="8" fillId="0" borderId="0" xfId="76" applyNumberFormat="1" applyFont="1" applyBorder="1" applyAlignment="1">
      <alignment horizontal="right"/>
    </xf>
    <xf numFmtId="215" fontId="8" fillId="0" borderId="0" xfId="62" applyNumberFormat="1" applyFont="1" applyFill="1" applyBorder="1" applyAlignment="1">
      <alignment horizontal="right"/>
    </xf>
    <xf numFmtId="166" fontId="8" fillId="0" borderId="0" xfId="76" applyNumberFormat="1" applyFont="1" applyFill="1" applyBorder="1" applyAlignment="1">
      <alignment horizontal="right"/>
    </xf>
    <xf numFmtId="166" fontId="20" fillId="17" borderId="14" xfId="76" applyNumberFormat="1" applyFont="1" applyFill="1" applyBorder="1" applyAlignment="1">
      <alignment horizontal="right"/>
    </xf>
    <xf numFmtId="0" fontId="8" fillId="0" borderId="0" xfId="64" applyNumberFormat="1" applyFont="1"/>
    <xf numFmtId="166" fontId="8" fillId="16" borderId="0" xfId="76" applyNumberFormat="1" applyFont="1" applyFill="1" applyBorder="1" applyAlignment="1">
      <alignment horizontal="right"/>
    </xf>
    <xf numFmtId="9" fontId="12" fillId="16" borderId="0" xfId="76" applyNumberFormat="1" applyFont="1" applyFill="1" applyBorder="1" applyAlignment="1">
      <alignment horizontal="right"/>
    </xf>
    <xf numFmtId="0" fontId="77" fillId="0" borderId="0" xfId="67" applyFont="1" applyBorder="1"/>
    <xf numFmtId="9" fontId="81" fillId="0" borderId="0" xfId="76" applyFont="1" applyFill="1" applyBorder="1" applyAlignment="1">
      <alignment horizontal="right"/>
    </xf>
    <xf numFmtId="166" fontId="11" fillId="0" borderId="0" xfId="76" applyNumberFormat="1" applyFont="1" applyFill="1" applyBorder="1" applyAlignment="1">
      <alignment horizontal="right"/>
    </xf>
    <xf numFmtId="215" fontId="12" fillId="0" borderId="0" xfId="40" applyNumberFormat="1" applyFont="1" applyFill="1" applyBorder="1" applyAlignment="1">
      <alignment horizontal="right"/>
    </xf>
    <xf numFmtId="164" fontId="8" fillId="0" borderId="0" xfId="55" applyNumberFormat="1" applyFont="1" applyFill="1" applyBorder="1" applyAlignment="1">
      <alignment horizontal="right"/>
    </xf>
    <xf numFmtId="164" fontId="12" fillId="0" borderId="0" xfId="62" applyNumberFormat="1" applyFont="1" applyFill="1" applyBorder="1" applyAlignment="1">
      <alignment horizontal="right"/>
    </xf>
    <xf numFmtId="222" fontId="12" fillId="0" borderId="0" xfId="62" applyNumberFormat="1" applyFont="1" applyFill="1" applyBorder="1" applyAlignment="1">
      <alignment horizontal="right"/>
    </xf>
    <xf numFmtId="9" fontId="12" fillId="0" borderId="0" xfId="76" applyFont="1" applyFill="1" applyBorder="1" applyAlignment="1">
      <alignment horizontal="right"/>
    </xf>
    <xf numFmtId="215" fontId="79" fillId="0" borderId="0" xfId="62" applyNumberFormat="1" applyFont="1" applyFill="1" applyBorder="1" applyAlignment="1">
      <alignment horizontal="right"/>
    </xf>
    <xf numFmtId="215" fontId="11" fillId="0" borderId="0" xfId="40" applyNumberFormat="1" applyFont="1" applyBorder="1" applyAlignment="1">
      <alignment horizontal="right"/>
    </xf>
    <xf numFmtId="0" fontId="25" fillId="0" borderId="0" xfId="67" applyFont="1" applyBorder="1" applyAlignment="1">
      <alignment horizontal="left" indent="2"/>
    </xf>
    <xf numFmtId="9" fontId="8" fillId="0" borderId="0" xfId="76" applyNumberFormat="1" applyFont="1" applyAlignment="1">
      <alignment horizontal="right"/>
    </xf>
    <xf numFmtId="175" fontId="12" fillId="0" borderId="0" xfId="39" applyNumberFormat="1" applyFont="1" applyFill="1" applyBorder="1"/>
    <xf numFmtId="9" fontId="8" fillId="0" borderId="0" xfId="76" applyFont="1" applyAlignment="1">
      <alignment horizontal="right"/>
    </xf>
    <xf numFmtId="166" fontId="8" fillId="0" borderId="0" xfId="76" applyNumberFormat="1" applyFont="1" applyAlignment="1">
      <alignment horizontal="right"/>
    </xf>
    <xf numFmtId="9" fontId="8" fillId="0" borderId="0" xfId="76" applyFont="1" applyFill="1" applyBorder="1" applyAlignment="1">
      <alignment horizontal="right"/>
    </xf>
    <xf numFmtId="215" fontId="12" fillId="0" borderId="0" xfId="62" applyNumberFormat="1" applyFont="1" applyBorder="1" applyAlignment="1">
      <alignment horizontal="right"/>
    </xf>
    <xf numFmtId="3" fontId="12" fillId="0" borderId="0" xfId="76" applyNumberFormat="1" applyFont="1" applyFill="1" applyBorder="1" applyAlignment="1">
      <alignment horizontal="right"/>
    </xf>
    <xf numFmtId="228" fontId="11" fillId="0" borderId="6" xfId="62" applyNumberFormat="1" applyFont="1" applyBorder="1" applyAlignment="1">
      <alignment horizontal="right"/>
    </xf>
    <xf numFmtId="0" fontId="8" fillId="0" borderId="0" xfId="67" applyFont="1" applyBorder="1" applyAlignment="1">
      <alignment horizontal="left"/>
    </xf>
    <xf numFmtId="215" fontId="12" fillId="0" borderId="0" xfId="40" applyNumberFormat="1" applyFont="1" applyBorder="1" applyAlignment="1">
      <alignment horizontal="right"/>
    </xf>
    <xf numFmtId="177" fontId="8" fillId="0" borderId="0" xfId="67" applyNumberFormat="1" applyFont="1" applyAlignment="1">
      <alignment wrapText="1"/>
    </xf>
    <xf numFmtId="183" fontId="8" fillId="0" borderId="0" xfId="63" applyNumberFormat="1" applyFont="1" applyBorder="1" applyAlignment="1" applyProtection="1">
      <alignment horizontal="left"/>
    </xf>
    <xf numFmtId="215" fontId="12" fillId="0" borderId="7" xfId="40" applyNumberFormat="1" applyFont="1" applyFill="1" applyBorder="1" applyAlignment="1">
      <alignment horizontal="right"/>
    </xf>
    <xf numFmtId="215" fontId="12" fillId="0" borderId="17" xfId="40" applyNumberFormat="1" applyFont="1" applyFill="1" applyBorder="1" applyAlignment="1">
      <alignment horizontal="right"/>
    </xf>
    <xf numFmtId="215" fontId="12" fillId="0" borderId="40" xfId="40" applyNumberFormat="1" applyFont="1" applyFill="1" applyBorder="1" applyAlignment="1">
      <alignment horizontal="right"/>
    </xf>
    <xf numFmtId="177" fontId="8" fillId="0" borderId="0" xfId="67" applyNumberFormat="1" applyFont="1"/>
    <xf numFmtId="177" fontId="86" fillId="0" borderId="5" xfId="67" applyNumberFormat="1" applyFont="1" applyBorder="1"/>
    <xf numFmtId="215" fontId="12" fillId="0" borderId="1" xfId="40" applyNumberFormat="1" applyFont="1" applyFill="1" applyBorder="1" applyAlignment="1">
      <alignment horizontal="right"/>
    </xf>
    <xf numFmtId="215" fontId="12" fillId="0" borderId="41" xfId="40" applyNumberFormat="1" applyFont="1" applyFill="1" applyBorder="1" applyAlignment="1">
      <alignment horizontal="right"/>
    </xf>
    <xf numFmtId="215" fontId="12" fillId="0" borderId="42" xfId="40" applyNumberFormat="1" applyFont="1" applyFill="1" applyBorder="1" applyAlignment="1">
      <alignment horizontal="right"/>
    </xf>
    <xf numFmtId="215" fontId="12" fillId="0" borderId="2" xfId="40" applyNumberFormat="1" applyFont="1" applyFill="1" applyBorder="1" applyAlignment="1">
      <alignment horizontal="right"/>
    </xf>
    <xf numFmtId="215" fontId="12" fillId="0" borderId="43" xfId="40" applyNumberFormat="1" applyFont="1" applyFill="1" applyBorder="1" applyAlignment="1">
      <alignment horizontal="right"/>
    </xf>
    <xf numFmtId="0" fontId="76" fillId="0" borderId="0" xfId="67" applyFont="1" applyFill="1" applyAlignment="1">
      <alignment vertical="justify" textRotation="90" readingOrder="2"/>
    </xf>
    <xf numFmtId="175" fontId="82" fillId="0" borderId="0" xfId="40" applyNumberFormat="1" applyFont="1" applyFill="1" applyBorder="1"/>
    <xf numFmtId="3" fontId="8" fillId="0" borderId="0" xfId="67" applyNumberFormat="1" applyFont="1"/>
    <xf numFmtId="177" fontId="8" fillId="0" borderId="0" xfId="67" applyNumberFormat="1" applyFont="1" applyBorder="1" applyAlignment="1">
      <alignment wrapText="1"/>
    </xf>
    <xf numFmtId="0" fontId="76" fillId="0" borderId="0" xfId="67" applyFont="1" applyFill="1" applyBorder="1" applyAlignment="1">
      <alignment vertical="justify" textRotation="90" readingOrder="2"/>
    </xf>
    <xf numFmtId="177" fontId="8" fillId="0" borderId="0" xfId="67" applyNumberFormat="1" applyFont="1" applyBorder="1"/>
    <xf numFmtId="175" fontId="8" fillId="0" borderId="0" xfId="40" applyNumberFormat="1" applyFont="1" applyFill="1" applyBorder="1"/>
    <xf numFmtId="215" fontId="21" fillId="0" borderId="0" xfId="40" applyNumberFormat="1" applyFont="1" applyFill="1" applyBorder="1" applyAlignment="1">
      <alignment horizontal="left" indent="1"/>
    </xf>
    <xf numFmtId="0" fontId="76" fillId="0" borderId="0" xfId="67" applyFont="1" applyBorder="1" applyAlignment="1">
      <alignment vertical="center" textRotation="90" readingOrder="2"/>
    </xf>
    <xf numFmtId="223" fontId="8" fillId="0" borderId="0" xfId="55" applyNumberFormat="1" applyFont="1" applyBorder="1" applyAlignment="1">
      <alignment horizontal="right"/>
    </xf>
    <xf numFmtId="222" fontId="8" fillId="0" borderId="0" xfId="62" applyNumberFormat="1" applyFont="1" applyBorder="1" applyAlignment="1">
      <alignment horizontal="right"/>
    </xf>
    <xf numFmtId="165" fontId="76" fillId="0" borderId="0" xfId="67" applyNumberFormat="1" applyFont="1" applyFill="1"/>
    <xf numFmtId="210" fontId="8" fillId="0" borderId="0" xfId="40" applyNumberFormat="1" applyFont="1" applyFill="1" applyBorder="1" applyAlignment="1">
      <alignment horizontal="right"/>
    </xf>
    <xf numFmtId="177" fontId="8" fillId="0" borderId="0" xfId="67" applyNumberFormat="1" applyFont="1" applyFill="1" applyAlignment="1">
      <alignment wrapText="1"/>
    </xf>
    <xf numFmtId="177" fontId="8" fillId="0" borderId="0" xfId="67" applyNumberFormat="1" applyFont="1" applyFill="1"/>
    <xf numFmtId="177" fontId="86" fillId="0" borderId="5" xfId="67" applyNumberFormat="1" applyFont="1" applyFill="1" applyBorder="1"/>
    <xf numFmtId="177" fontId="76" fillId="0" borderId="0" xfId="67" applyNumberFormat="1" applyFont="1"/>
    <xf numFmtId="215" fontId="8" fillId="0" borderId="0" xfId="40" applyNumberFormat="1" applyFont="1" applyBorder="1" applyAlignment="1">
      <alignment horizontal="right"/>
    </xf>
    <xf numFmtId="215" fontId="8" fillId="0" borderId="0" xfId="67" applyNumberFormat="1" applyFont="1" applyBorder="1" applyAlignment="1">
      <alignment horizontal="right"/>
    </xf>
    <xf numFmtId="210" fontId="8" fillId="0" borderId="0" xfId="67" applyNumberFormat="1" applyFont="1" applyAlignment="1">
      <alignment horizontal="right"/>
    </xf>
    <xf numFmtId="215" fontId="8" fillId="0" borderId="0" xfId="67" applyNumberFormat="1" applyFont="1" applyFill="1" applyBorder="1" applyAlignment="1">
      <alignment horizontal="right"/>
    </xf>
    <xf numFmtId="215" fontId="8" fillId="0" borderId="0" xfId="67" applyNumberFormat="1" applyFont="1" applyFill="1"/>
    <xf numFmtId="0" fontId="8" fillId="0" borderId="0" xfId="64" applyNumberFormat="1" applyFont="1" applyFill="1"/>
    <xf numFmtId="224" fontId="20" fillId="0" borderId="14" xfId="55" applyNumberFormat="1" applyFont="1" applyFill="1" applyBorder="1" applyAlignment="1">
      <alignment horizontal="right"/>
    </xf>
    <xf numFmtId="0" fontId="8" fillId="0" borderId="0" xfId="67" applyFont="1" applyFill="1" applyBorder="1" applyAlignment="1">
      <alignment wrapText="1"/>
    </xf>
    <xf numFmtId="226" fontId="8" fillId="0" borderId="0" xfId="55" applyNumberFormat="1" applyFont="1" applyFill="1" applyBorder="1" applyAlignment="1">
      <alignment horizontal="right"/>
    </xf>
    <xf numFmtId="215" fontId="8" fillId="0" borderId="0" xfId="67" applyNumberFormat="1" applyFont="1" applyFill="1" applyBorder="1"/>
    <xf numFmtId="165" fontId="8" fillId="0" borderId="0" xfId="67" applyNumberFormat="1" applyFont="1" applyFill="1" applyBorder="1" applyAlignment="1">
      <alignment horizontal="right"/>
    </xf>
    <xf numFmtId="210" fontId="8" fillId="0" borderId="0" xfId="67" applyNumberFormat="1" applyFont="1" applyFill="1" applyBorder="1" applyAlignment="1">
      <alignment horizontal="right"/>
    </xf>
    <xf numFmtId="0" fontId="8" fillId="0" borderId="0" xfId="63" applyNumberFormat="1" applyFont="1" applyFill="1" applyBorder="1" applyAlignment="1" applyProtection="1">
      <alignment horizontal="left"/>
    </xf>
    <xf numFmtId="210" fontId="8" fillId="0" borderId="0" xfId="67" applyNumberFormat="1" applyFont="1" applyFill="1" applyAlignment="1">
      <alignment horizontal="right"/>
    </xf>
    <xf numFmtId="215" fontId="76" fillId="0" borderId="0" xfId="67" applyNumberFormat="1" applyFont="1" applyFill="1"/>
    <xf numFmtId="215" fontId="76" fillId="0" borderId="0" xfId="67" applyNumberFormat="1" applyFont="1" applyFill="1" applyBorder="1"/>
    <xf numFmtId="183" fontId="82" fillId="0" borderId="0" xfId="63" applyNumberFormat="1" applyFont="1" applyFill="1" applyBorder="1" applyAlignment="1" applyProtection="1">
      <alignment horizontal="left"/>
    </xf>
    <xf numFmtId="175" fontId="23" fillId="0" borderId="0" xfId="40" applyNumberFormat="1" applyFont="1" applyFill="1" applyBorder="1"/>
    <xf numFmtId="183" fontId="11" fillId="0" borderId="0" xfId="63" applyNumberFormat="1" applyFont="1" applyFill="1" applyBorder="1" applyAlignment="1" applyProtection="1">
      <alignment horizontal="left"/>
    </xf>
    <xf numFmtId="0" fontId="23" fillId="0" borderId="0" xfId="67" applyFont="1" applyFill="1" applyBorder="1"/>
    <xf numFmtId="0" fontId="8" fillId="0" borderId="0" xfId="67" applyFont="1" applyFill="1" applyAlignment="1">
      <alignment horizontal="center" wrapText="1"/>
    </xf>
    <xf numFmtId="0" fontId="76" fillId="0" borderId="0" xfId="67" applyFont="1" applyFill="1" applyAlignment="1">
      <alignment horizontal="center"/>
    </xf>
    <xf numFmtId="0" fontId="8" fillId="0" borderId="0" xfId="67" applyFont="1" applyFill="1" applyBorder="1" applyAlignment="1">
      <alignment horizontal="center"/>
    </xf>
    <xf numFmtId="0" fontId="8" fillId="0" borderId="0" xfId="67" applyFont="1" applyFill="1" applyAlignment="1">
      <alignment horizontal="center"/>
    </xf>
    <xf numFmtId="0" fontId="86" fillId="0" borderId="5" xfId="67" applyFont="1" applyFill="1" applyBorder="1" applyAlignment="1">
      <alignment horizontal="center"/>
    </xf>
    <xf numFmtId="0" fontId="20" fillId="0" borderId="0" xfId="67" applyFont="1" applyFill="1" applyBorder="1"/>
    <xf numFmtId="252" fontId="11" fillId="16" borderId="6" xfId="67" applyNumberFormat="1" applyFont="1" applyFill="1" applyBorder="1" applyAlignment="1">
      <alignment horizontal="right"/>
    </xf>
    <xf numFmtId="252" fontId="8" fillId="0" borderId="6" xfId="67" applyNumberFormat="1" applyFont="1" applyFill="1" applyBorder="1" applyAlignment="1">
      <alignment horizontal="right"/>
    </xf>
    <xf numFmtId="252" fontId="8" fillId="0" borderId="6" xfId="67" applyNumberFormat="1" applyFont="1" applyFill="1" applyBorder="1"/>
    <xf numFmtId="0" fontId="142" fillId="0" borderId="0" xfId="67" applyFont="1" applyFill="1" applyBorder="1"/>
    <xf numFmtId="0" fontId="8" fillId="0" borderId="0" xfId="67" applyFont="1" applyFill="1" applyBorder="1" applyAlignment="1">
      <alignment horizontal="right"/>
    </xf>
    <xf numFmtId="0" fontId="8" fillId="16" borderId="0" xfId="64" applyFont="1" applyFill="1" applyBorder="1"/>
    <xf numFmtId="0" fontId="8" fillId="16" borderId="0" xfId="64" applyFont="1" applyFill="1" applyBorder="1" applyAlignment="1">
      <alignment horizontal="center"/>
    </xf>
    <xf numFmtId="166" fontId="8" fillId="16" borderId="0" xfId="64" applyNumberFormat="1" applyFont="1" applyFill="1" applyBorder="1" applyAlignment="1">
      <alignment horizontal="right"/>
    </xf>
    <xf numFmtId="0" fontId="8" fillId="16" borderId="0" xfId="64" applyFont="1" applyFill="1"/>
    <xf numFmtId="0" fontId="86" fillId="16" borderId="0" xfId="64" applyFont="1" applyFill="1"/>
    <xf numFmtId="0" fontId="4" fillId="16" borderId="0" xfId="64" applyFill="1" applyBorder="1"/>
    <xf numFmtId="0" fontId="4" fillId="16" borderId="0" xfId="64" applyFill="1" applyBorder="1" applyAlignment="1">
      <alignment horizontal="center"/>
    </xf>
    <xf numFmtId="0" fontId="4" fillId="16" borderId="0" xfId="64" applyFill="1" applyBorder="1" applyAlignment="1">
      <alignment horizontal="right"/>
    </xf>
    <xf numFmtId="0" fontId="4" fillId="16" borderId="0" xfId="64" applyFill="1"/>
    <xf numFmtId="175" fontId="8" fillId="16" borderId="0" xfId="39" applyNumberFormat="1" applyFont="1" applyFill="1" applyBorder="1" applyAlignment="1">
      <alignment horizontal="right"/>
    </xf>
    <xf numFmtId="0" fontId="85" fillId="16" borderId="0" xfId="64" applyFont="1" applyFill="1"/>
    <xf numFmtId="0" fontId="8" fillId="16" borderId="0" xfId="64" applyFont="1" applyFill="1" applyBorder="1" applyAlignment="1">
      <alignment horizontal="right"/>
    </xf>
    <xf numFmtId="166" fontId="8" fillId="16" borderId="0" xfId="64" applyNumberFormat="1" applyFont="1" applyFill="1" applyBorder="1" applyAlignment="1">
      <alignment horizontal="center"/>
    </xf>
    <xf numFmtId="0" fontId="82" fillId="16" borderId="0" xfId="64" applyFont="1" applyFill="1" applyBorder="1" applyAlignment="1">
      <alignment horizontal="center"/>
    </xf>
    <xf numFmtId="164" fontId="82" fillId="16" borderId="0" xfId="64" applyNumberFormat="1" applyFont="1" applyFill="1" applyBorder="1" applyAlignment="1">
      <alignment horizontal="center"/>
    </xf>
    <xf numFmtId="164" fontId="8" fillId="16" borderId="0" xfId="64" applyNumberFormat="1" applyFont="1" applyFill="1" applyBorder="1" applyAlignment="1">
      <alignment horizontal="center"/>
    </xf>
    <xf numFmtId="172" fontId="8" fillId="23" borderId="0" xfId="74" applyNumberFormat="1" applyFont="1" applyFill="1" applyBorder="1"/>
    <xf numFmtId="5" fontId="8" fillId="23" borderId="0" xfId="0" applyNumberFormat="1" applyFont="1" applyFill="1"/>
    <xf numFmtId="208" fontId="121" fillId="0" borderId="0" xfId="0" applyNumberFormat="1" applyFont="1" applyAlignment="1">
      <alignment horizontal="left"/>
    </xf>
    <xf numFmtId="199" fontId="8" fillId="0" borderId="0" xfId="0" applyNumberFormat="1" applyFont="1" applyFill="1"/>
    <xf numFmtId="253" fontId="121" fillId="0" borderId="0" xfId="0" applyNumberFormat="1" applyFont="1"/>
    <xf numFmtId="183" fontId="8" fillId="23" borderId="0" xfId="0" applyNumberFormat="1" applyFont="1" applyFill="1"/>
    <xf numFmtId="9" fontId="4" fillId="0" borderId="0" xfId="74" applyFont="1" applyAlignment="1">
      <alignment horizontal="center"/>
    </xf>
    <xf numFmtId="9" fontId="0" fillId="0" borderId="0" xfId="74" applyFont="1" applyAlignment="1">
      <alignment horizontal="center"/>
    </xf>
    <xf numFmtId="44" fontId="0" fillId="0" borderId="0" xfId="0" applyNumberFormat="1" applyAlignment="1">
      <alignment horizontal="center"/>
    </xf>
    <xf numFmtId="7" fontId="88" fillId="23" borderId="0" xfId="60" applyNumberFormat="1" applyFont="1" applyFill="1" applyBorder="1" applyAlignment="1">
      <alignment horizontal="centerContinuous"/>
    </xf>
    <xf numFmtId="0" fontId="11" fillId="23" borderId="0" xfId="0" applyFont="1" applyFill="1" applyAlignment="1">
      <alignment horizontal="center"/>
    </xf>
    <xf numFmtId="6" fontId="25" fillId="23" borderId="0" xfId="0" quotePrefix="1" applyNumberFormat="1" applyFont="1" applyFill="1"/>
    <xf numFmtId="193" fontId="11" fillId="23" borderId="0" xfId="0" applyNumberFormat="1" applyFont="1" applyFill="1" applyBorder="1" applyAlignment="1">
      <alignment horizontal="center"/>
    </xf>
    <xf numFmtId="193" fontId="20" fillId="23" borderId="2" xfId="0" applyNumberFormat="1" applyFont="1" applyFill="1" applyBorder="1" applyAlignment="1">
      <alignment horizontal="center"/>
    </xf>
    <xf numFmtId="193" fontId="11" fillId="23" borderId="2" xfId="0" applyNumberFormat="1" applyFont="1" applyFill="1" applyBorder="1" applyAlignment="1">
      <alignment horizontal="centerContinuous"/>
    </xf>
    <xf numFmtId="0" fontId="22" fillId="23" borderId="0" xfId="0" applyFont="1" applyFill="1" applyAlignment="1">
      <alignment horizontal="left"/>
    </xf>
    <xf numFmtId="0" fontId="21" fillId="23" borderId="0" xfId="0" applyFont="1" applyFill="1"/>
    <xf numFmtId="0" fontId="21" fillId="23" borderId="0" xfId="0" applyFont="1" applyFill="1" applyBorder="1" applyAlignment="1">
      <alignment horizontal="center"/>
    </xf>
    <xf numFmtId="171" fontId="12" fillId="23" borderId="0" xfId="0" applyNumberFormat="1" applyFont="1" applyFill="1"/>
    <xf numFmtId="38" fontId="12" fillId="23" borderId="0" xfId="0" applyNumberFormat="1" applyFont="1" applyFill="1"/>
    <xf numFmtId="169" fontId="12" fillId="23" borderId="0" xfId="0" applyNumberFormat="1" applyFont="1" applyFill="1"/>
    <xf numFmtId="169" fontId="8" fillId="23" borderId="0" xfId="0" applyNumberFormat="1" applyFont="1" applyFill="1"/>
    <xf numFmtId="38" fontId="8" fillId="23" borderId="0" xfId="0" applyNumberFormat="1" applyFont="1" applyFill="1"/>
    <xf numFmtId="0" fontId="21" fillId="23" borderId="0" xfId="0" applyFont="1" applyFill="1" applyAlignment="1">
      <alignment horizontal="left"/>
    </xf>
    <xf numFmtId="0" fontId="21" fillId="23" borderId="0" xfId="0" applyFont="1" applyFill="1" applyAlignment="1">
      <alignment horizontal="center"/>
    </xf>
    <xf numFmtId="171" fontId="8" fillId="23" borderId="0" xfId="0" applyNumberFormat="1" applyFont="1" applyFill="1"/>
    <xf numFmtId="10" fontId="8" fillId="23" borderId="0" xfId="74" applyNumberFormat="1" applyFont="1" applyFill="1" applyBorder="1"/>
    <xf numFmtId="7" fontId="8" fillId="23" borderId="0" xfId="74" applyNumberFormat="1" applyFont="1" applyFill="1" applyBorder="1"/>
    <xf numFmtId="0" fontId="8" fillId="0" borderId="0" xfId="0" applyFont="1" applyFill="1" applyAlignment="1">
      <alignment horizontal="center"/>
    </xf>
    <xf numFmtId="10" fontId="8" fillId="0" borderId="0" xfId="0" applyNumberFormat="1" applyFont="1" applyFill="1"/>
    <xf numFmtId="9" fontId="8" fillId="0" borderId="0" xfId="0" applyNumberFormat="1" applyFont="1" applyFill="1"/>
    <xf numFmtId="10" fontId="8" fillId="0" borderId="0" xfId="74" applyNumberFormat="1" applyFont="1" applyAlignment="1">
      <alignment horizontal="center"/>
    </xf>
    <xf numFmtId="10" fontId="8" fillId="0" borderId="0" xfId="0" applyNumberFormat="1" applyFont="1" applyFill="1" applyAlignment="1">
      <alignment horizontal="center"/>
    </xf>
    <xf numFmtId="9" fontId="8" fillId="0" borderId="0" xfId="0" applyNumberFormat="1" applyFont="1" applyFill="1" applyAlignment="1">
      <alignment horizontal="center"/>
    </xf>
    <xf numFmtId="9" fontId="8" fillId="0" borderId="0" xfId="74" applyFont="1" applyFill="1"/>
    <xf numFmtId="166" fontId="8" fillId="0" borderId="0" xfId="74" applyNumberFormat="1" applyFont="1" applyFill="1"/>
    <xf numFmtId="170" fontId="121" fillId="0" borderId="0" xfId="0" applyNumberFormat="1" applyFont="1"/>
    <xf numFmtId="166" fontId="0" fillId="0" borderId="0" xfId="74" applyNumberFormat="1" applyFont="1"/>
    <xf numFmtId="199" fontId="8" fillId="0" borderId="2" xfId="0" applyNumberFormat="1" applyFont="1" applyFill="1" applyBorder="1"/>
    <xf numFmtId="166" fontId="39" fillId="23" borderId="2" xfId="74" applyNumberFormat="1" applyFont="1" applyFill="1" applyBorder="1" applyAlignment="1">
      <alignment horizontal="left"/>
    </xf>
    <xf numFmtId="169" fontId="121" fillId="0" borderId="0" xfId="0" applyNumberFormat="1" applyFont="1"/>
    <xf numFmtId="0" fontId="38" fillId="23" borderId="0" xfId="0" applyFont="1" applyFill="1"/>
    <xf numFmtId="167" fontId="40" fillId="23" borderId="0" xfId="54" applyNumberFormat="1" applyFont="1" applyFill="1" applyBorder="1"/>
    <xf numFmtId="0" fontId="40" fillId="23" borderId="0" xfId="54" applyFont="1" applyFill="1" applyBorder="1"/>
    <xf numFmtId="172" fontId="41" fillId="23" borderId="2" xfId="54" applyNumberFormat="1" applyFont="1" applyFill="1" applyBorder="1" applyAlignment="1" applyProtection="1">
      <alignment horizontal="left"/>
    </xf>
    <xf numFmtId="167" fontId="40" fillId="23" borderId="2" xfId="54" applyNumberFormat="1" applyFont="1" applyFill="1" applyBorder="1"/>
    <xf numFmtId="0" fontId="40" fillId="23" borderId="2" xfId="54" applyFont="1" applyFill="1" applyBorder="1"/>
    <xf numFmtId="166" fontId="40" fillId="23" borderId="2" xfId="74" applyNumberFormat="1" applyFont="1" applyFill="1" applyBorder="1"/>
    <xf numFmtId="0" fontId="49" fillId="23" borderId="0" xfId="0" applyFont="1" applyFill="1" applyAlignment="1" applyProtection="1">
      <alignment horizontal="left"/>
    </xf>
    <xf numFmtId="185" fontId="47" fillId="23" borderId="0" xfId="54" applyNumberFormat="1" applyFont="1" applyFill="1" applyBorder="1" applyAlignment="1">
      <alignment horizontal="right"/>
    </xf>
    <xf numFmtId="166" fontId="47" fillId="23" borderId="0" xfId="74" applyNumberFormat="1" applyFont="1" applyFill="1" applyBorder="1" applyAlignment="1">
      <alignment horizontal="right"/>
    </xf>
    <xf numFmtId="185" fontId="47" fillId="23" borderId="7" xfId="54" applyNumberFormat="1" applyFont="1" applyFill="1" applyBorder="1" applyAlignment="1">
      <alignment horizontal="right"/>
    </xf>
    <xf numFmtId="178" fontId="40" fillId="23" borderId="6" xfId="68" quotePrefix="1" applyFont="1" applyFill="1" applyBorder="1" applyAlignment="1" applyProtection="1">
      <alignment horizontal="center"/>
    </xf>
    <xf numFmtId="178" fontId="38" fillId="23" borderId="6" xfId="68" applyFont="1" applyFill="1" applyBorder="1" applyAlignment="1">
      <alignment horizontal="center"/>
    </xf>
    <xf numFmtId="0" fontId="40" fillId="23" borderId="40" xfId="54" applyFont="1" applyFill="1" applyBorder="1"/>
    <xf numFmtId="0" fontId="38" fillId="23" borderId="0" xfId="54" applyFont="1" applyFill="1" applyBorder="1"/>
    <xf numFmtId="193" fontId="41" fillId="23" borderId="2" xfId="54" applyNumberFormat="1" applyFont="1" applyFill="1" applyBorder="1" applyAlignment="1">
      <alignment horizontal="center"/>
    </xf>
    <xf numFmtId="193" fontId="38" fillId="23" borderId="2" xfId="54" applyNumberFormat="1" applyFont="1" applyFill="1" applyBorder="1" applyAlignment="1">
      <alignment horizontal="center"/>
    </xf>
    <xf numFmtId="195" fontId="41" fillId="23" borderId="2" xfId="54" applyNumberFormat="1" applyFont="1" applyFill="1" applyBorder="1" applyAlignment="1">
      <alignment horizontal="center"/>
    </xf>
    <xf numFmtId="185" fontId="38" fillId="23" borderId="1" xfId="54" applyNumberFormat="1" applyFont="1" applyFill="1" applyBorder="1" applyAlignment="1">
      <alignment horizontal="right"/>
    </xf>
    <xf numFmtId="178" fontId="41" fillId="23" borderId="6" xfId="68" applyFont="1" applyFill="1" applyBorder="1" applyAlignment="1" applyProtection="1">
      <alignment horizontal="center"/>
    </xf>
    <xf numFmtId="178" fontId="41" fillId="23" borderId="0" xfId="68" applyFont="1" applyFill="1" applyBorder="1"/>
    <xf numFmtId="0" fontId="38" fillId="23" borderId="41" xfId="54" applyFont="1" applyFill="1" applyBorder="1"/>
    <xf numFmtId="185" fontId="47" fillId="23" borderId="1" xfId="54" applyNumberFormat="1" applyFont="1" applyFill="1" applyBorder="1" applyAlignment="1">
      <alignment horizontal="right"/>
    </xf>
    <xf numFmtId="0" fontId="40" fillId="23" borderId="41" xfId="54" applyFont="1" applyFill="1" applyBorder="1"/>
    <xf numFmtId="172" fontId="40" fillId="23" borderId="0" xfId="54" applyNumberFormat="1" applyFont="1" applyFill="1" applyBorder="1"/>
    <xf numFmtId="172" fontId="40" fillId="23" borderId="1" xfId="54" applyNumberFormat="1" applyFont="1" applyFill="1" applyBorder="1"/>
    <xf numFmtId="167" fontId="40" fillId="23" borderId="0" xfId="68" applyNumberFormat="1" applyFont="1" applyFill="1" applyBorder="1" applyProtection="1"/>
    <xf numFmtId="178" fontId="40" fillId="23" borderId="0" xfId="68" applyFont="1" applyFill="1" applyBorder="1" applyAlignment="1" applyProtection="1">
      <alignment horizontal="left"/>
    </xf>
    <xf numFmtId="178" fontId="40" fillId="23" borderId="41" xfId="68" applyFont="1" applyFill="1" applyBorder="1" applyAlignment="1" applyProtection="1">
      <alignment horizontal="center"/>
    </xf>
    <xf numFmtId="167" fontId="40" fillId="23" borderId="1" xfId="54" applyNumberFormat="1" applyFont="1" applyFill="1" applyBorder="1"/>
    <xf numFmtId="178" fontId="40" fillId="23" borderId="0" xfId="68" applyFont="1" applyFill="1" applyBorder="1"/>
    <xf numFmtId="178" fontId="40" fillId="23" borderId="41" xfId="68" applyFont="1" applyFill="1" applyBorder="1" applyAlignment="1">
      <alignment horizontal="center"/>
    </xf>
    <xf numFmtId="166" fontId="48" fillId="23" borderId="0" xfId="74" applyNumberFormat="1" applyFont="1" applyFill="1" applyBorder="1"/>
    <xf numFmtId="0" fontId="40" fillId="23" borderId="0" xfId="54" applyFont="1" applyFill="1" applyBorder="1" applyAlignment="1">
      <alignment horizontal="left"/>
    </xf>
    <xf numFmtId="167" fontId="48" fillId="23" borderId="0" xfId="54" applyNumberFormat="1" applyFont="1" applyFill="1" applyBorder="1"/>
    <xf numFmtId="0" fontId="49" fillId="23" borderId="0" xfId="54" applyFont="1" applyFill="1" applyBorder="1" applyAlignment="1">
      <alignment horizontal="left"/>
    </xf>
    <xf numFmtId="0" fontId="49" fillId="23" borderId="0" xfId="54" applyFont="1" applyFill="1" applyBorder="1" applyAlignment="1">
      <alignment horizontal="left" indent="1"/>
    </xf>
    <xf numFmtId="0" fontId="8" fillId="23" borderId="0" xfId="54" applyFont="1" applyFill="1" applyBorder="1" applyAlignment="1">
      <alignment horizontal="left"/>
    </xf>
    <xf numFmtId="0" fontId="8" fillId="23" borderId="0" xfId="54" applyFont="1" applyFill="1" applyBorder="1" applyAlignment="1">
      <alignment horizontal="left" indent="2"/>
    </xf>
    <xf numFmtId="43" fontId="40" fillId="23" borderId="0" xfId="37" applyFont="1" applyFill="1" applyBorder="1"/>
    <xf numFmtId="0" fontId="25" fillId="23" borderId="0" xfId="54" applyFont="1" applyFill="1" applyBorder="1" applyAlignment="1">
      <alignment horizontal="left" indent="3"/>
    </xf>
    <xf numFmtId="43" fontId="49" fillId="23" borderId="0" xfId="37" applyFont="1" applyFill="1" applyBorder="1"/>
    <xf numFmtId="43" fontId="151" fillId="23" borderId="0" xfId="37" applyFont="1" applyFill="1" applyBorder="1"/>
    <xf numFmtId="9" fontId="40" fillId="23" borderId="0" xfId="74" applyFont="1" applyFill="1" applyBorder="1"/>
    <xf numFmtId="0" fontId="40" fillId="23" borderId="0" xfId="54" applyFont="1" applyFill="1" applyBorder="1" applyAlignment="1">
      <alignment horizontal="left" indent="2"/>
    </xf>
    <xf numFmtId="167" fontId="50" fillId="23" borderId="0" xfId="54" applyNumberFormat="1" applyFont="1" applyFill="1" applyBorder="1"/>
    <xf numFmtId="166" fontId="50" fillId="23" borderId="0" xfId="74" applyNumberFormat="1" applyFont="1" applyFill="1" applyBorder="1"/>
    <xf numFmtId="167" fontId="52" fillId="23" borderId="0" xfId="54" applyNumberFormat="1" applyFont="1" applyFill="1" applyBorder="1"/>
    <xf numFmtId="166" fontId="52" fillId="23" borderId="0" xfId="74" applyNumberFormat="1" applyFont="1" applyFill="1" applyBorder="1"/>
    <xf numFmtId="205" fontId="40" fillId="23" borderId="0" xfId="54" applyNumberFormat="1" applyFont="1" applyFill="1" applyBorder="1"/>
    <xf numFmtId="166" fontId="40" fillId="23" borderId="0" xfId="74" applyNumberFormat="1" applyFont="1" applyFill="1" applyBorder="1" applyAlignment="1"/>
    <xf numFmtId="166" fontId="48" fillId="23" borderId="0" xfId="74" applyNumberFormat="1" applyFont="1" applyFill="1" applyBorder="1" applyAlignment="1"/>
    <xf numFmtId="37" fontId="40" fillId="23" borderId="0" xfId="68" applyNumberFormat="1" applyFont="1" applyFill="1" applyBorder="1" applyProtection="1"/>
    <xf numFmtId="10" fontId="40" fillId="23" borderId="0" xfId="54" applyNumberFormat="1" applyFont="1" applyFill="1"/>
    <xf numFmtId="39" fontId="53" fillId="23" borderId="0" xfId="54" applyNumberFormat="1" applyFont="1" applyFill="1" applyBorder="1"/>
    <xf numFmtId="205" fontId="40" fillId="23" borderId="0" xfId="68" applyNumberFormat="1" applyFont="1" applyFill="1" applyBorder="1" applyProtection="1"/>
    <xf numFmtId="37" fontId="40" fillId="23" borderId="41" xfId="68" applyNumberFormat="1" applyFont="1" applyFill="1" applyBorder="1" applyAlignment="1" applyProtection="1">
      <alignment horizontal="center"/>
    </xf>
    <xf numFmtId="7" fontId="40" fillId="23" borderId="0" xfId="54" applyNumberFormat="1" applyFont="1" applyFill="1" applyBorder="1"/>
    <xf numFmtId="7" fontId="40" fillId="23" borderId="1" xfId="54" applyNumberFormat="1" applyFont="1" applyFill="1" applyBorder="1"/>
    <xf numFmtId="198" fontId="40" fillId="23" borderId="0" xfId="74" applyNumberFormat="1" applyFont="1" applyFill="1" applyBorder="1"/>
    <xf numFmtId="39" fontId="40" fillId="23" borderId="0" xfId="54" applyNumberFormat="1" applyFont="1" applyFill="1" applyBorder="1"/>
    <xf numFmtId="7" fontId="38" fillId="23" borderId="0" xfId="54" applyNumberFormat="1" applyFont="1" applyFill="1" applyBorder="1"/>
    <xf numFmtId="39" fontId="38" fillId="23" borderId="0" xfId="54" applyNumberFormat="1" applyFont="1" applyFill="1" applyBorder="1"/>
    <xf numFmtId="184" fontId="40" fillId="23" borderId="0" xfId="54" applyNumberFormat="1" applyFont="1" applyFill="1" applyBorder="1"/>
    <xf numFmtId="0" fontId="40" fillId="23" borderId="42" xfId="54" applyFont="1" applyFill="1" applyBorder="1"/>
    <xf numFmtId="167" fontId="40" fillId="23" borderId="2" xfId="68" applyNumberFormat="1" applyFont="1" applyFill="1" applyBorder="1" applyProtection="1"/>
    <xf numFmtId="178" fontId="40" fillId="23" borderId="2" xfId="68" applyFont="1" applyFill="1" applyBorder="1" applyAlignment="1" applyProtection="1">
      <alignment horizontal="left"/>
    </xf>
    <xf numFmtId="178" fontId="40" fillId="23" borderId="43" xfId="68" applyFont="1" applyFill="1" applyBorder="1" applyAlignment="1" applyProtection="1">
      <alignment horizontal="center"/>
    </xf>
    <xf numFmtId="178" fontId="40" fillId="23" borderId="0" xfId="68" applyFont="1" applyFill="1" applyBorder="1" applyAlignment="1" applyProtection="1">
      <alignment horizontal="center"/>
    </xf>
    <xf numFmtId="167" fontId="54" fillId="23" borderId="0" xfId="54" applyNumberFormat="1" applyFont="1" applyFill="1" applyBorder="1"/>
    <xf numFmtId="178" fontId="40" fillId="23" borderId="0" xfId="68" applyFont="1" applyFill="1" applyBorder="1" applyAlignment="1">
      <alignment horizontal="center"/>
    </xf>
    <xf numFmtId="0" fontId="25" fillId="23" borderId="0" xfId="54" applyFont="1" applyFill="1" applyBorder="1"/>
    <xf numFmtId="167" fontId="8" fillId="23" borderId="0" xfId="54" applyNumberFormat="1" applyFont="1" applyFill="1" applyBorder="1"/>
    <xf numFmtId="176" fontId="65" fillId="23" borderId="0" xfId="54" applyNumberFormat="1" applyFont="1" applyFill="1" applyBorder="1"/>
    <xf numFmtId="176" fontId="65" fillId="23" borderId="0" xfId="54" applyNumberFormat="1" applyFont="1" applyFill="1" applyBorder="1" applyAlignment="1">
      <alignment horizontal="right"/>
    </xf>
    <xf numFmtId="9" fontId="65" fillId="23" borderId="0" xfId="74" applyFont="1" applyFill="1" applyBorder="1" applyAlignment="1">
      <alignment horizontal="right"/>
    </xf>
    <xf numFmtId="37" fontId="40" fillId="23" borderId="0" xfId="54" applyNumberFormat="1" applyFont="1" applyFill="1" applyBorder="1"/>
    <xf numFmtId="43" fontId="8" fillId="23" borderId="0" xfId="37" applyFont="1" applyFill="1" applyBorder="1"/>
    <xf numFmtId="43" fontId="8" fillId="23" borderId="0" xfId="37" applyFont="1" applyFill="1" applyBorder="1" applyAlignment="1">
      <alignment horizontal="right"/>
    </xf>
    <xf numFmtId="43" fontId="114" fillId="23" borderId="0" xfId="37" applyFont="1" applyFill="1" applyBorder="1" applyAlignment="1">
      <alignment horizontal="right"/>
    </xf>
    <xf numFmtId="166" fontId="65" fillId="23" borderId="0" xfId="74" applyNumberFormat="1" applyFont="1" applyFill="1" applyBorder="1" applyAlignment="1">
      <alignment horizontal="right"/>
    </xf>
    <xf numFmtId="178" fontId="40" fillId="23" borderId="0" xfId="68" applyFont="1" applyFill="1"/>
    <xf numFmtId="166" fontId="40" fillId="23" borderId="0" xfId="54" applyNumberFormat="1" applyFont="1" applyFill="1" applyBorder="1"/>
    <xf numFmtId="2" fontId="40" fillId="23" borderId="0" xfId="74" applyNumberFormat="1" applyFont="1" applyFill="1" applyBorder="1"/>
    <xf numFmtId="40" fontId="40" fillId="23" borderId="0" xfId="54" applyNumberFormat="1" applyFont="1" applyFill="1" applyBorder="1"/>
    <xf numFmtId="198" fontId="40" fillId="23" borderId="0" xfId="54" applyNumberFormat="1" applyFont="1" applyFill="1" applyBorder="1"/>
    <xf numFmtId="0" fontId="40" fillId="23" borderId="0" xfId="54" applyFont="1" applyFill="1" applyBorder="1" applyAlignment="1">
      <alignment horizontal="center"/>
    </xf>
    <xf numFmtId="9" fontId="40" fillId="23" borderId="0" xfId="0" applyNumberFormat="1" applyFont="1" applyFill="1"/>
    <xf numFmtId="167" fontId="40" fillId="23" borderId="0" xfId="68" applyNumberFormat="1" applyFont="1" applyFill="1" applyProtection="1"/>
    <xf numFmtId="9" fontId="38" fillId="23" borderId="0" xfId="0" applyNumberFormat="1" applyFont="1" applyFill="1"/>
    <xf numFmtId="10" fontId="38" fillId="23" borderId="0" xfId="0" applyNumberFormat="1" applyFont="1" applyFill="1"/>
    <xf numFmtId="190" fontId="40" fillId="23" borderId="0" xfId="0" applyNumberFormat="1" applyFont="1" applyFill="1"/>
    <xf numFmtId="0" fontId="41" fillId="23" borderId="2" xfId="0" applyFont="1" applyFill="1" applyBorder="1"/>
    <xf numFmtId="0" fontId="38" fillId="23" borderId="2" xfId="0" applyFont="1" applyFill="1" applyBorder="1"/>
    <xf numFmtId="190" fontId="40" fillId="23" borderId="2" xfId="0" applyNumberFormat="1" applyFont="1" applyFill="1" applyBorder="1"/>
    <xf numFmtId="0" fontId="55" fillId="23" borderId="0" xfId="0" applyFont="1" applyFill="1" applyAlignment="1" applyProtection="1">
      <alignment horizontal="left"/>
    </xf>
    <xf numFmtId="0" fontId="43" fillId="23" borderId="0" xfId="0" applyFont="1" applyFill="1" applyAlignment="1" applyProtection="1">
      <alignment horizontal="left"/>
    </xf>
    <xf numFmtId="0" fontId="42" fillId="23" borderId="0" xfId="0" applyFont="1" applyFill="1"/>
    <xf numFmtId="171" fontId="42" fillId="23" borderId="0" xfId="0" applyNumberFormat="1" applyFont="1" applyFill="1"/>
    <xf numFmtId="0" fontId="40" fillId="23" borderId="0" xfId="0" applyFont="1" applyFill="1" applyAlignment="1">
      <alignment horizontal="center"/>
    </xf>
    <xf numFmtId="193" fontId="41" fillId="23" borderId="2" xfId="0" applyNumberFormat="1" applyFont="1" applyFill="1" applyBorder="1" applyAlignment="1">
      <alignment horizontal="center"/>
    </xf>
    <xf numFmtId="0" fontId="38" fillId="23" borderId="0" xfId="0" applyFont="1" applyFill="1" applyAlignment="1">
      <alignment horizontal="center"/>
    </xf>
    <xf numFmtId="193" fontId="38" fillId="23" borderId="2" xfId="0" applyNumberFormat="1" applyFont="1" applyFill="1" applyBorder="1" applyAlignment="1">
      <alignment horizontal="center"/>
    </xf>
    <xf numFmtId="195" fontId="41" fillId="23" borderId="2" xfId="0" applyNumberFormat="1" applyFont="1" applyFill="1" applyBorder="1" applyAlignment="1">
      <alignment horizontal="center"/>
    </xf>
    <xf numFmtId="0" fontId="47" fillId="23" borderId="0" xfId="0" applyFont="1" applyFill="1"/>
    <xf numFmtId="172" fontId="40" fillId="23" borderId="0" xfId="0" applyNumberFormat="1" applyFont="1" applyFill="1"/>
    <xf numFmtId="172" fontId="48" fillId="23" borderId="0" xfId="0" applyNumberFormat="1" applyFont="1" applyFill="1"/>
    <xf numFmtId="0" fontId="48" fillId="23" borderId="0" xfId="0" applyFont="1" applyFill="1"/>
    <xf numFmtId="184" fontId="40" fillId="23" borderId="0" xfId="0" applyNumberFormat="1" applyFont="1" applyFill="1"/>
    <xf numFmtId="167" fontId="48" fillId="23" borderId="0" xfId="0" applyNumberFormat="1" applyFont="1" applyFill="1"/>
    <xf numFmtId="167" fontId="56" fillId="23" borderId="0" xfId="0" applyNumberFormat="1" applyFont="1" applyFill="1"/>
    <xf numFmtId="169" fontId="56" fillId="23" borderId="0" xfId="0" applyNumberFormat="1" applyFont="1" applyFill="1"/>
    <xf numFmtId="164" fontId="48" fillId="23" borderId="0" xfId="0" applyNumberFormat="1" applyFont="1" applyFill="1"/>
    <xf numFmtId="167" fontId="48" fillId="23" borderId="2" xfId="0" applyNumberFormat="1" applyFont="1" applyFill="1" applyBorder="1"/>
    <xf numFmtId="167" fontId="48" fillId="23" borderId="0" xfId="0" applyNumberFormat="1" applyFont="1" applyFill="1" applyBorder="1"/>
    <xf numFmtId="171" fontId="40" fillId="23" borderId="0" xfId="0" applyNumberFormat="1" applyFont="1" applyFill="1"/>
    <xf numFmtId="174" fontId="40" fillId="23" borderId="0" xfId="0" applyNumberFormat="1" applyFont="1" applyFill="1"/>
    <xf numFmtId="181" fontId="48" fillId="23" borderId="0" xfId="0" applyNumberFormat="1" applyFont="1" applyFill="1"/>
    <xf numFmtId="0" fontId="53" fillId="23" borderId="0" xfId="0" applyFont="1" applyFill="1"/>
    <xf numFmtId="174" fontId="53" fillId="23" borderId="0" xfId="0" applyNumberFormat="1" applyFont="1" applyFill="1"/>
    <xf numFmtId="165" fontId="48" fillId="23" borderId="0" xfId="0" applyNumberFormat="1" applyFont="1" applyFill="1"/>
    <xf numFmtId="165" fontId="40" fillId="23" borderId="0" xfId="37" applyNumberFormat="1" applyFont="1" applyFill="1"/>
    <xf numFmtId="0" fontId="48" fillId="23" borderId="2" xfId="0" applyFont="1" applyFill="1" applyBorder="1"/>
    <xf numFmtId="165" fontId="48" fillId="23" borderId="2" xfId="0" applyNumberFormat="1" applyFont="1" applyFill="1" applyBorder="1"/>
    <xf numFmtId="165" fontId="40" fillId="23" borderId="2" xfId="0" applyNumberFormat="1" applyFont="1" applyFill="1" applyBorder="1"/>
    <xf numFmtId="165" fontId="40" fillId="23" borderId="0" xfId="0" applyNumberFormat="1" applyFont="1" applyFill="1" applyBorder="1"/>
    <xf numFmtId="169" fontId="40" fillId="23" borderId="0" xfId="0" applyNumberFormat="1" applyFont="1" applyFill="1"/>
    <xf numFmtId="171" fontId="40" fillId="23" borderId="6" xfId="0" applyNumberFormat="1" applyFont="1" applyFill="1" applyBorder="1"/>
    <xf numFmtId="171" fontId="40" fillId="23" borderId="0" xfId="0" applyNumberFormat="1" applyFont="1" applyFill="1" applyBorder="1"/>
    <xf numFmtId="167" fontId="40" fillId="23" borderId="2" xfId="0" applyNumberFormat="1" applyFont="1" applyFill="1" applyBorder="1"/>
    <xf numFmtId="164" fontId="48" fillId="23" borderId="0" xfId="0" applyNumberFormat="1" applyFont="1" applyFill="1" applyBorder="1"/>
    <xf numFmtId="167" fontId="56" fillId="23" borderId="2" xfId="0" applyNumberFormat="1" applyFont="1" applyFill="1" applyBorder="1"/>
    <xf numFmtId="43" fontId="40" fillId="23" borderId="0" xfId="37" applyFont="1" applyFill="1"/>
    <xf numFmtId="205" fontId="40" fillId="23" borderId="0" xfId="0" applyNumberFormat="1" applyFont="1" applyFill="1"/>
    <xf numFmtId="8" fontId="40" fillId="23" borderId="0" xfId="0" applyNumberFormat="1" applyFont="1" applyFill="1"/>
    <xf numFmtId="178" fontId="57" fillId="23" borderId="0" xfId="61" applyFont="1" applyFill="1" applyAlignment="1"/>
    <xf numFmtId="167" fontId="40" fillId="23" borderId="0" xfId="0" applyNumberFormat="1" applyFont="1" applyFill="1" applyAlignment="1">
      <alignment horizontal="right"/>
    </xf>
    <xf numFmtId="180" fontId="40" fillId="23" borderId="0" xfId="0" applyNumberFormat="1" applyFont="1" applyFill="1"/>
    <xf numFmtId="4" fontId="40" fillId="23" borderId="0" xfId="0" applyNumberFormat="1" applyFont="1" applyFill="1"/>
    <xf numFmtId="166" fontId="48" fillId="23" borderId="0" xfId="74" applyNumberFormat="1" applyFont="1" applyFill="1"/>
    <xf numFmtId="0" fontId="46" fillId="23" borderId="0" xfId="0" applyFont="1" applyFill="1"/>
    <xf numFmtId="173" fontId="46" fillId="23" borderId="0" xfId="0" applyNumberFormat="1" applyFont="1" applyFill="1"/>
    <xf numFmtId="2" fontId="46" fillId="23" borderId="0" xfId="0" applyNumberFormat="1" applyFont="1" applyFill="1"/>
    <xf numFmtId="0" fontId="58" fillId="23" borderId="45" xfId="0" applyFont="1" applyFill="1" applyBorder="1"/>
    <xf numFmtId="165" fontId="53" fillId="23" borderId="0" xfId="0" applyNumberFormat="1" applyFont="1" applyFill="1"/>
    <xf numFmtId="165" fontId="59" fillId="23" borderId="0" xfId="0" applyNumberFormat="1" applyFont="1" applyFill="1"/>
    <xf numFmtId="0" fontId="59" fillId="23" borderId="0" xfId="0" applyFont="1" applyFill="1"/>
    <xf numFmtId="212" fontId="40" fillId="23" borderId="0" xfId="37" applyNumberFormat="1" applyFont="1" applyFill="1"/>
    <xf numFmtId="165" fontId="40" fillId="23" borderId="0" xfId="0" applyNumberFormat="1" applyFont="1" applyFill="1"/>
    <xf numFmtId="0" fontId="60" fillId="23" borderId="6" xfId="0" applyFont="1" applyFill="1" applyBorder="1"/>
    <xf numFmtId="0" fontId="40" fillId="23" borderId="6" xfId="0" applyFont="1" applyFill="1" applyBorder="1"/>
    <xf numFmtId="0" fontId="60" fillId="23" borderId="0" xfId="0" applyFont="1" applyFill="1" applyBorder="1"/>
    <xf numFmtId="0" fontId="61" fillId="23" borderId="0" xfId="57" applyFont="1" applyFill="1"/>
    <xf numFmtId="0" fontId="40" fillId="23" borderId="0" xfId="57" applyFont="1" applyFill="1" applyAlignment="1">
      <alignment horizontal="left"/>
    </xf>
    <xf numFmtId="0" fontId="38" fillId="23" borderId="0" xfId="57" applyFont="1" applyFill="1" applyAlignment="1">
      <alignment horizontal="left" indent="1"/>
    </xf>
    <xf numFmtId="172" fontId="38" fillId="23" borderId="0" xfId="0" applyNumberFormat="1" applyFont="1" applyFill="1"/>
    <xf numFmtId="0" fontId="40" fillId="23" borderId="0" xfId="57" applyFont="1" applyFill="1"/>
    <xf numFmtId="167" fontId="38" fillId="23" borderId="0" xfId="0" applyNumberFormat="1" applyFont="1" applyFill="1"/>
    <xf numFmtId="165" fontId="38" fillId="23" borderId="0" xfId="0" applyNumberFormat="1" applyFont="1" applyFill="1"/>
    <xf numFmtId="0" fontId="38" fillId="23" borderId="0" xfId="57" applyFont="1" applyFill="1" applyAlignment="1">
      <alignment horizontal="left"/>
    </xf>
    <xf numFmtId="2" fontId="40" fillId="23" borderId="0" xfId="0" applyNumberFormat="1" applyFont="1" applyFill="1"/>
    <xf numFmtId="2" fontId="38" fillId="23" borderId="0" xfId="0" applyNumberFormat="1" applyFont="1" applyFill="1"/>
    <xf numFmtId="0" fontId="11" fillId="23" borderId="0" xfId="0" applyFont="1" applyFill="1" applyAlignment="1">
      <alignment horizontal="center"/>
    </xf>
    <xf numFmtId="0" fontId="11" fillId="23" borderId="36" xfId="0" applyFont="1" applyFill="1" applyBorder="1" applyAlignment="1">
      <alignment horizontal="center" wrapText="1"/>
    </xf>
    <xf numFmtId="0" fontId="8" fillId="25" borderId="7" xfId="0" applyFont="1" applyFill="1" applyBorder="1"/>
    <xf numFmtId="0" fontId="0" fillId="25" borderId="17" xfId="0" applyFill="1" applyBorder="1"/>
    <xf numFmtId="0" fontId="0" fillId="25" borderId="40" xfId="0" applyFill="1" applyBorder="1"/>
    <xf numFmtId="0" fontId="0" fillId="25" borderId="1" xfId="0" applyFill="1" applyBorder="1"/>
    <xf numFmtId="0" fontId="0" fillId="25" borderId="0" xfId="0" applyFill="1" applyBorder="1"/>
    <xf numFmtId="0" fontId="0" fillId="25" borderId="41" xfId="0" applyFill="1" applyBorder="1"/>
    <xf numFmtId="44" fontId="0" fillId="25" borderId="1" xfId="0" applyNumberFormat="1" applyFill="1" applyBorder="1"/>
    <xf numFmtId="44" fontId="0" fillId="25" borderId="0" xfId="0" applyNumberFormat="1" applyFill="1" applyBorder="1"/>
    <xf numFmtId="9" fontId="143" fillId="25" borderId="0" xfId="74" applyFont="1" applyFill="1" applyBorder="1"/>
    <xf numFmtId="0" fontId="0" fillId="25" borderId="42" xfId="0" applyFill="1" applyBorder="1"/>
    <xf numFmtId="0" fontId="0" fillId="25" borderId="2" xfId="0" applyFill="1" applyBorder="1"/>
    <xf numFmtId="0" fontId="0" fillId="25" borderId="43" xfId="0" applyFill="1" applyBorder="1"/>
    <xf numFmtId="254" fontId="8" fillId="23" borderId="34" xfId="0" applyNumberFormat="1" applyFont="1" applyFill="1" applyBorder="1"/>
    <xf numFmtId="0" fontId="11" fillId="23" borderId="0" xfId="0" applyFont="1" applyFill="1" applyAlignment="1">
      <alignment horizontal="center"/>
    </xf>
    <xf numFmtId="195" fontId="22" fillId="23" borderId="0" xfId="0" applyNumberFormat="1" applyFont="1" applyFill="1" applyBorder="1" applyAlignment="1">
      <alignment horizontal="left"/>
    </xf>
    <xf numFmtId="194" fontId="162" fillId="23" borderId="0" xfId="0" applyNumberFormat="1" applyFont="1" applyFill="1" applyBorder="1" applyAlignment="1">
      <alignment horizontal="left"/>
    </xf>
    <xf numFmtId="165" fontId="25" fillId="23" borderId="0" xfId="0" applyNumberFormat="1" applyFont="1" applyFill="1" applyBorder="1" applyAlignment="1">
      <alignment horizontal="center"/>
    </xf>
    <xf numFmtId="204" fontId="153" fillId="23" borderId="0" xfId="0" applyNumberFormat="1" applyFont="1" applyFill="1" applyBorder="1"/>
    <xf numFmtId="165" fontId="162" fillId="23" borderId="0" xfId="0" applyNumberFormat="1" applyFont="1" applyFill="1" applyAlignment="1">
      <alignment horizontal="center"/>
    </xf>
    <xf numFmtId="181" fontId="162" fillId="23" borderId="0" xfId="0" applyNumberFormat="1" applyFont="1" applyFill="1" applyAlignment="1">
      <alignment horizontal="center"/>
    </xf>
    <xf numFmtId="181" fontId="162" fillId="23" borderId="2" xfId="0" applyNumberFormat="1" applyFont="1" applyFill="1" applyBorder="1" applyAlignment="1">
      <alignment horizontal="center"/>
    </xf>
    <xf numFmtId="181" fontId="40" fillId="0" borderId="0" xfId="0" applyNumberFormat="1" applyFont="1" applyFill="1" applyBorder="1"/>
    <xf numFmtId="0" fontId="64" fillId="0" borderId="0" xfId="0" applyFont="1" applyAlignment="1">
      <alignment horizontal="left"/>
    </xf>
    <xf numFmtId="0" fontId="38" fillId="0" borderId="2" xfId="0" applyFont="1" applyFill="1" applyBorder="1" applyAlignment="1">
      <alignment horizontal="left"/>
    </xf>
    <xf numFmtId="0" fontId="121" fillId="0" borderId="0" xfId="0" applyFont="1" applyAlignment="1">
      <alignment horizontal="left"/>
    </xf>
    <xf numFmtId="208" fontId="40" fillId="0" borderId="0" xfId="0" applyNumberFormat="1" applyFont="1" applyFill="1" applyAlignment="1">
      <alignment horizontal="left"/>
    </xf>
    <xf numFmtId="43" fontId="40" fillId="0" borderId="0" xfId="37" applyFont="1" applyFill="1" applyAlignment="1">
      <alignment horizontal="left"/>
    </xf>
    <xf numFmtId="0" fontId="40" fillId="0" borderId="0" xfId="0" applyFont="1" applyFill="1" applyAlignment="1">
      <alignment horizontal="left"/>
    </xf>
    <xf numFmtId="190" fontId="40" fillId="0" borderId="0" xfId="0" applyNumberFormat="1" applyFont="1" applyFill="1" applyAlignment="1">
      <alignment horizontal="left"/>
    </xf>
    <xf numFmtId="166" fontId="121" fillId="0" borderId="0" xfId="74" applyNumberFormat="1" applyFont="1" applyAlignment="1">
      <alignment horizontal="left"/>
    </xf>
    <xf numFmtId="0" fontId="123" fillId="0" borderId="0" xfId="0" applyFont="1" applyBorder="1" applyAlignment="1">
      <alignment horizontal="left"/>
    </xf>
    <xf numFmtId="8" fontId="123" fillId="0" borderId="0" xfId="0" applyNumberFormat="1" applyFont="1" applyBorder="1" applyAlignment="1">
      <alignment horizontal="left"/>
    </xf>
    <xf numFmtId="0" fontId="121" fillId="0" borderId="0" xfId="0" applyFont="1" applyBorder="1" applyAlignment="1">
      <alignment horizontal="left"/>
    </xf>
    <xf numFmtId="0" fontId="121" fillId="0" borderId="0" xfId="0" applyFont="1" applyFill="1" applyAlignment="1">
      <alignment horizontal="left"/>
    </xf>
    <xf numFmtId="0" fontId="117" fillId="0" borderId="0" xfId="0" applyFont="1" applyFill="1" applyAlignment="1">
      <alignment horizontal="left"/>
    </xf>
    <xf numFmtId="0" fontId="28" fillId="0" borderId="0" xfId="0" applyFont="1" applyFill="1" applyBorder="1" applyAlignment="1">
      <alignment horizontal="left"/>
    </xf>
    <xf numFmtId="0" fontId="129" fillId="0" borderId="0" xfId="0" applyFont="1" applyAlignment="1">
      <alignment horizontal="left"/>
    </xf>
    <xf numFmtId="0" fontId="8" fillId="0" borderId="0" xfId="0" applyFont="1" applyAlignment="1">
      <alignment horizontal="left"/>
    </xf>
    <xf numFmtId="167" fontId="163" fillId="0" borderId="0" xfId="0" applyNumberFormat="1" applyFont="1" applyFill="1"/>
    <xf numFmtId="167" fontId="163" fillId="0" borderId="2" xfId="0" applyNumberFormat="1" applyFont="1" applyFill="1" applyBorder="1"/>
    <xf numFmtId="195" fontId="20" fillId="23" borderId="0" xfId="54" applyNumberFormat="1" applyFont="1" applyFill="1" applyBorder="1" applyAlignment="1">
      <alignment horizontal="center"/>
    </xf>
    <xf numFmtId="195" fontId="41" fillId="23" borderId="0" xfId="0" applyNumberFormat="1" applyFont="1" applyFill="1" applyBorder="1" applyAlignment="1">
      <alignment horizontal="center"/>
    </xf>
    <xf numFmtId="0" fontId="58" fillId="23" borderId="0" xfId="0" applyFont="1" applyFill="1" applyBorder="1"/>
    <xf numFmtId="0" fontId="38" fillId="23" borderId="0" xfId="0" applyFont="1" applyFill="1" applyBorder="1"/>
    <xf numFmtId="190" fontId="40" fillId="23" borderId="0" xfId="0" applyNumberFormat="1" applyFont="1" applyFill="1" applyBorder="1"/>
    <xf numFmtId="169" fontId="42" fillId="23" borderId="0" xfId="0" applyNumberFormat="1" applyFont="1" applyFill="1"/>
    <xf numFmtId="202" fontId="42" fillId="23" borderId="0" xfId="0" applyNumberFormat="1" applyFont="1" applyFill="1"/>
    <xf numFmtId="0" fontId="61" fillId="23" borderId="2" xfId="0" applyFont="1" applyFill="1" applyBorder="1" applyAlignment="1">
      <alignment horizontal="center"/>
    </xf>
    <xf numFmtId="0" fontId="38" fillId="23" borderId="2" xfId="0" applyFont="1" applyFill="1" applyBorder="1" applyAlignment="1">
      <alignment horizontal="center"/>
    </xf>
    <xf numFmtId="0" fontId="38" fillId="23" borderId="21" xfId="0" applyFont="1" applyFill="1" applyBorder="1" applyAlignment="1">
      <alignment horizontal="center"/>
    </xf>
    <xf numFmtId="0" fontId="38" fillId="23" borderId="31" xfId="0" applyFont="1" applyFill="1" applyBorder="1" applyAlignment="1">
      <alignment horizontal="center"/>
    </xf>
    <xf numFmtId="0" fontId="40" fillId="23" borderId="41" xfId="0" applyFont="1" applyFill="1" applyBorder="1"/>
    <xf numFmtId="193" fontId="38" fillId="23" borderId="1" xfId="0" applyNumberFormat="1" applyFont="1" applyFill="1" applyBorder="1"/>
    <xf numFmtId="201" fontId="40" fillId="23" borderId="0" xfId="0" applyNumberFormat="1" applyFont="1" applyFill="1"/>
    <xf numFmtId="243" fontId="40" fillId="23" borderId="0" xfId="0" applyNumberFormat="1" applyFont="1" applyFill="1"/>
    <xf numFmtId="169" fontId="48" fillId="23" borderId="0" xfId="0" applyNumberFormat="1" applyFont="1" applyFill="1"/>
    <xf numFmtId="199" fontId="48" fillId="23" borderId="0" xfId="0" applyNumberFormat="1" applyFont="1" applyFill="1"/>
    <xf numFmtId="199" fontId="40" fillId="23" borderId="0" xfId="0" applyNumberFormat="1" applyFont="1" applyFill="1"/>
    <xf numFmtId="202" fontId="40" fillId="23" borderId="1" xfId="0" applyNumberFormat="1" applyFont="1" applyFill="1" applyBorder="1"/>
    <xf numFmtId="202" fontId="40" fillId="23" borderId="41" xfId="0" applyNumberFormat="1" applyFont="1" applyFill="1" applyBorder="1"/>
    <xf numFmtId="202" fontId="40" fillId="23" borderId="0" xfId="0" applyNumberFormat="1" applyFont="1" applyFill="1"/>
    <xf numFmtId="199" fontId="48" fillId="23" borderId="2" xfId="0" applyNumberFormat="1" applyFont="1" applyFill="1" applyBorder="1"/>
    <xf numFmtId="199" fontId="48" fillId="23" borderId="0" xfId="0" applyNumberFormat="1" applyFont="1" applyFill="1" applyBorder="1"/>
    <xf numFmtId="169" fontId="48" fillId="23" borderId="0" xfId="0" applyNumberFormat="1" applyFont="1" applyFill="1" applyBorder="1"/>
    <xf numFmtId="171" fontId="48" fillId="23" borderId="0" xfId="0" applyNumberFormat="1" applyFont="1" applyFill="1"/>
    <xf numFmtId="238" fontId="48" fillId="23" borderId="0" xfId="0" applyNumberFormat="1" applyFont="1" applyFill="1"/>
    <xf numFmtId="169" fontId="40" fillId="23" borderId="1" xfId="0" applyNumberFormat="1" applyFont="1" applyFill="1" applyBorder="1"/>
    <xf numFmtId="173" fontId="40" fillId="23" borderId="0" xfId="0" applyNumberFormat="1" applyFont="1" applyFill="1"/>
    <xf numFmtId="0" fontId="47" fillId="23" borderId="2" xfId="0" applyFont="1" applyFill="1" applyBorder="1"/>
    <xf numFmtId="0" fontId="47" fillId="23" borderId="0" xfId="0" applyFont="1" applyFill="1" applyBorder="1"/>
    <xf numFmtId="205" fontId="40" fillId="23" borderId="41" xfId="0" applyNumberFormat="1" applyFont="1" applyFill="1" applyBorder="1"/>
    <xf numFmtId="205" fontId="40" fillId="23" borderId="1" xfId="0" applyNumberFormat="1" applyFont="1" applyFill="1" applyBorder="1"/>
    <xf numFmtId="202" fontId="50" fillId="23" borderId="0" xfId="0" applyNumberFormat="1" applyFont="1" applyFill="1"/>
    <xf numFmtId="169" fontId="50" fillId="23" borderId="0" xfId="0" applyNumberFormat="1" applyFont="1" applyFill="1"/>
    <xf numFmtId="182" fontId="40" fillId="23" borderId="0" xfId="37" applyNumberFormat="1" applyFont="1" applyFill="1"/>
    <xf numFmtId="205" fontId="48" fillId="23" borderId="0" xfId="0" applyNumberFormat="1" applyFont="1" applyFill="1"/>
    <xf numFmtId="178" fontId="42" fillId="23" borderId="0" xfId="61" applyFont="1" applyFill="1" applyAlignment="1"/>
    <xf numFmtId="0" fontId="43" fillId="23" borderId="0" xfId="0" applyFont="1" applyFill="1" applyBorder="1"/>
    <xf numFmtId="0" fontId="42" fillId="23" borderId="0" xfId="0" applyFont="1" applyFill="1" applyBorder="1"/>
    <xf numFmtId="0" fontId="62" fillId="23" borderId="45" xfId="0" applyFont="1" applyFill="1" applyBorder="1"/>
    <xf numFmtId="0" fontId="62" fillId="23" borderId="0" xfId="0" applyFont="1" applyFill="1" applyBorder="1"/>
    <xf numFmtId="0" fontId="45" fillId="23" borderId="0" xfId="0" applyFont="1" applyFill="1" applyBorder="1"/>
    <xf numFmtId="0" fontId="45" fillId="23" borderId="0" xfId="0" applyFont="1" applyFill="1"/>
    <xf numFmtId="165" fontId="45" fillId="23" borderId="0" xfId="0" applyNumberFormat="1" applyFont="1" applyFill="1" applyBorder="1"/>
    <xf numFmtId="165" fontId="42" fillId="23" borderId="0" xfId="0" applyNumberFormat="1" applyFont="1" applyFill="1" applyBorder="1"/>
    <xf numFmtId="164" fontId="44" fillId="23" borderId="0" xfId="0" applyNumberFormat="1" applyFont="1" applyFill="1" applyBorder="1"/>
    <xf numFmtId="0" fontId="63" fillId="23" borderId="0" xfId="0" applyFont="1" applyFill="1" applyBorder="1"/>
    <xf numFmtId="164" fontId="42" fillId="23" borderId="0" xfId="0" applyNumberFormat="1" applyFont="1" applyFill="1"/>
    <xf numFmtId="180" fontId="45" fillId="23" borderId="0" xfId="0" applyNumberFormat="1" applyFont="1" applyFill="1"/>
    <xf numFmtId="9" fontId="45" fillId="23" borderId="0" xfId="74" applyFont="1" applyFill="1"/>
    <xf numFmtId="164" fontId="45" fillId="23" borderId="0" xfId="0" applyNumberFormat="1" applyFont="1" applyFill="1"/>
    <xf numFmtId="9" fontId="42" fillId="23" borderId="0" xfId="74" applyFont="1" applyFill="1"/>
    <xf numFmtId="178" fontId="45" fillId="23" borderId="0" xfId="65" applyFont="1" applyFill="1"/>
    <xf numFmtId="169" fontId="44" fillId="23" borderId="0" xfId="0" applyNumberFormat="1" applyFont="1" applyFill="1"/>
    <xf numFmtId="0" fontId="63" fillId="23" borderId="0" xfId="0" applyFont="1" applyFill="1"/>
    <xf numFmtId="2" fontId="42" fillId="23" borderId="0" xfId="0" applyNumberFormat="1" applyFont="1" applyFill="1"/>
    <xf numFmtId="0" fontId="40" fillId="24" borderId="6" xfId="0" applyFont="1" applyFill="1" applyBorder="1"/>
    <xf numFmtId="171" fontId="40" fillId="24" borderId="6" xfId="0" applyNumberFormat="1" applyFont="1" applyFill="1" applyBorder="1"/>
    <xf numFmtId="171" fontId="40" fillId="24" borderId="0" xfId="0" applyNumberFormat="1" applyFont="1" applyFill="1" applyBorder="1"/>
    <xf numFmtId="0" fontId="40" fillId="24" borderId="0" xfId="0" applyFont="1" applyFill="1"/>
    <xf numFmtId="0" fontId="57" fillId="24" borderId="21" xfId="0" applyFont="1" applyFill="1" applyBorder="1"/>
    <xf numFmtId="211" fontId="11" fillId="23" borderId="2" xfId="0" applyNumberFormat="1" applyFont="1" applyFill="1" applyBorder="1"/>
    <xf numFmtId="37" fontId="13" fillId="23" borderId="0" xfId="59" applyFont="1" applyFill="1"/>
    <xf numFmtId="186" fontId="13" fillId="23" borderId="0" xfId="59" applyNumberFormat="1" applyFont="1" applyFill="1" applyProtection="1"/>
    <xf numFmtId="0" fontId="10" fillId="23" borderId="0" xfId="0" applyFont="1" applyFill="1" applyAlignment="1">
      <alignment horizontal="center"/>
    </xf>
    <xf numFmtId="0" fontId="10" fillId="23" borderId="2" xfId="0" applyFont="1" applyFill="1" applyBorder="1" applyAlignment="1">
      <alignment horizontal="center"/>
    </xf>
    <xf numFmtId="0" fontId="10" fillId="23" borderId="0" xfId="0" applyFont="1" applyFill="1" applyBorder="1" applyAlignment="1">
      <alignment horizontal="center"/>
    </xf>
    <xf numFmtId="0" fontId="33" fillId="23" borderId="0" xfId="0" applyFont="1" applyFill="1" applyBorder="1" applyAlignment="1">
      <alignment horizontal="right"/>
    </xf>
    <xf numFmtId="0" fontId="10" fillId="23" borderId="6" xfId="0" applyFont="1" applyFill="1" applyBorder="1" applyAlignment="1">
      <alignment horizontal="center"/>
    </xf>
    <xf numFmtId="0" fontId="33" fillId="23" borderId="2" xfId="0" applyFont="1" applyFill="1" applyBorder="1" applyAlignment="1">
      <alignment horizontal="right"/>
    </xf>
    <xf numFmtId="0" fontId="33" fillId="23" borderId="0" xfId="0" applyFont="1" applyFill="1" applyAlignment="1">
      <alignment horizontal="right"/>
    </xf>
    <xf numFmtId="0" fontId="10" fillId="23" borderId="0" xfId="0" applyFont="1" applyFill="1" applyAlignment="1">
      <alignment horizontal="right"/>
    </xf>
    <xf numFmtId="193" fontId="16" fillId="23" borderId="0" xfId="0" applyNumberFormat="1" applyFont="1" applyFill="1" applyAlignment="1">
      <alignment horizontal="left"/>
    </xf>
    <xf numFmtId="180" fontId="4" fillId="23" borderId="0" xfId="0" applyNumberFormat="1" applyFont="1" applyFill="1"/>
    <xf numFmtId="176" fontId="4" fillId="23" borderId="0" xfId="0" applyNumberFormat="1" applyFont="1" applyFill="1"/>
    <xf numFmtId="170" fontId="4" fillId="23" borderId="0" xfId="0" applyNumberFormat="1" applyFont="1" applyFill="1"/>
    <xf numFmtId="164" fontId="4" fillId="23" borderId="0" xfId="0" applyNumberFormat="1" applyFont="1" applyFill="1"/>
    <xf numFmtId="4" fontId="4" fillId="23" borderId="0" xfId="0" applyNumberFormat="1" applyFont="1" applyFill="1"/>
    <xf numFmtId="164" fontId="4" fillId="23" borderId="2" xfId="0" applyNumberFormat="1" applyFont="1" applyFill="1" applyBorder="1"/>
    <xf numFmtId="164" fontId="4" fillId="23" borderId="0" xfId="0" applyNumberFormat="1" applyFont="1" applyFill="1" applyBorder="1"/>
    <xf numFmtId="0" fontId="4" fillId="23" borderId="2" xfId="0" applyFont="1" applyFill="1" applyBorder="1"/>
    <xf numFmtId="0" fontId="4" fillId="23" borderId="21" xfId="0" applyFont="1" applyFill="1" applyBorder="1"/>
    <xf numFmtId="0" fontId="4" fillId="23" borderId="31" xfId="0" applyFont="1" applyFill="1" applyBorder="1"/>
    <xf numFmtId="193" fontId="14" fillId="23" borderId="0" xfId="0" applyNumberFormat="1" applyFont="1" applyFill="1" applyAlignment="1">
      <alignment horizontal="left"/>
    </xf>
    <xf numFmtId="169" fontId="4" fillId="23" borderId="0" xfId="0" applyNumberFormat="1" applyFont="1" applyFill="1"/>
    <xf numFmtId="169" fontId="4" fillId="23" borderId="0" xfId="0" applyNumberFormat="1" applyFont="1" applyFill="1" applyBorder="1"/>
    <xf numFmtId="170" fontId="17" fillId="23" borderId="0" xfId="0" applyNumberFormat="1" applyFont="1" applyFill="1" applyAlignment="1">
      <alignment horizontal="right"/>
    </xf>
    <xf numFmtId="169" fontId="4" fillId="23" borderId="2" xfId="0" applyNumberFormat="1" applyFont="1" applyFill="1" applyBorder="1"/>
    <xf numFmtId="4" fontId="4" fillId="23" borderId="21" xfId="0" applyNumberFormat="1" applyFont="1" applyFill="1" applyBorder="1"/>
    <xf numFmtId="177" fontId="4" fillId="23" borderId="0" xfId="0" applyNumberFormat="1" applyFont="1" applyFill="1"/>
    <xf numFmtId="3" fontId="4" fillId="23" borderId="0" xfId="0" applyNumberFormat="1" applyFont="1" applyFill="1"/>
    <xf numFmtId="4" fontId="34" fillId="23" borderId="0" xfId="0" applyNumberFormat="1" applyFont="1" applyFill="1" applyBorder="1" applyAlignment="1">
      <alignment horizontal="right"/>
    </xf>
    <xf numFmtId="0" fontId="34" fillId="23" borderId="0" xfId="0" applyFont="1" applyFill="1" applyAlignment="1">
      <alignment horizontal="right"/>
    </xf>
    <xf numFmtId="0" fontId="34" fillId="23" borderId="2" xfId="0" applyFont="1" applyFill="1" applyBorder="1" applyAlignment="1">
      <alignment horizontal="right"/>
    </xf>
    <xf numFmtId="4" fontId="34" fillId="23" borderId="21" xfId="0" applyNumberFormat="1" applyFont="1" applyFill="1" applyBorder="1" applyAlignment="1">
      <alignment horizontal="right"/>
    </xf>
    <xf numFmtId="0" fontId="34" fillId="23" borderId="31" xfId="0" applyFont="1" applyFill="1" applyBorder="1" applyAlignment="1">
      <alignment horizontal="right"/>
    </xf>
    <xf numFmtId="170" fontId="17" fillId="23" borderId="0" xfId="0" applyNumberFormat="1" applyFont="1" applyFill="1"/>
    <xf numFmtId="169" fontId="17" fillId="23" borderId="0" xfId="0" applyNumberFormat="1" applyFont="1" applyFill="1" applyBorder="1"/>
    <xf numFmtId="166" fontId="4" fillId="23" borderId="0" xfId="74" applyNumberFormat="1" applyFont="1" applyFill="1"/>
    <xf numFmtId="213" fontId="14" fillId="23" borderId="0" xfId="0" applyNumberFormat="1" applyFont="1" applyFill="1" applyAlignment="1">
      <alignment horizontal="left"/>
    </xf>
    <xf numFmtId="167" fontId="4" fillId="23" borderId="0" xfId="0" applyNumberFormat="1" applyFont="1" applyFill="1" applyBorder="1"/>
    <xf numFmtId="4" fontId="4" fillId="23" borderId="0" xfId="0" applyNumberFormat="1" applyFont="1" applyFill="1" applyBorder="1"/>
    <xf numFmtId="0" fontId="4" fillId="23" borderId="0" xfId="0" applyFont="1" applyFill="1" applyBorder="1"/>
    <xf numFmtId="0" fontId="34" fillId="23" borderId="0" xfId="0" applyFont="1" applyFill="1" applyBorder="1" applyAlignment="1">
      <alignment horizontal="right"/>
    </xf>
    <xf numFmtId="166" fontId="4" fillId="23" borderId="0" xfId="74" applyNumberFormat="1" applyFont="1" applyFill="1" applyBorder="1"/>
    <xf numFmtId="166" fontId="4" fillId="23" borderId="0" xfId="0" applyNumberFormat="1" applyFont="1" applyFill="1"/>
    <xf numFmtId="9" fontId="4" fillId="23" borderId="0" xfId="74" applyFont="1" applyFill="1"/>
    <xf numFmtId="195" fontId="16" fillId="23" borderId="0" xfId="0" applyNumberFormat="1" applyFont="1" applyFill="1" applyAlignment="1">
      <alignment horizontal="left"/>
    </xf>
    <xf numFmtId="167" fontId="164" fillId="23" borderId="0" xfId="0" applyNumberFormat="1" applyFont="1" applyFill="1" applyBorder="1"/>
    <xf numFmtId="37" fontId="13" fillId="23" borderId="0" xfId="59" applyFont="1" applyFill="1" applyAlignment="1" applyProtection="1">
      <alignment horizontal="left"/>
    </xf>
    <xf numFmtId="9" fontId="13" fillId="23" borderId="0" xfId="74" applyFont="1" applyFill="1"/>
    <xf numFmtId="179" fontId="13" fillId="23" borderId="0" xfId="59" applyNumberFormat="1" applyFont="1" applyFill="1" applyProtection="1"/>
    <xf numFmtId="37" fontId="4" fillId="23" borderId="0" xfId="59" applyFont="1" applyFill="1" applyAlignment="1" applyProtection="1">
      <alignment horizontal="left"/>
    </xf>
    <xf numFmtId="37" fontId="4" fillId="23" borderId="0" xfId="59" applyFont="1" applyFill="1"/>
    <xf numFmtId="179" fontId="4" fillId="23" borderId="0" xfId="59" applyNumberFormat="1" applyFont="1" applyFill="1" applyProtection="1"/>
    <xf numFmtId="178" fontId="4" fillId="23" borderId="0" xfId="61" applyFont="1" applyFill="1" applyAlignment="1"/>
    <xf numFmtId="37" fontId="4" fillId="23" borderId="0" xfId="59" applyFont="1" applyFill="1" applyAlignment="1">
      <alignment horizontal="center"/>
    </xf>
    <xf numFmtId="5" fontId="39" fillId="23" borderId="17" xfId="60" applyNumberFormat="1" applyFont="1" applyFill="1" applyBorder="1" applyAlignment="1">
      <alignment horizontal="left"/>
    </xf>
    <xf numFmtId="1" fontId="40" fillId="23" borderId="0" xfId="0" applyNumberFormat="1" applyFont="1" applyFill="1"/>
    <xf numFmtId="9" fontId="39" fillId="23" borderId="0" xfId="74" quotePrefix="1" applyFont="1" applyFill="1" applyBorder="1" applyAlignment="1">
      <alignment horizontal="right"/>
    </xf>
    <xf numFmtId="0" fontId="116" fillId="23" borderId="7" xfId="60" applyFont="1" applyFill="1" applyBorder="1" applyAlignment="1">
      <alignment horizontal="right"/>
    </xf>
    <xf numFmtId="37" fontId="39" fillId="23" borderId="1" xfId="60" applyNumberFormat="1" applyFont="1" applyFill="1" applyBorder="1" applyAlignment="1">
      <alignment horizontal="right"/>
    </xf>
    <xf numFmtId="0" fontId="20" fillId="23" borderId="2" xfId="0" applyFont="1" applyFill="1" applyBorder="1" applyAlignment="1" applyProtection="1">
      <alignment horizontal="left"/>
    </xf>
    <xf numFmtId="0" fontId="22" fillId="23" borderId="0" xfId="0" applyFont="1" applyFill="1" applyAlignment="1">
      <alignment horizontal="center"/>
    </xf>
    <xf numFmtId="0" fontId="22" fillId="23" borderId="0" xfId="0" applyFont="1" applyFill="1" applyAlignment="1">
      <alignment horizontal="centerContinuous"/>
    </xf>
    <xf numFmtId="5" fontId="8" fillId="23" borderId="0" xfId="0" applyNumberFormat="1" applyFont="1" applyFill="1" applyAlignment="1">
      <alignment horizontal="centerContinuous"/>
    </xf>
    <xf numFmtId="0" fontId="21" fillId="23" borderId="0" xfId="0" applyFont="1" applyFill="1" applyAlignment="1">
      <alignment horizontal="centerContinuous"/>
    </xf>
    <xf numFmtId="0" fontId="12" fillId="23" borderId="0" xfId="0" applyFont="1" applyFill="1" applyAlignment="1">
      <alignment horizontal="centerContinuous"/>
    </xf>
    <xf numFmtId="188" fontId="8" fillId="23" borderId="0" xfId="0" applyNumberFormat="1" applyFont="1" applyFill="1"/>
    <xf numFmtId="167" fontId="12" fillId="0" borderId="34" xfId="0" applyNumberFormat="1" applyFont="1" applyFill="1" applyBorder="1"/>
    <xf numFmtId="204" fontId="153" fillId="23" borderId="2" xfId="0" applyNumberFormat="1" applyFont="1" applyFill="1" applyBorder="1"/>
    <xf numFmtId="167" fontId="39" fillId="23" borderId="43" xfId="60" applyNumberFormat="1" applyFont="1" applyFill="1" applyBorder="1" applyAlignment="1">
      <alignment horizontal="right"/>
    </xf>
    <xf numFmtId="9" fontId="39" fillId="23" borderId="41" xfId="74" applyFont="1" applyFill="1" applyBorder="1" applyAlignment="1">
      <alignment horizontal="right"/>
    </xf>
    <xf numFmtId="188" fontId="120" fillId="23" borderId="41" xfId="74" applyNumberFormat="1" applyFont="1" applyFill="1" applyBorder="1" applyAlignment="1">
      <alignment horizontal="right"/>
    </xf>
    <xf numFmtId="7" fontId="10" fillId="16" borderId="0" xfId="0" applyNumberFormat="1" applyFont="1" applyFill="1" applyAlignment="1" applyProtection="1">
      <alignment horizontal="center"/>
    </xf>
    <xf numFmtId="7" fontId="110" fillId="16" borderId="0" xfId="0" applyNumberFormat="1" applyFont="1" applyFill="1" applyAlignment="1" applyProtection="1">
      <alignment horizontal="center"/>
    </xf>
    <xf numFmtId="7" fontId="10" fillId="23" borderId="0" xfId="70" applyNumberFormat="1" applyFont="1" applyFill="1" applyAlignment="1">
      <alignment horizontal="center"/>
    </xf>
    <xf numFmtId="204" fontId="8" fillId="0" borderId="2" xfId="0" applyNumberFormat="1" applyFont="1" applyFill="1" applyBorder="1"/>
    <xf numFmtId="194" fontId="165" fillId="23" borderId="0" xfId="0" applyNumberFormat="1" applyFont="1" applyFill="1" applyBorder="1" applyAlignment="1">
      <alignment horizontal="left"/>
    </xf>
    <xf numFmtId="194" fontId="162" fillId="23" borderId="2" xfId="0" applyNumberFormat="1" applyFont="1" applyFill="1" applyBorder="1" applyAlignment="1">
      <alignment horizontal="left"/>
    </xf>
    <xf numFmtId="169" fontId="61" fillId="23" borderId="17" xfId="85" applyFont="1" applyFill="1" applyBorder="1" applyAlignment="1">
      <alignment horizontal="center"/>
    </xf>
    <xf numFmtId="169" fontId="118" fillId="23" borderId="0" xfId="85" applyFont="1" applyFill="1" applyBorder="1" applyAlignment="1">
      <alignment horizontal="center"/>
    </xf>
    <xf numFmtId="167" fontId="39" fillId="23" borderId="17" xfId="60" applyNumberFormat="1" applyFont="1" applyFill="1" applyBorder="1" applyAlignment="1">
      <alignment horizontal="right"/>
    </xf>
    <xf numFmtId="255" fontId="39" fillId="23" borderId="0" xfId="37" applyNumberFormat="1" applyFont="1" applyFill="1" applyBorder="1"/>
    <xf numFmtId="188" fontId="40" fillId="23" borderId="0" xfId="74" applyNumberFormat="1" applyFont="1" applyFill="1" applyBorder="1" applyAlignment="1">
      <alignment horizontal="right"/>
    </xf>
    <xf numFmtId="0" fontId="38" fillId="23" borderId="40" xfId="85" applyNumberFormat="1" applyFont="1" applyFill="1" applyBorder="1" applyAlignment="1">
      <alignment horizontal="center"/>
    </xf>
    <xf numFmtId="239" fontId="38" fillId="23" borderId="7" xfId="85" applyNumberFormat="1" applyFont="1" applyFill="1" applyBorder="1" applyAlignment="1">
      <alignment horizontal="center"/>
    </xf>
    <xf numFmtId="167" fontId="166" fillId="0" borderId="0" xfId="0" applyNumberFormat="1" applyFont="1" applyFill="1"/>
    <xf numFmtId="167" fontId="166" fillId="0" borderId="2" xfId="0" applyNumberFormat="1" applyFont="1" applyFill="1" applyBorder="1" applyProtection="1"/>
    <xf numFmtId="167" fontId="166" fillId="0" borderId="0" xfId="0" applyNumberFormat="1" applyFont="1" applyFill="1" applyProtection="1"/>
    <xf numFmtId="194" fontId="160" fillId="23" borderId="0" xfId="0" applyNumberFormat="1" applyFont="1" applyFill="1" applyBorder="1" applyAlignment="1">
      <alignment horizontal="left"/>
    </xf>
    <xf numFmtId="194" fontId="160" fillId="23" borderId="2" xfId="0" applyNumberFormat="1" applyFont="1" applyFill="1" applyBorder="1" applyAlignment="1">
      <alignment horizontal="left"/>
    </xf>
    <xf numFmtId="165" fontId="121" fillId="0" borderId="0" xfId="0" applyNumberFormat="1" applyFont="1"/>
    <xf numFmtId="165" fontId="64" fillId="0" borderId="0" xfId="0" applyNumberFormat="1" applyFont="1"/>
    <xf numFmtId="44" fontId="121" fillId="0" borderId="0" xfId="41" applyFont="1"/>
    <xf numFmtId="214" fontId="40" fillId="23" borderId="0" xfId="37" applyNumberFormat="1" applyFont="1" applyFill="1" applyBorder="1"/>
    <xf numFmtId="167" fontId="163" fillId="23" borderId="0" xfId="54" applyNumberFormat="1" applyFont="1" applyFill="1" applyBorder="1"/>
    <xf numFmtId="184" fontId="87" fillId="23" borderId="34" xfId="0" applyNumberFormat="1" applyFont="1" applyFill="1" applyBorder="1"/>
    <xf numFmtId="190" fontId="162" fillId="23" borderId="35" xfId="74" applyNumberFormat="1" applyFont="1" applyFill="1" applyBorder="1"/>
    <xf numFmtId="9" fontId="123" fillId="0" borderId="0" xfId="74" applyFont="1" applyBorder="1"/>
    <xf numFmtId="9" fontId="121" fillId="0" borderId="0" xfId="74" applyFont="1"/>
    <xf numFmtId="0" fontId="8" fillId="23" borderId="0" xfId="53" applyFont="1" applyFill="1"/>
    <xf numFmtId="0" fontId="87" fillId="23" borderId="0" xfId="53" applyFont="1" applyFill="1"/>
    <xf numFmtId="0" fontId="8" fillId="0" borderId="0" xfId="53" applyFont="1"/>
    <xf numFmtId="0" fontId="11" fillId="23" borderId="0" xfId="53" applyFont="1" applyFill="1"/>
    <xf numFmtId="0" fontId="115" fillId="23" borderId="2" xfId="53" applyFont="1" applyFill="1" applyBorder="1"/>
    <xf numFmtId="195" fontId="20" fillId="26" borderId="2" xfId="54" applyNumberFormat="1" applyFont="1" applyFill="1" applyBorder="1" applyAlignment="1">
      <alignment horizontal="center"/>
    </xf>
    <xf numFmtId="17" fontId="11" fillId="23" borderId="0" xfId="53" applyNumberFormat="1" applyFont="1" applyFill="1"/>
    <xf numFmtId="0" fontId="11" fillId="0" borderId="0" xfId="53" applyFont="1"/>
    <xf numFmtId="0" fontId="115" fillId="23" borderId="0" xfId="53" applyFont="1" applyFill="1"/>
    <xf numFmtId="17" fontId="11" fillId="26" borderId="0" xfId="53" applyNumberFormat="1" applyFont="1" applyFill="1"/>
    <xf numFmtId="175" fontId="8" fillId="23" borderId="0" xfId="39" applyNumberFormat="1" applyFont="1" applyFill="1"/>
    <xf numFmtId="175" fontId="8" fillId="26" borderId="0" xfId="39" applyNumberFormat="1" applyFont="1" applyFill="1"/>
    <xf numFmtId="166" fontId="8" fillId="23" borderId="0" xfId="76" applyNumberFormat="1" applyFont="1" applyFill="1"/>
    <xf numFmtId="166" fontId="144" fillId="26" borderId="0" xfId="76" applyNumberFormat="1" applyFont="1" applyFill="1"/>
    <xf numFmtId="0" fontId="25" fillId="23" borderId="0" xfId="53" applyFont="1" applyFill="1"/>
    <xf numFmtId="0" fontId="145" fillId="23" borderId="0" xfId="53" applyFont="1" applyFill="1"/>
    <xf numFmtId="9" fontId="167" fillId="23" borderId="0" xfId="53" applyNumberFormat="1" applyFont="1" applyFill="1"/>
    <xf numFmtId="9" fontId="144" fillId="26" borderId="0" xfId="76" applyNumberFormat="1" applyFont="1" applyFill="1"/>
    <xf numFmtId="0" fontId="25" fillId="0" borderId="0" xfId="53" applyFont="1"/>
    <xf numFmtId="175" fontId="8" fillId="23" borderId="2" xfId="39" applyNumberFormat="1" applyFont="1" applyFill="1" applyBorder="1"/>
    <xf numFmtId="175" fontId="8" fillId="26" borderId="2" xfId="39" applyNumberFormat="1" applyFont="1" applyFill="1" applyBorder="1"/>
    <xf numFmtId="175" fontId="8" fillId="23" borderId="0" xfId="53" applyNumberFormat="1" applyFont="1" applyFill="1"/>
    <xf numFmtId="175" fontId="8" fillId="26" borderId="0" xfId="53" applyNumberFormat="1" applyFont="1" applyFill="1"/>
    <xf numFmtId="0" fontId="146" fillId="23" borderId="0" xfId="53" applyFont="1" applyFill="1"/>
    <xf numFmtId="9" fontId="146" fillId="23" borderId="0" xfId="76" applyFont="1" applyFill="1"/>
    <xf numFmtId="166" fontId="146" fillId="23" borderId="0" xfId="76" applyNumberFormat="1" applyFont="1" applyFill="1"/>
    <xf numFmtId="166" fontId="147" fillId="26" borderId="0" xfId="76" applyNumberFormat="1" applyFont="1" applyFill="1"/>
    <xf numFmtId="0" fontId="146" fillId="0" borderId="0" xfId="53" applyFont="1"/>
    <xf numFmtId="0" fontId="8" fillId="26" borderId="0" xfId="53" applyFont="1" applyFill="1"/>
    <xf numFmtId="175" fontId="87" fillId="23" borderId="0" xfId="39" quotePrefix="1" applyNumberFormat="1" applyFont="1" applyFill="1"/>
    <xf numFmtId="166" fontId="168" fillId="26" borderId="0" xfId="76" applyNumberFormat="1" applyFont="1" applyFill="1"/>
    <xf numFmtId="9" fontId="8" fillId="23" borderId="0" xfId="76" applyFont="1" applyFill="1"/>
    <xf numFmtId="166" fontId="8" fillId="26" borderId="0" xfId="76" applyNumberFormat="1" applyFont="1" applyFill="1"/>
    <xf numFmtId="9" fontId="80" fillId="23" borderId="0" xfId="76" applyFont="1" applyFill="1"/>
    <xf numFmtId="9" fontId="147" fillId="26" borderId="0" xfId="76" applyFont="1" applyFill="1"/>
    <xf numFmtId="0" fontId="8" fillId="23" borderId="2" xfId="53" applyFont="1" applyFill="1" applyBorder="1"/>
    <xf numFmtId="0" fontId="8" fillId="26" borderId="2" xfId="53" applyFont="1" applyFill="1" applyBorder="1"/>
    <xf numFmtId="175" fontId="11" fillId="23" borderId="0" xfId="53" applyNumberFormat="1" applyFont="1" applyFill="1"/>
    <xf numFmtId="175" fontId="11" fillId="26" borderId="0" xfId="53" applyNumberFormat="1" applyFont="1" applyFill="1"/>
    <xf numFmtId="0" fontId="80" fillId="23" borderId="0" xfId="53" applyFont="1" applyFill="1"/>
    <xf numFmtId="0" fontId="80" fillId="0" borderId="0" xfId="53" applyFont="1"/>
    <xf numFmtId="0" fontId="148" fillId="23" borderId="0" xfId="53" applyFont="1" applyFill="1" applyAlignment="1">
      <alignment horizontal="center"/>
    </xf>
    <xf numFmtId="175" fontId="148" fillId="23" borderId="0" xfId="39" applyNumberFormat="1" applyFont="1" applyFill="1" applyAlignment="1">
      <alignment horizontal="center"/>
    </xf>
    <xf numFmtId="0" fontId="149" fillId="23" borderId="0" xfId="53" applyFont="1" applyFill="1" applyAlignment="1">
      <alignment horizontal="center"/>
    </xf>
    <xf numFmtId="0" fontId="148" fillId="0" borderId="0" xfId="53" applyFont="1" applyAlignment="1">
      <alignment horizontal="center"/>
    </xf>
    <xf numFmtId="175" fontId="87" fillId="23" borderId="0" xfId="39" applyNumberFormat="1" applyFont="1" applyFill="1"/>
    <xf numFmtId="43" fontId="24" fillId="23" borderId="0" xfId="39" applyNumberFormat="1" applyFont="1" applyFill="1"/>
    <xf numFmtId="175" fontId="115" fillId="22" borderId="21" xfId="39" applyNumberFormat="1" applyFont="1" applyFill="1" applyBorder="1"/>
    <xf numFmtId="175" fontId="8" fillId="22" borderId="6" xfId="39" applyNumberFormat="1" applyFont="1" applyFill="1" applyBorder="1"/>
    <xf numFmtId="175" fontId="8" fillId="22" borderId="31" xfId="39" applyNumberFormat="1" applyFont="1" applyFill="1" applyBorder="1"/>
    <xf numFmtId="175" fontId="87" fillId="22" borderId="21" xfId="39" applyNumberFormat="1" applyFont="1" applyFill="1" applyBorder="1"/>
    <xf numFmtId="0" fontId="8" fillId="22" borderId="6" xfId="53" applyFont="1" applyFill="1" applyBorder="1"/>
    <xf numFmtId="166" fontId="168" fillId="23" borderId="0" xfId="53" applyNumberFormat="1" applyFont="1" applyFill="1"/>
    <xf numFmtId="166" fontId="168" fillId="23" borderId="0" xfId="76" applyNumberFormat="1" applyFont="1" applyFill="1" applyAlignment="1">
      <alignment horizontal="right"/>
    </xf>
    <xf numFmtId="175" fontId="87" fillId="23" borderId="2" xfId="39" applyNumberFormat="1" applyFont="1" applyFill="1" applyBorder="1"/>
    <xf numFmtId="175" fontId="115" fillId="23" borderId="0" xfId="39" applyNumberFormat="1" applyFont="1" applyFill="1"/>
    <xf numFmtId="175" fontId="145" fillId="23" borderId="0" xfId="39" applyNumberFormat="1" applyFont="1" applyFill="1"/>
    <xf numFmtId="166" fontId="167" fillId="23" borderId="0" xfId="76" applyNumberFormat="1" applyFont="1" applyFill="1"/>
    <xf numFmtId="166" fontId="8" fillId="23" borderId="0" xfId="76" applyNumberFormat="1" applyFont="1" applyFill="1" applyAlignment="1">
      <alignment horizontal="right"/>
    </xf>
    <xf numFmtId="166" fontId="145" fillId="23" borderId="0" xfId="76" applyNumberFormat="1" applyFont="1" applyFill="1"/>
    <xf numFmtId="175" fontId="145" fillId="23" borderId="0" xfId="39" applyNumberFormat="1" applyFont="1" applyFill="1" applyAlignment="1">
      <alignment horizontal="center"/>
    </xf>
    <xf numFmtId="166" fontId="87" fillId="23" borderId="0" xfId="76" applyNumberFormat="1" applyFont="1" applyFill="1"/>
    <xf numFmtId="44" fontId="168" fillId="23" borderId="0" xfId="42" applyFont="1" applyFill="1"/>
    <xf numFmtId="9" fontId="87" fillId="23" borderId="0" xfId="76" applyFont="1" applyFill="1"/>
    <xf numFmtId="9" fontId="145" fillId="23" borderId="0" xfId="76" applyFont="1" applyFill="1" applyAlignment="1">
      <alignment horizontal="center"/>
    </xf>
    <xf numFmtId="175" fontId="115" fillId="22" borderId="6" xfId="39" applyNumberFormat="1" applyFont="1" applyFill="1" applyBorder="1" applyAlignment="1">
      <alignment horizontal="center"/>
    </xf>
    <xf numFmtId="166" fontId="115" fillId="22" borderId="31" xfId="76" applyNumberFormat="1" applyFont="1" applyFill="1" applyBorder="1"/>
    <xf numFmtId="175" fontId="87" fillId="23" borderId="0" xfId="39" applyNumberFormat="1" applyFont="1" applyFill="1" applyBorder="1"/>
    <xf numFmtId="175" fontId="87" fillId="23" borderId="2" xfId="39" applyNumberFormat="1" applyFont="1" applyFill="1" applyBorder="1" applyAlignment="1">
      <alignment horizontal="center"/>
    </xf>
    <xf numFmtId="175" fontId="115" fillId="27" borderId="21" xfId="39" applyNumberFormat="1" applyFont="1" applyFill="1" applyBorder="1"/>
    <xf numFmtId="44" fontId="115" fillId="27" borderId="31" xfId="42" applyFont="1" applyFill="1" applyBorder="1"/>
    <xf numFmtId="175" fontId="87" fillId="0" borderId="0" xfId="39" applyNumberFormat="1" applyFont="1"/>
    <xf numFmtId="0" fontId="87" fillId="0" borderId="0" xfId="53" applyFont="1"/>
    <xf numFmtId="170" fontId="168" fillId="0" borderId="0" xfId="53" applyNumberFormat="1" applyFont="1" applyFill="1" applyAlignment="1">
      <alignment horizontal="right"/>
    </xf>
    <xf numFmtId="190" fontId="8" fillId="23" borderId="0" xfId="0" applyNumberFormat="1" applyFont="1" applyFill="1" applyAlignment="1">
      <alignment horizontal="left"/>
    </xf>
    <xf numFmtId="188" fontId="120" fillId="23" borderId="2" xfId="74" applyNumberFormat="1" applyFont="1" applyFill="1" applyBorder="1" applyAlignment="1">
      <alignment horizontal="right"/>
    </xf>
    <xf numFmtId="0" fontId="12" fillId="0" borderId="0" xfId="0" applyFont="1" applyFill="1"/>
    <xf numFmtId="43" fontId="0" fillId="0" borderId="0" xfId="39" applyFont="1"/>
    <xf numFmtId="166" fontId="0" fillId="0" borderId="0" xfId="76" applyNumberFormat="1" applyFont="1"/>
    <xf numFmtId="172" fontId="1" fillId="23" borderId="0" xfId="0" applyNumberFormat="1" applyFont="1" applyFill="1" applyBorder="1"/>
    <xf numFmtId="181" fontId="1" fillId="23" borderId="0" xfId="0" applyNumberFormat="1" applyFont="1" applyFill="1" applyBorder="1"/>
    <xf numFmtId="181" fontId="1" fillId="23" borderId="2" xfId="0" applyNumberFormat="1" applyFont="1" applyFill="1" applyBorder="1"/>
    <xf numFmtId="0" fontId="8" fillId="23" borderId="0" xfId="74" applyNumberFormat="1" applyFont="1" applyFill="1"/>
    <xf numFmtId="172" fontId="1" fillId="23" borderId="34" xfId="0" applyNumberFormat="1" applyFont="1" applyFill="1" applyBorder="1"/>
    <xf numFmtId="167" fontId="1" fillId="23" borderId="34" xfId="0" applyNumberFormat="1" applyFont="1" applyFill="1" applyBorder="1"/>
    <xf numFmtId="204" fontId="165" fillId="23" borderId="0" xfId="0" applyNumberFormat="1" applyFont="1" applyFill="1" applyBorder="1"/>
    <xf numFmtId="165" fontId="162" fillId="23" borderId="2" xfId="0" applyNumberFormat="1" applyFont="1" applyFill="1" applyBorder="1" applyAlignment="1">
      <alignment horizontal="center"/>
    </xf>
    <xf numFmtId="189" fontId="151" fillId="0" borderId="0" xfId="0" applyNumberFormat="1" applyFont="1" applyFill="1"/>
    <xf numFmtId="172" fontId="151" fillId="0" borderId="0" xfId="0" applyNumberFormat="1" applyFont="1" applyFill="1"/>
    <xf numFmtId="172" fontId="163" fillId="0" borderId="0" xfId="0" applyNumberFormat="1" applyFont="1" applyFill="1"/>
    <xf numFmtId="181" fontId="163" fillId="0" borderId="0" xfId="0" applyNumberFormat="1" applyFont="1" applyFill="1"/>
    <xf numFmtId="181" fontId="163" fillId="0" borderId="2" xfId="0" applyNumberFormat="1" applyFont="1" applyFill="1" applyBorder="1"/>
    <xf numFmtId="189" fontId="48" fillId="23" borderId="0" xfId="0" applyNumberFormat="1" applyFont="1" applyFill="1"/>
    <xf numFmtId="189" fontId="151" fillId="23" borderId="0" xfId="0" applyNumberFormat="1" applyFont="1" applyFill="1"/>
    <xf numFmtId="193" fontId="169" fillId="0" borderId="2" xfId="0" applyNumberFormat="1" applyFont="1" applyFill="1" applyBorder="1" applyAlignment="1">
      <alignment horizontal="centerContinuous"/>
    </xf>
    <xf numFmtId="0" fontId="151" fillId="0" borderId="2" xfId="0" applyFont="1" applyFill="1" applyBorder="1" applyAlignment="1">
      <alignment horizontal="centerContinuous"/>
    </xf>
    <xf numFmtId="256" fontId="169" fillId="0" borderId="2" xfId="0" applyNumberFormat="1" applyFont="1" applyFill="1" applyBorder="1" applyAlignment="1">
      <alignment horizontal="centerContinuous"/>
    </xf>
    <xf numFmtId="200" fontId="25" fillId="0" borderId="0" xfId="68" applyNumberFormat="1" applyFont="1" applyFill="1" applyProtection="1"/>
    <xf numFmtId="37" fontId="1" fillId="23" borderId="0" xfId="68" applyNumberFormat="1" applyFont="1" applyFill="1" applyBorder="1" applyProtection="1"/>
    <xf numFmtId="195" fontId="11" fillId="23" borderId="2" xfId="0" applyNumberFormat="1" applyFont="1" applyFill="1" applyBorder="1" applyAlignment="1">
      <alignment horizontal="centerContinuous"/>
    </xf>
    <xf numFmtId="0" fontId="116" fillId="23" borderId="0" xfId="60" applyFont="1" applyFill="1" applyBorder="1"/>
    <xf numFmtId="172" fontId="39" fillId="23" borderId="0" xfId="60" applyNumberFormat="1" applyFont="1" applyFill="1" applyBorder="1"/>
    <xf numFmtId="0" fontId="40" fillId="23" borderId="0" xfId="0" applyFont="1" applyFill="1" applyBorder="1" applyAlignment="1">
      <alignment horizontal="left" indent="1"/>
    </xf>
    <xf numFmtId="169" fontId="161" fillId="23" borderId="0" xfId="85" applyFont="1" applyFill="1" applyAlignment="1">
      <alignment horizontal="center"/>
    </xf>
    <xf numFmtId="0" fontId="169" fillId="23" borderId="2" xfId="74" applyNumberFormat="1" applyFont="1" applyFill="1" applyBorder="1" applyAlignment="1">
      <alignment horizontal="centerContinuous"/>
    </xf>
    <xf numFmtId="0" fontId="39" fillId="23" borderId="31" xfId="74" applyNumberFormat="1" applyFont="1" applyFill="1" applyBorder="1" applyAlignment="1">
      <alignment horizontal="centerContinuous"/>
    </xf>
    <xf numFmtId="169" fontId="117" fillId="23" borderId="41" xfId="85" applyFont="1" applyFill="1" applyBorder="1" applyAlignment="1">
      <alignment horizontal="center"/>
    </xf>
    <xf numFmtId="169" fontId="118" fillId="23" borderId="41" xfId="85" applyFont="1" applyFill="1" applyBorder="1" applyAlignment="1">
      <alignment horizontal="center"/>
    </xf>
    <xf numFmtId="10" fontId="39" fillId="23" borderId="41" xfId="60" applyNumberFormat="1" applyFont="1" applyFill="1" applyBorder="1"/>
    <xf numFmtId="166" fontId="39" fillId="23" borderId="41" xfId="60" applyNumberFormat="1" applyFont="1" applyFill="1" applyBorder="1" applyAlignment="1">
      <alignment horizontal="right"/>
    </xf>
    <xf numFmtId="166" fontId="39" fillId="23" borderId="41" xfId="66" applyNumberFormat="1" applyFont="1" applyFill="1" applyBorder="1" applyAlignment="1">
      <alignment horizontal="right"/>
    </xf>
    <xf numFmtId="188" fontId="120" fillId="23" borderId="43" xfId="74" applyNumberFormat="1" applyFont="1" applyFill="1" applyBorder="1" applyAlignment="1">
      <alignment horizontal="right"/>
    </xf>
    <xf numFmtId="188" fontId="40" fillId="23" borderId="41" xfId="74" applyNumberFormat="1" applyFont="1" applyFill="1" applyBorder="1" applyAlignment="1">
      <alignment horizontal="right"/>
    </xf>
    <xf numFmtId="166" fontId="39" fillId="23" borderId="43" xfId="74" applyNumberFormat="1" applyFont="1" applyFill="1" applyBorder="1" applyAlignment="1">
      <alignment horizontal="right"/>
    </xf>
    <xf numFmtId="165" fontId="170" fillId="23" borderId="0" xfId="0" applyNumberFormat="1" applyFont="1" applyFill="1" applyAlignment="1">
      <alignment horizontal="center"/>
    </xf>
    <xf numFmtId="194" fontId="153" fillId="23" borderId="0" xfId="0" applyNumberFormat="1" applyFont="1" applyFill="1" applyAlignment="1">
      <alignment horizontal="left"/>
    </xf>
    <xf numFmtId="190" fontId="153" fillId="23" borderId="0" xfId="0" applyNumberFormat="1" applyFont="1" applyFill="1" applyAlignment="1">
      <alignment horizontal="left"/>
    </xf>
    <xf numFmtId="9" fontId="153" fillId="23" borderId="0" xfId="74" applyFont="1" applyFill="1"/>
    <xf numFmtId="190" fontId="153" fillId="23" borderId="0" xfId="74" applyNumberFormat="1" applyFont="1" applyFill="1"/>
    <xf numFmtId="204" fontId="8" fillId="23" borderId="0" xfId="0" applyNumberFormat="1" applyFont="1" applyFill="1" applyBorder="1" applyAlignment="1">
      <alignment horizontal="center"/>
    </xf>
    <xf numFmtId="10" fontId="39" fillId="23" borderId="1" xfId="60" applyNumberFormat="1" applyFont="1" applyFill="1" applyBorder="1"/>
    <xf numFmtId="181" fontId="153" fillId="23" borderId="0" xfId="0" applyNumberFormat="1" applyFont="1" applyFill="1" applyBorder="1"/>
    <xf numFmtId="165" fontId="1" fillId="23" borderId="0" xfId="0" applyNumberFormat="1" applyFont="1" applyFill="1" applyAlignment="1">
      <alignment horizontal="center"/>
    </xf>
    <xf numFmtId="181" fontId="1" fillId="23" borderId="0" xfId="0" applyNumberFormat="1" applyFont="1" applyFill="1" applyAlignment="1">
      <alignment horizontal="center"/>
    </xf>
    <xf numFmtId="190" fontId="1" fillId="23" borderId="35" xfId="74" applyNumberFormat="1" applyFont="1" applyFill="1" applyBorder="1"/>
    <xf numFmtId="9" fontId="161" fillId="0" borderId="0" xfId="74" applyFont="1" applyFill="1" applyAlignment="1">
      <alignment horizontal="centerContinuous"/>
    </xf>
    <xf numFmtId="190" fontId="8" fillId="24" borderId="0" xfId="74" applyNumberFormat="1" applyFont="1" applyFill="1"/>
    <xf numFmtId="165" fontId="142" fillId="24" borderId="0" xfId="0" applyNumberFormat="1" applyFont="1" applyFill="1" applyAlignment="1">
      <alignment horizontal="center"/>
    </xf>
    <xf numFmtId="194" fontId="8" fillId="24" borderId="0" xfId="0" applyNumberFormat="1" applyFont="1" applyFill="1" applyAlignment="1">
      <alignment horizontal="left"/>
    </xf>
    <xf numFmtId="0" fontId="8" fillId="24" borderId="0" xfId="0" applyFont="1" applyFill="1"/>
    <xf numFmtId="194" fontId="8" fillId="24" borderId="0" xfId="0" applyNumberFormat="1" applyFont="1" applyFill="1" applyAlignment="1">
      <alignment horizontal="center"/>
    </xf>
    <xf numFmtId="9" fontId="8" fillId="24" borderId="0" xfId="74" applyFont="1" applyFill="1" applyAlignment="1">
      <alignment horizontal="center"/>
    </xf>
    <xf numFmtId="190" fontId="8" fillId="24" borderId="0" xfId="74" applyNumberFormat="1" applyFont="1" applyFill="1" applyAlignment="1">
      <alignment horizontal="center"/>
    </xf>
    <xf numFmtId="194" fontId="11" fillId="24" borderId="0" xfId="0" applyNumberFormat="1" applyFont="1" applyFill="1" applyAlignment="1">
      <alignment horizontal="center"/>
    </xf>
    <xf numFmtId="0" fontId="8" fillId="24" borderId="0" xfId="0" applyFont="1" applyFill="1" applyAlignment="1">
      <alignment horizontal="center"/>
    </xf>
    <xf numFmtId="0" fontId="1" fillId="23" borderId="0" xfId="74" applyNumberFormat="1" applyFont="1" applyFill="1"/>
    <xf numFmtId="177" fontId="1" fillId="0" borderId="0" xfId="67" applyNumberFormat="1" applyFont="1" applyFill="1"/>
    <xf numFmtId="194" fontId="153" fillId="23" borderId="2" xfId="0" applyNumberFormat="1" applyFont="1" applyFill="1" applyBorder="1" applyAlignment="1">
      <alignment horizontal="left"/>
    </xf>
    <xf numFmtId="194" fontId="153" fillId="23" borderId="0" xfId="0" applyNumberFormat="1" applyFont="1" applyFill="1" applyBorder="1" applyAlignment="1">
      <alignment horizontal="left"/>
    </xf>
    <xf numFmtId="196" fontId="1" fillId="23" borderId="2" xfId="0" applyNumberFormat="1" applyFont="1" applyFill="1" applyBorder="1" applyAlignment="1">
      <alignment horizontal="center"/>
    </xf>
    <xf numFmtId="204" fontId="1" fillId="0" borderId="2" xfId="0" applyNumberFormat="1" applyFont="1" applyFill="1" applyBorder="1"/>
    <xf numFmtId="181" fontId="1" fillId="23" borderId="2" xfId="0" applyNumberFormat="1" applyFont="1" applyFill="1" applyBorder="1" applyAlignment="1">
      <alignment horizontal="center"/>
    </xf>
    <xf numFmtId="204" fontId="1" fillId="23" borderId="2" xfId="0" applyNumberFormat="1" applyFont="1" applyFill="1" applyBorder="1"/>
    <xf numFmtId="2" fontId="0" fillId="0" borderId="0" xfId="0" applyNumberFormat="1"/>
    <xf numFmtId="257" fontId="161" fillId="0" borderId="0" xfId="74" applyNumberFormat="1" applyFont="1" applyFill="1" applyAlignment="1">
      <alignment horizontal="centerContinuous"/>
    </xf>
    <xf numFmtId="43" fontId="121" fillId="0" borderId="0" xfId="37" applyFont="1"/>
    <xf numFmtId="172" fontId="151" fillId="23" borderId="0" xfId="0" applyNumberFormat="1" applyFont="1" applyFill="1"/>
    <xf numFmtId="167" fontId="151" fillId="23" borderId="0" xfId="0" applyNumberFormat="1" applyFont="1" applyFill="1" applyBorder="1"/>
    <xf numFmtId="167" fontId="151" fillId="23" borderId="2" xfId="0" applyNumberFormat="1" applyFont="1" applyFill="1" applyBorder="1"/>
    <xf numFmtId="0" fontId="11" fillId="23" borderId="0" xfId="0" applyFont="1" applyFill="1" applyAlignment="1">
      <alignment horizontal="center"/>
    </xf>
    <xf numFmtId="0" fontId="8" fillId="23" borderId="0" xfId="0" applyFont="1" applyFill="1" applyAlignment="1"/>
    <xf numFmtId="0" fontId="40" fillId="0" borderId="0" xfId="0" applyFont="1" applyFill="1" applyAlignment="1">
      <alignment horizontal="center"/>
    </xf>
    <xf numFmtId="0" fontId="8" fillId="0" borderId="0" xfId="0" applyFont="1" applyFill="1" applyAlignment="1">
      <alignment horizontal="center"/>
    </xf>
    <xf numFmtId="0" fontId="121" fillId="0" borderId="0" xfId="0" applyFont="1" applyFill="1" applyAlignment="1">
      <alignment horizontal="center"/>
    </xf>
    <xf numFmtId="0" fontId="0" fillId="0" borderId="0" xfId="0" applyAlignment="1">
      <alignment horizontal="center"/>
    </xf>
    <xf numFmtId="0" fontId="11" fillId="23" borderId="0" xfId="53" applyFont="1" applyFill="1" applyAlignment="1">
      <alignment horizontal="center"/>
    </xf>
    <xf numFmtId="0" fontId="11" fillId="26" borderId="0" xfId="53" applyFont="1" applyFill="1" applyAlignment="1">
      <alignment horizontal="center"/>
    </xf>
    <xf numFmtId="0" fontId="1" fillId="28" borderId="0" xfId="87" applyFont="1" applyFill="1" applyAlignment="1">
      <alignment vertical="top"/>
    </xf>
    <xf numFmtId="0" fontId="1" fillId="28" borderId="0" xfId="1" applyFill="1" applyAlignment="1">
      <alignment vertical="top"/>
    </xf>
    <xf numFmtId="0" fontId="1" fillId="28" borderId="0" xfId="1" applyFill="1"/>
    <xf numFmtId="0" fontId="73" fillId="28" borderId="0" xfId="87" applyFont="1" applyFill="1" applyAlignment="1">
      <alignment horizontal="left" vertical="top"/>
    </xf>
    <xf numFmtId="0" fontId="1" fillId="28" borderId="0" xfId="1" applyFont="1" applyFill="1" applyAlignment="1">
      <alignment vertical="top"/>
    </xf>
    <xf numFmtId="0" fontId="25" fillId="28" borderId="0" xfId="87" applyFont="1" applyFill="1" applyAlignment="1">
      <alignment vertical="top"/>
    </xf>
    <xf numFmtId="0" fontId="0" fillId="28" borderId="0" xfId="0" applyFill="1" applyAlignment="1">
      <alignment vertical="top"/>
    </xf>
    <xf numFmtId="0" fontId="171" fillId="28" borderId="0" xfId="0" applyFont="1" applyFill="1" applyAlignment="1">
      <alignment vertical="top"/>
    </xf>
    <xf numFmtId="0" fontId="172" fillId="28" borderId="0" xfId="0" applyFont="1" applyFill="1" applyAlignment="1">
      <alignment vertical="top"/>
    </xf>
    <xf numFmtId="0" fontId="172" fillId="28" borderId="0" xfId="0" applyFont="1" applyFill="1" applyAlignment="1">
      <alignment vertical="top"/>
    </xf>
    <xf numFmtId="0" fontId="171" fillId="28" borderId="0" xfId="0" applyFont="1" applyFill="1" applyAlignment="1">
      <alignment vertical="top"/>
    </xf>
    <xf numFmtId="0" fontId="0" fillId="28" borderId="0" xfId="0" applyFill="1" applyAlignment="1">
      <alignment vertical="top"/>
    </xf>
    <xf numFmtId="0" fontId="0" fillId="28" borderId="50" xfId="0" applyFill="1" applyBorder="1" applyAlignment="1">
      <alignment vertical="top"/>
    </xf>
    <xf numFmtId="0" fontId="171" fillId="28" borderId="46" xfId="0" applyFont="1" applyFill="1" applyBorder="1" applyAlignment="1">
      <alignment vertical="top"/>
    </xf>
    <xf numFmtId="0" fontId="171" fillId="28" borderId="47" xfId="0" applyFont="1" applyFill="1" applyBorder="1" applyAlignment="1">
      <alignment vertical="top"/>
    </xf>
    <xf numFmtId="0" fontId="171" fillId="28" borderId="48" xfId="0" applyFont="1" applyFill="1" applyBorder="1" applyAlignment="1">
      <alignment vertical="top"/>
    </xf>
    <xf numFmtId="0" fontId="171" fillId="28" borderId="49" xfId="0" applyFont="1" applyFill="1" applyBorder="1" applyAlignment="1">
      <alignment vertical="top"/>
    </xf>
    <xf numFmtId="9" fontId="171" fillId="28" borderId="46" xfId="0" applyNumberFormat="1" applyFont="1" applyFill="1" applyBorder="1" applyAlignment="1">
      <alignment vertical="top"/>
    </xf>
    <xf numFmtId="3" fontId="171" fillId="28" borderId="46" xfId="0" applyNumberFormat="1" applyFont="1" applyFill="1" applyBorder="1" applyAlignment="1">
      <alignment vertical="top"/>
    </xf>
    <xf numFmtId="0" fontId="0" fillId="28" borderId="51" xfId="0" applyFill="1" applyBorder="1" applyAlignment="1">
      <alignment vertical="top"/>
    </xf>
    <xf numFmtId="2" fontId="1" fillId="0" borderId="0" xfId="1" applyNumberFormat="1" applyAlignment="1">
      <alignment horizontal="left"/>
    </xf>
    <xf numFmtId="0" fontId="1" fillId="0" borderId="0" xfId="1" applyNumberFormat="1" applyAlignment="1">
      <alignment horizontal="left"/>
    </xf>
    <xf numFmtId="1" fontId="1" fillId="0" borderId="0" xfId="1" applyNumberFormat="1" applyAlignment="1">
      <alignment horizontal="left"/>
    </xf>
    <xf numFmtId="0" fontId="1" fillId="0" borderId="0" xfId="1" applyFont="1"/>
    <xf numFmtId="263" fontId="1" fillId="0" borderId="0" xfId="1" applyNumberFormat="1" applyAlignment="1">
      <alignment horizontal="left"/>
    </xf>
    <xf numFmtId="49" fontId="1" fillId="0" borderId="0" xfId="1" applyNumberFormat="1"/>
  </cellXfs>
  <cellStyles count="88">
    <cellStyle name=" 1" xfId="2"/>
    <cellStyle name="******************************************" xfId="3"/>
    <cellStyle name="_FY Guidancev2 " xfId="4"/>
    <cellStyle name="_SUMMARY " xfId="5"/>
    <cellStyle name="0_Capex &amp; Depreciation " xfId="7"/>
    <cellStyle name="0_Valuing BP " xfId="8"/>
    <cellStyle name="20% - Accent1" xfId="9" builtinId="30" customBuiltin="1"/>
    <cellStyle name="20% - Accent2" xfId="10" builtinId="34" customBuiltin="1"/>
    <cellStyle name="20% - Accent3" xfId="11" builtinId="38" customBuiltin="1"/>
    <cellStyle name="20% - Accent4" xfId="12" builtinId="42" customBuiltin="1"/>
    <cellStyle name="20% - Accent5" xfId="13" builtinId="46" customBuiltin="1"/>
    <cellStyle name="20% - Accent6" xfId="14" builtinId="50" customBuiltin="1"/>
    <cellStyle name="40% - Accent1" xfId="15" builtinId="31" customBuiltin="1"/>
    <cellStyle name="40% - Accent2" xfId="16" builtinId="35" customBuiltin="1"/>
    <cellStyle name="40% - Accent3" xfId="17" builtinId="39" customBuiltin="1"/>
    <cellStyle name="40% - Accent4" xfId="18" builtinId="43" customBuiltin="1"/>
    <cellStyle name="40% - Accent5" xfId="19" builtinId="47" customBuiltin="1"/>
    <cellStyle name="40% - Accent6" xfId="20" builtinId="51" customBuiltin="1"/>
    <cellStyle name="60% - Accent1" xfId="21" builtinId="32" customBuiltin="1"/>
    <cellStyle name="60% - Accent2" xfId="22" builtinId="36" customBuiltin="1"/>
    <cellStyle name="60% - Accent3" xfId="23" builtinId="40" customBuiltin="1"/>
    <cellStyle name="60% - Accent4" xfId="24" builtinId="44" customBuiltin="1"/>
    <cellStyle name="60% - Accent5" xfId="25" builtinId="48" customBuiltin="1"/>
    <cellStyle name="60% - Accent6" xfId="26" builtinId="52" customBuiltin="1"/>
    <cellStyle name="Accent1" xfId="27" builtinId="29" customBuiltin="1"/>
    <cellStyle name="Accent2" xfId="28" builtinId="33" customBuiltin="1"/>
    <cellStyle name="Accent3" xfId="29" builtinId="37" customBuiltin="1"/>
    <cellStyle name="Accent4" xfId="30" builtinId="41" customBuiltin="1"/>
    <cellStyle name="Accent5" xfId="31" builtinId="45" customBuiltin="1"/>
    <cellStyle name="Accent6" xfId="32" builtinId="49" customBuiltin="1"/>
    <cellStyle name="Bad" xfId="33" builtinId="27" customBuiltin="1"/>
    <cellStyle name="c_HardInc " xfId="34"/>
    <cellStyle name="Calculation" xfId="35" builtinId="22" customBuiltin="1"/>
    <cellStyle name="Check Cell" xfId="36" builtinId="23" customBuiltin="1"/>
    <cellStyle name="Comma" xfId="37" builtinId="3"/>
    <cellStyle name="Comma 2" xfId="38"/>
    <cellStyle name="Comma 3" xfId="39"/>
    <cellStyle name="Comma_Lease Module TPG example 30062004 capex 2" xfId="40"/>
    <cellStyle name="Currency" xfId="41" builtinId="4"/>
    <cellStyle name="Currency 2" xfId="42"/>
    <cellStyle name="Explanatory Text" xfId="43" builtinId="53" customBuiltin="1"/>
    <cellStyle name="Good" xfId="44" builtinId="26" customBuiltin="1"/>
    <cellStyle name="Heading 1" xfId="45" builtinId="16" customBuiltin="1"/>
    <cellStyle name="Heading 2" xfId="46" builtinId="17" customBuiltin="1"/>
    <cellStyle name="Heading 3" xfId="47" builtinId="18" customBuiltin="1"/>
    <cellStyle name="Heading 4" xfId="48" builtinId="19" customBuiltin="1"/>
    <cellStyle name="Hyperlink 2" xfId="49"/>
    <cellStyle name="Input" xfId="50" builtinId="20" customBuiltin="1"/>
    <cellStyle name="Linked Cell" xfId="51" builtinId="24" customBuiltin="1"/>
    <cellStyle name="Neutral" xfId="52" builtinId="28" customBuiltin="1"/>
    <cellStyle name="Normal" xfId="0" builtinId="0"/>
    <cellStyle name="Normal 2" xfId="53"/>
    <cellStyle name="Normal 3" xfId="1"/>
    <cellStyle name="Normal_ABSANUAL" xfId="54"/>
    <cellStyle name="Normal_Analysis V5 2" xfId="55"/>
    <cellStyle name="Normal_AXP_interactive_final" xfId="56"/>
    <cellStyle name="Normal_BALSHEET" xfId="57"/>
    <cellStyle name="Normal_BBYin progress" xfId="58"/>
    <cellStyle name="Normal_dabr" xfId="59"/>
    <cellStyle name="Normal_DHQTR" xfId="60"/>
    <cellStyle name="Normal_DisclaimerSheet Samples" xfId="87"/>
    <cellStyle name="Normal_GAPQOR1" xfId="61"/>
    <cellStyle name="Normal_GM Demo 2" xfId="62"/>
    <cellStyle name="Normal_hd roic 2" xfId="63"/>
    <cellStyle name="Normal_LeaseT_Testing_Original (version 1)" xfId="64"/>
    <cellStyle name="Normal_NEWFLOW" xfId="65"/>
    <cellStyle name="Normal_QtrlyDIV" xfId="66"/>
    <cellStyle name="Normal_RSH 2" xfId="67"/>
    <cellStyle name="Normal_STORESUM" xfId="68"/>
    <cellStyle name="Normal_Total" xfId="69"/>
    <cellStyle name="Normal_UA Model" xfId="70"/>
    <cellStyle name="Note" xfId="71" builtinId="10" customBuiltin="1"/>
    <cellStyle name="Output" xfId="72" builtinId="21" customBuiltin="1"/>
    <cellStyle name="p " xfId="73"/>
    <cellStyle name="Percent" xfId="74" builtinId="5"/>
    <cellStyle name="Percent 2" xfId="75"/>
    <cellStyle name="Percent 3" xfId="76"/>
    <cellStyle name="RRSInstruction" xfId="77"/>
    <cellStyle name="RRSInstruction 2" xfId="6"/>
    <cellStyle name="s_HardInc " xfId="78"/>
    <cellStyle name="s_Valuation " xfId="79"/>
    <cellStyle name="ssp " xfId="80"/>
    <cellStyle name="Style 1" xfId="81"/>
    <cellStyle name="Style 32 2" xfId="82"/>
    <cellStyle name="Title" xfId="83" builtinId="15" customBuiltin="1"/>
    <cellStyle name="Total" xfId="84" builtinId="25" customBuiltin="1"/>
    <cellStyle name="Underline" xfId="85"/>
    <cellStyle name="Warning Text" xfId="86" builtinId="11" customBuiltin="1"/>
  </cellStyles>
  <dxfs count="2">
    <dxf>
      <font>
        <condense val="0"/>
        <extend val="0"/>
        <color indexed="10"/>
      </font>
      <fill>
        <patternFill patternType="solid">
          <bgColor indexed="22"/>
        </patternFill>
      </fill>
    </dxf>
    <dxf>
      <fill>
        <patternFill>
          <bgColor indexed="2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74BE74"/>
      <rgbColor rgb="002270AB"/>
      <rgbColor rgb="00F8CD14"/>
      <rgbColor rgb="00F26163"/>
      <rgbColor rgb="00A8D7E2"/>
      <rgbColor rgb="00B2122B"/>
      <rgbColor rgb="00238B45"/>
      <rgbColor rgb="001B4694"/>
      <rgbColor rgb="0041A95C"/>
      <rgbColor rgb="00800080"/>
      <rgbColor rgb="00238B45"/>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EFC1D2"/>
      <rgbColor rgb="009DC9DC"/>
      <rgbColor rgb="00EFC49F"/>
      <rgbColor rgb="004091BF"/>
      <rgbColor rgb="0097D0DD"/>
      <rgbColor rgb="00A5D981"/>
      <rgbColor rgb="00F8CD14"/>
      <rgbColor rgb="00EACC80"/>
      <rgbColor rgb="00FC7114"/>
      <rgbColor rgb="004091BF"/>
      <rgbColor rgb="00969696"/>
      <rgbColor rgb="00003366"/>
      <rgbColor rgb="0041A95C"/>
      <rgbColor rgb="00125A31"/>
      <rgbColor rgb="00125A31"/>
      <rgbColor rgb="00DDDDDD"/>
      <rgbColor rgb="008E466A"/>
      <rgbColor rgb="001B4694"/>
      <rgbColor rgb="00333333"/>
    </indexedColors>
    <mruColors>
      <color rgb="FF0000FF"/>
    </mru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thomsononeaddinshim.rtdformula">
      <tp>
        <v>0</v>
        <stp/>
        <stp>03b7208d-94d1-4bec-b651-5f31613a729a</stp>
        <tr r="N190" s="71"/>
      </tp>
      <tp t="s">
        <v xml:space="preserve">                           -                 </v>
        <stp/>
        <stp>a9ab4d26-363b-46b2-ab0d-6e10878ed7b1</stp>
        <tr r="H195" s="71"/>
      </tp>
      <tp t="s">
        <v xml:space="preserve">                           -                 </v>
        <stp/>
        <stp>8b89c598-a9d2-4811-827b-2131b8e79061</stp>
        <tr r="H194" s="71"/>
      </tp>
      <tp t="s">
        <v xml:space="preserve">$66 </v>
        <stp/>
        <stp>12123856-5091-425b-a8d3-7b43f64e7ad9</stp>
        <tr r="F18" s="62"/>
      </tp>
      <tp>
        <v>0</v>
        <stp/>
        <stp>7afe5c24-6c0d-4d11-adc2-56f6c9c92eda</stp>
        <tr r="K190" s="71"/>
      </tp>
      <tp>
        <v>0</v>
        <stp/>
        <stp>002099b4-1c3b-41ea-a725-7b4385b7113b</stp>
        <tr r="J190" s="71"/>
      </tp>
      <tp>
        <v>0</v>
        <stp/>
        <stp>69c5d0b1-a68b-44af-9f76-5f7d4d31b6d7</stp>
        <tr r="L190" s="71"/>
      </tp>
      <tp>
        <v>121</v>
        <stp/>
        <stp>bfc7023a-1b6b-4a2f-bdbb-14e978553cbe</stp>
        <tr r="H81" s="71"/>
      </tp>
      <tp>
        <v>0</v>
        <stp/>
        <stp>5183620a-67b7-4e88-90cb-3bd133c910fd</stp>
        <tr r="M190" s="71"/>
      </tp>
      <tp>
        <v>0</v>
        <stp/>
        <stp>54c18400-6f1a-4feb-89cd-b08b9a1bdfbb</stp>
        <tr r="O190" s="71"/>
      </tp>
      <tp>
        <v>1045</v>
        <stp/>
        <stp>0df0322f-d785-46e2-a2ac-ef4f7b225d83</stp>
        <tr r="F4" s="62"/>
      </tp>
      <tp>
        <v>132</v>
        <stp/>
        <stp>32d62307-32bd-478f-8c3f-b3e8021b7d33</stp>
        <tr r="H77" s="71"/>
      </tp>
      <tp>
        <v>102</v>
        <stp/>
        <stp>fc0eac0b-d501-4088-8a1e-f4af98a49c53</stp>
        <tr r="F11" s="62"/>
      </tp>
      <tp>
        <v>102</v>
        <stp/>
        <stp>71cafc9d-5f05-4a7b-89eb-16cc74909a40</stp>
        <tr r="F14" s="62"/>
      </tp>
      <tp>
        <v>134</v>
        <stp/>
        <stp>d3c9a3a9-2474-430a-b1d8-aac9b380fb7a</stp>
        <tr r="H78" s="71"/>
      </tp>
      <tp>
        <v>0</v>
        <stp/>
        <stp>43579818-37f7-4862-80d0-3e8ca5c48de4</stp>
        <tr r="H190" s="71"/>
      </tp>
      <tp>
        <v>0</v>
        <stp/>
        <stp>d9ea77be-21a1-4737-b8de-86db2d11afb4</stp>
        <tr r="I190" s="71"/>
      </tp>
      <tp>
        <v>0.33600000000000002</v>
        <stp/>
        <stp>803da30a-dda8-4a71-965f-02d1755168ed</stp>
        <tr r="F24" s="62"/>
      </tp>
      <tp>
        <v>42766</v>
        <stp/>
        <stp>a768583b-41dc-423f-887d-5c536d5a7006</stp>
        <tr r="I4" s="71"/>
      </tp>
      <tp>
        <v>115</v>
        <stp/>
        <stp>7a48a22b-dd0f-456f-984f-69d3b2e1f0ce</stp>
        <tr r="H76" s="71"/>
      </tp>
      <tp>
        <v>440</v>
        <stp/>
        <stp>84d9cf47-a255-4d93-bd08-4d30a33917ed</stp>
        <tr r="H68" s="71"/>
      </tp>
      <tp t="s">
        <v xml:space="preserve">$0.56 </v>
        <stp/>
        <stp>1e96176d-5f45-47e8-b532-252419cd91dd</stp>
        <tr r="F20" s="62"/>
      </tp>
      <tp>
        <v>132</v>
        <stp/>
        <stp>409d9e6a-a127-4cf1-b300-1cf892c1d50b</stp>
        <tr r="H79" s="71"/>
      </tp>
      <tp>
        <v>0</v>
        <stp/>
        <stp>a2bfae30-e0d4-4726-b522-b0d6b2a59f6e</stp>
        <tr r="P190" s="71"/>
      </tp>
      <tp>
        <v>0</v>
        <stp/>
        <stp>dc08735a-3979-4053-be33-3a022f65b61a</stp>
        <tr r="I191" s="71"/>
      </tp>
      <tp>
        <v>127</v>
        <stp/>
        <stp>d6979d14-85ab-4988-b7c4-4ee3f32e45ce</stp>
        <tr r="H80" s="71"/>
      </tp>
      <tp t="s">
        <v xml:space="preserve">                           -                 </v>
        <stp/>
        <stp>20338f8b-b924-441a-82fe-b46d714c2c78</stp>
        <tr r="H196" s="71"/>
      </tp>
      <tp>
        <v>0</v>
        <stp/>
        <stp>e0347ec3-4ce7-4813-ad40-3f848f69d04c</stp>
        <tr r="G56" s="71"/>
      </tp>
      <tp t="s">
        <v>Urban Outfitters Inc</v>
        <stp/>
        <stp>0252d64c-4b1d-4738-b977-443d785f3d73</stp>
        <tr r="C4" s="71"/>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externalLinks/externalLink1.xml" Type="http://schemas.openxmlformats.org/officeDocument/2006/relationships/externalLink"/>
<Relationship Id="rId22" Target="externalLinks/externalLink2.xml" Type="http://schemas.openxmlformats.org/officeDocument/2006/relationships/externalLink"/>
<Relationship Id="rId23" Target="externalLinks/externalLink3.xml" Type="http://schemas.openxmlformats.org/officeDocument/2006/relationships/externalLink"/>
<Relationship Id="rId24" Target="externalLinks/externalLink4.xml" Type="http://schemas.openxmlformats.org/officeDocument/2006/relationships/externalLink"/>
<Relationship Id="rId25" Target="externalLinks/externalLink5.xml" Type="http://schemas.openxmlformats.org/officeDocument/2006/relationships/externalLink"/>
<Relationship Id="rId26" Target="theme/theme1.xml" Type="http://schemas.openxmlformats.org/officeDocument/2006/relationships/theme"/>
<Relationship Id="rId27" Target="styles.xml" Type="http://schemas.openxmlformats.org/officeDocument/2006/relationships/styles"/>
<Relationship Id="rId28" Target="sharedStrings.xml" Type="http://schemas.openxmlformats.org/officeDocument/2006/relationships/sharedStrings"/>
<Relationship Id="rId29" Target="calcChain.xml" Type="http://schemas.openxmlformats.org/officeDocument/2006/relationships/calcChain"/>
<Relationship Id="rId3" Target="worksheets/sheet3.xml" Type="http://schemas.openxmlformats.org/officeDocument/2006/relationships/worksheet"/>
<Relationship Id="rId30" Target="../customXml/item1.xml" Type="http://schemas.openxmlformats.org/officeDocument/2006/relationships/customXml"/>
<Relationship Id="rId31" Target="../customXml/item2.xml" Type="http://schemas.openxmlformats.org/officeDocument/2006/relationships/customXml"/>
<Relationship Id="rId32" Target="volatileDependencies.xml" Type="http://schemas.openxmlformats.org/officeDocument/2006/relationships/volatileDependencies"/>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activeX/_rels/activeX1.xml.rels><?xml version="1.0" encoding="UTF-8" standalone="yes"?>
<Relationships xmlns="http://schemas.openxmlformats.org/package/2006/relationships">
<Relationship Id="rId1" Target="activeX1.bin" Type="http://schemas.microsoft.com/office/2006/relationships/activeXControlBinary"/>
</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lgn="l">
              <a:defRPr sz="1400" b="0" i="0">
                <a:solidFill>
                  <a:srgbClr val="333333"/>
                </a:solidFill>
                <a:latin typeface="Arial"/>
                <a:ea typeface="Arial"/>
                <a:cs typeface="Arial"/>
              </a:defRPr>
            </a:pPr>
            <a:r>
              <a:rPr lang="en-US"/>
              <a:t>Inventory</a:t>
            </a:r>
            <a:r>
              <a:rPr lang="en-US" baseline="0"/>
              <a:t> vs. Forward Sales</a:t>
            </a:r>
            <a:endParaRPr lang="en-US"/>
          </a:p>
        </c:rich>
      </c:tx>
      <c:layout>
        <c:manualLayout>
          <c:xMode val="edge"/>
          <c:yMode val="edge"/>
          <c:x val="0"/>
          <c:y val="0"/>
        </c:manualLayout>
      </c:layout>
      <c:overlay val="0"/>
      <c:spPr>
        <a:noFill/>
        <a:ln w="25400">
          <a:noFill/>
        </a:ln>
        <a:extLst>
          <a:ext uri="{909E8E84-426E-40DD-AFC4-6F175D3DCCD1}">
            <a14:hiddenFill xmlns:a14="http://schemas.microsoft.com/office/drawing/2010/main">
              <a:noFill/>
            </a14:hiddenFill>
          </a:ext>
        </a:extLst>
      </c:spPr>
    </c:title>
    <c:autoTitleDeleted val="0"/>
    <c:plotArea>
      <c:layout>
        <c:manualLayout>
          <c:layoutTarget val="inner"/>
          <c:xMode val="edge"/>
          <c:yMode val="edge"/>
          <c:x val="0.13314035766224586"/>
          <c:y val="0.14946650145784912"/>
          <c:w val="0.85766170267623831"/>
          <c:h val="0.5721654928833666"/>
        </c:manualLayout>
      </c:layout>
      <c:barChart>
        <c:barDir val="col"/>
        <c:grouping val="clustered"/>
        <c:varyColors val="0"/>
        <c:ser>
          <c:idx val="0"/>
          <c:order val="0"/>
          <c:tx>
            <c:v>Inventory</c:v>
          </c:tx>
          <c:spPr>
            <a:solidFill>
              <a:srgbClr val="137CB1"/>
            </a:solidFill>
            <a:ln w="25400">
              <a:noFill/>
            </a:ln>
            <a:effectLst/>
          </c:spPr>
          <c:invertIfNegative val="0"/>
          <c:cat>
            <c:strLit>
              <c:ptCount val="12"/>
              <c:pt idx="0">
                <c:v>1Q15</c:v>
              </c:pt>
              <c:pt idx="1">
                <c:v>2Q15</c:v>
              </c:pt>
              <c:pt idx="2">
                <c:v>3Q15</c:v>
              </c:pt>
              <c:pt idx="3">
                <c:v>4Q15</c:v>
              </c:pt>
              <c:pt idx="4">
                <c:v>1Q16</c:v>
              </c:pt>
              <c:pt idx="5">
                <c:v>2Q16</c:v>
              </c:pt>
              <c:pt idx="6">
                <c:v>3Q16</c:v>
              </c:pt>
              <c:pt idx="7">
                <c:v>4Q16</c:v>
              </c:pt>
              <c:pt idx="8">
                <c:v>1Q17</c:v>
              </c:pt>
              <c:pt idx="9">
                <c:v>2Q17</c:v>
              </c:pt>
            </c:strLit>
          </c:cat>
          <c:val>
            <c:numLit>
              <c:formatCode>General</c:formatCode>
              <c:ptCount val="12"/>
              <c:pt idx="0">
                <c:v>0.14024839204114081</c:v>
              </c:pt>
              <c:pt idx="1">
                <c:v>6.1807374015269367E-2</c:v>
              </c:pt>
              <c:pt idx="2">
                <c:v>-5.4693136543373155E-2</c:v>
              </c:pt>
              <c:pt idx="3">
                <c:v>-7.8199627620820888E-2</c:v>
              </c:pt>
              <c:pt idx="4">
                <c:v>-9.5812039256478632E-2</c:v>
              </c:pt>
              <c:pt idx="5">
                <c:v>-4.4762801635779059E-2</c:v>
              </c:pt>
              <c:pt idx="6">
                <c:v>2.7802060921752858E-2</c:v>
              </c:pt>
              <c:pt idx="7">
                <c:v>2.5337423498665856E-2</c:v>
              </c:pt>
              <c:pt idx="8">
                <c:v>-1.0337209787003587E-3</c:v>
              </c:pt>
              <c:pt idx="9">
                <c:v>-5.5038576023225261E-3</c:v>
              </c:pt>
              <c:pt idx="10">
                <c:v>-8.5252938350822705E-3</c:v>
              </c:pt>
              <c:pt idx="11">
                <c:v>3.7818600667473889E-2</c:v>
              </c:pt>
            </c:numLit>
          </c:val>
        </c:ser>
        <c:ser>
          <c:idx val="1"/>
          <c:order val="1"/>
          <c:tx>
            <c:v>Forward Sales</c:v>
          </c:tx>
          <c:spPr>
            <a:solidFill>
              <a:srgbClr val="EACC80"/>
            </a:solidFill>
            <a:ln w="25400">
              <a:noFill/>
            </a:ln>
            <a:effectLst/>
          </c:spPr>
          <c:invertIfNegative val="0"/>
          <c:cat>
            <c:strLit>
              <c:ptCount val="12"/>
              <c:pt idx="0">
                <c:v>1Q15</c:v>
              </c:pt>
              <c:pt idx="1">
                <c:v>2Q15</c:v>
              </c:pt>
              <c:pt idx="2">
                <c:v>3Q15</c:v>
              </c:pt>
              <c:pt idx="3">
                <c:v>4Q15</c:v>
              </c:pt>
              <c:pt idx="4">
                <c:v>1Q16</c:v>
              </c:pt>
              <c:pt idx="5">
                <c:v>2Q16</c:v>
              </c:pt>
              <c:pt idx="6">
                <c:v>3Q16</c:v>
              </c:pt>
              <c:pt idx="7">
                <c:v>4Q16</c:v>
              </c:pt>
              <c:pt idx="8">
                <c:v>1Q17</c:v>
              </c:pt>
              <c:pt idx="9">
                <c:v>2Q17</c:v>
              </c:pt>
            </c:strLit>
          </c:cat>
          <c:val>
            <c:numLit>
              <c:formatCode>General</c:formatCode>
              <c:ptCount val="12"/>
              <c:pt idx="0">
                <c:v>6.9284181383612697E-2</c:v>
              </c:pt>
              <c:pt idx="1">
                <c:v>1.3245423404177004E-2</c:v>
              </c:pt>
              <c:pt idx="2">
                <c:v>2.3361990180446046E-3</c:v>
              </c:pt>
              <c:pt idx="3">
                <c:v>3.1889960893628055E-2</c:v>
              </c:pt>
              <c:pt idx="4">
                <c:v>2.6638692273995179E-2</c:v>
              </c:pt>
              <c:pt idx="5">
                <c:v>4.5116799837141786E-2</c:v>
              </c:pt>
              <c:pt idx="6">
                <c:v>1.6530393544147204E-2</c:v>
              </c:pt>
              <c:pt idx="7">
                <c:v>-1.818832721154684E-3</c:v>
              </c:pt>
              <c:pt idx="8">
                <c:v>-1.9804214838170631E-2</c:v>
              </c:pt>
              <c:pt idx="9">
                <c:v>3.5111091014283113E-2</c:v>
              </c:pt>
              <c:pt idx="10">
                <c:v>5.7234909596391992E-2</c:v>
              </c:pt>
              <c:pt idx="11">
                <c:v>0.10128231420154066</c:v>
              </c:pt>
            </c:numLit>
          </c:val>
        </c:ser>
        <c:dLbls>
          <c:showLegendKey val="0"/>
          <c:showVal val="0"/>
          <c:showCatName val="0"/>
          <c:showSerName val="0"/>
          <c:showPercent val="0"/>
          <c:showBubbleSize val="0"/>
        </c:dLbls>
        <c:gapWidth val="60"/>
        <c:axId val="650874240"/>
        <c:axId val="650876032"/>
      </c:barChart>
      <c:lineChart>
        <c:grouping val="standard"/>
        <c:varyColors val="0"/>
        <c:ser>
          <c:idx val="2"/>
          <c:order val="2"/>
          <c:tx>
            <c:strRef>
              <c:f>'inv vs. fwd sales'!$A$11</c:f>
              <c:strCache>
                <c:ptCount val="1"/>
                <c:pt idx="0">
                  <c:v>Spread</c:v>
                </c:pt>
              </c:strCache>
            </c:strRef>
          </c:tx>
          <c:marker>
            <c:symbol val="none"/>
          </c:marker>
          <c:val>
            <c:numRef>
              <c:f>'inv vs. fwd sales'!$B$13:$M$13</c:f>
              <c:numCache>
                <c:formatCode>0.0%</c:formatCode>
                <c:ptCount val="12"/>
                <c:pt idx="0">
                  <c:v>-7.0964210657528115E-2</c:v>
                </c:pt>
                <c:pt idx="1">
                  <c:v>-4.8561950611092364E-2</c:v>
                </c:pt>
                <c:pt idx="2">
                  <c:v>5.702933556141776E-2</c:v>
                </c:pt>
                <c:pt idx="3">
                  <c:v>0.11008958851444894</c:v>
                </c:pt>
                <c:pt idx="4">
                  <c:v>0.12245073153047381</c:v>
                </c:pt>
                <c:pt idx="5">
                  <c:v>8.9879601472920845E-2</c:v>
                </c:pt>
                <c:pt idx="6">
                  <c:v>-1.1271667377605654E-2</c:v>
                </c:pt>
                <c:pt idx="7">
                  <c:v>-2.715625621982054E-2</c:v>
                </c:pt>
                <c:pt idx="8">
                  <c:v>-1.8770493859470272E-2</c:v>
                </c:pt>
                <c:pt idx="9">
                  <c:v>4.0614948616605639E-2</c:v>
                </c:pt>
                <c:pt idx="10">
                  <c:v>6.5760203431474262E-2</c:v>
                </c:pt>
                <c:pt idx="11">
                  <c:v>6.3463713534066768E-2</c:v>
                </c:pt>
              </c:numCache>
            </c:numRef>
          </c:val>
          <c:smooth val="0"/>
        </c:ser>
        <c:dLbls>
          <c:showLegendKey val="0"/>
          <c:showVal val="0"/>
          <c:showCatName val="0"/>
          <c:showSerName val="0"/>
          <c:showPercent val="0"/>
          <c:showBubbleSize val="0"/>
        </c:dLbls>
        <c:marker val="1"/>
        <c:smooth val="0"/>
        <c:axId val="650874240"/>
        <c:axId val="650876032"/>
      </c:lineChart>
      <c:catAx>
        <c:axId val="650874240"/>
        <c:scaling>
          <c:orientation val="minMax"/>
        </c:scaling>
        <c:delete val="0"/>
        <c:axPos val="b"/>
        <c:majorTickMark val="none"/>
        <c:minorTickMark val="none"/>
        <c:tickLblPos val="low"/>
        <c:spPr>
          <a:ln w="12700">
            <a:solidFill>
              <a:srgbClr val="808080"/>
            </a:solidFill>
            <a:prstDash val="solid"/>
          </a:ln>
        </c:spPr>
        <c:txPr>
          <a:bodyPr rot="-2700000" vert="horz"/>
          <a:lstStyle/>
          <a:p>
            <a:pPr>
              <a:defRPr sz="1400" b="0" i="0">
                <a:solidFill>
                  <a:srgbClr val="808080"/>
                </a:solidFill>
                <a:latin typeface="Arial"/>
                <a:ea typeface="Arial"/>
                <a:cs typeface="Arial"/>
              </a:defRPr>
            </a:pPr>
            <a:endParaRPr lang="en-US"/>
          </a:p>
        </c:txPr>
        <c:crossAx val="650876032"/>
        <c:crosses val="autoZero"/>
        <c:auto val="1"/>
        <c:lblAlgn val="ctr"/>
        <c:lblOffset val="100"/>
        <c:tickLblSkip val="1"/>
        <c:tickMarkSkip val="1"/>
        <c:noMultiLvlLbl val="0"/>
      </c:catAx>
      <c:valAx>
        <c:axId val="650876032"/>
        <c:scaling>
          <c:orientation val="minMax"/>
        </c:scaling>
        <c:delete val="0"/>
        <c:axPos val="l"/>
        <c:majorGridlines>
          <c:spPr>
            <a:ln w="12700">
              <a:solidFill>
                <a:srgbClr val="C0C0C0"/>
              </a:solidFill>
              <a:prstDash val="solid"/>
            </a:ln>
          </c:spPr>
        </c:majorGridlines>
        <c:numFmt formatCode="General" sourceLinked="1"/>
        <c:majorTickMark val="none"/>
        <c:minorTickMark val="none"/>
        <c:tickLblPos val="nextTo"/>
        <c:spPr>
          <a:ln w="9525">
            <a:noFill/>
          </a:ln>
        </c:spPr>
        <c:txPr>
          <a:bodyPr rot="0" vert="horz"/>
          <a:lstStyle/>
          <a:p>
            <a:pPr>
              <a:defRPr sz="1400" b="0" i="0">
                <a:solidFill>
                  <a:srgbClr val="808080"/>
                </a:solidFill>
                <a:latin typeface="Arial"/>
                <a:ea typeface="Arial"/>
                <a:cs typeface="Arial"/>
              </a:defRPr>
            </a:pPr>
            <a:endParaRPr lang="en-US"/>
          </a:p>
        </c:txPr>
        <c:crossAx val="650874240"/>
        <c:crosses val="autoZero"/>
        <c:crossBetween val="between"/>
      </c:valAx>
      <c:spPr>
        <a:noFill/>
        <a:ln w="25400">
          <a:noFill/>
        </a:ln>
        <a:extLst>
          <a:ext uri="{909E8E84-426E-40DD-AFC4-6F175D3DCCD1}">
            <a14:hiddenFill xmlns:a14="http://schemas.microsoft.com/office/drawing/2010/main">
              <a:solidFill>
                <a:sysClr val="window" lastClr="FFFFFF"/>
              </a:solidFill>
            </a14:hiddenFill>
          </a:ext>
        </a:extLst>
      </c:spPr>
    </c:plotArea>
    <c:legend>
      <c:legendPos val="b"/>
      <c:overlay val="0"/>
    </c:legend>
    <c:plotVisOnly val="1"/>
    <c:dispBlanksAs val="gap"/>
    <c:showDLblsOverMax val="0"/>
  </c:chart>
  <c:spPr>
    <a:solidFill>
      <a:srgbClr val="FFFFFF"/>
    </a:solidFill>
    <a:ln w="9525">
      <a:noFill/>
    </a:ln>
  </c:spPr>
  <c:txPr>
    <a:bodyPr/>
    <a:lstStyle/>
    <a:p>
      <a:pPr>
        <a:defRPr sz="1400" b="0" i="0">
          <a:solidFill>
            <a:srgbClr val="808080"/>
          </a:solidFill>
          <a:latin typeface="Arial"/>
          <a:ea typeface="Arial"/>
          <a:cs typeface="Arial"/>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lgn="l">
              <a:defRPr sz="1400" b="0" i="0">
                <a:solidFill>
                  <a:srgbClr val="333333"/>
                </a:solidFill>
                <a:latin typeface="Arial"/>
                <a:ea typeface="Arial"/>
                <a:cs typeface="Arial"/>
              </a:defRPr>
            </a:pPr>
            <a:r>
              <a:rPr lang="en-US"/>
              <a:t>Inventory</a:t>
            </a:r>
            <a:r>
              <a:rPr lang="en-US" baseline="0"/>
              <a:t> less Forward Sales Spread</a:t>
            </a:r>
            <a:endParaRPr lang="en-US"/>
          </a:p>
        </c:rich>
      </c:tx>
      <c:layout>
        <c:manualLayout>
          <c:xMode val="edge"/>
          <c:yMode val="edge"/>
          <c:x val="0"/>
          <c:y val="0"/>
        </c:manualLayout>
      </c:layout>
      <c:overlay val="0"/>
      <c:spPr>
        <a:noFill/>
        <a:ln w="25400">
          <a:noFill/>
        </a:ln>
        <a:extLst>
          <a:ext uri="{909E8E84-426E-40DD-AFC4-6F175D3DCCD1}">
            <a14:hiddenFill xmlns:a14="http://schemas.microsoft.com/office/drawing/2010/main">
              <a:noFill/>
            </a14:hiddenFill>
          </a:ext>
        </a:extLst>
      </c:spPr>
    </c:title>
    <c:autoTitleDeleted val="0"/>
    <c:plotArea>
      <c:layout>
        <c:manualLayout>
          <c:xMode val="edge"/>
          <c:yMode val="edge"/>
          <c:x val="0"/>
          <c:y val="0.11949655167835219"/>
          <c:w val="0.98850257542310527"/>
          <c:h val="0.83294244106288096"/>
        </c:manualLayout>
      </c:layout>
      <c:barChart>
        <c:barDir val="col"/>
        <c:grouping val="clustered"/>
        <c:varyColors val="0"/>
        <c:ser>
          <c:idx val="0"/>
          <c:order val="0"/>
          <c:tx>
            <c:v>Series1</c:v>
          </c:tx>
          <c:spPr>
            <a:solidFill>
              <a:srgbClr val="137CB1"/>
            </a:solidFill>
            <a:ln w="25400">
              <a:noFill/>
            </a:ln>
            <a:effectLst/>
          </c:spPr>
          <c:invertIfNegative val="0"/>
          <c:dPt>
            <c:idx val="0"/>
            <c:invertIfNegative val="0"/>
            <c:bubble3D val="0"/>
            <c:spPr>
              <a:solidFill>
                <a:srgbClr val="FF0000"/>
              </a:solidFill>
              <a:ln w="25400">
                <a:noFill/>
              </a:ln>
              <a:effectLst/>
            </c:spPr>
          </c:dPt>
          <c:dPt>
            <c:idx val="1"/>
            <c:invertIfNegative val="0"/>
            <c:bubble3D val="0"/>
            <c:spPr>
              <a:solidFill>
                <a:srgbClr val="FF0000"/>
              </a:solidFill>
              <a:ln w="25400">
                <a:noFill/>
              </a:ln>
              <a:effectLst/>
            </c:spPr>
          </c:dPt>
          <c:dPt>
            <c:idx val="2"/>
            <c:invertIfNegative val="0"/>
            <c:bubble3D val="0"/>
            <c:spPr>
              <a:solidFill>
                <a:srgbClr val="FF0000"/>
              </a:solidFill>
              <a:ln w="25400">
                <a:noFill/>
              </a:ln>
              <a:effectLst/>
            </c:spPr>
          </c:dPt>
          <c:dPt>
            <c:idx val="3"/>
            <c:invertIfNegative val="0"/>
            <c:bubble3D val="0"/>
            <c:spPr>
              <a:solidFill>
                <a:srgbClr val="FF0000"/>
              </a:solidFill>
              <a:ln w="25400">
                <a:noFill/>
              </a:ln>
              <a:effectLst/>
            </c:spPr>
          </c:dPt>
          <c:dPt>
            <c:idx val="4"/>
            <c:invertIfNegative val="0"/>
            <c:bubble3D val="0"/>
            <c:spPr>
              <a:solidFill>
                <a:srgbClr val="FF0000"/>
              </a:solidFill>
              <a:ln w="25400">
                <a:noFill/>
              </a:ln>
              <a:effectLst/>
            </c:spPr>
          </c:dPt>
          <c:dPt>
            <c:idx val="5"/>
            <c:invertIfNegative val="0"/>
            <c:bubble3D val="0"/>
            <c:spPr>
              <a:solidFill>
                <a:srgbClr val="008000"/>
              </a:solidFill>
              <a:ln w="25400">
                <a:noFill/>
              </a:ln>
              <a:effectLst/>
            </c:spPr>
          </c:dPt>
          <c:dPt>
            <c:idx val="6"/>
            <c:invertIfNegative val="0"/>
            <c:bubble3D val="0"/>
            <c:spPr>
              <a:solidFill>
                <a:srgbClr val="008000"/>
              </a:solidFill>
              <a:ln w="25400">
                <a:noFill/>
              </a:ln>
              <a:effectLst/>
            </c:spPr>
          </c:dPt>
          <c:dPt>
            <c:idx val="7"/>
            <c:invertIfNegative val="0"/>
            <c:bubble3D val="0"/>
            <c:spPr>
              <a:solidFill>
                <a:srgbClr val="008000"/>
              </a:solidFill>
              <a:ln w="25400">
                <a:noFill/>
              </a:ln>
              <a:effectLst/>
            </c:spPr>
          </c:dPt>
          <c:dPt>
            <c:idx val="8"/>
            <c:invertIfNegative val="0"/>
            <c:bubble3D val="0"/>
            <c:spPr>
              <a:solidFill>
                <a:srgbClr val="008000"/>
              </a:solidFill>
              <a:ln w="25400">
                <a:noFill/>
              </a:ln>
              <a:effectLst/>
            </c:spPr>
          </c:dPt>
          <c:dPt>
            <c:idx val="9"/>
            <c:invertIfNegative val="0"/>
            <c:bubble3D val="0"/>
            <c:spPr>
              <a:solidFill>
                <a:srgbClr val="FF0000"/>
              </a:solidFill>
              <a:ln w="25400">
                <a:noFill/>
              </a:ln>
              <a:effectLst/>
            </c:spPr>
          </c:dPt>
          <c:cat>
            <c:strLit>
              <c:ptCount val="10"/>
              <c:pt idx="0">
                <c:v>1Q15</c:v>
              </c:pt>
              <c:pt idx="1">
                <c:v>2Q15</c:v>
              </c:pt>
              <c:pt idx="2">
                <c:v>3Q15</c:v>
              </c:pt>
              <c:pt idx="3">
                <c:v>4Q15</c:v>
              </c:pt>
              <c:pt idx="4">
                <c:v>1Q16</c:v>
              </c:pt>
              <c:pt idx="5">
                <c:v>2Q16</c:v>
              </c:pt>
              <c:pt idx="6">
                <c:v>3Q16</c:v>
              </c:pt>
              <c:pt idx="7">
                <c:v>4Q16</c:v>
              </c:pt>
              <c:pt idx="8">
                <c:v>1Q17</c:v>
              </c:pt>
              <c:pt idx="9">
                <c:v>2Q17</c:v>
              </c:pt>
            </c:strLit>
          </c:cat>
          <c:val>
            <c:numLit>
              <c:formatCode>General</c:formatCode>
              <c:ptCount val="10"/>
              <c:pt idx="0">
                <c:v>-4.0326096340929096E-2</c:v>
              </c:pt>
              <c:pt idx="1">
                <c:v>-7.841897955380682E-2</c:v>
              </c:pt>
              <c:pt idx="2">
                <c:v>-4.8614958839910072E-2</c:v>
              </c:pt>
              <c:pt idx="3">
                <c:v>-9.5354808694012028E-2</c:v>
              </c:pt>
              <c:pt idx="4">
                <c:v>-4.7253961345494755E-4</c:v>
              </c:pt>
              <c:pt idx="5">
                <c:v>5.3610775067303829E-2</c:v>
              </c:pt>
              <c:pt idx="6">
                <c:v>7.2951135696324595E-2</c:v>
              </c:pt>
              <c:pt idx="7">
                <c:v>2.7700964702396691E-2</c:v>
              </c:pt>
              <c:pt idx="8">
                <c:v>1.3685230906581136E-2</c:v>
              </c:pt>
              <c:pt idx="9">
                <c:v>2.024922136708962E-2</c:v>
              </c:pt>
            </c:numLit>
          </c:val>
        </c:ser>
        <c:dLbls>
          <c:showLegendKey val="0"/>
          <c:showVal val="0"/>
          <c:showCatName val="0"/>
          <c:showSerName val="0"/>
          <c:showPercent val="0"/>
          <c:showBubbleSize val="0"/>
        </c:dLbls>
        <c:gapWidth val="60"/>
        <c:axId val="651912320"/>
        <c:axId val="651913856"/>
      </c:barChart>
      <c:catAx>
        <c:axId val="651912320"/>
        <c:scaling>
          <c:orientation val="minMax"/>
        </c:scaling>
        <c:delete val="0"/>
        <c:axPos val="b"/>
        <c:majorTickMark val="none"/>
        <c:minorTickMark val="none"/>
        <c:tickLblPos val="low"/>
        <c:spPr>
          <a:ln w="12700">
            <a:solidFill>
              <a:srgbClr val="808080"/>
            </a:solidFill>
            <a:prstDash val="solid"/>
          </a:ln>
        </c:spPr>
        <c:txPr>
          <a:bodyPr rot="-2700000" vert="horz"/>
          <a:lstStyle/>
          <a:p>
            <a:pPr>
              <a:defRPr sz="1400" b="0" i="0">
                <a:solidFill>
                  <a:srgbClr val="808080"/>
                </a:solidFill>
                <a:latin typeface="Arial"/>
                <a:ea typeface="Arial"/>
                <a:cs typeface="Arial"/>
              </a:defRPr>
            </a:pPr>
            <a:endParaRPr lang="en-US"/>
          </a:p>
        </c:txPr>
        <c:crossAx val="651913856"/>
        <c:crosses val="autoZero"/>
        <c:auto val="1"/>
        <c:lblAlgn val="ctr"/>
        <c:lblOffset val="100"/>
        <c:tickLblSkip val="1"/>
        <c:tickMarkSkip val="1"/>
        <c:noMultiLvlLbl val="0"/>
      </c:catAx>
      <c:valAx>
        <c:axId val="651913856"/>
        <c:scaling>
          <c:orientation val="minMax"/>
        </c:scaling>
        <c:delete val="0"/>
        <c:axPos val="l"/>
        <c:majorGridlines>
          <c:spPr>
            <a:ln w="12700">
              <a:solidFill>
                <a:srgbClr val="C0C0C0"/>
              </a:solidFill>
              <a:prstDash val="solid"/>
            </a:ln>
          </c:spPr>
        </c:majorGridlines>
        <c:numFmt formatCode="General" sourceLinked="1"/>
        <c:majorTickMark val="none"/>
        <c:minorTickMark val="none"/>
        <c:tickLblPos val="nextTo"/>
        <c:spPr>
          <a:ln w="9525">
            <a:noFill/>
          </a:ln>
        </c:spPr>
        <c:txPr>
          <a:bodyPr rot="0" vert="horz"/>
          <a:lstStyle/>
          <a:p>
            <a:pPr>
              <a:defRPr sz="1400" b="0" i="0">
                <a:solidFill>
                  <a:srgbClr val="808080"/>
                </a:solidFill>
                <a:latin typeface="Arial"/>
                <a:ea typeface="Arial"/>
                <a:cs typeface="Arial"/>
              </a:defRPr>
            </a:pPr>
            <a:endParaRPr lang="en-US"/>
          </a:p>
        </c:txPr>
        <c:crossAx val="651912320"/>
        <c:crosses val="autoZero"/>
        <c:crossBetween val="between"/>
      </c:valAx>
      <c:spPr>
        <a:noFill/>
        <a:ln w="25400">
          <a:noFill/>
        </a:ln>
        <a:extLst>
          <a:ext uri="{909E8E84-426E-40DD-AFC4-6F175D3DCCD1}">
            <a14:hiddenFill xmlns:a14="http://schemas.microsoft.com/office/drawing/2010/main">
              <a:solidFill>
                <a:sysClr val="window" lastClr="FFFFFF"/>
              </a:solidFill>
            </a14:hiddenFill>
          </a:ext>
        </a:extLst>
      </c:spPr>
    </c:plotArea>
    <c:plotVisOnly val="1"/>
    <c:dispBlanksAs val="gap"/>
    <c:showDLblsOverMax val="0"/>
  </c:chart>
  <c:spPr>
    <a:solidFill>
      <a:srgbClr val="FFFFFF"/>
    </a:solidFill>
    <a:ln w="9525">
      <a:noFill/>
    </a:ln>
  </c:spPr>
  <c:txPr>
    <a:bodyPr/>
    <a:lstStyle/>
    <a:p>
      <a:pPr>
        <a:defRPr sz="1400" b="0" i="0">
          <a:solidFill>
            <a:srgbClr val="808080"/>
          </a:solidFill>
          <a:latin typeface="Arial"/>
          <a:ea typeface="Arial"/>
          <a:cs typeface="Arial"/>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media/image5.png" Type="http://schemas.openxmlformats.org/officeDocument/2006/relationships/image"/>
</Relationships>

</file>

<file path=xl/drawings/_rels/drawing3.xml.rels><?xml version="1.0" encoding="UTF-8" standalone="yes"?>
<Relationships xmlns="http://schemas.openxmlformats.org/package/2006/relationships">
<Relationship Id="rId1" Target="../charts/chart1.xml" Type="http://schemas.openxmlformats.org/officeDocument/2006/relationships/chart"/>
<Relationship Id="rId2" Target="../charts/chart2.xml" Type="http://schemas.openxmlformats.org/officeDocument/2006/relationships/chart"/>
</Relationships>

</file>

<file path=xl/drawings/_rels/vmlDrawing13.vml.rels><?xml version="1.0" encoding="UTF-8" standalone="yes"?>
<Relationships xmlns="http://schemas.openxmlformats.org/package/2006/relationships">
<Relationship Id="rId1" Target="../media/image4.em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161</xdr:row>
      <xdr:rowOff>0</xdr:rowOff>
    </xdr:from>
    <xdr:to>
      <xdr:col>7</xdr:col>
      <xdr:colOff>390525</xdr:colOff>
      <xdr:row>184</xdr:row>
      <xdr:rowOff>104775</xdr:rowOff>
    </xdr:to>
    <xdr:pic>
      <xdr:nvPicPr>
        <xdr:cNvPr id="5984257" name="Picture 1" descr="C:\Users\casselau\AppData\Local\Temp\MercuryPriceRatingHistoryChart\URBN.O_2018_04_01_18_54_07.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469832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19050</xdr:colOff>
      <xdr:row>1</xdr:row>
      <xdr:rowOff>38100</xdr:rowOff>
    </xdr:from>
    <xdr:to>
      <xdr:col>11</xdr:col>
      <xdr:colOff>285750</xdr:colOff>
      <xdr:row>2</xdr:row>
      <xdr:rowOff>0</xdr:rowOff>
    </xdr:to>
    <xdr:sp macro="" textlink="">
      <xdr:nvSpPr>
        <xdr:cNvPr id="2" name="Text Box 7"/>
        <xdr:cNvSpPr txBox="1">
          <a:spLocks noChangeArrowheads="1"/>
        </xdr:cNvSpPr>
      </xdr:nvSpPr>
      <xdr:spPr bwMode="auto">
        <a:xfrm>
          <a:off x="19050" y="609600"/>
          <a:ext cx="7258050" cy="371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1. Enter Ticker in I3 and press refresh button.</a:t>
          </a:r>
        </a:p>
        <a:p>
          <a:pPr algn="l" rtl="0">
            <a:defRPr sz="1000"/>
          </a:pPr>
          <a:r>
            <a:rPr lang="en-US" sz="1000" b="0" i="0" u="none" strike="noStrike" baseline="0">
              <a:solidFill>
                <a:srgbClr val="000000"/>
              </a:solidFill>
              <a:latin typeface="Arial"/>
              <a:cs typeface="Arial"/>
            </a:rPr>
            <a:t>2. Check all data in </a:t>
          </a:r>
          <a:r>
            <a:rPr lang="en-US" sz="1000" b="1" i="0" u="none" strike="noStrike" baseline="0">
              <a:solidFill>
                <a:srgbClr val="137CB1"/>
              </a:solidFill>
              <a:latin typeface="Arial"/>
              <a:cs typeface="Arial"/>
            </a:rPr>
            <a:t>blue</a:t>
          </a:r>
          <a:r>
            <a:rPr lang="en-US" sz="1000" b="0" i="0" u="none" strike="noStrike" baseline="0">
              <a:solidFill>
                <a:srgbClr val="000000"/>
              </a:solidFill>
              <a:latin typeface="Arial"/>
              <a:cs typeface="Arial"/>
            </a:rPr>
            <a:t> for accuracy.</a:t>
          </a:r>
          <a:endParaRPr lang="en-US" sz="1000" b="1" i="0" u="none" strike="noStrike" baseline="0">
            <a:solidFill>
              <a:srgbClr val="000000"/>
            </a:solidFill>
            <a:latin typeface="Arial"/>
            <a:cs typeface="Arial"/>
          </a:endParaRPr>
        </a:p>
        <a:p>
          <a:pPr algn="l" rtl="0">
            <a:defRPr sz="1000"/>
          </a:pPr>
          <a:endParaRPr lang="en-US" sz="1000" b="1" i="0" u="none" strike="noStrike" baseline="0">
            <a:solidFill>
              <a:srgbClr val="000000"/>
            </a:solidFill>
            <a:latin typeface="Arial"/>
            <a:cs typeface="Arial"/>
          </a:endParaRPr>
        </a:p>
      </xdr:txBody>
    </xdr:sp>
    <xdr:clientData/>
  </xdr:twoCellAnchor>
  <xdr:twoCellAnchor>
    <xdr:from>
      <xdr:col>2</xdr:col>
      <xdr:colOff>66675</xdr:colOff>
      <xdr:row>0</xdr:row>
      <xdr:rowOff>19050</xdr:rowOff>
    </xdr:from>
    <xdr:to>
      <xdr:col>4</xdr:col>
      <xdr:colOff>57150</xdr:colOff>
      <xdr:row>0</xdr:row>
      <xdr:rowOff>447675</xdr:rowOff>
    </xdr:to>
    <xdr:pic>
      <xdr:nvPicPr>
        <xdr:cNvPr id="26374263" name="Picture 8" descr="MS ModelWar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9550" y="19050"/>
          <a:ext cx="1781175"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14</xdr:col>
          <xdr:colOff>485775</xdr:colOff>
          <xdr:row>1</xdr:row>
          <xdr:rowOff>57150</xdr:rowOff>
        </xdr:from>
        <xdr:to>
          <xdr:col>16</xdr:col>
          <xdr:colOff>352425</xdr:colOff>
          <xdr:row>1</xdr:row>
          <xdr:rowOff>381000</xdr:rowOff>
        </xdr:to>
        <xdr:sp macro="" textlink="">
          <xdr:nvSpPr>
            <xdr:cNvPr id="5957633" name="CommandButton2" hidden="1">
              <a:extLst>
                <a:ext uri="{63B3BB69-23CF-44E3-9099-C40C66FF867C}">
                  <a14:compatExt spid="_x0000_s5957633"/>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819150</xdr:colOff>
      <xdr:row>17</xdr:row>
      <xdr:rowOff>138112</xdr:rowOff>
    </xdr:from>
    <xdr:to>
      <xdr:col>9</xdr:col>
      <xdr:colOff>608076</xdr:colOff>
      <xdr:row>38</xdr:row>
      <xdr:rowOff>51473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42</xdr:row>
      <xdr:rowOff>23812</xdr:rowOff>
    </xdr:from>
    <xdr:to>
      <xdr:col>10</xdr:col>
      <xdr:colOff>36576</xdr:colOff>
      <xdr:row>62</xdr:row>
      <xdr:rowOff>99098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
<Relationship Id="rId1" Target="TEMP/data/excel/P.XLS" TargetMode="External" Type="http://schemas.microsoft.com/office/2006/relationships/xlExternalLinkPath/xlStartup"/>
</Relationships>

</file>

<file path=xl/externalLinks/_rels/externalLink2.xml.rels><?xml version="1.0" encoding="UTF-8" standalone="yes"?>
<Relationships xmlns="http://schemas.openxmlformats.org/package/2006/relationships">
<Relationship Id="rId1" Target="file://///Sony/c/business/&#38750;&#37444;/&#38750;&#37444;&#20250;~1/&#21516;&#21644;&#37489;&#26989;/5714work.wk4" TargetMode="External" Type="http://schemas.openxmlformats.org/officeDocument/2006/relationships/externalLinkPath"/>
</Relationships>

</file>

<file path=xl/externalLinks/_rels/externalLink3.xml.rels><?xml version="1.0" encoding="UTF-8" standalone="yes"?>
<Relationships xmlns="http://schemas.openxmlformats.org/package/2006/relationships">
<Relationship Id="rId1" Target="file://///msad/root/na/ny/users/johndasc/Docs/ID/Charts/Chart_Gallery/From%20Vlad/B11_BarSingle_AverageLine.xls" TargetMode="External" Type="http://schemas.openxmlformats.org/officeDocument/2006/relationships/externalLinkPath"/>
</Relationships>

</file>

<file path=xl/externalLinks/_rels/externalLink4.xml.rels><?xml version="1.0" encoding="UTF-8" standalone="yes"?>
<Relationships xmlns="http://schemas.openxmlformats.org/package/2006/relationships">
<Relationship Id="rId1" Target="RETAIL/Greenberger/Companies/JWN/Model/JWN_Model.xls" TargetMode="External" Type="http://schemas.microsoft.com/office/2006/relationships/xlExternalLinkPath/xlAlternateStartup"/>
</Relationships>

</file>

<file path=xl/externalLinks/_rels/externalLink5.xml.rels><?xml version="1.0" encoding="UTF-8" standalone="yes"?>
<Relationships xmlns="http://schemas.openxmlformats.org/package/2006/relationships">
<Relationship Id="rId1" Target="TEMPLATE/Excel/LINKTAB.XLS"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P"/>
      <sheetName val="BS"/>
      <sheetName val="TOSCO"/>
      <sheetName val="Segment ROCE"/>
      <sheetName val="ROGIC"/>
      <sheetName val="E&amp;P"/>
      <sheetName val="NEPS"/>
      <sheetName val="RefineryMaint"/>
      <sheetName val="Hamaca"/>
      <sheetName val="Bohai"/>
      <sheetName val="Bayu Undan"/>
      <sheetName val="R&amp;M"/>
      <sheetName val="GPM"/>
      <sheetName val="Variance"/>
      <sheetName val="ARCO - Alaska"/>
      <sheetName val="Capex"/>
      <sheetName val="Reserves"/>
      <sheetName val="WACC"/>
      <sheetName val="Valuation"/>
      <sheetName val="NAV"/>
      <sheetName val="Chemical JV"/>
      <sheetName val="Chems"/>
      <sheetName val="EKOFISK"/>
      <sheetName val="PUDS"/>
      <sheetName val="GE Data"/>
      <sheetName val="IndexInformation"/>
      <sheetName val="MainCode"/>
      <sheetName val="NY UPLOAD"/>
      <sheetName val="NY UPLOAD Shadow"/>
      <sheetName val="Distribution"/>
      <sheetName val="A-Link Source"/>
      <sheetName val="Q-Link Source"/>
      <sheetName val="Income Statement"/>
      <sheetName val="Revenue&amp;EBIT"/>
      <sheetName val="Fin. Summary"/>
      <sheetName val="COP"/>
      <sheetName val="XOM"/>
      <sheetName val="New Source Charts"/>
      <sheetName val="Modelware"/>
      <sheetName val="R&amp;MIS"/>
      <sheetName val="E&amp;P Growth &amp; Returns"/>
      <sheetName val="Global Product Sum"/>
      <sheetName val="Scenario"/>
      <sheetName val="Quarter"/>
      <sheetName val="Annual"/>
      <sheetName val="AN"/>
      <sheetName val="COC"/>
      <sheetName val="Inputs"/>
      <sheetName val="ｾｸﾞﾒﾝﾄ"/>
      <sheetName val="単独"/>
      <sheetName val="Factset Profile"/>
      <sheetName val="cas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単独"/>
      <sheetName val="連結"/>
      <sheetName val="期中"/>
      <sheetName val="valu"/>
      <sheetName val="増減分析"/>
      <sheetName val="新素材"/>
      <sheetName val="子会社"/>
      <sheetName val="環境"/>
      <sheetName val="製錬拠点"/>
      <sheetName val="ﾃｨｻﾊﾟ"/>
      <sheetName val="ﾚｲﾃﾞﾌﾟﾗﾀ"/>
      <sheetName val="小坂"/>
      <sheetName val="中計"/>
      <sheetName val="cash"/>
      <sheetName val="ｾｸﾞﾒﾝﾄ"/>
      <sheetName val="含み益"/>
      <sheetName val="capx"/>
      <sheetName val="dep"/>
      <sheetName val="人"/>
      <sheetName val="exp"/>
      <sheetName val="Valuation Matrix"/>
      <sheetName val="HANDOUT"/>
      <sheetName val="Interm-Euro"/>
      <sheetName val="SCATTER DATA"/>
      <sheetName val="10 Yr DCF"/>
      <sheetName val="Annual-Euro"/>
      <sheetName val="Residual Income Model"/>
      <sheetName val="P"/>
      <sheetName val="Risk-Reward_View_Chart"/>
      <sheetName val="Sheet1"/>
      <sheetName val="variables"/>
      <sheetName val="Operating Leases tagged"/>
      <sheetName val="EARNMOD"/>
      <sheetName val="WACC"/>
      <sheetName val="Fixed Line Mkt"/>
      <sheetName val="Cash Flow"/>
      <sheetName val="upside_downside"/>
      <sheetName val="Income Statement"/>
      <sheetName val="Balance Sheet"/>
      <sheetName val="Valsum"/>
      <sheetName val="Model"/>
      <sheetName val="Intrinsic Value"/>
      <sheetName val="Rev by Geo"/>
      <sheetName val="exh 11"/>
      <sheetName val="exh 14"/>
      <sheetName val="exh 12"/>
      <sheetName val="exh 10"/>
      <sheetName val="exh 1 and 5"/>
      <sheetName val="exh 15"/>
      <sheetName val="exh 3"/>
      <sheetName val="exh 9"/>
      <sheetName val="Good 12-00 (2)"/>
      <sheetName val="Good 11-36"/>
      <sheetName val="Good 11-50"/>
      <sheetName val="Sheet3 (5)"/>
      <sheetName val="DCF"/>
      <sheetName val="OP"/>
      <sheetName val="Inputs"/>
      <sheetName val="MWA RR"/>
      <sheetName val="Summary"/>
      <sheetName val="IS"/>
      <sheetName val="IS Quarterly"/>
      <sheetName val="Sheet1 (2)"/>
      <sheetName val="1Q11 Preview"/>
      <sheetName val="2Q11 Preview"/>
      <sheetName val="Total_Production"/>
      <sheetName val="RFS"/>
      <sheetName val="Corn_Uses"/>
      <sheetName val="US_Production"/>
      <sheetName val="Report template"/>
      <sheetName val="Model (WIP)"/>
      <sheetName val="Exclusion List"/>
      <sheetName val="fin"/>
      <sheetName val="sales bkd"/>
      <sheetName val="Presentation"/>
      <sheetName val="Valuation"/>
    </sheetNames>
    <sheetDataSet>
      <sheetData sheetId="0" refreshError="1">
        <row r="14">
          <cell r="AR14">
            <v>28</v>
          </cell>
        </row>
        <row r="15">
          <cell r="AR15">
            <v>5</v>
          </cell>
        </row>
        <row r="16">
          <cell r="AR16">
            <v>14</v>
          </cell>
        </row>
        <row r="17">
          <cell r="AR17">
            <v>6</v>
          </cell>
        </row>
        <row r="18">
          <cell r="AR18">
            <v>-5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164">
          <cell r="E164">
            <v>1247</v>
          </cell>
          <cell r="F164">
            <v>1807</v>
          </cell>
          <cell r="G164">
            <v>2812</v>
          </cell>
          <cell r="H164">
            <v>2828</v>
          </cell>
          <cell r="I164">
            <v>6670</v>
          </cell>
        </row>
        <row r="165">
          <cell r="E165" t="e">
            <v>#VALUE!</v>
          </cell>
          <cell r="F165" t="e">
            <v>#VALUE!</v>
          </cell>
          <cell r="G165" t="e">
            <v>#VALUE!</v>
          </cell>
          <cell r="H165" t="e">
            <v>#VALUE!</v>
          </cell>
          <cell r="I165" t="e">
            <v>#VALUE!</v>
          </cell>
        </row>
        <row r="167">
          <cell r="E167">
            <v>2721</v>
          </cell>
          <cell r="F167">
            <v>1584</v>
          </cell>
          <cell r="G167">
            <v>1802</v>
          </cell>
          <cell r="H167">
            <v>1616</v>
          </cell>
          <cell r="I167">
            <v>795</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Cash Flow"/>
      <sheetName val="upside_downside"/>
      <sheetName val="Income Statement"/>
      <sheetName val="Balance Sheet"/>
      <sheetName val="RI"/>
      <sheetName val="BULLBEAR"/>
      <sheetName val="Sheet2"/>
      <sheetName val="DCF"/>
      <sheetName val="MWA RR"/>
      <sheetName val="REVENUE BY GEOGRAPHY"/>
      <sheetName val="NonQtr"/>
      <sheetName val="Data 20d"/>
      <sheetName val="Data"/>
      <sheetName val="Risk-Reward_View_Chart"/>
      <sheetName val="Valsum"/>
      <sheetName val="Good 12-00 (2)"/>
      <sheetName val="Good 11-36"/>
      <sheetName val="Good 11-50"/>
      <sheetName val="Sheet3 (5)"/>
      <sheetName val="Inputs"/>
      <sheetName val="Interims"/>
      <sheetName val="Financial Statements"/>
      <sheetName val="FX"/>
      <sheetName val="CPB"/>
      <sheetName val="Total_Food_Promo"/>
      <sheetName val="CPB_2yr"/>
      <sheetName val="Summary"/>
      <sheetName val="Floater Demand"/>
      <sheetName val="B11_BarSingle_AverageLine"/>
      <sheetName val="Quero_Sales"/>
      <sheetName val="L2005"/>
      <sheetName val="C2000"/>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WP Detail "/>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 val="Sheet4"/>
      <sheetName val="ForeignStake"/>
      <sheetName val="Model"/>
      <sheetName val="rev change analysis"/>
      <sheetName val="rev contribution analysis"/>
      <sheetName val="WPZ"/>
      <sheetName val="TPP"/>
      <sheetName val="EPE"/>
      <sheetName val="WMZ"/>
      <sheetName val="HEP"/>
      <sheetName val="MGG"/>
      <sheetName val="ETE"/>
      <sheetName val="BGH"/>
      <sheetName val="SEP"/>
      <sheetName val="TCLP"/>
      <sheetName val="SXL"/>
      <sheetName val="WES"/>
      <sheetName val="HTC"/>
      <sheetName val="MS Tele Rep"/>
      <sheetName val="China Handset"/>
      <sheetName val="Smartphone"/>
      <sheetName val="IDC"/>
      <sheetName val="CW"/>
      <sheetName val="R2000"/>
      <sheetName val="__FDS_DOWNL_SCRATCH_SHEET__"/>
      <sheetName val="FIH"/>
      <sheetName val="MIC"/>
      <sheetName val="Valuation"/>
      <sheetName val="Sales by App"/>
      <sheetName val="Net Income &amp; EPS"/>
      <sheetName val="IDC_2"/>
      <sheetName val="Sales by Region Comp"/>
      <sheetName val="What's Changed"/>
      <sheetName val="Outsourcing"/>
      <sheetName val="Nokia vs HTC"/>
      <sheetName val="2012 Outlook"/>
      <sheetName val="Basket_June09_2010"/>
      <sheetName val="C1070"/>
      <sheetName val="Basket_Jan09"/>
      <sheetName val="Basket_2010"/>
      <sheetName val="Inflation v Price 6mth lag"/>
      <sheetName val="Basket_2011"/>
      <sheetName val="Basket_June09"/>
      <sheetName val="Basket_June09_Futures"/>
      <sheetName val="Commodities Exposure"/>
      <sheetName val=" Capital"/>
      <sheetName val="New Business"/>
      <sheetName val="Charts"/>
      <sheetName val="Pension"/>
      <sheetName val="Walk"/>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A RR"/>
      <sheetName val="BullBaseBear"/>
      <sheetName val="Earnings"/>
      <sheetName val="Guidance"/>
      <sheetName val="sumry"/>
      <sheetName val="qtrP&amp;L"/>
      <sheetName val="qtrSales"/>
      <sheetName val="stores"/>
      <sheetName val="segmentsales"/>
      <sheetName val="Segment Sales_New"/>
      <sheetName val="yrSales"/>
      <sheetName val="Sheet2"/>
      <sheetName val="CF Analysis"/>
      <sheetName val="yrP&amp;L"/>
      <sheetName val="qtrSales-seg"/>
      <sheetName val="flow"/>
      <sheetName val="bal"/>
      <sheetName val="FY13 Guidance"/>
      <sheetName val="qtrP&amp;L-seg"/>
      <sheetName val="wc"/>
      <sheetName val="turn"/>
      <sheetName val="dtc"/>
      <sheetName val="Debt"/>
      <sheetName val="E-comm chart"/>
      <sheetName val="qtlycomp"/>
      <sheetName val="Changes"/>
      <sheetName val="Adj Debt. EBITDAR"/>
      <sheetName val="JWN ROIC"/>
      <sheetName val="LEASES NEW"/>
      <sheetName val="mwareDates_42465_4269113"/>
      <sheetName val="MW Valuation"/>
      <sheetName val="Flow-through"/>
      <sheetName val="Variance-1Q13A"/>
      <sheetName val="mwareSettings"/>
      <sheetName val="MW-Cache"/>
      <sheetName val="Sheet1"/>
      <sheetName val="mwareDates"/>
      <sheetName val="Old_New"/>
      <sheetName val="Variance-3Q12"/>
      <sheetName val="mthSales-Total"/>
      <sheetName val="MWA ROE"/>
      <sheetName val="BBB"/>
      <sheetName val="FY12 Guidance"/>
      <sheetName val="Variance-4Q12A"/>
      <sheetName val="Reclassify"/>
      <sheetName val="Old_New (2)"/>
      <sheetName val="Sheet3"/>
      <sheetName val="DCF (2)"/>
    </sheetNames>
    <sheetDataSet>
      <sheetData sheetId="0"/>
      <sheetData sheetId="1"/>
      <sheetData sheetId="2"/>
      <sheetData sheetId="3"/>
      <sheetData sheetId="4" refreshError="1">
        <row r="7">
          <cell r="ET7">
            <v>2002</v>
          </cell>
        </row>
        <row r="8">
          <cell r="ET8" t="str">
            <v>Jan</v>
          </cell>
        </row>
        <row r="10">
          <cell r="ET10">
            <v>5944.6559999999999</v>
          </cell>
        </row>
        <row r="11">
          <cell r="ET11">
            <v>139.28899999999999</v>
          </cell>
        </row>
        <row r="12">
          <cell r="ET12">
            <v>6083.9449999999997</v>
          </cell>
        </row>
        <row r="14">
          <cell r="ET14">
            <v>3970.0219999999999</v>
          </cell>
        </row>
        <row r="16">
          <cell r="ET16">
            <v>1974.634</v>
          </cell>
        </row>
        <row r="17">
          <cell r="ET17">
            <v>0</v>
          </cell>
        </row>
        <row r="18">
          <cell r="ET18">
            <v>0</v>
          </cell>
        </row>
        <row r="19">
          <cell r="ET19">
            <v>1783.21</v>
          </cell>
        </row>
        <row r="20">
          <cell r="ET20">
            <v>74.430999999999997</v>
          </cell>
        </row>
        <row r="21">
          <cell r="ET21">
            <v>1974.634</v>
          </cell>
        </row>
        <row r="22">
          <cell r="ET22">
            <v>139.28899999999999</v>
          </cell>
        </row>
        <row r="23">
          <cell r="ET23">
            <v>330.71299999999997</v>
          </cell>
        </row>
        <row r="24">
          <cell r="ET24">
            <v>444.34500000000003</v>
          </cell>
        </row>
        <row r="25">
          <cell r="ET25">
            <v>81.920999999999992</v>
          </cell>
        </row>
        <row r="26">
          <cell r="ET26">
            <v>16.100000000000001</v>
          </cell>
        </row>
        <row r="27">
          <cell r="ET27">
            <v>232.69199999999998</v>
          </cell>
        </row>
        <row r="28">
          <cell r="ET28">
            <v>-20.925000000000001</v>
          </cell>
        </row>
        <row r="29">
          <cell r="ET29">
            <v>89.283000000000001</v>
          </cell>
        </row>
        <row r="30">
          <cell r="ET30">
            <v>714.73100000000022</v>
          </cell>
        </row>
        <row r="31">
          <cell r="ET31">
            <v>143.40899999999999</v>
          </cell>
        </row>
        <row r="32">
          <cell r="ET32">
            <v>2.7879678008175377</v>
          </cell>
        </row>
        <row r="33">
          <cell r="ET33">
            <v>0</v>
          </cell>
        </row>
        <row r="35">
          <cell r="ET35">
            <v>143.40899999999999</v>
          </cell>
        </row>
        <row r="36">
          <cell r="ET36">
            <v>244.87275</v>
          </cell>
        </row>
        <row r="37">
          <cell r="ET37">
            <v>0.33229431140094801</v>
          </cell>
        </row>
        <row r="38">
          <cell r="ET38">
            <v>0.33229431140094801</v>
          </cell>
        </row>
        <row r="40">
          <cell r="ET40">
            <v>271.56950000000001</v>
          </cell>
        </row>
        <row r="41">
          <cell r="ET41">
            <v>270.20699999999999</v>
          </cell>
        </row>
        <row r="42">
          <cell r="ET42">
            <v>270.888082</v>
          </cell>
        </row>
        <row r="45">
          <cell r="ET45">
            <v>0.37400380207376371</v>
          </cell>
        </row>
        <row r="46">
          <cell r="ET46">
            <v>233.93100000000001</v>
          </cell>
        </row>
        <row r="47">
          <cell r="ET47">
            <v>564.64400000000001</v>
          </cell>
        </row>
        <row r="48">
          <cell r="ET48">
            <v>0.12508858349929003</v>
          </cell>
        </row>
        <row r="49">
          <cell r="ET49">
            <v>0.39040953265427863</v>
          </cell>
        </row>
        <row r="50">
          <cell r="ET50">
            <v>0.33216959904828813</v>
          </cell>
        </row>
        <row r="51">
          <cell r="ET51">
            <v>0</v>
          </cell>
        </row>
        <row r="52">
          <cell r="ET52">
            <v>0.33216959904828808</v>
          </cell>
        </row>
        <row r="54">
          <cell r="ET54">
            <v>5.5631982742146889E-2</v>
          </cell>
        </row>
        <row r="55">
          <cell r="ET55">
            <v>3.8246894079417219E-2</v>
          </cell>
        </row>
        <row r="56">
          <cell r="ET56">
            <v>0.38369604455675316</v>
          </cell>
        </row>
        <row r="57">
          <cell r="ET57">
            <v>2.3571712104563734E-2</v>
          </cell>
        </row>
        <row r="58">
          <cell r="ET58">
            <v>9.2808860040647978E-2</v>
          </cell>
        </row>
        <row r="59">
          <cell r="ET59">
            <v>3.3952088411793868E-2</v>
          </cell>
        </row>
        <row r="61">
          <cell r="ET61">
            <v>5.5115164186839927E-2</v>
          </cell>
        </row>
        <row r="62">
          <cell r="ET62">
            <v>1.3000000000000001E-2</v>
          </cell>
        </row>
        <row r="63">
          <cell r="ET63">
            <v>3.5164152591814268E-2</v>
          </cell>
        </row>
        <row r="64">
          <cell r="ET64">
            <v>0.18312071149016451</v>
          </cell>
        </row>
        <row r="65">
          <cell r="ET65">
            <v>-0.28381951932556937</v>
          </cell>
        </row>
        <row r="66">
          <cell r="ET66">
            <v>0.14621763446098845</v>
          </cell>
        </row>
        <row r="67">
          <cell r="ET67">
            <v>1.6460089241447484E-2</v>
          </cell>
        </row>
        <row r="68">
          <cell r="ET68">
            <v>2002</v>
          </cell>
        </row>
        <row r="69">
          <cell r="ET69">
            <v>143</v>
          </cell>
        </row>
        <row r="70">
          <cell r="ET70">
            <v>5.2354651080235452E-2</v>
          </cell>
        </row>
        <row r="72">
          <cell r="ET72">
            <v>18.428000000000001</v>
          </cell>
        </row>
        <row r="73">
          <cell r="ET73">
            <v>8.329904179648473E-2</v>
          </cell>
        </row>
        <row r="74">
          <cell r="ET74">
            <v>136.50370370370371</v>
          </cell>
        </row>
        <row r="75">
          <cell r="ET75">
            <v>335.48666723101667</v>
          </cell>
        </row>
        <row r="76">
          <cell r="ET76">
            <v>156</v>
          </cell>
        </row>
        <row r="77">
          <cell r="ET77">
            <v>20.501999999999999</v>
          </cell>
        </row>
        <row r="78">
          <cell r="ET78">
            <v>0.35</v>
          </cell>
        </row>
        <row r="80">
          <cell r="ET80" t="str">
            <v>2007-FY</v>
          </cell>
        </row>
        <row r="82">
          <cell r="ET82">
            <v>143</v>
          </cell>
        </row>
        <row r="83">
          <cell r="ET83">
            <v>18.428000000000001</v>
          </cell>
        </row>
        <row r="84">
          <cell r="ET84">
            <v>0.35</v>
          </cell>
        </row>
        <row r="86">
          <cell r="ET86" t="str">
            <v>2002-FY</v>
          </cell>
        </row>
      </sheetData>
      <sheetData sheetId="5">
        <row r="10">
          <cell r="CZ10">
            <v>3115</v>
          </cell>
        </row>
      </sheetData>
      <sheetData sheetId="6"/>
      <sheetData sheetId="7">
        <row r="210">
          <cell r="E210">
            <v>2.5625504587155952</v>
          </cell>
        </row>
      </sheetData>
      <sheetData sheetId="8">
        <row r="99">
          <cell r="HP99">
            <v>0.8</v>
          </cell>
        </row>
      </sheetData>
      <sheetData sheetId="9">
        <row r="6">
          <cell r="U6">
            <v>-1.7</v>
          </cell>
        </row>
      </sheetData>
      <sheetData sheetId="10">
        <row r="7">
          <cell r="AB7">
            <v>7790</v>
          </cell>
        </row>
      </sheetData>
      <sheetData sheetId="11"/>
      <sheetData sheetId="12"/>
      <sheetData sheetId="13" refreshError="1"/>
      <sheetData sheetId="14"/>
      <sheetData sheetId="15">
        <row r="8">
          <cell r="AD8">
            <v>402.31699999999995</v>
          </cell>
        </row>
      </sheetData>
      <sheetData sheetId="16" refreshError="1">
        <row r="6">
          <cell r="AO6">
            <v>2018</v>
          </cell>
          <cell r="AP6">
            <v>2019</v>
          </cell>
        </row>
        <row r="9">
          <cell r="B9" t="str">
            <v>Cash and Equivalents</v>
          </cell>
          <cell r="AO9">
            <v>603.80793322342151</v>
          </cell>
          <cell r="AP9">
            <v>683.88480863813936</v>
          </cell>
        </row>
        <row r="10">
          <cell r="B10" t="str">
            <v>Receivables</v>
          </cell>
          <cell r="AO10">
            <v>237.88682536264187</v>
          </cell>
          <cell r="AP10">
            <v>249.96165303838788</v>
          </cell>
        </row>
        <row r="11">
          <cell r="B11" t="str">
            <v>Inventories</v>
          </cell>
          <cell r="AO11">
            <v>2170.0564846969887</v>
          </cell>
          <cell r="AP11">
            <v>2282.983097750609</v>
          </cell>
        </row>
        <row r="12">
          <cell r="B12" t="str">
            <v>Other Current Assets</v>
          </cell>
          <cell r="AO12">
            <v>271.90677372282778</v>
          </cell>
          <cell r="AP12">
            <v>271.42298949115371</v>
          </cell>
        </row>
        <row r="13">
          <cell r="B13" t="str">
            <v>Reconcil. of NOBE Credit</v>
          </cell>
          <cell r="AO13">
            <v>0</v>
          </cell>
          <cell r="AP13">
            <v>0</v>
          </cell>
        </row>
        <row r="14">
          <cell r="AO14">
            <v>3283.6580170058801</v>
          </cell>
          <cell r="AP14">
            <v>3488.2525489182899</v>
          </cell>
        </row>
        <row r="16">
          <cell r="B16" t="str">
            <v>Gross PP&amp;E</v>
          </cell>
        </row>
        <row r="17">
          <cell r="B17" t="str">
            <v>Accumulated Depreciation</v>
          </cell>
        </row>
        <row r="18">
          <cell r="B18" t="str">
            <v>Net PP&amp;E</v>
          </cell>
          <cell r="AO18">
            <v>3742.4560000000001</v>
          </cell>
          <cell r="AP18">
            <v>3490.9520000000002</v>
          </cell>
        </row>
        <row r="19">
          <cell r="B19" t="str">
            <v>Other Assets</v>
          </cell>
          <cell r="AO19">
            <v>949</v>
          </cell>
          <cell r="AP19">
            <v>949</v>
          </cell>
        </row>
        <row r="20">
          <cell r="AO20">
            <v>7975.1140170058807</v>
          </cell>
          <cell r="AP20">
            <v>7928.2045489182901</v>
          </cell>
        </row>
        <row r="22">
          <cell r="AP22">
            <v>5.2038559295560782E-2</v>
          </cell>
        </row>
        <row r="23">
          <cell r="B23" t="str">
            <v>Accounts payable</v>
          </cell>
          <cell r="AO23">
            <v>1591.3747554444583</v>
          </cell>
          <cell r="AP23">
            <v>1674.1876050171131</v>
          </cell>
        </row>
        <row r="24">
          <cell r="B24" t="str">
            <v>Other Current Liabilities</v>
          </cell>
          <cell r="AO24">
            <v>1577</v>
          </cell>
          <cell r="AP24">
            <v>1577</v>
          </cell>
        </row>
        <row r="25">
          <cell r="B25" t="str">
            <v>Current portion of long-term debt</v>
          </cell>
          <cell r="AO25">
            <v>10</v>
          </cell>
          <cell r="AP25">
            <v>10</v>
          </cell>
        </row>
        <row r="26">
          <cell r="B26" t="str">
            <v>Notes and Commercial Paper</v>
          </cell>
          <cell r="AO26">
            <v>0</v>
          </cell>
          <cell r="AP26">
            <v>0</v>
          </cell>
        </row>
        <row r="27">
          <cell r="AO27">
            <v>3178.3747554444581</v>
          </cell>
          <cell r="AP27">
            <v>3261.1876050171131</v>
          </cell>
        </row>
        <row r="29">
          <cell r="B29" t="str">
            <v xml:space="preserve">Long-Term Debt </v>
          </cell>
          <cell r="AO29">
            <v>2795</v>
          </cell>
          <cell r="AP29">
            <v>2795</v>
          </cell>
        </row>
        <row r="30">
          <cell r="B30" t="str">
            <v>Deferred Income Taxes</v>
          </cell>
          <cell r="AO30">
            <v>1196</v>
          </cell>
          <cell r="AP30">
            <v>1196</v>
          </cell>
        </row>
        <row r="31">
          <cell r="B31" t="str">
            <v>Capital Lease Obligations</v>
          </cell>
          <cell r="AO31">
            <v>0</v>
          </cell>
          <cell r="AP31">
            <v>0</v>
          </cell>
        </row>
        <row r="32">
          <cell r="AO32">
            <v>3991</v>
          </cell>
          <cell r="AP32">
            <v>3991</v>
          </cell>
        </row>
        <row r="34">
          <cell r="AO34">
            <v>7169.3747554444581</v>
          </cell>
          <cell r="AP34">
            <v>7252.1876050171131</v>
          </cell>
        </row>
        <row r="37">
          <cell r="B37" t="str">
            <v>Common Stock</v>
          </cell>
          <cell r="AO37">
            <v>2539</v>
          </cell>
          <cell r="AP37">
            <v>2539</v>
          </cell>
        </row>
        <row r="38">
          <cell r="B38" t="str">
            <v>Retained Earning (Deficit)</v>
          </cell>
          <cell r="AO38">
            <v>-1732.8010351968971</v>
          </cell>
          <cell r="AP38">
            <v>-1862.5233528571418</v>
          </cell>
        </row>
        <row r="39">
          <cell r="AO39">
            <v>806.19896480310285</v>
          </cell>
          <cell r="AP39">
            <v>676.47664714285816</v>
          </cell>
        </row>
        <row r="41">
          <cell r="AO41">
            <v>7975.5737202475611</v>
          </cell>
          <cell r="AP41">
            <v>7928.6642521599715</v>
          </cell>
        </row>
        <row r="43">
          <cell r="AO43">
            <v>0.45970324168047227</v>
          </cell>
          <cell r="AP43">
            <v>0.45970324168138177</v>
          </cell>
        </row>
        <row r="46">
          <cell r="AO46">
            <v>0</v>
          </cell>
          <cell r="AP46">
            <v>0</v>
          </cell>
        </row>
        <row r="50">
          <cell r="B50" t="str">
            <v>Total Debt</v>
          </cell>
          <cell r="AO50">
            <v>2805</v>
          </cell>
          <cell r="AP50">
            <v>2805</v>
          </cell>
        </row>
        <row r="51">
          <cell r="B51" t="str">
            <v>Net Debt/(Cash)</v>
          </cell>
          <cell r="AO51">
            <v>2201.1920667765785</v>
          </cell>
          <cell r="AP51">
            <v>2121.1151913618605</v>
          </cell>
        </row>
        <row r="52">
          <cell r="B52" t="str">
            <v>Total Capitalization</v>
          </cell>
          <cell r="AO52">
            <v>3611.1989648031031</v>
          </cell>
          <cell r="AP52">
            <v>3481.4766471428584</v>
          </cell>
        </row>
        <row r="53">
          <cell r="B53" t="str">
            <v>Net Operating Assets</v>
          </cell>
          <cell r="AO53">
            <v>3006.9313283380006</v>
          </cell>
          <cell r="AP53">
            <v>2797.1321352630375</v>
          </cell>
        </row>
        <row r="54">
          <cell r="B54" t="str">
            <v>Debt/Equity</v>
          </cell>
          <cell r="AO54">
            <v>3.4792900046517206</v>
          </cell>
          <cell r="AP54">
            <v>4.1464846005358718</v>
          </cell>
        </row>
        <row r="55">
          <cell r="B55" t="str">
            <v>Debt/Capitalization</v>
          </cell>
          <cell r="AO55">
            <v>0.77675033343197131</v>
          </cell>
          <cell r="AP55">
            <v>0.80569260813568233</v>
          </cell>
        </row>
        <row r="56">
          <cell r="B56" t="str">
            <v>Net Debt/Capitalization</v>
          </cell>
          <cell r="AO56">
            <v>0.60954605055847322</v>
          </cell>
          <cell r="AP56">
            <v>0.60925733714244357</v>
          </cell>
        </row>
        <row r="59">
          <cell r="B59" t="str">
            <v>Retail Sales</v>
          </cell>
          <cell r="AO59">
            <v>16079.387269882272</v>
          </cell>
          <cell r="AP59">
            <v>16895.556177594735</v>
          </cell>
        </row>
        <row r="60">
          <cell r="B60" t="str">
            <v>COGS</v>
          </cell>
          <cell r="AO60">
            <v>10560.941558858678</v>
          </cell>
          <cell r="AP60">
            <v>11110.517742386297</v>
          </cell>
        </row>
        <row r="61">
          <cell r="B61" t="str">
            <v>SG&amp;A</v>
          </cell>
          <cell r="AO61">
            <v>4982.4009764430421</v>
          </cell>
          <cell r="AP61">
            <v>5255.9973354867607</v>
          </cell>
        </row>
        <row r="62">
          <cell r="B62" t="str">
            <v>Net Income</v>
          </cell>
          <cell r="AO62">
            <v>429.36503876703978</v>
          </cell>
          <cell r="AP62">
            <v>434.28280332883077</v>
          </cell>
        </row>
        <row r="64">
          <cell r="B64" t="str">
            <v>Receivables Turnover</v>
          </cell>
          <cell r="AO64">
            <v>67.592592592592581</v>
          </cell>
          <cell r="AP64">
            <v>67.592592592592581</v>
          </cell>
        </row>
        <row r="65">
          <cell r="B65" t="str">
            <v>Inventory Turnover</v>
          </cell>
          <cell r="AO65">
            <v>4.8666666666666663</v>
          </cell>
          <cell r="AP65">
            <v>4.8666666666666663</v>
          </cell>
        </row>
        <row r="66">
          <cell r="B66" t="str">
            <v>Payable Turnover</v>
          </cell>
          <cell r="AO66">
            <v>6.6363636363636367</v>
          </cell>
          <cell r="AP66">
            <v>6.6363636363636367</v>
          </cell>
        </row>
        <row r="68">
          <cell r="B68" t="str">
            <v>Days Sales Outstanding</v>
          </cell>
          <cell r="AO68">
            <v>5.4</v>
          </cell>
          <cell r="AP68">
            <v>5.4</v>
          </cell>
        </row>
        <row r="69">
          <cell r="B69" t="str">
            <v>Days Inventory On Hand</v>
          </cell>
          <cell r="AO69">
            <v>75</v>
          </cell>
          <cell r="AP69">
            <v>75</v>
          </cell>
        </row>
        <row r="70">
          <cell r="B70" t="str">
            <v xml:space="preserve"> Days Payable</v>
          </cell>
          <cell r="AO70">
            <v>55</v>
          </cell>
          <cell r="AP70">
            <v>55</v>
          </cell>
        </row>
        <row r="72">
          <cell r="B72" t="str">
            <v>Payables / Inventory</v>
          </cell>
          <cell r="AO72">
            <v>0.73333333333333328</v>
          </cell>
          <cell r="AP72">
            <v>0.73333333333333328</v>
          </cell>
        </row>
        <row r="74">
          <cell r="X74" t="str">
            <v>2001-FY</v>
          </cell>
          <cell r="Y74" t="str">
            <v>2002-FY</v>
          </cell>
          <cell r="Z74" t="str">
            <v>2003-FY</v>
          </cell>
          <cell r="AA74" t="str">
            <v>2004-FY</v>
          </cell>
          <cell r="AB74" t="str">
            <v>2005-FY</v>
          </cell>
          <cell r="AC74" t="str">
            <v>2006-FY</v>
          </cell>
          <cell r="AD74" t="str">
            <v>2007-FY</v>
          </cell>
          <cell r="AE74" t="str">
            <v>2008-FY</v>
          </cell>
          <cell r="AF74" t="str">
            <v>2009-FY</v>
          </cell>
          <cell r="AG74" t="str">
            <v>2010-FY</v>
          </cell>
          <cell r="AH74" t="str">
            <v>2011-FY</v>
          </cell>
          <cell r="AI74" t="str">
            <v>2012-FY</v>
          </cell>
          <cell r="AJ74" t="str">
            <v>2013-FY</v>
          </cell>
          <cell r="AK74" t="str">
            <v>2014-FY</v>
          </cell>
          <cell r="AL74" t="str">
            <v>2015-FY</v>
          </cell>
          <cell r="AM74" t="str">
            <v>2016-FY</v>
          </cell>
          <cell r="AN74" t="str">
            <v>2017-FY</v>
          </cell>
          <cell r="AO74" t="str">
            <v>2018-FY</v>
          </cell>
          <cell r="AP74" t="str">
            <v>2019-FY</v>
          </cell>
        </row>
      </sheetData>
      <sheetData sheetId="17"/>
      <sheetData sheetId="18"/>
      <sheetData sheetId="19" refreshError="1"/>
      <sheetData sheetId="20">
        <row r="56">
          <cell r="R56">
            <v>4.0004578979990688</v>
          </cell>
        </row>
      </sheetData>
      <sheetData sheetId="21">
        <row r="29">
          <cell r="T29">
            <v>2238</v>
          </cell>
        </row>
      </sheetData>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 sheetId="39" refreshError="1"/>
      <sheetData sheetId="40" refreshError="1"/>
      <sheetData sheetId="41" refreshError="1"/>
      <sheetData sheetId="42" refreshError="1"/>
      <sheetData sheetId="43" refreshError="1"/>
      <sheetData sheetId="44" refreshError="1"/>
      <sheetData sheetId="45"/>
      <sheetData sheetId="46"/>
      <sheetData sheetId="47"/>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ning"/>
      <sheetName val="Insurance"/>
      <sheetName val="Banks"/>
      <sheetName val="Oils"/>
      <sheetName val="General Europe"/>
      <sheetName val="General UK"/>
      <sheetName val="Latest_Chart"/>
      <sheetName val="Add4Sheet"/>
      <sheetName val="Module2"/>
      <sheetName val="Module1"/>
      <sheetName val="LINKTAB"/>
      <sheetName val="Model"/>
      <sheetName val="Market_Share"/>
      <sheetName val="Assumptions"/>
      <sheetName val="P"/>
      <sheetName val="Summary"/>
      <sheetName val="Consol_Income"/>
      <sheetName val="Rate Case"/>
      <sheetName val="Balance Sheet"/>
      <sheetName val="Sheet9"/>
      <sheetName val="Leases"/>
      <sheetName val="Graph"/>
      <sheetName val="Income"/>
      <sheetName val="Financial Summary"/>
      <sheetName val="Cash flow"/>
      <sheetName val="Profit &amp; Loss"/>
      <sheetName val="Inputs, sensitivity &amp; val"/>
      <sheetName val="Exclusion List"/>
      <sheetName val="CFOld"/>
      <sheetName val="PLOld"/>
      <sheetName val="Headline"/>
      <sheetName val="MTT old"/>
      <sheetName val="BizJet Deliveries"/>
      <sheetName val="DOMNETREV1002B"/>
      <sheetName val="c1"/>
      <sheetName val="Monthly figures"/>
      <sheetName val="Consolidated"/>
      <sheetName val="CENMODEL"/>
      <sheetName val="Customize Your Statement"/>
      <sheetName val="Sainsbury"/>
      <sheetName val="KQ"/>
    </sheetNames>
    <definedNames>
      <definedName name="Download_series"/>
      <definedName name="Update_This"/>
    </definedNames>
    <sheetDataSet>
      <sheetData sheetId="0"/>
      <sheetData sheetId="1"/>
      <sheetData sheetId="2"/>
      <sheetData sheetId="3"/>
      <sheetData sheetId="4"/>
      <sheetData sheetId="5"/>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6.vml" Type="http://schemas.openxmlformats.org/officeDocument/2006/relationships/vmlDrawing"/>
<Relationship Id="rId3" Target="../comments6.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7.vml" Type="http://schemas.openxmlformats.org/officeDocument/2006/relationships/vmlDrawing"/>
<Relationship Id="rId3" Target="../comments7.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vmlDrawing8.vml" Type="http://schemas.openxmlformats.org/officeDocument/2006/relationships/vmlDrawing"/>
<Relationship Id="rId3" Target="../comments8.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 Id="rId2" Target="../drawings/vmlDrawing9.vml" Type="http://schemas.openxmlformats.org/officeDocument/2006/relationships/vmlDrawing"/>
<Relationship Id="rId3" Target="../comments9.xml" Type="http://schemas.openxmlformats.org/officeDocument/2006/relationships/comments"/>
</Relationships>

</file>

<file path=xl/worksheets/_rels/sheet12.xml.rels><?xml version="1.0" encoding="UTF-8" standalone="yes"?>
<Relationships xmlns="http://schemas.openxmlformats.org/package/2006/relationships">
<Relationship Id="rId1" Target="../printerSettings/printerSettings12.bin" Type="http://schemas.openxmlformats.org/officeDocument/2006/relationships/printerSettings"/>
<Relationship Id="rId2" Target="../drawings/vmlDrawing10.vml" Type="http://schemas.openxmlformats.org/officeDocument/2006/relationships/vmlDrawing"/>
<Relationship Id="rId3" Target="../comments10.xml" Type="http://schemas.openxmlformats.org/officeDocument/2006/relationships/comments"/>
</Relationships>

</file>

<file path=xl/worksheets/_rels/sheet13.xml.rels><?xml version="1.0" encoding="UTF-8" standalone="yes"?>
<Relationships xmlns="http://schemas.openxmlformats.org/package/2006/relationships">
<Relationship Id="rId1" Target="../printerSettings/printerSettings13.bin" Type="http://schemas.openxmlformats.org/officeDocument/2006/relationships/printerSettings"/>
<Relationship Id="rId2" Target="../drawings/vmlDrawing11.vml" Type="http://schemas.openxmlformats.org/officeDocument/2006/relationships/vmlDrawing"/>
<Relationship Id="rId3" Target="../comments11.xml" Type="http://schemas.openxmlformats.org/officeDocument/2006/relationships/comments"/>
</Relationships>

</file>

<file path=xl/worksheets/_rels/sheet14.xml.rels><?xml version="1.0" encoding="UTF-8" standalone="yes"?>
<Relationships xmlns="http://schemas.openxmlformats.org/package/2006/relationships">
<Relationship Id="rId1" Target="../printerSettings/printerSettings14.bin" Type="http://schemas.openxmlformats.org/officeDocument/2006/relationships/printerSettings"/>
<Relationship Id="rId2" Target="../drawings/vmlDrawing12.vml" Type="http://schemas.openxmlformats.org/officeDocument/2006/relationships/vmlDrawing"/>
<Relationship Id="rId3" Target="../comments12.xml" Type="http://schemas.openxmlformats.org/officeDocument/2006/relationships/comments"/>
</Relationships>

</file>

<file path=xl/worksheets/_rels/sheet15.xml.rels><?xml version="1.0" encoding="UTF-8" standalone="yes"?>
<Relationships xmlns="http://schemas.openxmlformats.org/package/2006/relationships">
<Relationship Id="rId1" Target="../printerSettings/printerSettings15.bin" Type="http://schemas.openxmlformats.org/officeDocument/2006/relationships/printerSettings"/>
</Relationships>

</file>

<file path=xl/worksheets/_rels/sheet16.xml.rels><?xml version="1.0" encoding="UTF-8" standalone="yes"?>
<Relationships xmlns="http://schemas.openxmlformats.org/package/2006/relationships">
<Relationship Id="rId1" Target="../printerSettings/printerSettings16.bin" Type="http://schemas.openxmlformats.org/officeDocument/2006/relationships/printerSettings"/>
</Relationships>

</file>

<file path=xl/worksheets/_rels/sheet17.xml.rels><?xml version="1.0" encoding="UTF-8" standalone="yes"?>
<Relationships xmlns="http://schemas.openxmlformats.org/package/2006/relationships">
<Relationship Id="rId1" Target="../printerSettings/printerSettings17.bin" Type="http://schemas.openxmlformats.org/officeDocument/2006/relationships/printerSettings"/>
<Relationship Id="rId2" Target="../drawings/drawing2.xml" Type="http://schemas.openxmlformats.org/officeDocument/2006/relationships/drawing"/>
<Relationship Id="rId3" Target="../drawings/vmlDrawing13.vml" Type="http://schemas.openxmlformats.org/officeDocument/2006/relationships/vmlDrawing"/>
<Relationship Id="rId4" Target="../activeX/activeX1.xml" Type="http://schemas.openxmlformats.org/officeDocument/2006/relationships/control"/>
<Relationship Id="rId5" Target="../media/image4.emf" Type="http://schemas.openxmlformats.org/officeDocument/2006/relationships/image"/>
<Relationship Id="rId6" Target="../comments13.xml" Type="http://schemas.openxmlformats.org/officeDocument/2006/relationships/comments"/>
</Relationships>

</file>

<file path=xl/worksheets/_rels/sheet18.xml.rels><?xml version="1.0" encoding="UTF-8" standalone="yes"?>
<Relationships xmlns="http://schemas.openxmlformats.org/package/2006/relationships">
<Relationship Id="rId1" Target="../printerSettings/printerSettings18.bin" Type="http://schemas.openxmlformats.org/officeDocument/2006/relationships/printerSettings"/>
<Relationship Id="rId2" Target="../drawings/drawing3.xml" Type="http://schemas.openxmlformats.org/officeDocument/2006/relationships/drawing"/>
</Relationships>

</file>

<file path=xl/worksheets/_rels/sheet19.xml.rels><?xml version="1.0" encoding="UTF-8" standalone="yes"?>
<Relationships xmlns="http://schemas.openxmlformats.org/package/2006/relationships">
<Relationship Id="rId1" Target="../printerSettings/printerSettings19.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75"/>
  <sheetViews>
    <sheetView showGridLines="0" tabSelected="1" workbookViewId="0">
      <selection activeCell="Z1" sqref="Z1"/>
    </sheetView>
  </sheetViews>
  <sheetFormatPr defaultRowHeight="12.75"/>
  <cols>
    <col min="1" max="1" width="25.7109375" style="1799" customWidth="1"/>
    <col min="2" max="5" width="9.140625" style="1799"/>
    <col min="6" max="6" width="18.7109375" style="1799" customWidth="1"/>
    <col min="7" max="256" width="9.140625" style="1799"/>
    <col min="257" max="257" width="100.7109375" style="1799" customWidth="1"/>
    <col min="258" max="512" width="9.140625" style="1799"/>
    <col min="513" max="513" width="100.7109375" style="1799" customWidth="1"/>
    <col min="514" max="768" width="9.140625" style="1799"/>
    <col min="769" max="769" width="100.7109375" style="1799" customWidth="1"/>
    <col min="770" max="1024" width="9.140625" style="1799"/>
    <col min="1025" max="1025" width="100.7109375" style="1799" customWidth="1"/>
    <col min="1026" max="1280" width="9.140625" style="1799"/>
    <col min="1281" max="1281" width="100.7109375" style="1799" customWidth="1"/>
    <col min="1282" max="1536" width="9.140625" style="1799"/>
    <col min="1537" max="1537" width="100.7109375" style="1799" customWidth="1"/>
    <col min="1538" max="1792" width="9.140625" style="1799"/>
    <col min="1793" max="1793" width="100.7109375" style="1799" customWidth="1"/>
    <col min="1794" max="2048" width="9.140625" style="1799"/>
    <col min="2049" max="2049" width="100.7109375" style="1799" customWidth="1"/>
    <col min="2050" max="2304" width="9.140625" style="1799"/>
    <col min="2305" max="2305" width="100.7109375" style="1799" customWidth="1"/>
    <col min="2306" max="2560" width="9.140625" style="1799"/>
    <col min="2561" max="2561" width="100.7109375" style="1799" customWidth="1"/>
    <col min="2562" max="2816" width="9.140625" style="1799"/>
    <col min="2817" max="2817" width="100.7109375" style="1799" customWidth="1"/>
    <col min="2818" max="3072" width="9.140625" style="1799"/>
    <col min="3073" max="3073" width="100.7109375" style="1799" customWidth="1"/>
    <col min="3074" max="3328" width="9.140625" style="1799"/>
    <col min="3329" max="3329" width="100.7109375" style="1799" customWidth="1"/>
    <col min="3330" max="3584" width="9.140625" style="1799"/>
    <col min="3585" max="3585" width="100.7109375" style="1799" customWidth="1"/>
    <col min="3586" max="3840" width="9.140625" style="1799"/>
    <col min="3841" max="3841" width="100.7109375" style="1799" customWidth="1"/>
    <col min="3842" max="4096" width="9.140625" style="1799"/>
    <col min="4097" max="4097" width="100.7109375" style="1799" customWidth="1"/>
    <col min="4098" max="4352" width="9.140625" style="1799"/>
    <col min="4353" max="4353" width="100.7109375" style="1799" customWidth="1"/>
    <col min="4354" max="4608" width="9.140625" style="1799"/>
    <col min="4609" max="4609" width="100.7109375" style="1799" customWidth="1"/>
    <col min="4610" max="4864" width="9.140625" style="1799"/>
    <col min="4865" max="4865" width="100.7109375" style="1799" customWidth="1"/>
    <col min="4866" max="5120" width="9.140625" style="1799"/>
    <col min="5121" max="5121" width="100.7109375" style="1799" customWidth="1"/>
    <col min="5122" max="5376" width="9.140625" style="1799"/>
    <col min="5377" max="5377" width="100.7109375" style="1799" customWidth="1"/>
    <col min="5378" max="5632" width="9.140625" style="1799"/>
    <col min="5633" max="5633" width="100.7109375" style="1799" customWidth="1"/>
    <col min="5634" max="5888" width="9.140625" style="1799"/>
    <col min="5889" max="5889" width="100.7109375" style="1799" customWidth="1"/>
    <col min="5890" max="6144" width="9.140625" style="1799"/>
    <col min="6145" max="6145" width="100.7109375" style="1799" customWidth="1"/>
    <col min="6146" max="6400" width="9.140625" style="1799"/>
    <col min="6401" max="6401" width="100.7109375" style="1799" customWidth="1"/>
    <col min="6402" max="6656" width="9.140625" style="1799"/>
    <col min="6657" max="6657" width="100.7109375" style="1799" customWidth="1"/>
    <col min="6658" max="6912" width="9.140625" style="1799"/>
    <col min="6913" max="6913" width="100.7109375" style="1799" customWidth="1"/>
    <col min="6914" max="7168" width="9.140625" style="1799"/>
    <col min="7169" max="7169" width="100.7109375" style="1799" customWidth="1"/>
    <col min="7170" max="7424" width="9.140625" style="1799"/>
    <col min="7425" max="7425" width="100.7109375" style="1799" customWidth="1"/>
    <col min="7426" max="7680" width="9.140625" style="1799"/>
    <col min="7681" max="7681" width="100.7109375" style="1799" customWidth="1"/>
    <col min="7682" max="7936" width="9.140625" style="1799"/>
    <col min="7937" max="7937" width="100.7109375" style="1799" customWidth="1"/>
    <col min="7938" max="8192" width="9.140625" style="1799"/>
    <col min="8193" max="8193" width="100.7109375" style="1799" customWidth="1"/>
    <col min="8194" max="8448" width="9.140625" style="1799"/>
    <col min="8449" max="8449" width="100.7109375" style="1799" customWidth="1"/>
    <col min="8450" max="8704" width="9.140625" style="1799"/>
    <col min="8705" max="8705" width="100.7109375" style="1799" customWidth="1"/>
    <col min="8706" max="8960" width="9.140625" style="1799"/>
    <col min="8961" max="8961" width="100.7109375" style="1799" customWidth="1"/>
    <col min="8962" max="9216" width="9.140625" style="1799"/>
    <col min="9217" max="9217" width="100.7109375" style="1799" customWidth="1"/>
    <col min="9218" max="9472" width="9.140625" style="1799"/>
    <col min="9473" max="9473" width="100.7109375" style="1799" customWidth="1"/>
    <col min="9474" max="9728" width="9.140625" style="1799"/>
    <col min="9729" max="9729" width="100.7109375" style="1799" customWidth="1"/>
    <col min="9730" max="9984" width="9.140625" style="1799"/>
    <col min="9985" max="9985" width="100.7109375" style="1799" customWidth="1"/>
    <col min="9986" max="10240" width="9.140625" style="1799"/>
    <col min="10241" max="10241" width="100.7109375" style="1799" customWidth="1"/>
    <col min="10242" max="10496" width="9.140625" style="1799"/>
    <col min="10497" max="10497" width="100.7109375" style="1799" customWidth="1"/>
    <col min="10498" max="10752" width="9.140625" style="1799"/>
    <col min="10753" max="10753" width="100.7109375" style="1799" customWidth="1"/>
    <col min="10754" max="11008" width="9.140625" style="1799"/>
    <col min="11009" max="11009" width="100.7109375" style="1799" customWidth="1"/>
    <col min="11010" max="11264" width="9.140625" style="1799"/>
    <col min="11265" max="11265" width="100.7109375" style="1799" customWidth="1"/>
    <col min="11266" max="11520" width="9.140625" style="1799"/>
    <col min="11521" max="11521" width="100.7109375" style="1799" customWidth="1"/>
    <col min="11522" max="11776" width="9.140625" style="1799"/>
    <col min="11777" max="11777" width="100.7109375" style="1799" customWidth="1"/>
    <col min="11778" max="12032" width="9.140625" style="1799"/>
    <col min="12033" max="12033" width="100.7109375" style="1799" customWidth="1"/>
    <col min="12034" max="12288" width="9.140625" style="1799"/>
    <col min="12289" max="12289" width="100.7109375" style="1799" customWidth="1"/>
    <col min="12290" max="12544" width="9.140625" style="1799"/>
    <col min="12545" max="12545" width="100.7109375" style="1799" customWidth="1"/>
    <col min="12546" max="12800" width="9.140625" style="1799"/>
    <col min="12801" max="12801" width="100.7109375" style="1799" customWidth="1"/>
    <col min="12802" max="13056" width="9.140625" style="1799"/>
    <col min="13057" max="13057" width="100.7109375" style="1799" customWidth="1"/>
    <col min="13058" max="13312" width="9.140625" style="1799"/>
    <col min="13313" max="13313" width="100.7109375" style="1799" customWidth="1"/>
    <col min="13314" max="13568" width="9.140625" style="1799"/>
    <col min="13569" max="13569" width="100.7109375" style="1799" customWidth="1"/>
    <col min="13570" max="13824" width="9.140625" style="1799"/>
    <col min="13825" max="13825" width="100.7109375" style="1799" customWidth="1"/>
    <col min="13826" max="14080" width="9.140625" style="1799"/>
    <col min="14081" max="14081" width="100.7109375" style="1799" customWidth="1"/>
    <col min="14082" max="14336" width="9.140625" style="1799"/>
    <col min="14337" max="14337" width="100.7109375" style="1799" customWidth="1"/>
    <col min="14338" max="14592" width="9.140625" style="1799"/>
    <col min="14593" max="14593" width="100.7109375" style="1799" customWidth="1"/>
    <col min="14594" max="14848" width="9.140625" style="1799"/>
    <col min="14849" max="14849" width="100.7109375" style="1799" customWidth="1"/>
    <col min="14850" max="15104" width="9.140625" style="1799"/>
    <col min="15105" max="15105" width="100.7109375" style="1799" customWidth="1"/>
    <col min="15106" max="15360" width="9.140625" style="1799"/>
    <col min="15361" max="15361" width="100.7109375" style="1799" customWidth="1"/>
    <col min="15362" max="15616" width="9.140625" style="1799"/>
    <col min="15617" max="15617" width="100.7109375" style="1799" customWidth="1"/>
    <col min="15618" max="15872" width="9.140625" style="1799"/>
    <col min="15873" max="15873" width="100.7109375" style="1799" customWidth="1"/>
    <col min="15874" max="16128" width="9.140625" style="1799"/>
    <col min="16129" max="16129" width="100.7109375" style="1799" customWidth="1"/>
    <col min="16130" max="16384" width="9.140625" style="1799"/>
  </cols>
  <sheetData>
    <row r="1" spans="1:8" ht="30" customHeight="1">
      <c r="A1" s="1797"/>
      <c r="B1" s="1798"/>
      <c r="C1" s="1798"/>
      <c r="D1" s="1798"/>
      <c r="E1" s="1798"/>
      <c r="F1" s="1798"/>
      <c r="G1" s="1798"/>
      <c r="H1" s="1798"/>
    </row>
    <row r="2" spans="1:8" ht="14.25">
      <c r="A2" s="1800" t="s">
        <v>782</v>
      </c>
      <c r="B2" s="1798"/>
      <c r="C2" s="1798"/>
      <c r="D2" s="1798"/>
      <c r="E2" s="1798"/>
      <c r="F2" s="1798"/>
      <c r="G2" s="1798"/>
      <c r="H2" s="1798"/>
    </row>
    <row r="3" spans="1:8" ht="14.25">
      <c r="A3" s="1800" t="s">
        <v>783</v>
      </c>
      <c r="B3" s="1798"/>
      <c r="C3" s="1798"/>
      <c r="D3" s="1798"/>
      <c r="E3" s="1798"/>
      <c r="F3" s="1798"/>
      <c r="G3" s="1798"/>
      <c r="H3" s="1798"/>
    </row>
    <row r="4" spans="1:8" ht="14.25">
      <c r="A4" s="1800" t="s">
        <v>784</v>
      </c>
      <c r="B4" s="1798"/>
      <c r="C4" s="1798"/>
      <c r="D4" s="1798"/>
      <c r="E4" s="1798"/>
      <c r="F4" s="1798"/>
      <c r="G4" s="1798"/>
      <c r="H4" s="1798"/>
    </row>
    <row r="5" spans="1:8" ht="14.25">
      <c r="A5" s="1800" t="s">
        <v>785</v>
      </c>
      <c r="B5" s="1798"/>
      <c r="C5" s="1798"/>
      <c r="D5" s="1798"/>
      <c r="E5" s="1798"/>
      <c r="F5" s="1798"/>
      <c r="G5" s="1798"/>
      <c r="H5" s="1798"/>
    </row>
    <row r="6" spans="1:8" ht="14.25">
      <c r="A6" s="1800"/>
      <c r="B6" s="1798"/>
      <c r="C6" s="1798"/>
      <c r="D6" s="1798"/>
      <c r="E6" s="1798"/>
      <c r="F6" s="1798"/>
      <c r="G6" s="1798"/>
      <c r="H6" s="1798"/>
    </row>
    <row r="7" spans="1:8">
      <c r="A7" s="1797" t="s">
        <v>786</v>
      </c>
      <c r="B7" s="1798"/>
      <c r="C7" s="1798"/>
      <c r="D7" s="1798"/>
      <c r="E7" s="1798"/>
      <c r="F7" s="1798"/>
      <c r="G7" s="1798"/>
      <c r="H7" s="1798"/>
    </row>
    <row r="8" spans="1:8">
      <c r="A8" s="1797" t="s">
        <v>787</v>
      </c>
      <c r="B8" s="1798"/>
      <c r="C8" s="1798"/>
      <c r="D8" s="1798"/>
      <c r="E8" s="1798"/>
      <c r="F8" s="1798"/>
      <c r="G8" s="1798"/>
      <c r="H8" s="1798"/>
    </row>
    <row r="9" spans="1:8">
      <c r="A9" s="1797"/>
      <c r="B9" s="1798"/>
      <c r="C9" s="1798"/>
      <c r="D9" s="1798"/>
      <c r="E9" s="1798"/>
      <c r="F9" s="1798"/>
      <c r="G9" s="1798"/>
      <c r="H9" s="1798"/>
    </row>
    <row r="10" spans="1:8">
      <c r="A10" s="1801" t="s">
        <v>788</v>
      </c>
      <c r="B10" s="1798"/>
      <c r="C10" s="1798"/>
      <c r="D10" s="1798"/>
      <c r="E10" s="1798"/>
      <c r="F10" s="1798"/>
      <c r="G10" s="1798"/>
      <c r="H10" s="1798"/>
    </row>
    <row r="11" spans="1:8">
      <c r="A11" s="1801" t="s">
        <v>789</v>
      </c>
      <c r="B11" s="1798"/>
      <c r="C11" s="1798"/>
      <c r="D11" s="1798"/>
      <c r="E11" s="1798"/>
      <c r="F11" s="1798"/>
      <c r="G11" s="1798"/>
      <c r="H11" s="1798"/>
    </row>
    <row r="12" spans="1:8">
      <c r="A12" s="1801" t="s">
        <v>790</v>
      </c>
      <c r="B12" s="1798"/>
      <c r="C12" s="1798"/>
      <c r="D12" s="1798"/>
      <c r="E12" s="1798"/>
      <c r="F12" s="1798"/>
      <c r="G12" s="1798"/>
      <c r="H12" s="1798"/>
    </row>
    <row r="13" spans="1:8">
      <c r="A13" s="1801" t="s">
        <v>791</v>
      </c>
      <c r="B13" s="1798"/>
      <c r="C13" s="1798"/>
      <c r="D13" s="1798"/>
      <c r="E13" s="1798"/>
      <c r="F13" s="1798"/>
      <c r="G13" s="1798"/>
      <c r="H13" s="1798"/>
    </row>
    <row r="14" spans="1:8">
      <c r="A14" s="1801" t="s">
        <v>792</v>
      </c>
      <c r="B14" s="1798"/>
      <c r="C14" s="1798"/>
      <c r="D14" s="1798"/>
      <c r="E14" s="1798"/>
      <c r="F14" s="1798"/>
      <c r="G14" s="1798"/>
      <c r="H14" s="1798"/>
    </row>
    <row r="15" spans="1:8">
      <c r="A15" s="1801" t="s">
        <v>793</v>
      </c>
      <c r="B15" s="1798"/>
      <c r="C15" s="1798"/>
      <c r="D15" s="1798"/>
      <c r="E15" s="1798"/>
      <c r="F15" s="1798"/>
      <c r="G15" s="1798"/>
      <c r="H15" s="1798"/>
    </row>
    <row r="16" spans="1:8">
      <c r="A16" s="1801"/>
      <c r="B16" s="1798"/>
      <c r="C16" s="1798"/>
      <c r="D16" s="1798"/>
      <c r="E16" s="1798"/>
      <c r="F16" s="1798"/>
      <c r="G16" s="1798"/>
      <c r="H16" s="1798"/>
    </row>
    <row r="17" spans="1:8">
      <c r="A17" s="1801" t="s">
        <v>779</v>
      </c>
      <c r="B17" s="1798"/>
      <c r="C17" s="1798"/>
      <c r="D17" s="1798"/>
      <c r="E17" s="1798"/>
      <c r="F17" s="1798"/>
      <c r="G17" s="1798"/>
      <c r="H17" s="1798"/>
    </row>
    <row r="18" spans="1:8">
      <c r="A18" s="1801"/>
      <c r="B18" s="1798"/>
      <c r="C18" s="1798"/>
      <c r="D18" s="1798"/>
      <c r="E18" s="1798"/>
      <c r="F18" s="1798"/>
      <c r="G18" s="1798"/>
      <c r="H18" s="1798"/>
    </row>
    <row r="19" spans="1:8">
      <c r="A19" s="1801" t="s">
        <v>780</v>
      </c>
      <c r="B19" s="1798"/>
      <c r="C19" s="1798"/>
      <c r="D19" s="1798"/>
      <c r="E19" s="1798"/>
      <c r="F19" s="1798"/>
      <c r="G19" s="1798"/>
      <c r="H19" s="1798"/>
    </row>
    <row r="20" spans="1:8">
      <c r="A20" s="1797"/>
      <c r="B20" s="1798"/>
      <c r="C20" s="1798"/>
      <c r="D20" s="1798"/>
      <c r="E20" s="1798"/>
      <c r="F20" s="1798"/>
      <c r="G20" s="1798"/>
      <c r="H20" s="1798"/>
    </row>
    <row r="21" spans="1:8">
      <c r="A21" s="1802" t="s">
        <v>781</v>
      </c>
      <c r="B21" s="1798"/>
      <c r="C21" s="1798"/>
      <c r="D21" s="1798"/>
      <c r="E21" s="1798"/>
      <c r="F21" s="1798"/>
      <c r="G21" s="1798"/>
      <c r="H21" s="1798"/>
    </row>
    <row r="22" spans="1:8">
      <c r="A22" s="1803"/>
      <c r="B22" s="1803"/>
      <c r="C22" s="1803"/>
      <c r="D22" s="1803"/>
      <c r="E22" s="1803"/>
      <c r="F22" s="1803"/>
      <c r="G22" s="1803"/>
      <c r="H22" s="1803"/>
    </row>
    <row r="23" spans="1:8">
      <c r="A23" s="1804" t="s">
        <v>1060</v>
      </c>
      <c r="B23" s="1803"/>
      <c r="C23" s="1803"/>
      <c r="D23" s="1803"/>
      <c r="E23" s="1803"/>
      <c r="F23" s="1803"/>
      <c r="G23" s="1803"/>
      <c r="H23" s="1803"/>
    </row>
    <row r="24" spans="1:8">
      <c r="A24" s="1804" t="s">
        <v>1061</v>
      </c>
      <c r="B24" s="1803"/>
      <c r="C24" s="1803"/>
      <c r="D24" s="1803"/>
      <c r="E24" s="1803"/>
      <c r="F24" s="1803"/>
      <c r="G24" s="1803"/>
      <c r="H24" s="1803"/>
    </row>
    <row r="25" spans="1:8">
      <c r="A25" s="1804" t="s">
        <v>1062</v>
      </c>
      <c r="B25" s="1803"/>
      <c r="C25" s="1803"/>
      <c r="D25" s="1803"/>
      <c r="E25" s="1803"/>
      <c r="F25" s="1803"/>
      <c r="G25" s="1803"/>
      <c r="H25" s="1803"/>
    </row>
    <row r="26" spans="1:8">
      <c r="A26" s="1804" t="s">
        <v>1063</v>
      </c>
      <c r="B26" s="1803"/>
      <c r="C26" s="1803"/>
      <c r="D26" s="1803"/>
      <c r="E26" s="1803"/>
      <c r="F26" s="1803"/>
      <c r="G26" s="1803"/>
      <c r="H26" s="1803"/>
    </row>
    <row r="27" spans="1:8">
      <c r="A27" s="1803"/>
      <c r="B27" s="1803"/>
      <c r="C27" s="1803"/>
      <c r="D27" s="1803"/>
      <c r="E27" s="1803"/>
      <c r="F27" s="1803"/>
      <c r="G27" s="1803"/>
      <c r="H27" s="1803"/>
    </row>
    <row r="28" spans="1:8">
      <c r="A28" s="1803"/>
      <c r="B28" s="1803"/>
      <c r="C28" s="1803"/>
      <c r="D28" s="1803"/>
      <c r="E28" s="1803"/>
      <c r="F28" s="1803"/>
      <c r="G28" s="1803"/>
      <c r="H28" s="1803"/>
    </row>
    <row r="29" spans="1:8">
      <c r="A29" s="1804" t="s">
        <v>1055</v>
      </c>
      <c r="B29" s="1803"/>
      <c r="C29" s="1803"/>
      <c r="D29" s="1803"/>
      <c r="E29" s="1803"/>
      <c r="F29" s="1803"/>
      <c r="G29" s="1803"/>
      <c r="H29" s="1803"/>
    </row>
    <row r="30" spans="1:8">
      <c r="A30" s="1804" t="s">
        <v>1056</v>
      </c>
      <c r="B30" s="1803"/>
      <c r="C30" s="1803"/>
      <c r="D30" s="1803"/>
      <c r="E30" s="1803"/>
      <c r="F30" s="1803"/>
      <c r="G30" s="1803"/>
      <c r="H30" s="1803"/>
    </row>
    <row r="31" spans="1:8">
      <c r="A31" s="1804" t="s">
        <v>1057</v>
      </c>
      <c r="B31" s="1803"/>
      <c r="C31" s="1803"/>
      <c r="D31" s="1803"/>
      <c r="E31" s="1803"/>
      <c r="F31" s="1803"/>
      <c r="G31" s="1803"/>
      <c r="H31" s="1803"/>
    </row>
    <row r="32" spans="1:8">
      <c r="A32" s="1804" t="s">
        <v>1058</v>
      </c>
      <c r="B32" s="1803"/>
      <c r="C32" s="1803"/>
      <c r="D32" s="1803"/>
      <c r="E32" s="1803"/>
      <c r="F32" s="1803"/>
      <c r="G32" s="1803"/>
      <c r="H32" s="1803"/>
    </row>
    <row r="33" spans="1:8">
      <c r="A33" s="1804" t="s">
        <v>1059</v>
      </c>
      <c r="B33" s="1803"/>
      <c r="C33" s="1803"/>
      <c r="D33" s="1803"/>
      <c r="E33" s="1803"/>
      <c r="F33" s="1803"/>
      <c r="G33" s="1803"/>
      <c r="H33" s="1803"/>
    </row>
    <row r="34" spans="1:8">
      <c r="A34" s="1803"/>
      <c r="B34" s="1803"/>
      <c r="C34" s="1803"/>
      <c r="D34" s="1803"/>
      <c r="E34" s="1803"/>
      <c r="F34" s="1803"/>
      <c r="G34" s="1803"/>
      <c r="H34" s="1803"/>
    </row>
    <row r="35" spans="1:8">
      <c r="A35" s="1804" t="s">
        <v>1051</v>
      </c>
      <c r="B35" s="1803"/>
      <c r="C35" s="1803"/>
      <c r="D35" s="1803"/>
      <c r="E35" s="1803"/>
      <c r="F35" s="1803"/>
      <c r="G35" s="1803"/>
      <c r="H35" s="1803"/>
    </row>
    <row r="36" spans="1:8">
      <c r="A36" s="1804" t="s">
        <v>1052</v>
      </c>
      <c r="B36" s="1803"/>
      <c r="C36" s="1803"/>
      <c r="D36" s="1803"/>
      <c r="E36" s="1803"/>
      <c r="F36" s="1803"/>
      <c r="G36" s="1803"/>
      <c r="H36" s="1803"/>
    </row>
    <row r="37" spans="1:8">
      <c r="A37" s="1804" t="s">
        <v>1053</v>
      </c>
      <c r="B37" s="1803"/>
      <c r="C37" s="1803"/>
      <c r="D37" s="1803"/>
      <c r="E37" s="1803"/>
      <c r="F37" s="1803"/>
      <c r="G37" s="1803"/>
      <c r="H37" s="1803"/>
    </row>
    <row r="38" spans="1:8">
      <c r="A38" s="1804" t="s">
        <v>1054</v>
      </c>
      <c r="B38" s="1803"/>
      <c r="C38" s="1803"/>
      <c r="D38" s="1803"/>
      <c r="E38" s="1803"/>
      <c r="F38" s="1803"/>
      <c r="G38" s="1803"/>
      <c r="H38" s="1803"/>
    </row>
    <row r="39" spans="1:8">
      <c r="A39" s="1803"/>
      <c r="B39" s="1803"/>
      <c r="C39" s="1803"/>
      <c r="D39" s="1803"/>
      <c r="E39" s="1803"/>
      <c r="F39" s="1803"/>
      <c r="G39" s="1803"/>
      <c r="H39" s="1803"/>
    </row>
    <row r="40" spans="1:8">
      <c r="A40" s="1804" t="s">
        <v>1045</v>
      </c>
      <c r="B40" s="1803"/>
      <c r="C40" s="1803"/>
      <c r="D40" s="1803"/>
      <c r="E40" s="1803"/>
      <c r="F40" s="1803"/>
      <c r="G40" s="1803"/>
      <c r="H40" s="1803"/>
    </row>
    <row r="41" spans="1:8">
      <c r="A41" s="1804" t="s">
        <v>1046</v>
      </c>
      <c r="B41" s="1803"/>
      <c r="C41" s="1803"/>
      <c r="D41" s="1803"/>
      <c r="E41" s="1803"/>
      <c r="F41" s="1803"/>
      <c r="G41" s="1803"/>
      <c r="H41" s="1803"/>
    </row>
    <row r="42" spans="1:8">
      <c r="A42" s="1804" t="s">
        <v>1047</v>
      </c>
      <c r="B42" s="1803"/>
      <c r="C42" s="1803"/>
      <c r="D42" s="1803"/>
      <c r="E42" s="1803"/>
      <c r="F42" s="1803"/>
      <c r="G42" s="1803"/>
      <c r="H42" s="1803"/>
    </row>
    <row r="43" spans="1:8">
      <c r="A43" s="1804" t="s">
        <v>1048</v>
      </c>
      <c r="B43" s="1803"/>
      <c r="C43" s="1803"/>
      <c r="D43" s="1803"/>
      <c r="E43" s="1803"/>
      <c r="F43" s="1803"/>
      <c r="G43" s="1803"/>
      <c r="H43" s="1803"/>
    </row>
    <row r="44" spans="1:8">
      <c r="A44" s="1804" t="s">
        <v>1049</v>
      </c>
      <c r="B44" s="1803"/>
      <c r="C44" s="1803"/>
      <c r="D44" s="1803"/>
      <c r="E44" s="1803"/>
      <c r="F44" s="1803"/>
      <c r="G44" s="1803"/>
      <c r="H44" s="1803"/>
    </row>
    <row r="45" spans="1:8">
      <c r="A45" s="1804" t="s">
        <v>1050</v>
      </c>
      <c r="B45" s="1803"/>
      <c r="C45" s="1803"/>
      <c r="D45" s="1803"/>
      <c r="E45" s="1803"/>
      <c r="F45" s="1803"/>
      <c r="G45" s="1803"/>
      <c r="H45" s="1803"/>
    </row>
    <row r="46" spans="1:8">
      <c r="A46" s="1803"/>
      <c r="B46" s="1803"/>
      <c r="C46" s="1803"/>
      <c r="D46" s="1803"/>
      <c r="E46" s="1803"/>
      <c r="F46" s="1803"/>
      <c r="G46" s="1803"/>
      <c r="H46" s="1803"/>
    </row>
    <row r="47" spans="1:8" ht="15.75">
      <c r="A47" s="1805" t="s">
        <v>794</v>
      </c>
      <c r="B47" s="1803"/>
      <c r="C47" s="1803"/>
      <c r="D47" s="1803"/>
      <c r="E47" s="1803"/>
      <c r="F47" s="1803"/>
      <c r="G47" s="1803"/>
      <c r="H47" s="1803"/>
    </row>
    <row r="48" spans="1:8">
      <c r="A48" s="1803"/>
      <c r="B48" s="1803"/>
      <c r="C48" s="1803"/>
      <c r="D48" s="1803"/>
      <c r="E48" s="1803"/>
      <c r="F48" s="1803"/>
      <c r="G48" s="1803"/>
      <c r="H48" s="1803"/>
    </row>
    <row r="49" spans="1:8">
      <c r="A49" s="1804" t="s">
        <v>1041</v>
      </c>
      <c r="B49" s="1803"/>
      <c r="C49" s="1803"/>
      <c r="D49" s="1803"/>
      <c r="E49" s="1803"/>
      <c r="F49" s="1803"/>
      <c r="G49" s="1803"/>
      <c r="H49" s="1803"/>
    </row>
    <row r="50" spans="1:8">
      <c r="A50" s="1804" t="s">
        <v>1042</v>
      </c>
      <c r="B50" s="1803"/>
      <c r="C50" s="1803"/>
      <c r="D50" s="1803"/>
      <c r="E50" s="1803"/>
      <c r="F50" s="1803"/>
      <c r="G50" s="1803"/>
      <c r="H50" s="1803"/>
    </row>
    <row r="51" spans="1:8">
      <c r="A51" s="1804" t="s">
        <v>1043</v>
      </c>
      <c r="B51" s="1803"/>
      <c r="C51" s="1803"/>
      <c r="D51" s="1803"/>
      <c r="E51" s="1803"/>
      <c r="F51" s="1803"/>
      <c r="G51" s="1803"/>
      <c r="H51" s="1803"/>
    </row>
    <row r="52" spans="1:8">
      <c r="A52" s="1804" t="s">
        <v>1044</v>
      </c>
      <c r="B52" s="1803"/>
      <c r="C52" s="1803"/>
      <c r="D52" s="1803"/>
      <c r="E52" s="1803"/>
      <c r="F52" s="1803"/>
      <c r="G52" s="1803"/>
      <c r="H52" s="1803"/>
    </row>
    <row r="53" spans="1:8">
      <c r="A53" s="1803"/>
      <c r="B53" s="1803"/>
      <c r="C53" s="1803"/>
      <c r="D53" s="1803"/>
      <c r="E53" s="1803"/>
      <c r="F53" s="1803"/>
      <c r="G53" s="1803"/>
      <c r="H53" s="1803"/>
    </row>
    <row r="54" spans="1:8">
      <c r="A54" s="1804" t="s">
        <v>795</v>
      </c>
      <c r="B54" s="1803"/>
      <c r="C54" s="1803"/>
      <c r="D54" s="1803"/>
      <c r="E54" s="1803"/>
      <c r="F54" s="1803"/>
      <c r="G54" s="1803"/>
      <c r="H54" s="1803"/>
    </row>
    <row r="55" spans="1:8">
      <c r="A55" s="1803"/>
      <c r="B55" s="1803"/>
      <c r="C55" s="1803"/>
      <c r="D55" s="1803"/>
      <c r="E55" s="1803"/>
      <c r="F55" s="1803"/>
      <c r="G55" s="1803"/>
      <c r="H55" s="1803"/>
    </row>
    <row r="56" spans="1:8" ht="15.75">
      <c r="A56" s="1805" t="s">
        <v>796</v>
      </c>
      <c r="B56" s="1803"/>
      <c r="C56" s="1803"/>
      <c r="D56" s="1803"/>
      <c r="E56" s="1803"/>
      <c r="F56" s="1803"/>
      <c r="G56" s="1803"/>
      <c r="H56" s="1803"/>
    </row>
    <row r="57" spans="1:8">
      <c r="A57" s="1803"/>
      <c r="B57" s="1803"/>
      <c r="C57" s="1803"/>
      <c r="D57" s="1803"/>
      <c r="E57" s="1803"/>
      <c r="F57" s="1803"/>
      <c r="G57" s="1803"/>
      <c r="H57" s="1803"/>
    </row>
    <row r="58" spans="1:8">
      <c r="A58" s="1804" t="s">
        <v>1039</v>
      </c>
      <c r="B58" s="1803"/>
      <c r="C58" s="1803"/>
      <c r="D58" s="1803"/>
      <c r="E58" s="1803"/>
      <c r="F58" s="1803"/>
      <c r="G58" s="1803"/>
      <c r="H58" s="1803"/>
    </row>
    <row r="59" spans="1:8">
      <c r="A59" s="1804" t="s">
        <v>1040</v>
      </c>
      <c r="B59" s="1803"/>
      <c r="C59" s="1803"/>
      <c r="D59" s="1803"/>
      <c r="E59" s="1803"/>
      <c r="F59" s="1803"/>
      <c r="G59" s="1803"/>
      <c r="H59" s="1803"/>
    </row>
    <row r="60" spans="1:8">
      <c r="A60" s="1803"/>
      <c r="B60" s="1803"/>
      <c r="C60" s="1803"/>
      <c r="D60" s="1803"/>
      <c r="E60" s="1803"/>
      <c r="F60" s="1803"/>
      <c r="G60" s="1803"/>
      <c r="H60" s="1803"/>
    </row>
    <row r="61" spans="1:8" ht="15.75">
      <c r="A61" s="1805" t="s">
        <v>797</v>
      </c>
      <c r="B61" s="1803"/>
      <c r="C61" s="1803"/>
      <c r="D61" s="1803"/>
      <c r="E61" s="1803"/>
      <c r="F61" s="1803"/>
      <c r="G61" s="1803"/>
      <c r="H61" s="1803"/>
    </row>
    <row r="62" spans="1:8">
      <c r="A62" s="1803"/>
      <c r="B62" s="1803"/>
      <c r="C62" s="1803"/>
      <c r="D62" s="1803"/>
      <c r="E62" s="1803"/>
      <c r="F62" s="1803"/>
      <c r="G62" s="1803"/>
      <c r="H62" s="1803"/>
    </row>
    <row r="63" spans="1:8">
      <c r="A63" s="1804" t="s">
        <v>798</v>
      </c>
      <c r="B63" s="1803"/>
      <c r="C63" s="1803"/>
      <c r="D63" s="1803"/>
      <c r="E63" s="1803"/>
      <c r="F63" s="1803"/>
      <c r="G63" s="1803"/>
      <c r="H63" s="1803"/>
    </row>
    <row r="64" spans="1:8">
      <c r="A64" s="1803"/>
      <c r="B64" s="1803"/>
      <c r="C64" s="1803"/>
      <c r="D64" s="1803"/>
      <c r="E64" s="1803"/>
      <c r="F64" s="1803"/>
      <c r="G64" s="1803"/>
      <c r="H64" s="1803"/>
    </row>
    <row r="65" spans="1:8">
      <c r="A65" s="1804" t="s">
        <v>1034</v>
      </c>
      <c r="B65" s="1803"/>
      <c r="C65" s="1803"/>
      <c r="D65" s="1803"/>
      <c r="E65" s="1803"/>
      <c r="F65" s="1803"/>
      <c r="G65" s="1803"/>
      <c r="H65" s="1803"/>
    </row>
    <row r="66" spans="1:8">
      <c r="A66" s="1804" t="s">
        <v>1035</v>
      </c>
      <c r="B66" s="1803"/>
      <c r="C66" s="1803"/>
      <c r="D66" s="1803"/>
      <c r="E66" s="1803"/>
      <c r="F66" s="1803"/>
      <c r="G66" s="1803"/>
      <c r="H66" s="1803"/>
    </row>
    <row r="67" spans="1:8">
      <c r="A67" s="1804" t="s">
        <v>1036</v>
      </c>
      <c r="B67" s="1803"/>
      <c r="C67" s="1803"/>
      <c r="D67" s="1803"/>
      <c r="E67" s="1803"/>
      <c r="F67" s="1803"/>
      <c r="G67" s="1803"/>
      <c r="H67" s="1803"/>
    </row>
    <row r="68" spans="1:8">
      <c r="A68" s="1804" t="s">
        <v>1037</v>
      </c>
      <c r="B68" s="1803"/>
      <c r="C68" s="1803"/>
      <c r="D68" s="1803"/>
      <c r="E68" s="1803"/>
      <c r="F68" s="1803"/>
      <c r="G68" s="1803"/>
      <c r="H68" s="1803"/>
    </row>
    <row r="69" spans="1:8">
      <c r="A69" s="1804" t="s">
        <v>1038</v>
      </c>
      <c r="B69" s="1803"/>
      <c r="C69" s="1803"/>
      <c r="D69" s="1803"/>
      <c r="E69" s="1803"/>
      <c r="F69" s="1803"/>
      <c r="G69" s="1803"/>
      <c r="H69" s="1803"/>
    </row>
    <row r="70" spans="1:8">
      <c r="A70" s="1804" t="s">
        <v>923</v>
      </c>
      <c r="B70" s="1803"/>
      <c r="C70" s="1803"/>
      <c r="D70" s="1803"/>
      <c r="E70" s="1803"/>
      <c r="F70" s="1803"/>
      <c r="G70" s="1803"/>
      <c r="H70" s="1803"/>
    </row>
    <row r="71" spans="1:8">
      <c r="A71" s="1803"/>
      <c r="B71" s="1803"/>
      <c r="C71" s="1803"/>
      <c r="D71" s="1803"/>
      <c r="E71" s="1803"/>
      <c r="F71" s="1803"/>
      <c r="G71" s="1803"/>
      <c r="H71" s="1803"/>
    </row>
    <row r="72" spans="1:8">
      <c r="A72" s="1804" t="s">
        <v>1027</v>
      </c>
      <c r="B72" s="1803"/>
      <c r="C72" s="1803"/>
      <c r="D72" s="1803"/>
      <c r="E72" s="1803"/>
      <c r="F72" s="1803"/>
      <c r="G72" s="1803"/>
      <c r="H72" s="1803"/>
    </row>
    <row r="73" spans="1:8">
      <c r="A73" s="1804" t="s">
        <v>1028</v>
      </c>
      <c r="B73" s="1803"/>
      <c r="C73" s="1803"/>
      <c r="D73" s="1803"/>
      <c r="E73" s="1803"/>
      <c r="F73" s="1803"/>
      <c r="G73" s="1803"/>
      <c r="H73" s="1803"/>
    </row>
    <row r="74" spans="1:8">
      <c r="A74" s="1804" t="s">
        <v>1029</v>
      </c>
      <c r="B74" s="1803"/>
      <c r="C74" s="1803"/>
      <c r="D74" s="1803"/>
      <c r="E74" s="1803"/>
      <c r="F74" s="1803"/>
      <c r="G74" s="1803"/>
      <c r="H74" s="1803"/>
    </row>
    <row r="75" spans="1:8">
      <c r="A75" s="1804" t="s">
        <v>1030</v>
      </c>
      <c r="B75" s="1803"/>
      <c r="C75" s="1803"/>
      <c r="D75" s="1803"/>
      <c r="E75" s="1803"/>
      <c r="F75" s="1803"/>
      <c r="G75" s="1803"/>
      <c r="H75" s="1803"/>
    </row>
    <row r="76" spans="1:8">
      <c r="A76" s="1804" t="s">
        <v>1031</v>
      </c>
      <c r="B76" s="1803"/>
      <c r="C76" s="1803"/>
      <c r="D76" s="1803"/>
      <c r="E76" s="1803"/>
      <c r="F76" s="1803"/>
      <c r="G76" s="1803"/>
      <c r="H76" s="1803"/>
    </row>
    <row r="77" spans="1:8">
      <c r="A77" s="1804" t="s">
        <v>1032</v>
      </c>
      <c r="B77" s="1803"/>
      <c r="C77" s="1803"/>
      <c r="D77" s="1803"/>
      <c r="E77" s="1803"/>
      <c r="F77" s="1803"/>
      <c r="G77" s="1803"/>
      <c r="H77" s="1803"/>
    </row>
    <row r="78" spans="1:8">
      <c r="A78" s="1804" t="s">
        <v>1033</v>
      </c>
      <c r="B78" s="1803"/>
      <c r="C78" s="1803"/>
      <c r="D78" s="1803"/>
      <c r="E78" s="1803"/>
      <c r="F78" s="1803"/>
      <c r="G78" s="1803"/>
      <c r="H78" s="1803"/>
    </row>
    <row r="79" spans="1:8">
      <c r="A79" s="1803"/>
      <c r="B79" s="1803"/>
      <c r="C79" s="1803"/>
      <c r="D79" s="1803"/>
      <c r="E79" s="1803"/>
      <c r="F79" s="1803"/>
      <c r="G79" s="1803"/>
      <c r="H79" s="1803"/>
    </row>
    <row r="80" spans="1:8">
      <c r="A80" s="1804" t="s">
        <v>1025</v>
      </c>
      <c r="B80" s="1803"/>
      <c r="C80" s="1803"/>
      <c r="D80" s="1803"/>
      <c r="E80" s="1803"/>
      <c r="F80" s="1803"/>
      <c r="G80" s="1803"/>
      <c r="H80" s="1803"/>
    </row>
    <row r="81" spans="1:8">
      <c r="A81" s="1804" t="s">
        <v>1026</v>
      </c>
      <c r="B81" s="1803"/>
      <c r="C81" s="1803"/>
      <c r="D81" s="1803"/>
      <c r="E81" s="1803"/>
      <c r="F81" s="1803"/>
      <c r="G81" s="1803"/>
      <c r="H81" s="1803"/>
    </row>
    <row r="82" spans="1:8">
      <c r="A82" s="1803"/>
      <c r="B82" s="1803"/>
      <c r="C82" s="1803"/>
      <c r="D82" s="1803"/>
      <c r="E82" s="1803"/>
      <c r="F82" s="1803"/>
      <c r="G82" s="1803"/>
      <c r="H82" s="1803"/>
    </row>
    <row r="83" spans="1:8" ht="15.75">
      <c r="A83" s="1805" t="s">
        <v>799</v>
      </c>
      <c r="B83" s="1803"/>
      <c r="C83" s="1803"/>
      <c r="D83" s="1803"/>
      <c r="E83" s="1803"/>
      <c r="F83" s="1803"/>
      <c r="G83" s="1803"/>
      <c r="H83" s="1803"/>
    </row>
    <row r="84" spans="1:8">
      <c r="A84" s="1803"/>
      <c r="B84" s="1803"/>
      <c r="C84" s="1803"/>
      <c r="D84" s="1803"/>
      <c r="E84" s="1803"/>
      <c r="F84" s="1803"/>
      <c r="G84" s="1803"/>
      <c r="H84" s="1803"/>
    </row>
    <row r="85" spans="1:8">
      <c r="A85" s="1804" t="s">
        <v>1016</v>
      </c>
      <c r="B85" s="1803"/>
      <c r="C85" s="1803"/>
      <c r="D85" s="1803"/>
      <c r="E85" s="1803"/>
      <c r="F85" s="1803"/>
      <c r="G85" s="1803"/>
      <c r="H85" s="1803"/>
    </row>
    <row r="86" spans="1:8">
      <c r="A86" s="1804" t="s">
        <v>1017</v>
      </c>
      <c r="B86" s="1803"/>
      <c r="C86" s="1803"/>
      <c r="D86" s="1803"/>
      <c r="E86" s="1803"/>
      <c r="F86" s="1803"/>
      <c r="G86" s="1803"/>
      <c r="H86" s="1803"/>
    </row>
    <row r="87" spans="1:8">
      <c r="A87" s="1804" t="s">
        <v>1018</v>
      </c>
      <c r="B87" s="1803"/>
      <c r="C87" s="1803"/>
      <c r="D87" s="1803"/>
      <c r="E87" s="1803"/>
      <c r="F87" s="1803"/>
      <c r="G87" s="1803"/>
      <c r="H87" s="1803"/>
    </row>
    <row r="88" spans="1:8">
      <c r="A88" s="1804" t="s">
        <v>1019</v>
      </c>
      <c r="B88" s="1803"/>
      <c r="C88" s="1803"/>
      <c r="D88" s="1803"/>
      <c r="E88" s="1803"/>
      <c r="F88" s="1803"/>
      <c r="G88" s="1803"/>
      <c r="H88" s="1803"/>
    </row>
    <row r="89" spans="1:8">
      <c r="A89" s="1804" t="s">
        <v>1020</v>
      </c>
      <c r="B89" s="1803"/>
      <c r="C89" s="1803"/>
      <c r="D89" s="1803"/>
      <c r="E89" s="1803"/>
      <c r="F89" s="1803"/>
      <c r="G89" s="1803"/>
      <c r="H89" s="1803"/>
    </row>
    <row r="90" spans="1:8">
      <c r="A90" s="1804" t="s">
        <v>1021</v>
      </c>
      <c r="B90" s="1803"/>
      <c r="C90" s="1803"/>
      <c r="D90" s="1803"/>
      <c r="E90" s="1803"/>
      <c r="F90" s="1803"/>
      <c r="G90" s="1803"/>
      <c r="H90" s="1803"/>
    </row>
    <row r="91" spans="1:8">
      <c r="A91" s="1804" t="s">
        <v>1022</v>
      </c>
      <c r="B91" s="1803"/>
      <c r="C91" s="1803"/>
      <c r="D91" s="1803"/>
      <c r="E91" s="1803"/>
      <c r="F91" s="1803"/>
      <c r="G91" s="1803"/>
      <c r="H91" s="1803"/>
    </row>
    <row r="92" spans="1:8">
      <c r="A92" s="1804" t="s">
        <v>1023</v>
      </c>
      <c r="B92" s="1803"/>
      <c r="C92" s="1803"/>
      <c r="D92" s="1803"/>
      <c r="E92" s="1803"/>
      <c r="F92" s="1803"/>
      <c r="G92" s="1803"/>
      <c r="H92" s="1803"/>
    </row>
    <row r="93" spans="1:8">
      <c r="A93" s="1804" t="s">
        <v>1024</v>
      </c>
      <c r="B93" s="1803"/>
      <c r="C93" s="1803"/>
      <c r="D93" s="1803"/>
      <c r="E93" s="1803"/>
      <c r="F93" s="1803"/>
      <c r="G93" s="1803"/>
      <c r="H93" s="1803"/>
    </row>
    <row r="94" spans="1:8">
      <c r="A94" s="1803"/>
      <c r="B94" s="1803"/>
      <c r="C94" s="1803"/>
      <c r="D94" s="1803"/>
      <c r="E94" s="1803"/>
      <c r="F94" s="1803"/>
      <c r="G94" s="1803"/>
      <c r="H94" s="1803"/>
    </row>
    <row r="95" spans="1:8" ht="15.75">
      <c r="A95" s="1806" t="s">
        <v>800</v>
      </c>
      <c r="B95" s="1806"/>
      <c r="C95" s="1806"/>
      <c r="D95" s="1806"/>
      <c r="E95" s="1806"/>
      <c r="F95" s="1806"/>
      <c r="G95" s="1806"/>
      <c r="H95" s="1806"/>
    </row>
    <row r="96" spans="1:8">
      <c r="A96" s="1807" t="s">
        <v>801</v>
      </c>
      <c r="B96" s="1807"/>
      <c r="C96" s="1807"/>
      <c r="D96" s="1807"/>
      <c r="E96" s="1807"/>
      <c r="F96" s="1807"/>
      <c r="G96" s="1807"/>
      <c r="H96" s="1807"/>
    </row>
    <row r="97" spans="1:8">
      <c r="A97" s="1808"/>
      <c r="B97" s="1808"/>
      <c r="C97" s="1808"/>
      <c r="D97" s="1808"/>
      <c r="E97" s="1808"/>
      <c r="F97" s="1808"/>
      <c r="G97" s="1808"/>
      <c r="H97" s="1808"/>
    </row>
    <row r="98" spans="1:8">
      <c r="A98" s="1807" t="s">
        <v>1014</v>
      </c>
      <c r="B98" s="1807"/>
      <c r="C98" s="1807"/>
      <c r="D98" s="1807"/>
      <c r="E98" s="1807"/>
      <c r="F98" s="1807"/>
      <c r="G98" s="1807"/>
      <c r="H98" s="1807"/>
    </row>
    <row r="99" spans="1:8">
      <c r="A99" s="1804" t="s">
        <v>1015</v>
      </c>
      <c r="B99" s="1804"/>
      <c r="C99" s="1804"/>
      <c r="D99" s="1804"/>
      <c r="E99" s="1804"/>
      <c r="F99" s="1804"/>
      <c r="G99" s="1804"/>
      <c r="H99" s="1804"/>
    </row>
    <row r="100" spans="1:8">
      <c r="A100" s="1808"/>
      <c r="B100" s="1808"/>
      <c r="C100" s="1808"/>
      <c r="D100" s="1808"/>
      <c r="E100" s="1808"/>
      <c r="F100" s="1808"/>
      <c r="G100" s="1808"/>
      <c r="H100" s="1808"/>
    </row>
    <row r="101" spans="1:8">
      <c r="A101" s="1807" t="s">
        <v>1007</v>
      </c>
      <c r="B101" s="1807"/>
      <c r="C101" s="1807"/>
      <c r="D101" s="1807"/>
      <c r="E101" s="1807"/>
      <c r="F101" s="1807"/>
      <c r="G101" s="1807"/>
      <c r="H101" s="1807"/>
    </row>
    <row r="102" spans="1:8">
      <c r="A102" s="1804" t="s">
        <v>1008</v>
      </c>
      <c r="B102" s="1804"/>
      <c r="C102" s="1804"/>
      <c r="D102" s="1804"/>
      <c r="E102" s="1804"/>
      <c r="F102" s="1804"/>
      <c r="G102" s="1804"/>
      <c r="H102" s="1804"/>
    </row>
    <row r="103" spans="1:8">
      <c r="A103" s="1804" t="s">
        <v>1009</v>
      </c>
      <c r="B103" s="1804"/>
      <c r="C103" s="1804"/>
      <c r="D103" s="1804"/>
      <c r="E103" s="1804"/>
      <c r="F103" s="1804"/>
      <c r="G103" s="1804"/>
      <c r="H103" s="1804"/>
    </row>
    <row r="104" spans="1:8">
      <c r="A104" s="1804" t="s">
        <v>1010</v>
      </c>
      <c r="B104" s="1804"/>
      <c r="C104" s="1804"/>
      <c r="D104" s="1804"/>
      <c r="E104" s="1804"/>
      <c r="F104" s="1804"/>
      <c r="G104" s="1804"/>
      <c r="H104" s="1804"/>
    </row>
    <row r="105" spans="1:8">
      <c r="A105" s="1804" t="s">
        <v>1011</v>
      </c>
      <c r="B105" s="1804"/>
      <c r="C105" s="1804"/>
      <c r="D105" s="1804"/>
      <c r="E105" s="1804"/>
      <c r="F105" s="1804"/>
      <c r="G105" s="1804"/>
      <c r="H105" s="1804"/>
    </row>
    <row r="106" spans="1:8">
      <c r="A106" s="1804" t="s">
        <v>1012</v>
      </c>
      <c r="B106" s="1804"/>
      <c r="C106" s="1804"/>
      <c r="D106" s="1804"/>
      <c r="E106" s="1804"/>
      <c r="F106" s="1804"/>
      <c r="G106" s="1804"/>
      <c r="H106" s="1804"/>
    </row>
    <row r="107" spans="1:8">
      <c r="A107" s="1804" t="s">
        <v>1013</v>
      </c>
      <c r="B107" s="1804"/>
      <c r="C107" s="1804"/>
      <c r="D107" s="1804"/>
      <c r="E107" s="1804"/>
      <c r="F107" s="1804"/>
      <c r="G107" s="1804"/>
      <c r="H107" s="1804"/>
    </row>
    <row r="108" spans="1:8">
      <c r="A108" s="1809"/>
      <c r="B108" s="1809"/>
      <c r="C108" s="1809"/>
      <c r="D108" s="1809"/>
      <c r="E108" s="1809"/>
      <c r="F108" s="1809"/>
      <c r="G108" s="1809"/>
      <c r="H108" s="1809"/>
    </row>
    <row r="109" spans="1:8">
      <c r="A109" s="1810"/>
      <c r="B109" s="1811" t="s">
        <v>802</v>
      </c>
      <c r="C109" s="1812"/>
      <c r="D109" s="1811" t="s">
        <v>803</v>
      </c>
      <c r="E109" s="1813"/>
      <c r="F109" s="1812"/>
      <c r="G109" s="1811" t="s">
        <v>804</v>
      </c>
      <c r="H109" s="1812"/>
    </row>
    <row r="110" spans="1:8">
      <c r="A110" s="1810" t="s">
        <v>805</v>
      </c>
      <c r="B110" s="1810" t="s">
        <v>448</v>
      </c>
      <c r="C110" s="1810" t="s">
        <v>806</v>
      </c>
      <c r="D110" s="1810" t="s">
        <v>448</v>
      </c>
      <c r="E110" s="1810" t="s">
        <v>807</v>
      </c>
      <c r="F110" s="1810" t="s">
        <v>808</v>
      </c>
      <c r="G110" s="1810" t="s">
        <v>448</v>
      </c>
      <c r="H110" s="1810" t="s">
        <v>809</v>
      </c>
    </row>
    <row r="111" spans="1:8">
      <c r="A111" s="1810" t="s">
        <v>810</v>
      </c>
      <c r="B111" s="1810">
        <v>1189</v>
      </c>
      <c r="C111" s="1814">
        <v>0.38</v>
      </c>
      <c r="D111" s="1810">
        <v>315</v>
      </c>
      <c r="E111" s="1814">
        <v>0.41</v>
      </c>
      <c r="F111" s="1814">
        <v>0.26</v>
      </c>
      <c r="G111" s="1810">
        <v>555</v>
      </c>
      <c r="H111" s="1814">
        <v>0.39</v>
      </c>
    </row>
    <row r="112" spans="1:8">
      <c r="A112" s="1810" t="s">
        <v>811</v>
      </c>
      <c r="B112" s="1810">
        <v>1355</v>
      </c>
      <c r="C112" s="1814">
        <v>0.43</v>
      </c>
      <c r="D112" s="1810">
        <v>364</v>
      </c>
      <c r="E112" s="1814">
        <v>0.47</v>
      </c>
      <c r="F112" s="1814">
        <v>0.27</v>
      </c>
      <c r="G112" s="1810">
        <v>644</v>
      </c>
      <c r="H112" s="1814">
        <v>0.45</v>
      </c>
    </row>
    <row r="113" spans="1:8">
      <c r="A113" s="1810" t="s">
        <v>812</v>
      </c>
      <c r="B113" s="1810">
        <v>53</v>
      </c>
      <c r="C113" s="1814">
        <v>0.02</v>
      </c>
      <c r="D113" s="1810">
        <v>4</v>
      </c>
      <c r="E113" s="1814">
        <v>0.01</v>
      </c>
      <c r="F113" s="1814">
        <v>0.08</v>
      </c>
      <c r="G113" s="1810">
        <v>7</v>
      </c>
      <c r="H113" s="1814">
        <v>0</v>
      </c>
    </row>
    <row r="114" spans="1:8">
      <c r="A114" s="1810" t="s">
        <v>813</v>
      </c>
      <c r="B114" s="1810">
        <v>545</v>
      </c>
      <c r="C114" s="1814">
        <v>0.17</v>
      </c>
      <c r="D114" s="1810">
        <v>84</v>
      </c>
      <c r="E114" s="1814">
        <v>0.11</v>
      </c>
      <c r="F114" s="1814">
        <v>0.15</v>
      </c>
      <c r="G114" s="1810">
        <v>214</v>
      </c>
      <c r="H114" s="1814">
        <v>0.15</v>
      </c>
    </row>
    <row r="115" spans="1:8">
      <c r="A115" s="1810" t="s">
        <v>330</v>
      </c>
      <c r="B115" s="1815">
        <v>3142</v>
      </c>
      <c r="C115" s="1810"/>
      <c r="D115" s="1810">
        <v>767</v>
      </c>
      <c r="E115" s="1810"/>
      <c r="F115" s="1810"/>
      <c r="G115" s="1810">
        <v>1420</v>
      </c>
      <c r="H115" s="1810"/>
    </row>
    <row r="116" spans="1:8">
      <c r="A116" s="1816"/>
      <c r="B116" s="1816"/>
      <c r="C116" s="1816"/>
      <c r="D116" s="1816"/>
      <c r="E116" s="1816"/>
      <c r="F116" s="1816"/>
      <c r="G116" s="1816"/>
      <c r="H116" s="1816"/>
    </row>
    <row r="117" spans="1:8">
      <c r="A117" s="1807" t="s">
        <v>1003</v>
      </c>
      <c r="B117" s="1807"/>
      <c r="C117" s="1807"/>
      <c r="D117" s="1807"/>
      <c r="E117" s="1807"/>
      <c r="F117" s="1807"/>
      <c r="G117" s="1807"/>
      <c r="H117" s="1807"/>
    </row>
    <row r="118" spans="1:8">
      <c r="A118" s="1804" t="s">
        <v>1004</v>
      </c>
      <c r="B118" s="1804"/>
      <c r="C118" s="1804"/>
      <c r="D118" s="1804"/>
      <c r="E118" s="1804"/>
      <c r="F118" s="1804"/>
      <c r="G118" s="1804"/>
      <c r="H118" s="1804"/>
    </row>
    <row r="119" spans="1:8">
      <c r="A119" s="1804" t="s">
        <v>1005</v>
      </c>
      <c r="B119" s="1804"/>
      <c r="C119" s="1804"/>
      <c r="D119" s="1804"/>
      <c r="E119" s="1804"/>
      <c r="F119" s="1804"/>
      <c r="G119" s="1804"/>
      <c r="H119" s="1804"/>
    </row>
    <row r="120" spans="1:8">
      <c r="A120" s="1804" t="s">
        <v>1006</v>
      </c>
      <c r="B120" s="1804"/>
      <c r="C120" s="1804"/>
      <c r="D120" s="1804"/>
      <c r="E120" s="1804"/>
      <c r="F120" s="1804"/>
      <c r="G120" s="1804"/>
      <c r="H120" s="1804"/>
    </row>
    <row r="121" spans="1:8">
      <c r="A121" s="1803"/>
      <c r="B121" s="1803"/>
      <c r="C121" s="1803"/>
      <c r="D121" s="1803"/>
      <c r="E121" s="1803"/>
      <c r="F121" s="1803"/>
      <c r="G121" s="1803"/>
      <c r="H121" s="1803"/>
    </row>
    <row r="122" spans="1:8" ht="15.75">
      <c r="A122" s="1805" t="s">
        <v>814</v>
      </c>
      <c r="B122" s="1803"/>
      <c r="C122" s="1803"/>
      <c r="D122" s="1803"/>
      <c r="E122" s="1803"/>
      <c r="F122" s="1803"/>
      <c r="G122" s="1803"/>
      <c r="H122" s="1803"/>
    </row>
    <row r="123" spans="1:8">
      <c r="A123" s="1803"/>
      <c r="B123" s="1803"/>
      <c r="C123" s="1803"/>
      <c r="D123" s="1803"/>
      <c r="E123" s="1803"/>
      <c r="F123" s="1803"/>
      <c r="G123" s="1803"/>
      <c r="H123" s="1803"/>
    </row>
    <row r="124" spans="1:8">
      <c r="A124" s="1804" t="s">
        <v>1001</v>
      </c>
      <c r="B124" s="1803"/>
      <c r="C124" s="1803"/>
      <c r="D124" s="1803"/>
      <c r="E124" s="1803"/>
      <c r="F124" s="1803"/>
      <c r="G124" s="1803"/>
      <c r="H124" s="1803"/>
    </row>
    <row r="125" spans="1:8">
      <c r="A125" s="1804" t="s">
        <v>1002</v>
      </c>
      <c r="B125" s="1803"/>
      <c r="C125" s="1803"/>
      <c r="D125" s="1803"/>
      <c r="E125" s="1803"/>
      <c r="F125" s="1803"/>
      <c r="G125" s="1803"/>
      <c r="H125" s="1803"/>
    </row>
    <row r="126" spans="1:8">
      <c r="A126" s="1803"/>
      <c r="B126" s="1803"/>
      <c r="C126" s="1803"/>
      <c r="D126" s="1803"/>
      <c r="E126" s="1803"/>
      <c r="F126" s="1803"/>
      <c r="G126" s="1803"/>
      <c r="H126" s="1803"/>
    </row>
    <row r="127" spans="1:8">
      <c r="A127" s="1804" t="s">
        <v>998</v>
      </c>
      <c r="B127" s="1803"/>
      <c r="C127" s="1803"/>
      <c r="D127" s="1803"/>
      <c r="E127" s="1803"/>
      <c r="F127" s="1803"/>
      <c r="G127" s="1803"/>
      <c r="H127" s="1803"/>
    </row>
    <row r="128" spans="1:8">
      <c r="A128" s="1804" t="s">
        <v>999</v>
      </c>
      <c r="B128" s="1803"/>
      <c r="C128" s="1803"/>
      <c r="D128" s="1803"/>
      <c r="E128" s="1803"/>
      <c r="F128" s="1803"/>
      <c r="G128" s="1803"/>
      <c r="H128" s="1803"/>
    </row>
    <row r="129" spans="1:8">
      <c r="A129" s="1804" t="s">
        <v>1000</v>
      </c>
      <c r="B129" s="1803"/>
      <c r="C129" s="1803"/>
      <c r="D129" s="1803"/>
      <c r="E129" s="1803"/>
      <c r="F129" s="1803"/>
      <c r="G129" s="1803"/>
      <c r="H129" s="1803"/>
    </row>
    <row r="130" spans="1:8">
      <c r="A130" s="1803"/>
      <c r="B130" s="1803"/>
      <c r="C130" s="1803"/>
      <c r="D130" s="1803"/>
      <c r="E130" s="1803"/>
      <c r="F130" s="1803"/>
      <c r="G130" s="1803"/>
      <c r="H130" s="1803"/>
    </row>
    <row r="131" spans="1:8">
      <c r="A131" s="1804" t="s">
        <v>995</v>
      </c>
      <c r="B131" s="1803"/>
      <c r="C131" s="1803"/>
      <c r="D131" s="1803"/>
      <c r="E131" s="1803"/>
      <c r="F131" s="1803"/>
      <c r="G131" s="1803"/>
      <c r="H131" s="1803"/>
    </row>
    <row r="132" spans="1:8">
      <c r="A132" s="1804" t="s">
        <v>996</v>
      </c>
      <c r="B132" s="1803"/>
      <c r="C132" s="1803"/>
      <c r="D132" s="1803"/>
      <c r="E132" s="1803"/>
      <c r="F132" s="1803"/>
      <c r="G132" s="1803"/>
      <c r="H132" s="1803"/>
    </row>
    <row r="133" spans="1:8">
      <c r="A133" s="1804" t="s">
        <v>997</v>
      </c>
      <c r="B133" s="1803"/>
      <c r="C133" s="1803"/>
      <c r="D133" s="1803"/>
      <c r="E133" s="1803"/>
      <c r="F133" s="1803"/>
      <c r="G133" s="1803"/>
      <c r="H133" s="1803"/>
    </row>
    <row r="134" spans="1:8">
      <c r="A134" s="1803"/>
      <c r="B134" s="1803"/>
      <c r="C134" s="1803"/>
      <c r="D134" s="1803"/>
      <c r="E134" s="1803"/>
      <c r="F134" s="1803"/>
      <c r="G134" s="1803"/>
      <c r="H134" s="1803"/>
    </row>
    <row r="135" spans="1:8">
      <c r="A135" s="1804" t="s">
        <v>992</v>
      </c>
      <c r="B135" s="1803"/>
      <c r="C135" s="1803"/>
      <c r="D135" s="1803"/>
      <c r="E135" s="1803"/>
      <c r="F135" s="1803"/>
      <c r="G135" s="1803"/>
      <c r="H135" s="1803"/>
    </row>
    <row r="136" spans="1:8">
      <c r="A136" s="1804" t="s">
        <v>993</v>
      </c>
      <c r="B136" s="1803"/>
      <c r="C136" s="1803"/>
      <c r="D136" s="1803"/>
      <c r="E136" s="1803"/>
      <c r="F136" s="1803"/>
      <c r="G136" s="1803"/>
      <c r="H136" s="1803"/>
    </row>
    <row r="137" spans="1:8">
      <c r="A137" s="1804" t="s">
        <v>994</v>
      </c>
      <c r="B137" s="1803"/>
      <c r="C137" s="1803"/>
      <c r="D137" s="1803"/>
      <c r="E137" s="1803"/>
      <c r="F137" s="1803"/>
      <c r="G137" s="1803"/>
      <c r="H137" s="1803"/>
    </row>
    <row r="138" spans="1:8">
      <c r="A138" s="1803"/>
      <c r="B138" s="1803"/>
      <c r="C138" s="1803"/>
      <c r="D138" s="1803"/>
      <c r="E138" s="1803"/>
      <c r="F138" s="1803"/>
      <c r="G138" s="1803"/>
      <c r="H138" s="1803"/>
    </row>
    <row r="139" spans="1:8">
      <c r="A139" s="1804" t="s">
        <v>990</v>
      </c>
      <c r="B139" s="1803"/>
      <c r="C139" s="1803"/>
      <c r="D139" s="1803"/>
      <c r="E139" s="1803"/>
      <c r="F139" s="1803"/>
      <c r="G139" s="1803"/>
      <c r="H139" s="1803"/>
    </row>
    <row r="140" spans="1:8">
      <c r="A140" s="1804" t="s">
        <v>991</v>
      </c>
      <c r="B140" s="1803"/>
      <c r="C140" s="1803"/>
      <c r="D140" s="1803"/>
      <c r="E140" s="1803"/>
      <c r="F140" s="1803"/>
      <c r="G140" s="1803"/>
      <c r="H140" s="1803"/>
    </row>
    <row r="141" spans="1:8">
      <c r="A141" s="1803"/>
      <c r="B141" s="1803"/>
      <c r="C141" s="1803"/>
      <c r="D141" s="1803"/>
      <c r="E141" s="1803"/>
      <c r="F141" s="1803"/>
      <c r="G141" s="1803"/>
      <c r="H141" s="1803"/>
    </row>
    <row r="142" spans="1:8" ht="15.75">
      <c r="A142" s="1805" t="s">
        <v>815</v>
      </c>
      <c r="B142" s="1803"/>
      <c r="C142" s="1803"/>
      <c r="D142" s="1803"/>
      <c r="E142" s="1803"/>
      <c r="F142" s="1803"/>
      <c r="G142" s="1803"/>
      <c r="H142" s="1803"/>
    </row>
    <row r="143" spans="1:8">
      <c r="A143" s="1803"/>
      <c r="B143" s="1803"/>
      <c r="C143" s="1803"/>
      <c r="D143" s="1803"/>
      <c r="E143" s="1803"/>
      <c r="F143" s="1803"/>
      <c r="G143" s="1803"/>
      <c r="H143" s="1803"/>
    </row>
    <row r="144" spans="1:8">
      <c r="A144" s="1804" t="s">
        <v>988</v>
      </c>
      <c r="B144" s="1803"/>
      <c r="C144" s="1803"/>
      <c r="D144" s="1803"/>
      <c r="E144" s="1803"/>
      <c r="F144" s="1803"/>
      <c r="G144" s="1803"/>
      <c r="H144" s="1803"/>
    </row>
    <row r="145" spans="1:8">
      <c r="A145" s="1804" t="s">
        <v>989</v>
      </c>
      <c r="B145" s="1803"/>
      <c r="C145" s="1803"/>
      <c r="D145" s="1803"/>
      <c r="E145" s="1803"/>
      <c r="F145" s="1803"/>
      <c r="G145" s="1803"/>
      <c r="H145" s="1803"/>
    </row>
    <row r="146" spans="1:8">
      <c r="A146" s="1803"/>
      <c r="B146" s="1803"/>
      <c r="C146" s="1803"/>
      <c r="D146" s="1803"/>
      <c r="E146" s="1803"/>
      <c r="F146" s="1803"/>
      <c r="G146" s="1803"/>
      <c r="H146" s="1803"/>
    </row>
    <row r="147" spans="1:8">
      <c r="A147" s="1804" t="s">
        <v>986</v>
      </c>
      <c r="B147" s="1803"/>
      <c r="C147" s="1803"/>
      <c r="D147" s="1803"/>
      <c r="E147" s="1803"/>
      <c r="F147" s="1803"/>
      <c r="G147" s="1803"/>
      <c r="H147" s="1803"/>
    </row>
    <row r="148" spans="1:8">
      <c r="A148" s="1804" t="s">
        <v>987</v>
      </c>
      <c r="B148" s="1803"/>
      <c r="C148" s="1803"/>
      <c r="D148" s="1803"/>
      <c r="E148" s="1803"/>
      <c r="F148" s="1803"/>
      <c r="G148" s="1803"/>
      <c r="H148" s="1803"/>
    </row>
    <row r="149" spans="1:8">
      <c r="A149" s="1803"/>
      <c r="B149" s="1803"/>
      <c r="C149" s="1803"/>
      <c r="D149" s="1803"/>
      <c r="E149" s="1803"/>
      <c r="F149" s="1803"/>
      <c r="G149" s="1803"/>
      <c r="H149" s="1803"/>
    </row>
    <row r="150" spans="1:8">
      <c r="A150" s="1804" t="s">
        <v>984</v>
      </c>
      <c r="B150" s="1803"/>
      <c r="C150" s="1803"/>
      <c r="D150" s="1803"/>
      <c r="E150" s="1803"/>
      <c r="F150" s="1803"/>
      <c r="G150" s="1803"/>
      <c r="H150" s="1803"/>
    </row>
    <row r="151" spans="1:8">
      <c r="A151" s="1804" t="s">
        <v>985</v>
      </c>
      <c r="B151" s="1803"/>
      <c r="C151" s="1803"/>
      <c r="D151" s="1803"/>
      <c r="E151" s="1803"/>
      <c r="F151" s="1803"/>
      <c r="G151" s="1803"/>
      <c r="H151" s="1803"/>
    </row>
    <row r="152" spans="1:8">
      <c r="A152" s="1803"/>
      <c r="B152" s="1803"/>
      <c r="C152" s="1803"/>
      <c r="D152" s="1803"/>
      <c r="E152" s="1803"/>
      <c r="F152" s="1803"/>
      <c r="G152" s="1803"/>
      <c r="H152" s="1803"/>
    </row>
    <row r="153" spans="1:8">
      <c r="A153" s="1804" t="s">
        <v>981</v>
      </c>
      <c r="B153" s="1803"/>
      <c r="C153" s="1803"/>
      <c r="D153" s="1803"/>
      <c r="E153" s="1803"/>
      <c r="F153" s="1803"/>
      <c r="G153" s="1803"/>
      <c r="H153" s="1803"/>
    </row>
    <row r="154" spans="1:8">
      <c r="A154" s="1804" t="s">
        <v>982</v>
      </c>
      <c r="B154" s="1803"/>
      <c r="C154" s="1803"/>
      <c r="D154" s="1803"/>
      <c r="E154" s="1803"/>
      <c r="F154" s="1803"/>
      <c r="G154" s="1803"/>
      <c r="H154" s="1803"/>
    </row>
    <row r="155" spans="1:8">
      <c r="A155" s="1804" t="s">
        <v>983</v>
      </c>
      <c r="B155" s="1803"/>
      <c r="C155" s="1803"/>
      <c r="D155" s="1803"/>
      <c r="E155" s="1803"/>
      <c r="F155" s="1803"/>
      <c r="G155" s="1803"/>
      <c r="H155" s="1803"/>
    </row>
    <row r="156" spans="1:8">
      <c r="A156" s="1803"/>
      <c r="B156" s="1803"/>
      <c r="C156" s="1803"/>
      <c r="D156" s="1803"/>
      <c r="E156" s="1803"/>
      <c r="F156" s="1803"/>
      <c r="G156" s="1803"/>
      <c r="H156" s="1803"/>
    </row>
    <row r="157" spans="1:8">
      <c r="A157" s="1803"/>
      <c r="B157" s="1803"/>
      <c r="C157" s="1803"/>
      <c r="D157" s="1803"/>
      <c r="E157" s="1803"/>
      <c r="F157" s="1803"/>
      <c r="G157" s="1803"/>
      <c r="H157" s="1803"/>
    </row>
    <row r="158" spans="1:8">
      <c r="A158" s="1804" t="s">
        <v>687</v>
      </c>
      <c r="B158" s="1803"/>
      <c r="C158" s="1803"/>
      <c r="D158" s="1803"/>
      <c r="E158" s="1803"/>
      <c r="F158" s="1803"/>
      <c r="G158" s="1803"/>
      <c r="H158" s="1803"/>
    </row>
    <row r="159" spans="1:8">
      <c r="A159" s="1803"/>
      <c r="B159" s="1803"/>
      <c r="C159" s="1803"/>
      <c r="D159" s="1803"/>
      <c r="E159" s="1803"/>
      <c r="F159" s="1803"/>
      <c r="G159" s="1803"/>
      <c r="H159" s="1803"/>
    </row>
    <row r="160" spans="1:8" ht="15.75">
      <c r="A160" s="1805" t="s">
        <v>816</v>
      </c>
      <c r="B160" s="1803"/>
      <c r="C160" s="1803"/>
      <c r="D160" s="1803"/>
      <c r="E160" s="1803"/>
      <c r="F160" s="1803"/>
      <c r="G160" s="1803"/>
      <c r="H160" s="1803"/>
    </row>
    <row r="161" spans="1:8">
      <c r="A161" s="1803"/>
      <c r="B161" s="1803"/>
      <c r="C161" s="1803"/>
      <c r="D161" s="1803"/>
      <c r="E161" s="1803"/>
      <c r="F161" s="1803"/>
      <c r="G161" s="1803"/>
      <c r="H161" s="1803"/>
    </row>
    <row r="162" spans="1:8">
      <c r="A162" s="1803"/>
      <c r="B162" s="1803"/>
      <c r="C162" s="1803"/>
      <c r="D162" s="1803"/>
      <c r="E162" s="1803"/>
      <c r="F162" s="1803"/>
      <c r="G162" s="1803"/>
      <c r="H162" s="1803"/>
    </row>
    <row r="163" spans="1:8">
      <c r="A163" s="1803"/>
      <c r="B163" s="1803"/>
      <c r="C163" s="1803"/>
      <c r="D163" s="1803"/>
      <c r="E163" s="1803"/>
      <c r="F163" s="1803"/>
      <c r="G163" s="1803"/>
      <c r="H163" s="1803"/>
    </row>
    <row r="164" spans="1:8">
      <c r="A164" s="1803"/>
      <c r="B164" s="1803"/>
      <c r="C164" s="1803"/>
      <c r="D164" s="1803"/>
      <c r="E164" s="1803"/>
      <c r="F164" s="1803"/>
      <c r="G164" s="1803"/>
      <c r="H164" s="1803"/>
    </row>
    <row r="165" spans="1:8">
      <c r="A165" s="1803"/>
      <c r="B165" s="1803"/>
      <c r="C165" s="1803"/>
      <c r="D165" s="1803"/>
      <c r="E165" s="1803"/>
      <c r="F165" s="1803"/>
      <c r="G165" s="1803"/>
      <c r="H165" s="1803"/>
    </row>
    <row r="166" spans="1:8">
      <c r="A166" s="1803"/>
      <c r="B166" s="1803"/>
      <c r="C166" s="1803"/>
      <c r="D166" s="1803"/>
      <c r="E166" s="1803"/>
      <c r="F166" s="1803"/>
      <c r="G166" s="1803"/>
      <c r="H166" s="1803"/>
    </row>
    <row r="167" spans="1:8">
      <c r="A167" s="1803"/>
      <c r="B167" s="1803"/>
      <c r="C167" s="1803"/>
      <c r="D167" s="1803"/>
      <c r="E167" s="1803"/>
      <c r="F167" s="1803"/>
      <c r="G167" s="1803"/>
      <c r="H167" s="1803"/>
    </row>
    <row r="168" spans="1:8">
      <c r="A168" s="1803"/>
      <c r="B168" s="1803"/>
      <c r="C168" s="1803"/>
      <c r="D168" s="1803"/>
      <c r="E168" s="1803"/>
      <c r="F168" s="1803"/>
      <c r="G168" s="1803"/>
      <c r="H168" s="1803"/>
    </row>
    <row r="169" spans="1:8">
      <c r="A169" s="1803"/>
      <c r="B169" s="1803"/>
      <c r="C169" s="1803"/>
      <c r="D169" s="1803"/>
      <c r="E169" s="1803"/>
      <c r="F169" s="1803"/>
      <c r="G169" s="1803"/>
      <c r="H169" s="1803"/>
    </row>
    <row r="170" spans="1:8">
      <c r="A170" s="1803"/>
      <c r="B170" s="1803"/>
      <c r="C170" s="1803"/>
      <c r="D170" s="1803"/>
      <c r="E170" s="1803"/>
      <c r="F170" s="1803"/>
      <c r="G170" s="1803"/>
      <c r="H170" s="1803"/>
    </row>
    <row r="171" spans="1:8">
      <c r="A171" s="1803"/>
      <c r="B171" s="1803"/>
      <c r="C171" s="1803"/>
      <c r="D171" s="1803"/>
      <c r="E171" s="1803"/>
      <c r="F171" s="1803"/>
      <c r="G171" s="1803"/>
      <c r="H171" s="1803"/>
    </row>
    <row r="172" spans="1:8">
      <c r="A172" s="1803"/>
      <c r="B172" s="1803"/>
      <c r="C172" s="1803"/>
      <c r="D172" s="1803"/>
      <c r="E172" s="1803"/>
      <c r="F172" s="1803"/>
      <c r="G172" s="1803"/>
      <c r="H172" s="1803"/>
    </row>
    <row r="173" spans="1:8">
      <c r="A173" s="1803"/>
      <c r="B173" s="1803"/>
      <c r="C173" s="1803"/>
      <c r="D173" s="1803"/>
      <c r="E173" s="1803"/>
      <c r="F173" s="1803"/>
      <c r="G173" s="1803"/>
      <c r="H173" s="1803"/>
    </row>
    <row r="174" spans="1:8">
      <c r="A174" s="1803"/>
      <c r="B174" s="1803"/>
      <c r="C174" s="1803"/>
      <c r="D174" s="1803"/>
      <c r="E174" s="1803"/>
      <c r="F174" s="1803"/>
      <c r="G174" s="1803"/>
      <c r="H174" s="1803"/>
    </row>
    <row r="175" spans="1:8">
      <c r="A175" s="1803"/>
      <c r="B175" s="1803"/>
      <c r="C175" s="1803"/>
      <c r="D175" s="1803"/>
      <c r="E175" s="1803"/>
      <c r="F175" s="1803"/>
      <c r="G175" s="1803"/>
      <c r="H175" s="1803"/>
    </row>
    <row r="176" spans="1:8">
      <c r="A176" s="1803"/>
      <c r="B176" s="1803"/>
      <c r="C176" s="1803"/>
      <c r="D176" s="1803"/>
      <c r="E176" s="1803"/>
      <c r="F176" s="1803"/>
      <c r="G176" s="1803"/>
      <c r="H176" s="1803"/>
    </row>
    <row r="177" spans="1:8">
      <c r="A177" s="1803"/>
      <c r="B177" s="1803"/>
      <c r="C177" s="1803"/>
      <c r="D177" s="1803"/>
      <c r="E177" s="1803"/>
      <c r="F177" s="1803"/>
      <c r="G177" s="1803"/>
      <c r="H177" s="1803"/>
    </row>
    <row r="178" spans="1:8">
      <c r="A178" s="1803"/>
      <c r="B178" s="1803"/>
      <c r="C178" s="1803"/>
      <c r="D178" s="1803"/>
      <c r="E178" s="1803"/>
      <c r="F178" s="1803"/>
      <c r="G178" s="1803"/>
      <c r="H178" s="1803"/>
    </row>
    <row r="179" spans="1:8">
      <c r="A179" s="1803"/>
      <c r="B179" s="1803"/>
      <c r="C179" s="1803"/>
      <c r="D179" s="1803"/>
      <c r="E179" s="1803"/>
      <c r="F179" s="1803"/>
      <c r="G179" s="1803"/>
      <c r="H179" s="1803"/>
    </row>
    <row r="180" spans="1:8">
      <c r="A180" s="1803"/>
      <c r="B180" s="1803"/>
      <c r="C180" s="1803"/>
      <c r="D180" s="1803"/>
      <c r="E180" s="1803"/>
      <c r="F180" s="1803"/>
      <c r="G180" s="1803"/>
      <c r="H180" s="1803"/>
    </row>
    <row r="181" spans="1:8">
      <c r="A181" s="1803"/>
      <c r="B181" s="1803"/>
      <c r="C181" s="1803"/>
      <c r="D181" s="1803"/>
      <c r="E181" s="1803"/>
      <c r="F181" s="1803"/>
      <c r="G181" s="1803"/>
      <c r="H181" s="1803"/>
    </row>
    <row r="182" spans="1:8">
      <c r="A182" s="1803"/>
      <c r="B182" s="1803"/>
      <c r="C182" s="1803"/>
      <c r="D182" s="1803"/>
      <c r="E182" s="1803"/>
      <c r="F182" s="1803"/>
      <c r="G182" s="1803"/>
      <c r="H182" s="1803"/>
    </row>
    <row r="183" spans="1:8">
      <c r="A183" s="1803"/>
      <c r="B183" s="1803"/>
      <c r="C183" s="1803"/>
      <c r="D183" s="1803"/>
      <c r="E183" s="1803"/>
      <c r="F183" s="1803"/>
      <c r="G183" s="1803"/>
      <c r="H183" s="1803"/>
    </row>
    <row r="184" spans="1:8">
      <c r="A184" s="1803"/>
      <c r="B184" s="1803"/>
      <c r="C184" s="1803"/>
      <c r="D184" s="1803"/>
      <c r="E184" s="1803"/>
      <c r="F184" s="1803"/>
      <c r="G184" s="1803"/>
      <c r="H184" s="1803"/>
    </row>
    <row r="185" spans="1:8">
      <c r="A185" s="1803"/>
      <c r="B185" s="1803"/>
      <c r="C185" s="1803"/>
      <c r="D185" s="1803"/>
      <c r="E185" s="1803"/>
      <c r="F185" s="1803"/>
      <c r="G185" s="1803"/>
      <c r="H185" s="1803"/>
    </row>
    <row r="186" spans="1:8">
      <c r="A186" s="1803"/>
      <c r="B186" s="1803"/>
      <c r="C186" s="1803"/>
      <c r="D186" s="1803"/>
      <c r="E186" s="1803"/>
      <c r="F186" s="1803"/>
      <c r="G186" s="1803"/>
      <c r="H186" s="1803"/>
    </row>
    <row r="187" spans="1:8" ht="15.75">
      <c r="A187" s="1805" t="s">
        <v>817</v>
      </c>
      <c r="B187" s="1803"/>
      <c r="C187" s="1803"/>
      <c r="D187" s="1803"/>
      <c r="E187" s="1803"/>
      <c r="F187" s="1803"/>
      <c r="G187" s="1803"/>
      <c r="H187" s="1803"/>
    </row>
    <row r="188" spans="1:8">
      <c r="A188" s="1803"/>
      <c r="B188" s="1803"/>
      <c r="C188" s="1803"/>
      <c r="D188" s="1803"/>
      <c r="E188" s="1803"/>
      <c r="F188" s="1803"/>
      <c r="G188" s="1803"/>
      <c r="H188" s="1803"/>
    </row>
    <row r="189" spans="1:8">
      <c r="A189" s="1804" t="s">
        <v>976</v>
      </c>
      <c r="B189" s="1803"/>
      <c r="C189" s="1803"/>
      <c r="D189" s="1803"/>
      <c r="E189" s="1803"/>
      <c r="F189" s="1803"/>
      <c r="G189" s="1803"/>
      <c r="H189" s="1803"/>
    </row>
    <row r="190" spans="1:8">
      <c r="A190" s="1804" t="s">
        <v>977</v>
      </c>
      <c r="B190" s="1803"/>
      <c r="C190" s="1803"/>
      <c r="D190" s="1803"/>
      <c r="E190" s="1803"/>
      <c r="F190" s="1803"/>
      <c r="G190" s="1803"/>
      <c r="H190" s="1803"/>
    </row>
    <row r="191" spans="1:8">
      <c r="A191" s="1804" t="s">
        <v>978</v>
      </c>
      <c r="B191" s="1803"/>
      <c r="C191" s="1803"/>
      <c r="D191" s="1803"/>
      <c r="E191" s="1803"/>
      <c r="F191" s="1803"/>
      <c r="G191" s="1803"/>
      <c r="H191" s="1803"/>
    </row>
    <row r="192" spans="1:8">
      <c r="A192" s="1804" t="s">
        <v>979</v>
      </c>
      <c r="B192" s="1803"/>
      <c r="C192" s="1803"/>
      <c r="D192" s="1803"/>
      <c r="E192" s="1803"/>
      <c r="F192" s="1803"/>
      <c r="G192" s="1803"/>
      <c r="H192" s="1803"/>
    </row>
    <row r="193" spans="1:8">
      <c r="A193" s="1804" t="s">
        <v>980</v>
      </c>
      <c r="B193" s="1803"/>
      <c r="C193" s="1803"/>
      <c r="D193" s="1803"/>
      <c r="E193" s="1803"/>
      <c r="F193" s="1803"/>
      <c r="G193" s="1803"/>
      <c r="H193" s="1803"/>
    </row>
    <row r="194" spans="1:8">
      <c r="A194" s="1803"/>
      <c r="B194" s="1803"/>
      <c r="C194" s="1803"/>
      <c r="D194" s="1803"/>
      <c r="E194" s="1803"/>
      <c r="F194" s="1803"/>
      <c r="G194" s="1803"/>
      <c r="H194" s="1803"/>
    </row>
    <row r="195" spans="1:8">
      <c r="A195" s="1804" t="s">
        <v>973</v>
      </c>
      <c r="B195" s="1803"/>
      <c r="C195" s="1803"/>
      <c r="D195" s="1803"/>
      <c r="E195" s="1803"/>
      <c r="F195" s="1803"/>
      <c r="G195" s="1803"/>
      <c r="H195" s="1803"/>
    </row>
    <row r="196" spans="1:8">
      <c r="A196" s="1804" t="s">
        <v>974</v>
      </c>
      <c r="B196" s="1803"/>
      <c r="C196" s="1803"/>
      <c r="D196" s="1803"/>
      <c r="E196" s="1803"/>
      <c r="F196" s="1803"/>
      <c r="G196" s="1803"/>
      <c r="H196" s="1803"/>
    </row>
    <row r="197" spans="1:8">
      <c r="A197" s="1804" t="s">
        <v>975</v>
      </c>
      <c r="B197" s="1803"/>
      <c r="C197" s="1803"/>
      <c r="D197" s="1803"/>
      <c r="E197" s="1803"/>
      <c r="F197" s="1803"/>
      <c r="G197" s="1803"/>
      <c r="H197" s="1803"/>
    </row>
    <row r="198" spans="1:8" ht="15.75">
      <c r="A198" s="1805" t="s">
        <v>818</v>
      </c>
      <c r="B198" s="1803"/>
      <c r="C198" s="1803"/>
      <c r="D198" s="1803"/>
      <c r="E198" s="1803"/>
      <c r="F198" s="1803"/>
      <c r="G198" s="1803"/>
      <c r="H198" s="1803"/>
    </row>
    <row r="199" spans="1:8">
      <c r="A199" s="1803"/>
      <c r="B199" s="1803"/>
      <c r="C199" s="1803"/>
      <c r="D199" s="1803"/>
      <c r="E199" s="1803"/>
      <c r="F199" s="1803"/>
      <c r="G199" s="1803"/>
      <c r="H199" s="1803"/>
    </row>
    <row r="200" spans="1:8">
      <c r="A200" s="1804" t="s">
        <v>966</v>
      </c>
      <c r="B200" s="1803"/>
      <c r="C200" s="1803"/>
      <c r="D200" s="1803"/>
      <c r="E200" s="1803"/>
      <c r="F200" s="1803"/>
      <c r="G200" s="1803"/>
      <c r="H200" s="1803"/>
    </row>
    <row r="201" spans="1:8">
      <c r="A201" s="1804" t="s">
        <v>967</v>
      </c>
      <c r="B201" s="1803"/>
      <c r="C201" s="1803"/>
      <c r="D201" s="1803"/>
      <c r="E201" s="1803"/>
      <c r="F201" s="1803"/>
      <c r="G201" s="1803"/>
      <c r="H201" s="1803"/>
    </row>
    <row r="202" spans="1:8">
      <c r="A202" s="1804" t="s">
        <v>968</v>
      </c>
      <c r="B202" s="1803"/>
      <c r="C202" s="1803"/>
      <c r="D202" s="1803"/>
      <c r="E202" s="1803"/>
      <c r="F202" s="1803"/>
      <c r="G202" s="1803"/>
      <c r="H202" s="1803"/>
    </row>
    <row r="203" spans="1:8">
      <c r="A203" s="1804" t="s">
        <v>969</v>
      </c>
      <c r="B203" s="1803"/>
      <c r="C203" s="1803"/>
      <c r="D203" s="1803"/>
      <c r="E203" s="1803"/>
      <c r="F203" s="1803"/>
      <c r="G203" s="1803"/>
      <c r="H203" s="1803"/>
    </row>
    <row r="204" spans="1:8">
      <c r="A204" s="1804" t="s">
        <v>970</v>
      </c>
      <c r="B204" s="1803"/>
      <c r="C204" s="1803"/>
      <c r="D204" s="1803"/>
      <c r="E204" s="1803"/>
      <c r="F204" s="1803"/>
      <c r="G204" s="1803"/>
      <c r="H204" s="1803"/>
    </row>
    <row r="205" spans="1:8">
      <c r="A205" s="1804" t="s">
        <v>971</v>
      </c>
      <c r="B205" s="1803"/>
      <c r="C205" s="1803"/>
      <c r="D205" s="1803"/>
      <c r="E205" s="1803"/>
      <c r="F205" s="1803"/>
      <c r="G205" s="1803"/>
      <c r="H205" s="1803"/>
    </row>
    <row r="206" spans="1:8">
      <c r="A206" s="1804" t="s">
        <v>972</v>
      </c>
      <c r="B206" s="1803"/>
      <c r="C206" s="1803"/>
      <c r="D206" s="1803"/>
      <c r="E206" s="1803"/>
      <c r="F206" s="1803"/>
      <c r="G206" s="1803"/>
      <c r="H206" s="1803"/>
    </row>
    <row r="207" spans="1:8">
      <c r="A207" s="1803"/>
      <c r="B207" s="1803"/>
      <c r="C207" s="1803"/>
      <c r="D207" s="1803"/>
      <c r="E207" s="1803"/>
      <c r="F207" s="1803"/>
      <c r="G207" s="1803"/>
      <c r="H207" s="1803"/>
    </row>
    <row r="208" spans="1:8">
      <c r="A208" s="1804" t="s">
        <v>963</v>
      </c>
      <c r="B208" s="1803"/>
      <c r="C208" s="1803"/>
      <c r="D208" s="1803"/>
      <c r="E208" s="1803"/>
      <c r="F208" s="1803"/>
      <c r="G208" s="1803"/>
      <c r="H208" s="1803"/>
    </row>
    <row r="209" spans="1:8">
      <c r="A209" s="1804" t="s">
        <v>964</v>
      </c>
      <c r="B209" s="1803"/>
      <c r="C209" s="1803"/>
      <c r="D209" s="1803"/>
      <c r="E209" s="1803"/>
      <c r="F209" s="1803"/>
      <c r="G209" s="1803"/>
      <c r="H209" s="1803"/>
    </row>
    <row r="210" spans="1:8">
      <c r="A210" s="1804" t="s">
        <v>965</v>
      </c>
      <c r="B210" s="1803"/>
      <c r="C210" s="1803"/>
      <c r="D210" s="1803"/>
      <c r="E210" s="1803"/>
      <c r="F210" s="1803"/>
      <c r="G210" s="1803"/>
      <c r="H210" s="1803"/>
    </row>
    <row r="211" spans="1:8">
      <c r="A211" s="1803"/>
      <c r="B211" s="1803"/>
      <c r="C211" s="1803"/>
      <c r="D211" s="1803"/>
      <c r="E211" s="1803"/>
      <c r="F211" s="1803"/>
      <c r="G211" s="1803"/>
      <c r="H211" s="1803"/>
    </row>
    <row r="212" spans="1:8">
      <c r="A212" s="1804" t="s">
        <v>958</v>
      </c>
      <c r="B212" s="1803"/>
      <c r="C212" s="1803"/>
      <c r="D212" s="1803"/>
      <c r="E212" s="1803"/>
      <c r="F212" s="1803"/>
      <c r="G212" s="1803"/>
      <c r="H212" s="1803"/>
    </row>
    <row r="213" spans="1:8">
      <c r="A213" s="1804" t="s">
        <v>959</v>
      </c>
      <c r="B213" s="1803"/>
      <c r="C213" s="1803"/>
      <c r="D213" s="1803"/>
      <c r="E213" s="1803"/>
      <c r="F213" s="1803"/>
      <c r="G213" s="1803"/>
      <c r="H213" s="1803"/>
    </row>
    <row r="214" spans="1:8">
      <c r="A214" s="1804" t="s">
        <v>960</v>
      </c>
      <c r="B214" s="1803"/>
      <c r="C214" s="1803"/>
      <c r="D214" s="1803"/>
      <c r="E214" s="1803"/>
      <c r="F214" s="1803"/>
      <c r="G214" s="1803"/>
      <c r="H214" s="1803"/>
    </row>
    <row r="215" spans="1:8">
      <c r="A215" s="1804" t="s">
        <v>961</v>
      </c>
      <c r="B215" s="1803"/>
      <c r="C215" s="1803"/>
      <c r="D215" s="1803"/>
      <c r="E215" s="1803"/>
      <c r="F215" s="1803"/>
      <c r="G215" s="1803"/>
      <c r="H215" s="1803"/>
    </row>
    <row r="216" spans="1:8">
      <c r="A216" s="1804" t="s">
        <v>962</v>
      </c>
      <c r="B216" s="1803"/>
      <c r="C216" s="1803"/>
      <c r="D216" s="1803"/>
      <c r="E216" s="1803"/>
      <c r="F216" s="1803"/>
      <c r="G216" s="1803"/>
      <c r="H216" s="1803"/>
    </row>
    <row r="217" spans="1:8">
      <c r="A217" s="1803"/>
      <c r="B217" s="1803"/>
      <c r="C217" s="1803"/>
      <c r="D217" s="1803"/>
      <c r="E217" s="1803"/>
      <c r="F217" s="1803"/>
      <c r="G217" s="1803"/>
      <c r="H217" s="1803"/>
    </row>
    <row r="218" spans="1:8">
      <c r="A218" s="1804" t="s">
        <v>952</v>
      </c>
      <c r="B218" s="1803"/>
      <c r="C218" s="1803"/>
      <c r="D218" s="1803"/>
      <c r="E218" s="1803"/>
      <c r="F218" s="1803"/>
      <c r="G218" s="1803"/>
      <c r="H218" s="1803"/>
    </row>
    <row r="219" spans="1:8">
      <c r="A219" s="1804" t="s">
        <v>953</v>
      </c>
      <c r="B219" s="1803"/>
      <c r="C219" s="1803"/>
      <c r="D219" s="1803"/>
      <c r="E219" s="1803"/>
      <c r="F219" s="1803"/>
      <c r="G219" s="1803"/>
      <c r="H219" s="1803"/>
    </row>
    <row r="220" spans="1:8">
      <c r="A220" s="1804" t="s">
        <v>954</v>
      </c>
      <c r="B220" s="1803"/>
      <c r="C220" s="1803"/>
      <c r="D220" s="1803"/>
      <c r="E220" s="1803"/>
      <c r="F220" s="1803"/>
      <c r="G220" s="1803"/>
      <c r="H220" s="1803"/>
    </row>
    <row r="221" spans="1:8">
      <c r="A221" s="1804" t="s">
        <v>955</v>
      </c>
      <c r="B221" s="1803"/>
      <c r="C221" s="1803"/>
      <c r="D221" s="1803"/>
      <c r="E221" s="1803"/>
      <c r="F221" s="1803"/>
      <c r="G221" s="1803"/>
      <c r="H221" s="1803"/>
    </row>
    <row r="222" spans="1:8">
      <c r="A222" s="1804" t="s">
        <v>956</v>
      </c>
      <c r="B222" s="1803"/>
      <c r="C222" s="1803"/>
      <c r="D222" s="1803"/>
      <c r="E222" s="1803"/>
      <c r="F222" s="1803"/>
      <c r="G222" s="1803"/>
      <c r="H222" s="1803"/>
    </row>
    <row r="223" spans="1:8">
      <c r="A223" s="1804" t="s">
        <v>957</v>
      </c>
      <c r="B223" s="1803"/>
      <c r="C223" s="1803"/>
      <c r="D223" s="1803"/>
      <c r="E223" s="1803"/>
      <c r="F223" s="1803"/>
      <c r="G223" s="1803"/>
      <c r="H223" s="1803"/>
    </row>
    <row r="224" spans="1:8">
      <c r="A224" s="1803"/>
      <c r="B224" s="1803"/>
      <c r="C224" s="1803"/>
      <c r="D224" s="1803"/>
      <c r="E224" s="1803"/>
      <c r="F224" s="1803"/>
      <c r="G224" s="1803"/>
      <c r="H224" s="1803"/>
    </row>
    <row r="225" spans="1:8">
      <c r="A225" s="1804" t="s">
        <v>942</v>
      </c>
      <c r="B225" s="1803"/>
      <c r="C225" s="1803"/>
      <c r="D225" s="1803"/>
      <c r="E225" s="1803"/>
      <c r="F225" s="1803"/>
      <c r="G225" s="1803"/>
      <c r="H225" s="1803"/>
    </row>
    <row r="226" spans="1:8">
      <c r="A226" s="1804" t="s">
        <v>943</v>
      </c>
      <c r="B226" s="1803"/>
      <c r="C226" s="1803"/>
      <c r="D226" s="1803"/>
      <c r="E226" s="1803"/>
      <c r="F226" s="1803"/>
      <c r="G226" s="1803"/>
      <c r="H226" s="1803"/>
    </row>
    <row r="227" spans="1:8">
      <c r="A227" s="1804" t="s">
        <v>944</v>
      </c>
      <c r="B227" s="1803"/>
      <c r="C227" s="1803"/>
      <c r="D227" s="1803"/>
      <c r="E227" s="1803"/>
      <c r="F227" s="1803"/>
      <c r="G227" s="1803"/>
      <c r="H227" s="1803"/>
    </row>
    <row r="228" spans="1:8">
      <c r="A228" s="1804" t="s">
        <v>945</v>
      </c>
      <c r="B228" s="1803"/>
      <c r="C228" s="1803"/>
      <c r="D228" s="1803"/>
      <c r="E228" s="1803"/>
      <c r="F228" s="1803"/>
      <c r="G228" s="1803"/>
      <c r="H228" s="1803"/>
    </row>
    <row r="229" spans="1:8">
      <c r="A229" s="1804" t="s">
        <v>946</v>
      </c>
      <c r="B229" s="1803"/>
      <c r="C229" s="1803"/>
      <c r="D229" s="1803"/>
      <c r="E229" s="1803"/>
      <c r="F229" s="1803"/>
      <c r="G229" s="1803"/>
      <c r="H229" s="1803"/>
    </row>
    <row r="230" spans="1:8">
      <c r="A230" s="1804" t="s">
        <v>947</v>
      </c>
      <c r="B230" s="1803"/>
      <c r="C230" s="1803"/>
      <c r="D230" s="1803"/>
      <c r="E230" s="1803"/>
      <c r="F230" s="1803"/>
      <c r="G230" s="1803"/>
      <c r="H230" s="1803"/>
    </row>
    <row r="231" spans="1:8">
      <c r="A231" s="1804" t="s">
        <v>948</v>
      </c>
      <c r="B231" s="1803"/>
      <c r="C231" s="1803"/>
      <c r="D231" s="1803"/>
      <c r="E231" s="1803"/>
      <c r="F231" s="1803"/>
      <c r="G231" s="1803"/>
      <c r="H231" s="1803"/>
    </row>
    <row r="232" spans="1:8">
      <c r="A232" s="1804" t="s">
        <v>949</v>
      </c>
      <c r="B232" s="1803"/>
      <c r="C232" s="1803"/>
      <c r="D232" s="1803"/>
      <c r="E232" s="1803"/>
      <c r="F232" s="1803"/>
      <c r="G232" s="1803"/>
      <c r="H232" s="1803"/>
    </row>
    <row r="233" spans="1:8">
      <c r="A233" s="1804" t="s">
        <v>950</v>
      </c>
      <c r="B233" s="1803"/>
      <c r="C233" s="1803"/>
      <c r="D233" s="1803"/>
      <c r="E233" s="1803"/>
      <c r="F233" s="1803"/>
      <c r="G233" s="1803"/>
      <c r="H233" s="1803"/>
    </row>
    <row r="234" spans="1:8">
      <c r="A234" s="1804" t="s">
        <v>951</v>
      </c>
      <c r="B234" s="1803"/>
      <c r="C234" s="1803"/>
      <c r="D234" s="1803"/>
      <c r="E234" s="1803"/>
      <c r="F234" s="1803"/>
      <c r="G234" s="1803"/>
      <c r="H234" s="1803"/>
    </row>
    <row r="235" spans="1:8">
      <c r="A235" s="1803"/>
      <c r="B235" s="1803"/>
      <c r="C235" s="1803"/>
      <c r="D235" s="1803"/>
      <c r="E235" s="1803"/>
      <c r="F235" s="1803"/>
      <c r="G235" s="1803"/>
      <c r="H235" s="1803"/>
    </row>
    <row r="236" spans="1:8">
      <c r="A236" s="1804" t="s">
        <v>940</v>
      </c>
      <c r="B236" s="1803"/>
      <c r="C236" s="1803"/>
      <c r="D236" s="1803"/>
      <c r="E236" s="1803"/>
      <c r="F236" s="1803"/>
      <c r="G236" s="1803"/>
      <c r="H236" s="1803"/>
    </row>
    <row r="237" spans="1:8">
      <c r="A237" s="1804" t="s">
        <v>941</v>
      </c>
      <c r="B237" s="1803"/>
      <c r="C237" s="1803"/>
      <c r="D237" s="1803"/>
      <c r="E237" s="1803"/>
      <c r="F237" s="1803"/>
      <c r="G237" s="1803"/>
      <c r="H237" s="1803"/>
    </row>
    <row r="238" spans="1:8">
      <c r="A238" s="1803"/>
      <c r="B238" s="1803"/>
      <c r="C238" s="1803"/>
      <c r="D238" s="1803"/>
      <c r="E238" s="1803"/>
      <c r="F238" s="1803"/>
      <c r="G238" s="1803"/>
      <c r="H238" s="1803"/>
    </row>
    <row r="239" spans="1:8">
      <c r="A239" s="1804" t="s">
        <v>924</v>
      </c>
      <c r="B239" s="1803"/>
      <c r="C239" s="1803"/>
      <c r="D239" s="1803"/>
      <c r="E239" s="1803"/>
      <c r="F239" s="1803"/>
      <c r="G239" s="1803"/>
      <c r="H239" s="1803"/>
    </row>
    <row r="240" spans="1:8">
      <c r="A240" s="1804" t="s">
        <v>925</v>
      </c>
      <c r="B240" s="1803"/>
      <c r="C240" s="1803"/>
      <c r="D240" s="1803"/>
      <c r="E240" s="1803"/>
      <c r="F240" s="1803"/>
      <c r="G240" s="1803"/>
      <c r="H240" s="1803"/>
    </row>
    <row r="241" spans="1:8">
      <c r="A241" s="1804" t="s">
        <v>926</v>
      </c>
      <c r="B241" s="1803"/>
      <c r="C241" s="1803"/>
      <c r="D241" s="1803"/>
      <c r="E241" s="1803"/>
      <c r="F241" s="1803"/>
      <c r="G241" s="1803"/>
      <c r="H241" s="1803"/>
    </row>
    <row r="242" spans="1:8">
      <c r="A242" s="1804" t="s">
        <v>927</v>
      </c>
      <c r="B242" s="1803"/>
      <c r="C242" s="1803"/>
      <c r="D242" s="1803"/>
      <c r="E242" s="1803"/>
      <c r="F242" s="1803"/>
      <c r="G242" s="1803"/>
      <c r="H242" s="1803"/>
    </row>
    <row r="243" spans="1:8">
      <c r="A243" s="1804" t="s">
        <v>928</v>
      </c>
      <c r="B243" s="1803"/>
      <c r="C243" s="1803"/>
      <c r="D243" s="1803"/>
      <c r="E243" s="1803"/>
      <c r="F243" s="1803"/>
      <c r="G243" s="1803"/>
      <c r="H243" s="1803"/>
    </row>
    <row r="244" spans="1:8">
      <c r="A244" s="1804" t="s">
        <v>929</v>
      </c>
      <c r="B244" s="1803"/>
      <c r="C244" s="1803"/>
      <c r="D244" s="1803"/>
      <c r="E244" s="1803"/>
      <c r="F244" s="1803"/>
      <c r="G244" s="1803"/>
      <c r="H244" s="1803"/>
    </row>
    <row r="245" spans="1:8">
      <c r="A245" s="1804" t="s">
        <v>930</v>
      </c>
      <c r="B245" s="1803"/>
      <c r="C245" s="1803"/>
      <c r="D245" s="1803"/>
      <c r="E245" s="1803"/>
      <c r="F245" s="1803"/>
      <c r="G245" s="1803"/>
      <c r="H245" s="1803"/>
    </row>
    <row r="246" spans="1:8">
      <c r="A246" s="1804" t="s">
        <v>931</v>
      </c>
      <c r="B246" s="1803"/>
      <c r="C246" s="1803"/>
      <c r="D246" s="1803"/>
      <c r="E246" s="1803"/>
      <c r="F246" s="1803"/>
      <c r="G246" s="1803"/>
      <c r="H246" s="1803"/>
    </row>
    <row r="247" spans="1:8">
      <c r="A247" s="1804" t="s">
        <v>932</v>
      </c>
      <c r="B247" s="1803"/>
      <c r="C247" s="1803"/>
      <c r="D247" s="1803"/>
      <c r="E247" s="1803"/>
      <c r="F247" s="1803"/>
      <c r="G247" s="1803"/>
      <c r="H247" s="1803"/>
    </row>
    <row r="248" spans="1:8">
      <c r="A248" s="1804" t="s">
        <v>933</v>
      </c>
      <c r="B248" s="1803"/>
      <c r="C248" s="1803"/>
      <c r="D248" s="1803"/>
      <c r="E248" s="1803"/>
      <c r="F248" s="1803"/>
      <c r="G248" s="1803"/>
      <c r="H248" s="1803"/>
    </row>
    <row r="249" spans="1:8">
      <c r="A249" s="1804" t="s">
        <v>934</v>
      </c>
      <c r="B249" s="1803"/>
      <c r="C249" s="1803"/>
      <c r="D249" s="1803"/>
      <c r="E249" s="1803"/>
      <c r="F249" s="1803"/>
      <c r="G249" s="1803"/>
      <c r="H249" s="1803"/>
    </row>
    <row r="250" spans="1:8">
      <c r="A250" s="1804" t="s">
        <v>935</v>
      </c>
      <c r="B250" s="1803"/>
      <c r="C250" s="1803"/>
      <c r="D250" s="1803"/>
      <c r="E250" s="1803"/>
      <c r="F250" s="1803"/>
      <c r="G250" s="1803"/>
      <c r="H250" s="1803"/>
    </row>
    <row r="251" spans="1:8">
      <c r="A251" s="1804" t="s">
        <v>936</v>
      </c>
      <c r="B251" s="1803"/>
      <c r="C251" s="1803"/>
      <c r="D251" s="1803"/>
      <c r="E251" s="1803"/>
      <c r="F251" s="1803"/>
      <c r="G251" s="1803"/>
      <c r="H251" s="1803"/>
    </row>
    <row r="252" spans="1:8">
      <c r="A252" s="1804" t="s">
        <v>937</v>
      </c>
      <c r="B252" s="1803"/>
      <c r="C252" s="1803"/>
      <c r="D252" s="1803"/>
      <c r="E252" s="1803"/>
      <c r="F252" s="1803"/>
      <c r="G252" s="1803"/>
      <c r="H252" s="1803"/>
    </row>
    <row r="253" spans="1:8">
      <c r="A253" s="1804" t="s">
        <v>938</v>
      </c>
      <c r="B253" s="1803"/>
      <c r="C253" s="1803"/>
      <c r="D253" s="1803"/>
      <c r="E253" s="1803"/>
      <c r="F253" s="1803"/>
      <c r="G253" s="1803"/>
      <c r="H253" s="1803"/>
    </row>
    <row r="254" spans="1:8">
      <c r="A254" s="1804" t="s">
        <v>939</v>
      </c>
      <c r="B254" s="1803"/>
      <c r="C254" s="1803"/>
      <c r="D254" s="1803"/>
      <c r="E254" s="1803"/>
      <c r="F254" s="1803"/>
      <c r="G254" s="1803"/>
      <c r="H254" s="1803"/>
    </row>
    <row r="255" spans="1:8">
      <c r="A255" s="1803"/>
      <c r="B255" s="1803"/>
      <c r="C255" s="1803"/>
      <c r="D255" s="1803"/>
      <c r="E255" s="1803"/>
      <c r="F255" s="1803"/>
      <c r="G255" s="1803"/>
      <c r="H255" s="1803"/>
    </row>
    <row r="256" spans="1:8">
      <c r="A256" s="1804" t="s">
        <v>917</v>
      </c>
      <c r="B256" s="1803"/>
      <c r="C256" s="1803"/>
      <c r="D256" s="1803"/>
      <c r="E256" s="1803"/>
      <c r="F256" s="1803"/>
      <c r="G256" s="1803"/>
      <c r="H256" s="1803"/>
    </row>
    <row r="257" spans="1:8">
      <c r="A257" s="1804" t="s">
        <v>918</v>
      </c>
      <c r="B257" s="1803"/>
      <c r="C257" s="1803"/>
      <c r="D257" s="1803"/>
      <c r="E257" s="1803"/>
      <c r="F257" s="1803"/>
      <c r="G257" s="1803"/>
      <c r="H257" s="1803"/>
    </row>
    <row r="258" spans="1:8">
      <c r="A258" s="1804" t="s">
        <v>919</v>
      </c>
      <c r="B258" s="1803"/>
      <c r="C258" s="1803"/>
      <c r="D258" s="1803"/>
      <c r="E258" s="1803"/>
      <c r="F258" s="1803"/>
      <c r="G258" s="1803"/>
      <c r="H258" s="1803"/>
    </row>
    <row r="259" spans="1:8">
      <c r="A259" s="1804" t="s">
        <v>920</v>
      </c>
      <c r="B259" s="1803"/>
      <c r="C259" s="1803"/>
      <c r="D259" s="1803"/>
      <c r="E259" s="1803"/>
      <c r="F259" s="1803"/>
      <c r="G259" s="1803"/>
      <c r="H259" s="1803"/>
    </row>
    <row r="260" spans="1:8">
      <c r="A260" s="1804" t="s">
        <v>921</v>
      </c>
      <c r="B260" s="1803"/>
      <c r="C260" s="1803"/>
      <c r="D260" s="1803"/>
      <c r="E260" s="1803"/>
      <c r="F260" s="1803"/>
      <c r="G260" s="1803"/>
      <c r="H260" s="1803"/>
    </row>
    <row r="261" spans="1:8">
      <c r="A261" s="1804" t="s">
        <v>922</v>
      </c>
      <c r="B261" s="1803"/>
      <c r="C261" s="1803"/>
      <c r="D261" s="1803"/>
      <c r="E261" s="1803"/>
      <c r="F261" s="1803"/>
      <c r="G261" s="1803"/>
      <c r="H261" s="1803"/>
    </row>
    <row r="262" spans="1:8">
      <c r="A262" s="1804" t="s">
        <v>923</v>
      </c>
      <c r="B262" s="1803"/>
      <c r="C262" s="1803"/>
      <c r="D262" s="1803"/>
      <c r="E262" s="1803"/>
      <c r="F262" s="1803"/>
      <c r="G262" s="1803"/>
      <c r="H262" s="1803"/>
    </row>
    <row r="263" spans="1:8">
      <c r="A263" s="1803"/>
      <c r="B263" s="1803"/>
      <c r="C263" s="1803"/>
      <c r="D263" s="1803"/>
      <c r="E263" s="1803"/>
      <c r="F263" s="1803"/>
      <c r="G263" s="1803"/>
      <c r="H263" s="1803"/>
    </row>
    <row r="264" spans="1:8">
      <c r="A264" s="1804" t="s">
        <v>908</v>
      </c>
      <c r="B264" s="1803"/>
      <c r="C264" s="1803"/>
      <c r="D264" s="1803"/>
      <c r="E264" s="1803"/>
      <c r="F264" s="1803"/>
      <c r="G264" s="1803"/>
      <c r="H264" s="1803"/>
    </row>
    <row r="265" spans="1:8">
      <c r="A265" s="1804" t="s">
        <v>909</v>
      </c>
      <c r="B265" s="1803"/>
      <c r="C265" s="1803"/>
      <c r="D265" s="1803"/>
      <c r="E265" s="1803"/>
      <c r="F265" s="1803"/>
      <c r="G265" s="1803"/>
      <c r="H265" s="1803"/>
    </row>
    <row r="266" spans="1:8">
      <c r="A266" s="1804" t="s">
        <v>910</v>
      </c>
      <c r="B266" s="1803"/>
      <c r="C266" s="1803"/>
      <c r="D266" s="1803"/>
      <c r="E266" s="1803"/>
      <c r="F266" s="1803"/>
      <c r="G266" s="1803"/>
      <c r="H266" s="1803"/>
    </row>
    <row r="267" spans="1:8">
      <c r="A267" s="1804" t="s">
        <v>911</v>
      </c>
      <c r="B267" s="1803"/>
      <c r="C267" s="1803"/>
      <c r="D267" s="1803"/>
      <c r="E267" s="1803"/>
      <c r="F267" s="1803"/>
      <c r="G267" s="1803"/>
      <c r="H267" s="1803"/>
    </row>
    <row r="268" spans="1:8">
      <c r="A268" s="1804" t="s">
        <v>912</v>
      </c>
      <c r="B268" s="1803"/>
      <c r="C268" s="1803"/>
      <c r="D268" s="1803"/>
      <c r="E268" s="1803"/>
      <c r="F268" s="1803"/>
      <c r="G268" s="1803"/>
      <c r="H268" s="1803"/>
    </row>
    <row r="269" spans="1:8">
      <c r="A269" s="1804" t="s">
        <v>913</v>
      </c>
      <c r="B269" s="1803"/>
      <c r="C269" s="1803"/>
      <c r="D269" s="1803"/>
      <c r="E269" s="1803"/>
      <c r="F269" s="1803"/>
      <c r="G269" s="1803"/>
      <c r="H269" s="1803"/>
    </row>
    <row r="270" spans="1:8">
      <c r="A270" s="1804" t="s">
        <v>914</v>
      </c>
      <c r="B270" s="1803"/>
      <c r="C270" s="1803"/>
      <c r="D270" s="1803"/>
      <c r="E270" s="1803"/>
      <c r="F270" s="1803"/>
      <c r="G270" s="1803"/>
      <c r="H270" s="1803"/>
    </row>
    <row r="271" spans="1:8">
      <c r="A271" s="1804" t="s">
        <v>915</v>
      </c>
      <c r="B271" s="1803"/>
      <c r="C271" s="1803"/>
      <c r="D271" s="1803"/>
      <c r="E271" s="1803"/>
      <c r="F271" s="1803"/>
      <c r="G271" s="1803"/>
      <c r="H271" s="1803"/>
    </row>
    <row r="272" spans="1:8">
      <c r="A272" s="1804" t="s">
        <v>916</v>
      </c>
      <c r="B272" s="1803"/>
      <c r="C272" s="1803"/>
      <c r="D272" s="1803"/>
      <c r="E272" s="1803"/>
      <c r="F272" s="1803"/>
      <c r="G272" s="1803"/>
      <c r="H272" s="1803"/>
    </row>
    <row r="273" spans="1:8">
      <c r="A273" s="1803"/>
      <c r="B273" s="1803"/>
      <c r="C273" s="1803"/>
      <c r="D273" s="1803"/>
      <c r="E273" s="1803"/>
      <c r="F273" s="1803"/>
      <c r="G273" s="1803"/>
      <c r="H273" s="1803"/>
    </row>
    <row r="274" spans="1:8">
      <c r="A274" s="1804" t="s">
        <v>901</v>
      </c>
      <c r="B274" s="1803"/>
      <c r="C274" s="1803"/>
      <c r="D274" s="1803"/>
      <c r="E274" s="1803"/>
      <c r="F274" s="1803"/>
      <c r="G274" s="1803"/>
      <c r="H274" s="1803"/>
    </row>
    <row r="275" spans="1:8">
      <c r="A275" s="1804" t="s">
        <v>902</v>
      </c>
      <c r="B275" s="1803"/>
      <c r="C275" s="1803"/>
      <c r="D275" s="1803"/>
      <c r="E275" s="1803"/>
      <c r="F275" s="1803"/>
      <c r="G275" s="1803"/>
      <c r="H275" s="1803"/>
    </row>
    <row r="276" spans="1:8">
      <c r="A276" s="1804" t="s">
        <v>903</v>
      </c>
      <c r="B276" s="1803"/>
      <c r="C276" s="1803"/>
      <c r="D276" s="1803"/>
      <c r="E276" s="1803"/>
      <c r="F276" s="1803"/>
      <c r="G276" s="1803"/>
      <c r="H276" s="1803"/>
    </row>
    <row r="277" spans="1:8">
      <c r="A277" s="1804" t="s">
        <v>904</v>
      </c>
      <c r="B277" s="1803"/>
      <c r="C277" s="1803"/>
      <c r="D277" s="1803"/>
      <c r="E277" s="1803"/>
      <c r="F277" s="1803"/>
      <c r="G277" s="1803"/>
      <c r="H277" s="1803"/>
    </row>
    <row r="278" spans="1:8">
      <c r="A278" s="1804" t="s">
        <v>905</v>
      </c>
      <c r="B278" s="1803"/>
      <c r="C278" s="1803"/>
      <c r="D278" s="1803"/>
      <c r="E278" s="1803"/>
      <c r="F278" s="1803"/>
      <c r="G278" s="1803"/>
      <c r="H278" s="1803"/>
    </row>
    <row r="279" spans="1:8">
      <c r="A279" s="1804" t="s">
        <v>906</v>
      </c>
      <c r="B279" s="1803"/>
      <c r="C279" s="1803"/>
      <c r="D279" s="1803"/>
      <c r="E279" s="1803"/>
      <c r="F279" s="1803"/>
      <c r="G279" s="1803"/>
      <c r="H279" s="1803"/>
    </row>
    <row r="280" spans="1:8">
      <c r="A280" s="1804" t="s">
        <v>907</v>
      </c>
      <c r="B280" s="1803"/>
      <c r="C280" s="1803"/>
      <c r="D280" s="1803"/>
      <c r="E280" s="1803"/>
      <c r="F280" s="1803"/>
      <c r="G280" s="1803"/>
      <c r="H280" s="1803"/>
    </row>
    <row r="281" spans="1:8">
      <c r="A281" s="1803"/>
      <c r="B281" s="1803"/>
      <c r="C281" s="1803"/>
      <c r="D281" s="1803"/>
      <c r="E281" s="1803"/>
      <c r="F281" s="1803"/>
      <c r="G281" s="1803"/>
      <c r="H281" s="1803"/>
    </row>
    <row r="282" spans="1:8">
      <c r="A282" s="1804" t="s">
        <v>898</v>
      </c>
      <c r="B282" s="1803"/>
      <c r="C282" s="1803"/>
      <c r="D282" s="1803"/>
      <c r="E282" s="1803"/>
      <c r="F282" s="1803"/>
      <c r="G282" s="1803"/>
      <c r="H282" s="1803"/>
    </row>
    <row r="283" spans="1:8">
      <c r="A283" s="1804" t="s">
        <v>899</v>
      </c>
      <c r="B283" s="1803"/>
      <c r="C283" s="1803"/>
      <c r="D283" s="1803"/>
      <c r="E283" s="1803"/>
      <c r="F283" s="1803"/>
      <c r="G283" s="1803"/>
      <c r="H283" s="1803"/>
    </row>
    <row r="284" spans="1:8">
      <c r="A284" s="1804" t="s">
        <v>900</v>
      </c>
      <c r="B284" s="1803"/>
      <c r="C284" s="1803"/>
      <c r="D284" s="1803"/>
      <c r="E284" s="1803"/>
      <c r="F284" s="1803"/>
      <c r="G284" s="1803"/>
      <c r="H284" s="1803"/>
    </row>
    <row r="285" spans="1:8">
      <c r="A285" s="1803"/>
      <c r="B285" s="1803"/>
      <c r="C285" s="1803"/>
      <c r="D285" s="1803"/>
      <c r="E285" s="1803"/>
      <c r="F285" s="1803"/>
      <c r="G285" s="1803"/>
      <c r="H285" s="1803"/>
    </row>
    <row r="286" spans="1:8">
      <c r="A286" s="1804" t="s">
        <v>896</v>
      </c>
      <c r="B286" s="1803"/>
      <c r="C286" s="1803"/>
      <c r="D286" s="1803"/>
      <c r="E286" s="1803"/>
      <c r="F286" s="1803"/>
      <c r="G286" s="1803"/>
      <c r="H286" s="1803"/>
    </row>
    <row r="287" spans="1:8">
      <c r="A287" s="1804" t="s">
        <v>897</v>
      </c>
      <c r="B287" s="1803"/>
      <c r="C287" s="1803"/>
      <c r="D287" s="1803"/>
      <c r="E287" s="1803"/>
      <c r="F287" s="1803"/>
      <c r="G287" s="1803"/>
      <c r="H287" s="1803"/>
    </row>
    <row r="288" spans="1:8">
      <c r="A288" s="1803"/>
      <c r="B288" s="1803"/>
      <c r="C288" s="1803"/>
      <c r="D288" s="1803"/>
      <c r="E288" s="1803"/>
      <c r="F288" s="1803"/>
      <c r="G288" s="1803"/>
      <c r="H288" s="1803"/>
    </row>
    <row r="289" spans="1:8">
      <c r="A289" s="1804" t="s">
        <v>883</v>
      </c>
      <c r="B289" s="1803"/>
      <c r="C289" s="1803"/>
      <c r="D289" s="1803"/>
      <c r="E289" s="1803"/>
      <c r="F289" s="1803"/>
      <c r="G289" s="1803"/>
      <c r="H289" s="1803"/>
    </row>
    <row r="290" spans="1:8">
      <c r="A290" s="1804" t="s">
        <v>884</v>
      </c>
      <c r="B290" s="1803"/>
      <c r="C290" s="1803"/>
      <c r="D290" s="1803"/>
      <c r="E290" s="1803"/>
      <c r="F290" s="1803"/>
      <c r="G290" s="1803"/>
      <c r="H290" s="1803"/>
    </row>
    <row r="291" spans="1:8">
      <c r="A291" s="1804" t="s">
        <v>885</v>
      </c>
      <c r="B291" s="1803"/>
      <c r="C291" s="1803"/>
      <c r="D291" s="1803"/>
      <c r="E291" s="1803"/>
      <c r="F291" s="1803"/>
      <c r="G291" s="1803"/>
      <c r="H291" s="1803"/>
    </row>
    <row r="292" spans="1:8">
      <c r="A292" s="1804" t="s">
        <v>886</v>
      </c>
      <c r="B292" s="1803"/>
      <c r="C292" s="1803"/>
      <c r="D292" s="1803"/>
      <c r="E292" s="1803"/>
      <c r="F292" s="1803"/>
      <c r="G292" s="1803"/>
      <c r="H292" s="1803"/>
    </row>
    <row r="293" spans="1:8">
      <c r="A293" s="1804" t="s">
        <v>887</v>
      </c>
      <c r="B293" s="1803"/>
      <c r="C293" s="1803"/>
      <c r="D293" s="1803"/>
      <c r="E293" s="1803"/>
      <c r="F293" s="1803"/>
      <c r="G293" s="1803"/>
      <c r="H293" s="1803"/>
    </row>
    <row r="294" spans="1:8">
      <c r="A294" s="1804" t="s">
        <v>888</v>
      </c>
      <c r="B294" s="1803"/>
      <c r="C294" s="1803"/>
      <c r="D294" s="1803"/>
      <c r="E294" s="1803"/>
      <c r="F294" s="1803"/>
      <c r="G294" s="1803"/>
      <c r="H294" s="1803"/>
    </row>
    <row r="295" spans="1:8">
      <c r="A295" s="1804" t="s">
        <v>889</v>
      </c>
      <c r="B295" s="1803"/>
      <c r="C295" s="1803"/>
      <c r="D295" s="1803"/>
      <c r="E295" s="1803"/>
      <c r="F295" s="1803"/>
      <c r="G295" s="1803"/>
      <c r="H295" s="1803"/>
    </row>
    <row r="296" spans="1:8">
      <c r="A296" s="1804" t="s">
        <v>890</v>
      </c>
      <c r="B296" s="1803"/>
      <c r="C296" s="1803"/>
      <c r="D296" s="1803"/>
      <c r="E296" s="1803"/>
      <c r="F296" s="1803"/>
      <c r="G296" s="1803"/>
      <c r="H296" s="1803"/>
    </row>
    <row r="297" spans="1:8">
      <c r="A297" s="1804" t="s">
        <v>891</v>
      </c>
      <c r="B297" s="1803"/>
      <c r="C297" s="1803"/>
      <c r="D297" s="1803"/>
      <c r="E297" s="1803"/>
      <c r="F297" s="1803"/>
      <c r="G297" s="1803"/>
      <c r="H297" s="1803"/>
    </row>
    <row r="298" spans="1:8">
      <c r="A298" s="1804" t="s">
        <v>892</v>
      </c>
      <c r="B298" s="1803"/>
      <c r="C298" s="1803"/>
      <c r="D298" s="1803"/>
      <c r="E298" s="1803"/>
      <c r="F298" s="1803"/>
      <c r="G298" s="1803"/>
      <c r="H298" s="1803"/>
    </row>
    <row r="299" spans="1:8">
      <c r="A299" s="1804" t="s">
        <v>893</v>
      </c>
      <c r="B299" s="1803"/>
      <c r="C299" s="1803"/>
      <c r="D299" s="1803"/>
      <c r="E299" s="1803"/>
      <c r="F299" s="1803"/>
      <c r="G299" s="1803"/>
      <c r="H299" s="1803"/>
    </row>
    <row r="300" spans="1:8">
      <c r="A300" s="1804" t="s">
        <v>894</v>
      </c>
      <c r="B300" s="1803"/>
      <c r="C300" s="1803"/>
      <c r="D300" s="1803"/>
      <c r="E300" s="1803"/>
      <c r="F300" s="1803"/>
      <c r="G300" s="1803"/>
      <c r="H300" s="1803"/>
    </row>
    <row r="301" spans="1:8">
      <c r="A301" s="1804" t="s">
        <v>895</v>
      </c>
      <c r="B301" s="1803"/>
      <c r="C301" s="1803"/>
      <c r="D301" s="1803"/>
      <c r="E301" s="1803"/>
      <c r="F301" s="1803"/>
      <c r="G301" s="1803"/>
      <c r="H301" s="1803"/>
    </row>
    <row r="302" spans="1:8">
      <c r="A302" s="1803"/>
      <c r="B302" s="1803"/>
      <c r="C302" s="1803"/>
      <c r="D302" s="1803"/>
      <c r="E302" s="1803"/>
      <c r="F302" s="1803"/>
      <c r="G302" s="1803"/>
      <c r="H302" s="1803"/>
    </row>
    <row r="303" spans="1:8">
      <c r="A303" s="1804" t="s">
        <v>875</v>
      </c>
      <c r="B303" s="1803"/>
      <c r="C303" s="1803"/>
      <c r="D303" s="1803"/>
      <c r="E303" s="1803"/>
      <c r="F303" s="1803"/>
      <c r="G303" s="1803"/>
      <c r="H303" s="1803"/>
    </row>
    <row r="304" spans="1:8">
      <c r="A304" s="1804" t="s">
        <v>876</v>
      </c>
      <c r="B304" s="1803"/>
      <c r="C304" s="1803"/>
      <c r="D304" s="1803"/>
      <c r="E304" s="1803"/>
      <c r="F304" s="1803"/>
      <c r="G304" s="1803"/>
      <c r="H304" s="1803"/>
    </row>
    <row r="305" spans="1:8">
      <c r="A305" s="1804" t="s">
        <v>877</v>
      </c>
      <c r="B305" s="1803"/>
      <c r="C305" s="1803"/>
      <c r="D305" s="1803"/>
      <c r="E305" s="1803"/>
      <c r="F305" s="1803"/>
      <c r="G305" s="1803"/>
      <c r="H305" s="1803"/>
    </row>
    <row r="306" spans="1:8">
      <c r="A306" s="1804" t="s">
        <v>878</v>
      </c>
      <c r="B306" s="1803"/>
      <c r="C306" s="1803"/>
      <c r="D306" s="1803"/>
      <c r="E306" s="1803"/>
      <c r="F306" s="1803"/>
      <c r="G306" s="1803"/>
      <c r="H306" s="1803"/>
    </row>
    <row r="307" spans="1:8">
      <c r="A307" s="1804" t="s">
        <v>879</v>
      </c>
      <c r="B307" s="1803"/>
      <c r="C307" s="1803"/>
      <c r="D307" s="1803"/>
      <c r="E307" s="1803"/>
      <c r="F307" s="1803"/>
      <c r="G307" s="1803"/>
      <c r="H307" s="1803"/>
    </row>
    <row r="308" spans="1:8">
      <c r="A308" s="1804" t="s">
        <v>880</v>
      </c>
      <c r="B308" s="1803"/>
      <c r="C308" s="1803"/>
      <c r="D308" s="1803"/>
      <c r="E308" s="1803"/>
      <c r="F308" s="1803"/>
      <c r="G308" s="1803"/>
      <c r="H308" s="1803"/>
    </row>
    <row r="309" spans="1:8">
      <c r="A309" s="1804" t="s">
        <v>881</v>
      </c>
      <c r="B309" s="1803"/>
      <c r="C309" s="1803"/>
      <c r="D309" s="1803"/>
      <c r="E309" s="1803"/>
      <c r="F309" s="1803"/>
      <c r="G309" s="1803"/>
      <c r="H309" s="1803"/>
    </row>
    <row r="310" spans="1:8">
      <c r="A310" s="1804" t="s">
        <v>882</v>
      </c>
      <c r="B310" s="1803"/>
      <c r="C310" s="1803"/>
      <c r="D310" s="1803"/>
      <c r="E310" s="1803"/>
      <c r="F310" s="1803"/>
      <c r="G310" s="1803"/>
      <c r="H310" s="1803"/>
    </row>
    <row r="311" spans="1:8">
      <c r="A311" s="1803"/>
      <c r="B311" s="1803"/>
      <c r="C311" s="1803"/>
      <c r="D311" s="1803"/>
      <c r="E311" s="1803"/>
      <c r="F311" s="1803"/>
      <c r="G311" s="1803"/>
      <c r="H311" s="1803"/>
    </row>
    <row r="312" spans="1:8">
      <c r="A312" s="1804" t="s">
        <v>840</v>
      </c>
      <c r="B312" s="1803"/>
      <c r="C312" s="1803"/>
      <c r="D312" s="1803"/>
      <c r="E312" s="1803"/>
      <c r="F312" s="1803"/>
      <c r="G312" s="1803"/>
      <c r="H312" s="1803"/>
    </row>
    <row r="313" spans="1:8">
      <c r="A313" s="1804" t="s">
        <v>841</v>
      </c>
      <c r="B313" s="1803"/>
      <c r="C313" s="1803"/>
      <c r="D313" s="1803"/>
      <c r="E313" s="1803"/>
      <c r="F313" s="1803"/>
      <c r="G313" s="1803"/>
      <c r="H313" s="1803"/>
    </row>
    <row r="314" spans="1:8">
      <c r="A314" s="1804" t="s">
        <v>842</v>
      </c>
      <c r="B314" s="1803"/>
      <c r="C314" s="1803"/>
      <c r="D314" s="1803"/>
      <c r="E314" s="1803"/>
      <c r="F314" s="1803"/>
      <c r="G314" s="1803"/>
      <c r="H314" s="1803"/>
    </row>
    <row r="315" spans="1:8">
      <c r="A315" s="1804" t="s">
        <v>843</v>
      </c>
      <c r="B315" s="1803"/>
      <c r="C315" s="1803"/>
      <c r="D315" s="1803"/>
      <c r="E315" s="1803"/>
      <c r="F315" s="1803"/>
      <c r="G315" s="1803"/>
      <c r="H315" s="1803"/>
    </row>
    <row r="316" spans="1:8">
      <c r="A316" s="1804" t="s">
        <v>844</v>
      </c>
      <c r="B316" s="1803"/>
      <c r="C316" s="1803"/>
      <c r="D316" s="1803"/>
      <c r="E316" s="1803"/>
      <c r="F316" s="1803"/>
      <c r="G316" s="1803"/>
      <c r="H316" s="1803"/>
    </row>
    <row r="317" spans="1:8">
      <c r="A317" s="1804" t="s">
        <v>845</v>
      </c>
      <c r="B317" s="1803"/>
      <c r="C317" s="1803"/>
      <c r="D317" s="1803"/>
      <c r="E317" s="1803"/>
      <c r="F317" s="1803"/>
      <c r="G317" s="1803"/>
      <c r="H317" s="1803"/>
    </row>
    <row r="318" spans="1:8">
      <c r="A318" s="1804" t="s">
        <v>846</v>
      </c>
      <c r="B318" s="1803"/>
      <c r="C318" s="1803"/>
      <c r="D318" s="1803"/>
      <c r="E318" s="1803"/>
      <c r="F318" s="1803"/>
      <c r="G318" s="1803"/>
      <c r="H318" s="1803"/>
    </row>
    <row r="319" spans="1:8">
      <c r="A319" s="1804" t="s">
        <v>847</v>
      </c>
      <c r="B319" s="1803"/>
      <c r="C319" s="1803"/>
      <c r="D319" s="1803"/>
      <c r="E319" s="1803"/>
      <c r="F319" s="1803"/>
      <c r="G319" s="1803"/>
      <c r="H319" s="1803"/>
    </row>
    <row r="320" spans="1:8">
      <c r="A320" s="1804" t="s">
        <v>848</v>
      </c>
      <c r="B320" s="1803"/>
      <c r="C320" s="1803"/>
      <c r="D320" s="1803"/>
      <c r="E320" s="1803"/>
      <c r="F320" s="1803"/>
      <c r="G320" s="1803"/>
      <c r="H320" s="1803"/>
    </row>
    <row r="321" spans="1:8">
      <c r="A321" s="1804" t="s">
        <v>849</v>
      </c>
      <c r="B321" s="1803"/>
      <c r="C321" s="1803"/>
      <c r="D321" s="1803"/>
      <c r="E321" s="1803"/>
      <c r="F321" s="1803"/>
      <c r="G321" s="1803"/>
      <c r="H321" s="1803"/>
    </row>
    <row r="322" spans="1:8">
      <c r="A322" s="1804" t="s">
        <v>850</v>
      </c>
      <c r="B322" s="1803"/>
      <c r="C322" s="1803"/>
      <c r="D322" s="1803"/>
      <c r="E322" s="1803"/>
      <c r="F322" s="1803"/>
      <c r="G322" s="1803"/>
      <c r="H322" s="1803"/>
    </row>
    <row r="323" spans="1:8">
      <c r="A323" s="1804" t="s">
        <v>851</v>
      </c>
      <c r="B323" s="1803"/>
      <c r="C323" s="1803"/>
      <c r="D323" s="1803"/>
      <c r="E323" s="1803"/>
      <c r="F323" s="1803"/>
      <c r="G323" s="1803"/>
      <c r="H323" s="1803"/>
    </row>
    <row r="324" spans="1:8">
      <c r="A324" s="1804" t="s">
        <v>852</v>
      </c>
      <c r="B324" s="1803"/>
      <c r="C324" s="1803"/>
      <c r="D324" s="1803"/>
      <c r="E324" s="1803"/>
      <c r="F324" s="1803"/>
      <c r="G324" s="1803"/>
      <c r="H324" s="1803"/>
    </row>
    <row r="325" spans="1:8">
      <c r="A325" s="1804" t="s">
        <v>853</v>
      </c>
      <c r="B325" s="1803"/>
      <c r="C325" s="1803"/>
      <c r="D325" s="1803"/>
      <c r="E325" s="1803"/>
      <c r="F325" s="1803"/>
      <c r="G325" s="1803"/>
      <c r="H325" s="1803"/>
    </row>
    <row r="326" spans="1:8">
      <c r="A326" s="1804" t="s">
        <v>854</v>
      </c>
      <c r="B326" s="1803"/>
      <c r="C326" s="1803"/>
      <c r="D326" s="1803"/>
      <c r="E326" s="1803"/>
      <c r="F326" s="1803"/>
      <c r="G326" s="1803"/>
      <c r="H326" s="1803"/>
    </row>
    <row r="327" spans="1:8">
      <c r="A327" s="1804" t="s">
        <v>855</v>
      </c>
      <c r="B327" s="1803"/>
      <c r="C327" s="1803"/>
      <c r="D327" s="1803"/>
      <c r="E327" s="1803"/>
      <c r="F327" s="1803"/>
      <c r="G327" s="1803"/>
      <c r="H327" s="1803"/>
    </row>
    <row r="328" spans="1:8">
      <c r="A328" s="1804" t="s">
        <v>856</v>
      </c>
      <c r="B328" s="1803"/>
      <c r="C328" s="1803"/>
      <c r="D328" s="1803"/>
      <c r="E328" s="1803"/>
      <c r="F328" s="1803"/>
      <c r="G328" s="1803"/>
      <c r="H328" s="1803"/>
    </row>
    <row r="329" spans="1:8">
      <c r="A329" s="1804" t="s">
        <v>857</v>
      </c>
      <c r="B329" s="1803"/>
      <c r="C329" s="1803"/>
      <c r="D329" s="1803"/>
      <c r="E329" s="1803"/>
      <c r="F329" s="1803"/>
      <c r="G329" s="1803"/>
      <c r="H329" s="1803"/>
    </row>
    <row r="330" spans="1:8">
      <c r="A330" s="1804" t="s">
        <v>858</v>
      </c>
      <c r="B330" s="1803"/>
      <c r="C330" s="1803"/>
      <c r="D330" s="1803"/>
      <c r="E330" s="1803"/>
      <c r="F330" s="1803"/>
      <c r="G330" s="1803"/>
      <c r="H330" s="1803"/>
    </row>
    <row r="331" spans="1:8">
      <c r="A331" s="1804" t="s">
        <v>859</v>
      </c>
      <c r="B331" s="1803"/>
      <c r="C331" s="1803"/>
      <c r="D331" s="1803"/>
      <c r="E331" s="1803"/>
      <c r="F331" s="1803"/>
      <c r="G331" s="1803"/>
      <c r="H331" s="1803"/>
    </row>
    <row r="332" spans="1:8">
      <c r="A332" s="1804" t="s">
        <v>860</v>
      </c>
      <c r="B332" s="1803"/>
      <c r="C332" s="1803"/>
      <c r="D332" s="1803"/>
      <c r="E332" s="1803"/>
      <c r="F332" s="1803"/>
      <c r="G332" s="1803"/>
      <c r="H332" s="1803"/>
    </row>
    <row r="333" spans="1:8">
      <c r="A333" s="1804" t="s">
        <v>861</v>
      </c>
      <c r="B333" s="1803"/>
      <c r="C333" s="1803"/>
      <c r="D333" s="1803"/>
      <c r="E333" s="1803"/>
      <c r="F333" s="1803"/>
      <c r="G333" s="1803"/>
      <c r="H333" s="1803"/>
    </row>
    <row r="334" spans="1:8">
      <c r="A334" s="1804" t="s">
        <v>862</v>
      </c>
      <c r="B334" s="1803"/>
      <c r="C334" s="1803"/>
      <c r="D334" s="1803"/>
      <c r="E334" s="1803"/>
      <c r="F334" s="1803"/>
      <c r="G334" s="1803"/>
      <c r="H334" s="1803"/>
    </row>
    <row r="335" spans="1:8">
      <c r="A335" s="1804" t="s">
        <v>863</v>
      </c>
      <c r="B335" s="1803"/>
      <c r="C335" s="1803"/>
      <c r="D335" s="1803"/>
      <c r="E335" s="1803"/>
      <c r="F335" s="1803"/>
      <c r="G335" s="1803"/>
      <c r="H335" s="1803"/>
    </row>
    <row r="336" spans="1:8">
      <c r="A336" s="1804" t="s">
        <v>864</v>
      </c>
      <c r="B336" s="1803"/>
      <c r="C336" s="1803"/>
      <c r="D336" s="1803"/>
      <c r="E336" s="1803"/>
      <c r="F336" s="1803"/>
      <c r="G336" s="1803"/>
      <c r="H336" s="1803"/>
    </row>
    <row r="337" spans="1:8">
      <c r="A337" s="1804" t="s">
        <v>865</v>
      </c>
      <c r="B337" s="1803"/>
      <c r="C337" s="1803"/>
      <c r="D337" s="1803"/>
      <c r="E337" s="1803"/>
      <c r="F337" s="1803"/>
      <c r="G337" s="1803"/>
      <c r="H337" s="1803"/>
    </row>
    <row r="338" spans="1:8">
      <c r="A338" s="1804" t="s">
        <v>866</v>
      </c>
      <c r="B338" s="1803"/>
      <c r="C338" s="1803"/>
      <c r="D338" s="1803"/>
      <c r="E338" s="1803"/>
      <c r="F338" s="1803"/>
      <c r="G338" s="1803"/>
      <c r="H338" s="1803"/>
    </row>
    <row r="339" spans="1:8">
      <c r="A339" s="1804" t="s">
        <v>867</v>
      </c>
      <c r="B339" s="1803"/>
      <c r="C339" s="1803"/>
      <c r="D339" s="1803"/>
      <c r="E339" s="1803"/>
      <c r="F339" s="1803"/>
      <c r="G339" s="1803"/>
      <c r="H339" s="1803"/>
    </row>
    <row r="340" spans="1:8">
      <c r="A340" s="1804" t="s">
        <v>868</v>
      </c>
      <c r="B340" s="1803"/>
      <c r="C340" s="1803"/>
      <c r="D340" s="1803"/>
      <c r="E340" s="1803"/>
      <c r="F340" s="1803"/>
      <c r="G340" s="1803"/>
      <c r="H340" s="1803"/>
    </row>
    <row r="341" spans="1:8">
      <c r="A341" s="1804" t="s">
        <v>869</v>
      </c>
      <c r="B341" s="1803"/>
      <c r="C341" s="1803"/>
      <c r="D341" s="1803"/>
      <c r="E341" s="1803"/>
      <c r="F341" s="1803"/>
      <c r="G341" s="1803"/>
      <c r="H341" s="1803"/>
    </row>
    <row r="342" spans="1:8">
      <c r="A342" s="1804" t="s">
        <v>870</v>
      </c>
      <c r="B342" s="1803"/>
      <c r="C342" s="1803"/>
      <c r="D342" s="1803"/>
      <c r="E342" s="1803"/>
      <c r="F342" s="1803"/>
      <c r="G342" s="1803"/>
      <c r="H342" s="1803"/>
    </row>
    <row r="343" spans="1:8">
      <c r="A343" s="1804" t="s">
        <v>871</v>
      </c>
      <c r="B343" s="1803"/>
      <c r="C343" s="1803"/>
      <c r="D343" s="1803"/>
      <c r="E343" s="1803"/>
      <c r="F343" s="1803"/>
      <c r="G343" s="1803"/>
      <c r="H343" s="1803"/>
    </row>
    <row r="344" spans="1:8">
      <c r="A344" s="1804" t="s">
        <v>872</v>
      </c>
      <c r="B344" s="1803"/>
      <c r="C344" s="1803"/>
      <c r="D344" s="1803"/>
      <c r="E344" s="1803"/>
      <c r="F344" s="1803"/>
      <c r="G344" s="1803"/>
      <c r="H344" s="1803"/>
    </row>
    <row r="345" spans="1:8">
      <c r="A345" s="1804" t="s">
        <v>873</v>
      </c>
      <c r="B345" s="1803"/>
      <c r="C345" s="1803"/>
      <c r="D345" s="1803"/>
      <c r="E345" s="1803"/>
      <c r="F345" s="1803"/>
      <c r="G345" s="1803"/>
      <c r="H345" s="1803"/>
    </row>
    <row r="346" spans="1:8">
      <c r="A346" s="1804" t="s">
        <v>874</v>
      </c>
      <c r="B346" s="1803"/>
      <c r="C346" s="1803"/>
      <c r="D346" s="1803"/>
      <c r="E346" s="1803"/>
      <c r="F346" s="1803"/>
      <c r="G346" s="1803"/>
      <c r="H346" s="1803"/>
    </row>
    <row r="347" spans="1:8">
      <c r="A347" s="1803"/>
      <c r="B347" s="1803"/>
      <c r="C347" s="1803"/>
      <c r="D347" s="1803"/>
      <c r="E347" s="1803"/>
      <c r="F347" s="1803"/>
      <c r="G347" s="1803"/>
      <c r="H347" s="1803"/>
    </row>
    <row r="348" spans="1:8">
      <c r="A348" s="1804" t="s">
        <v>832</v>
      </c>
      <c r="B348" s="1803"/>
      <c r="C348" s="1803"/>
      <c r="D348" s="1803"/>
      <c r="E348" s="1803"/>
      <c r="F348" s="1803"/>
      <c r="G348" s="1803"/>
      <c r="H348" s="1803"/>
    </row>
    <row r="349" spans="1:8">
      <c r="A349" s="1804" t="s">
        <v>836</v>
      </c>
      <c r="B349" s="1803"/>
      <c r="C349" s="1803"/>
      <c r="D349" s="1803"/>
      <c r="E349" s="1803"/>
      <c r="F349" s="1803"/>
      <c r="G349" s="1803"/>
      <c r="H349" s="1803"/>
    </row>
    <row r="350" spans="1:8">
      <c r="A350" s="1804" t="s">
        <v>837</v>
      </c>
      <c r="B350" s="1803"/>
      <c r="C350" s="1803"/>
      <c r="D350" s="1803"/>
      <c r="E350" s="1803"/>
      <c r="F350" s="1803"/>
      <c r="G350" s="1803"/>
      <c r="H350" s="1803"/>
    </row>
    <row r="351" spans="1:8">
      <c r="A351" s="1804" t="s">
        <v>838</v>
      </c>
      <c r="B351" s="1803"/>
      <c r="C351" s="1803"/>
      <c r="D351" s="1803"/>
      <c r="E351" s="1803"/>
      <c r="F351" s="1803"/>
      <c r="G351" s="1803"/>
      <c r="H351" s="1803"/>
    </row>
    <row r="352" spans="1:8">
      <c r="A352" s="1804" t="s">
        <v>839</v>
      </c>
      <c r="B352" s="1803"/>
      <c r="C352" s="1803"/>
      <c r="D352" s="1803"/>
      <c r="E352" s="1803"/>
      <c r="F352" s="1803"/>
      <c r="G352" s="1803"/>
      <c r="H352" s="1803"/>
    </row>
    <row r="353" spans="1:8">
      <c r="A353" s="1803"/>
      <c r="B353" s="1803"/>
      <c r="C353" s="1803"/>
      <c r="D353" s="1803"/>
      <c r="E353" s="1803"/>
      <c r="F353" s="1803"/>
      <c r="G353" s="1803"/>
      <c r="H353" s="1803"/>
    </row>
    <row r="354" spans="1:8">
      <c r="A354" s="1804" t="s">
        <v>832</v>
      </c>
      <c r="B354" s="1803"/>
      <c r="C354" s="1803"/>
      <c r="D354" s="1803"/>
      <c r="E354" s="1803"/>
      <c r="F354" s="1803"/>
      <c r="G354" s="1803"/>
      <c r="H354" s="1803"/>
    </row>
    <row r="355" spans="1:8">
      <c r="A355" s="1804" t="s">
        <v>833</v>
      </c>
      <c r="B355" s="1803"/>
      <c r="C355" s="1803"/>
      <c r="D355" s="1803"/>
      <c r="E355" s="1803"/>
      <c r="F355" s="1803"/>
      <c r="G355" s="1803"/>
      <c r="H355" s="1803"/>
    </row>
    <row r="356" spans="1:8">
      <c r="A356" s="1804" t="s">
        <v>834</v>
      </c>
      <c r="B356" s="1803"/>
      <c r="C356" s="1803"/>
      <c r="D356" s="1803"/>
      <c r="E356" s="1803"/>
      <c r="F356" s="1803"/>
      <c r="G356" s="1803"/>
      <c r="H356" s="1803"/>
    </row>
    <row r="357" spans="1:8">
      <c r="A357" s="1804" t="s">
        <v>835</v>
      </c>
      <c r="B357" s="1803"/>
      <c r="C357" s="1803"/>
      <c r="D357" s="1803"/>
      <c r="E357" s="1803"/>
      <c r="F357" s="1803"/>
      <c r="G357" s="1803"/>
      <c r="H357" s="1803"/>
    </row>
    <row r="358" spans="1:8">
      <c r="A358" s="1803"/>
      <c r="B358" s="1803"/>
      <c r="C358" s="1803"/>
      <c r="D358" s="1803"/>
      <c r="E358" s="1803"/>
      <c r="F358" s="1803"/>
      <c r="G358" s="1803"/>
      <c r="H358" s="1803"/>
    </row>
    <row r="359" spans="1:8">
      <c r="A359" s="1804" t="s">
        <v>826</v>
      </c>
      <c r="B359" s="1803"/>
      <c r="C359" s="1803"/>
      <c r="D359" s="1803"/>
      <c r="E359" s="1803"/>
      <c r="F359" s="1803"/>
      <c r="G359" s="1803"/>
      <c r="H359" s="1803"/>
    </row>
    <row r="360" spans="1:8">
      <c r="A360" s="1804" t="s">
        <v>827</v>
      </c>
      <c r="B360" s="1803"/>
      <c r="C360" s="1803"/>
      <c r="D360" s="1803"/>
      <c r="E360" s="1803"/>
      <c r="F360" s="1803"/>
      <c r="G360" s="1803"/>
      <c r="H360" s="1803"/>
    </row>
    <row r="361" spans="1:8">
      <c r="A361" s="1804" t="s">
        <v>828</v>
      </c>
      <c r="B361" s="1803"/>
      <c r="C361" s="1803"/>
      <c r="D361" s="1803"/>
      <c r="E361" s="1803"/>
      <c r="F361" s="1803"/>
      <c r="G361" s="1803"/>
      <c r="H361" s="1803"/>
    </row>
    <row r="362" spans="1:8">
      <c r="A362" s="1804" t="s">
        <v>829</v>
      </c>
      <c r="B362" s="1803"/>
      <c r="C362" s="1803"/>
      <c r="D362" s="1803"/>
      <c r="E362" s="1803"/>
      <c r="F362" s="1803"/>
      <c r="G362" s="1803"/>
      <c r="H362" s="1803"/>
    </row>
    <row r="363" spans="1:8">
      <c r="A363" s="1804" t="s">
        <v>830</v>
      </c>
      <c r="B363" s="1803"/>
      <c r="C363" s="1803"/>
      <c r="D363" s="1803"/>
      <c r="E363" s="1803"/>
      <c r="F363" s="1803"/>
      <c r="G363" s="1803"/>
      <c r="H363" s="1803"/>
    </row>
    <row r="364" spans="1:8">
      <c r="A364" s="1804" t="s">
        <v>831</v>
      </c>
      <c r="B364" s="1803"/>
      <c r="C364" s="1803"/>
      <c r="D364" s="1803"/>
      <c r="E364" s="1803"/>
      <c r="F364" s="1803"/>
      <c r="G364" s="1803"/>
      <c r="H364" s="1803"/>
    </row>
    <row r="365" spans="1:8">
      <c r="A365" s="1803"/>
      <c r="B365" s="1803"/>
      <c r="C365" s="1803"/>
      <c r="D365" s="1803"/>
      <c r="E365" s="1803"/>
      <c r="F365" s="1803"/>
      <c r="G365" s="1803"/>
      <c r="H365" s="1803"/>
    </row>
    <row r="366" spans="1:8">
      <c r="A366" s="1804" t="s">
        <v>821</v>
      </c>
      <c r="B366" s="1803"/>
      <c r="C366" s="1803"/>
      <c r="D366" s="1803"/>
      <c r="E366" s="1803"/>
      <c r="F366" s="1803"/>
      <c r="G366" s="1803"/>
      <c r="H366" s="1803"/>
    </row>
    <row r="367" spans="1:8">
      <c r="A367" s="1804" t="s">
        <v>822</v>
      </c>
      <c r="B367" s="1803"/>
      <c r="C367" s="1803"/>
      <c r="D367" s="1803"/>
      <c r="E367" s="1803"/>
      <c r="F367" s="1803"/>
      <c r="G367" s="1803"/>
      <c r="H367" s="1803"/>
    </row>
    <row r="368" spans="1:8">
      <c r="A368" s="1804" t="s">
        <v>823</v>
      </c>
      <c r="B368" s="1803"/>
      <c r="C368" s="1803"/>
      <c r="D368" s="1803"/>
      <c r="E368" s="1803"/>
      <c r="F368" s="1803"/>
      <c r="G368" s="1803"/>
      <c r="H368" s="1803"/>
    </row>
    <row r="369" spans="1:8">
      <c r="A369" s="1804" t="s">
        <v>824</v>
      </c>
      <c r="B369" s="1803"/>
      <c r="C369" s="1803"/>
      <c r="D369" s="1803"/>
      <c r="E369" s="1803"/>
      <c r="F369" s="1803"/>
      <c r="G369" s="1803"/>
      <c r="H369" s="1803"/>
    </row>
    <row r="370" spans="1:8">
      <c r="A370" s="1804" t="s">
        <v>825</v>
      </c>
      <c r="B370" s="1803"/>
      <c r="C370" s="1803"/>
      <c r="D370" s="1803"/>
      <c r="E370" s="1803"/>
      <c r="F370" s="1803"/>
      <c r="G370" s="1803"/>
      <c r="H370" s="1803"/>
    </row>
    <row r="371" spans="1:8">
      <c r="A371" s="1803"/>
      <c r="B371" s="1803"/>
      <c r="C371" s="1803"/>
      <c r="D371" s="1803"/>
      <c r="E371" s="1803"/>
      <c r="F371" s="1803"/>
      <c r="G371" s="1803"/>
      <c r="H371" s="1803"/>
    </row>
    <row r="372" spans="1:8">
      <c r="A372" s="1804" t="s">
        <v>819</v>
      </c>
      <c r="B372" s="1803"/>
      <c r="C372" s="1803"/>
      <c r="D372" s="1803"/>
      <c r="E372" s="1803"/>
      <c r="F372" s="1803"/>
      <c r="G372" s="1803"/>
      <c r="H372" s="1803"/>
    </row>
    <row r="373" spans="1:8">
      <c r="A373" s="1804" t="s">
        <v>820</v>
      </c>
      <c r="B373" s="1803"/>
      <c r="C373" s="1803"/>
      <c r="D373" s="1803"/>
      <c r="E373" s="1803"/>
      <c r="F373" s="1803"/>
      <c r="G373" s="1803"/>
      <c r="H373" s="1803"/>
    </row>
    <row r="375" spans="1:8">
      <c r="A375" s="1799" t="s">
        <v>1064</v>
      </c>
    </row>
  </sheetData>
  <mergeCells count="12">
    <mergeCell ref="A116:H116"/>
    <mergeCell ref="A117:H117"/>
    <mergeCell ref="B109:C109"/>
    <mergeCell ref="D109:F109"/>
    <mergeCell ref="G109:H109"/>
    <mergeCell ref="A95:H95"/>
    <mergeCell ref="A96:H96"/>
    <mergeCell ref="A97:H97"/>
    <mergeCell ref="A98:H98"/>
    <mergeCell ref="A100:H100"/>
    <mergeCell ref="A101:H101"/>
    <mergeCell ref="A108:H108"/>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B1:V66"/>
  <sheetViews>
    <sheetView workbookViewId="0">
      <selection activeCell="C49" sqref="C48:C49"/>
    </sheetView>
  </sheetViews>
  <sheetFormatPr defaultRowHeight="12.75"/>
  <cols>
    <col min="1" max="1" width="2.7109375" customWidth="1"/>
    <col min="2" max="2" width="21" bestFit="1" customWidth="1"/>
    <col min="3" max="3" width="8.42578125" customWidth="1"/>
    <col min="4" max="4" width="8.140625" customWidth="1"/>
    <col min="5" max="5" width="8.42578125" customWidth="1"/>
    <col min="6" max="6" width="9.5703125" customWidth="1"/>
    <col min="8" max="8" width="10.42578125" customWidth="1"/>
    <col min="10" max="10" width="14.5703125" customWidth="1"/>
    <col min="11" max="11" width="6.42578125" style="11" customWidth="1"/>
    <col min="12" max="12" width="15.42578125" customWidth="1"/>
    <col min="13" max="13" width="3.28515625" customWidth="1"/>
    <col min="14" max="14" width="11.85546875" customWidth="1"/>
  </cols>
  <sheetData>
    <row r="1" spans="2:14" ht="13.5" thickBot="1">
      <c r="B1" s="67" t="s">
        <v>441</v>
      </c>
      <c r="C1" s="68"/>
      <c r="D1" s="68"/>
      <c r="E1" s="68"/>
      <c r="F1" s="697" t="s">
        <v>729</v>
      </c>
      <c r="G1" s="42"/>
      <c r="H1" s="42"/>
      <c r="I1" s="42"/>
    </row>
    <row r="2" spans="2:14">
      <c r="B2" s="69"/>
      <c r="C2" s="62" t="s">
        <v>727</v>
      </c>
      <c r="D2" s="62" t="s">
        <v>728</v>
      </c>
      <c r="E2" s="62" t="s">
        <v>141</v>
      </c>
      <c r="F2" s="62" t="s">
        <v>380</v>
      </c>
      <c r="G2" s="42"/>
      <c r="H2" s="63" t="s">
        <v>142</v>
      </c>
      <c r="I2" s="64"/>
      <c r="J2" s="64"/>
      <c r="L2" s="125" t="s">
        <v>75</v>
      </c>
      <c r="M2" s="15"/>
      <c r="N2" s="126" t="s">
        <v>76</v>
      </c>
    </row>
    <row r="3" spans="2:14">
      <c r="B3" s="62"/>
      <c r="C3" s="62" t="s">
        <v>711</v>
      </c>
      <c r="D3" s="62" t="s">
        <v>770</v>
      </c>
      <c r="E3" s="62" t="str">
        <f>D3</f>
        <v>2Q17</v>
      </c>
      <c r="F3" s="62" t="str">
        <f>E3</f>
        <v>2Q17</v>
      </c>
      <c r="G3" s="42"/>
      <c r="H3" s="62" t="str">
        <f>C3</f>
        <v>2Q16</v>
      </c>
      <c r="I3" s="62" t="str">
        <f>E2&amp;" "&amp;E3</f>
        <v>MS 2Q17</v>
      </c>
      <c r="J3" s="62" t="str">
        <f>F2&amp;" "&amp;F3</f>
        <v>Consensus 2Q17</v>
      </c>
      <c r="K3" s="65"/>
      <c r="L3" s="127" t="s">
        <v>92</v>
      </c>
      <c r="M3" s="15"/>
      <c r="N3" s="127" t="s">
        <v>93</v>
      </c>
    </row>
    <row r="4" spans="2:14">
      <c r="B4" s="66" t="s">
        <v>388</v>
      </c>
      <c r="C4" s="70">
        <f>sumry!CA8</f>
        <v>890.56799999999998</v>
      </c>
      <c r="D4" s="70">
        <f>sumry!CF8</f>
        <v>872.93100000000004</v>
      </c>
      <c r="E4" s="119">
        <v>854.72449289740393</v>
      </c>
      <c r="F4" s="696">
        <f>_xll.ThomsonONEAddinShim.SpreadsheetFormulas.TF($B$1,"TF.ES.Sales.Mean(period=#1,scale=6)",,F1)</f>
        <v>1045</v>
      </c>
      <c r="G4" s="42"/>
      <c r="H4" s="71">
        <f>IF(ISERROR(D4-C4)=TRUE,"NA",D4-C4)</f>
        <v>-17.636999999999944</v>
      </c>
      <c r="I4" s="71">
        <f>IF(ISERROR(D4-E4)=TRUE,"NA",D4-E4)</f>
        <v>18.206507102596106</v>
      </c>
      <c r="J4" s="72">
        <f>IF(ISERROR(D4-F4)=TRUE,"NA",D4-F4)</f>
        <v>-172.06899999999996</v>
      </c>
      <c r="K4" s="73"/>
      <c r="L4" s="128">
        <f>(($D$4*E$24)-($D$4*E$25)-E$13)*(1-E$28)/E$21-E$20</f>
        <v>-5.0434219348298726E-3</v>
      </c>
      <c r="M4" s="15"/>
      <c r="N4" s="129"/>
    </row>
    <row r="5" spans="2:14">
      <c r="B5" s="66"/>
      <c r="C5" s="74"/>
      <c r="D5" s="74"/>
      <c r="E5" s="120"/>
      <c r="F5" s="75"/>
      <c r="G5" s="42"/>
      <c r="H5" s="76"/>
      <c r="I5" s="76"/>
      <c r="J5" s="77"/>
      <c r="K5" s="78"/>
      <c r="L5" s="130"/>
      <c r="M5" s="15"/>
      <c r="N5" s="131"/>
    </row>
    <row r="6" spans="2:14">
      <c r="B6" s="66" t="s">
        <v>409</v>
      </c>
      <c r="C6" s="79">
        <f>sumry!CA10</f>
        <v>548.05700000000002</v>
      </c>
      <c r="D6" s="79">
        <f>sumry!CF10</f>
        <v>575.58799999999997</v>
      </c>
      <c r="E6" s="121">
        <v>568.81915002322228</v>
      </c>
      <c r="F6" s="79">
        <f>F4*(1-F24)</f>
        <v>693.87999999999988</v>
      </c>
      <c r="G6" s="42"/>
      <c r="H6" s="80">
        <f>IF(ISERROR(D6-C6)=TRUE,"NA",D6-C6)</f>
        <v>27.530999999999949</v>
      </c>
      <c r="I6" s="80">
        <f>IF(ISERROR(D6-E6)=TRUE,"NA",D6-E6)</f>
        <v>6.7688499767776875</v>
      </c>
      <c r="J6" s="77">
        <f>IF(ISERROR(D6-F6)=TRUE,"NA",D6-F6)</f>
        <v>-118.29199999999992</v>
      </c>
      <c r="K6" s="81"/>
      <c r="L6" s="130"/>
      <c r="M6" s="15"/>
      <c r="N6" s="132"/>
    </row>
    <row r="7" spans="2:14">
      <c r="B7" s="66"/>
      <c r="C7" s="79"/>
      <c r="D7" s="79"/>
      <c r="E7" s="121"/>
      <c r="F7" s="82"/>
      <c r="G7" s="42"/>
      <c r="H7" s="76"/>
      <c r="I7" s="76"/>
      <c r="J7" s="77"/>
      <c r="K7" s="78"/>
      <c r="L7" s="130"/>
      <c r="M7" s="15"/>
      <c r="N7" s="131"/>
    </row>
    <row r="8" spans="2:14">
      <c r="B8" s="66" t="s">
        <v>410</v>
      </c>
      <c r="C8" s="79">
        <f>sumry!CA12</f>
        <v>342.51099999999997</v>
      </c>
      <c r="D8" s="79">
        <f>sumry!CF12</f>
        <v>297.34300000000007</v>
      </c>
      <c r="E8" s="121">
        <v>285.90534287418166</v>
      </c>
      <c r="F8" s="79">
        <f>F4-F6</f>
        <v>351.12000000000012</v>
      </c>
      <c r="G8" s="42"/>
      <c r="H8" s="80">
        <f>IF(ISERROR(D8-C8)=TRUE,"NA",D8-C8)</f>
        <v>-45.167999999999893</v>
      </c>
      <c r="I8" s="80">
        <f>IF(ISERROR(D8-E8)=TRUE,"NA",D8-E8)</f>
        <v>11.437657125818419</v>
      </c>
      <c r="J8" s="77">
        <f>IF(ISERROR(D8-F8)=TRUE,"NA",D8-F8)</f>
        <v>-53.777000000000044</v>
      </c>
      <c r="K8" s="81"/>
      <c r="L8" s="128">
        <f>($D$8-($D$4*E$25)-E$13)*(1-E$28)/E$21-(E$20+L$4)</f>
        <v>2.9538126772208739E-2</v>
      </c>
      <c r="M8" s="15"/>
      <c r="N8" s="132"/>
    </row>
    <row r="9" spans="2:14">
      <c r="B9" s="66" t="s">
        <v>411</v>
      </c>
      <c r="C9" s="79">
        <f>sumry!CA13</f>
        <v>224.29900000000001</v>
      </c>
      <c r="D9" s="79">
        <f>sumry!CF13</f>
        <v>222.16300000000001</v>
      </c>
      <c r="E9" s="121">
        <v>228.21143960360686</v>
      </c>
      <c r="F9" s="79">
        <f>F4*F25</f>
        <v>249.12000000000003</v>
      </c>
      <c r="G9" s="42"/>
      <c r="H9" s="80">
        <f>IF(ISERROR(D9-C9)=TRUE,"NA",D9-C9)</f>
        <v>-2.1359999999999957</v>
      </c>
      <c r="I9" s="80">
        <f>IF(ISERROR(D9-E9)=TRUE,"NA",D9-E9)</f>
        <v>-6.0484396036068517</v>
      </c>
      <c r="J9" s="77">
        <f>IF(ISERROR(D9-F9)=TRUE,"NA",D9-F9)</f>
        <v>-26.957000000000022</v>
      </c>
      <c r="K9" s="81"/>
      <c r="L9" s="128">
        <f>(D$8-D$9-E$13)*(1-E$28)/E$21-(E$20+L$4+L$8)</f>
        <v>6.026061102907565E-2</v>
      </c>
      <c r="M9" s="15"/>
      <c r="N9" s="129"/>
    </row>
    <row r="10" spans="2:14">
      <c r="B10" s="66"/>
      <c r="C10" s="79"/>
      <c r="D10" s="79"/>
      <c r="E10" s="121"/>
      <c r="F10" s="79"/>
      <c r="G10" s="42"/>
      <c r="H10" s="76"/>
      <c r="I10" s="76"/>
      <c r="J10" s="76"/>
      <c r="K10" s="78"/>
      <c r="L10" s="133" t="s">
        <v>377</v>
      </c>
      <c r="M10" s="15"/>
      <c r="N10" s="134"/>
    </row>
    <row r="11" spans="2:14">
      <c r="B11" s="66" t="s">
        <v>412</v>
      </c>
      <c r="C11" s="79">
        <f>sumry!CA16</f>
        <v>118.21199999999996</v>
      </c>
      <c r="D11" s="79">
        <f>sumry!CF16</f>
        <v>75.180000000000064</v>
      </c>
      <c r="E11" s="121">
        <v>57.693903270574793</v>
      </c>
      <c r="F11" s="696">
        <f>_xll.ThomsonONEAddinShim.SpreadsheetFormulas.TF($B$1,"TF.ES.EBIT.Mean(period=#1,scale=6)",,F$1)</f>
        <v>102</v>
      </c>
      <c r="G11" s="42"/>
      <c r="H11" s="80">
        <f>IF(ISERROR(D11-C11)=TRUE,"NA",D11-C11)</f>
        <v>-43.031999999999897</v>
      </c>
      <c r="I11" s="80">
        <f>IF(ISERROR(D11-E11)=TRUE,"NA",D11-E11)</f>
        <v>17.48609672942527</v>
      </c>
      <c r="J11" s="80">
        <f>IF(ISERROR(D11-F11)=TRUE,"NA",D11-F11)</f>
        <v>-26.819999999999936</v>
      </c>
      <c r="K11" s="81"/>
      <c r="L11" s="135">
        <f>(D$11-E$13)*(1-E$28)/E$21-(E$20)</f>
        <v>8.4755315866454517E-2</v>
      </c>
      <c r="M11" s="15"/>
      <c r="N11" s="129"/>
    </row>
    <row r="12" spans="2:14">
      <c r="B12" s="66"/>
      <c r="C12" s="79"/>
      <c r="D12" s="79"/>
      <c r="E12" s="121"/>
      <c r="F12" s="79"/>
      <c r="G12" s="42"/>
      <c r="H12" s="80"/>
      <c r="I12" s="80"/>
      <c r="J12" s="80"/>
      <c r="K12" s="81"/>
      <c r="L12" s="136"/>
      <c r="M12" s="15"/>
      <c r="N12" s="137"/>
    </row>
    <row r="13" spans="2:14">
      <c r="B13" s="66" t="s">
        <v>143</v>
      </c>
      <c r="C13" s="79">
        <f>sumry!CA18</f>
        <v>1.071</v>
      </c>
      <c r="D13" s="79">
        <f>sumry!CF18</f>
        <v>1.736</v>
      </c>
      <c r="E13" s="121">
        <v>1.071</v>
      </c>
      <c r="F13" s="79">
        <f>F11-F14</f>
        <v>0</v>
      </c>
      <c r="G13" s="42"/>
      <c r="H13" s="80">
        <f>IF(ISERROR(D13-C13)=TRUE,"NA",D13-C13)</f>
        <v>0.66500000000000004</v>
      </c>
      <c r="I13" s="80">
        <f>IF(ISERROR(D13-E13)=TRUE,"NA",D13-E13)</f>
        <v>0.66500000000000004</v>
      </c>
      <c r="J13" s="80"/>
      <c r="K13" s="81"/>
      <c r="L13" s="128">
        <f>(D$11-D$13)*(1-E$28)/E$21-(E$20+L11)</f>
        <v>-3.6732227412974439E-3</v>
      </c>
      <c r="M13" s="15"/>
      <c r="N13" s="137"/>
    </row>
    <row r="14" spans="2:14">
      <c r="B14" s="66" t="s">
        <v>413</v>
      </c>
      <c r="C14" s="79">
        <f>C13+C11</f>
        <v>119.28299999999996</v>
      </c>
      <c r="D14" s="79">
        <f>D13+D11</f>
        <v>76.916000000000068</v>
      </c>
      <c r="E14" s="121">
        <v>58.764903270574791</v>
      </c>
      <c r="F14" s="696">
        <f>_xll.ThomsonONEAddinShim.SpreadsheetFormulas.TF($B$1,"TF.ES.PBT.Mean(period=#1,scale=6)",,F$1)</f>
        <v>102</v>
      </c>
      <c r="G14" s="42"/>
      <c r="H14" s="80">
        <f>IF(ISERROR(D14-C14)=TRUE,"NA",D14-C14)</f>
        <v>-42.366999999999891</v>
      </c>
      <c r="I14" s="80">
        <f>IF(ISERROR(D14-E14)=TRUE,"NA",D14-E14)</f>
        <v>18.151096729425277</v>
      </c>
      <c r="J14" s="80"/>
      <c r="K14" s="81"/>
      <c r="L14" s="136"/>
      <c r="M14" s="15"/>
      <c r="N14" s="131"/>
    </row>
    <row r="15" spans="2:14">
      <c r="B15" s="66"/>
      <c r="C15" s="79"/>
      <c r="D15" s="79"/>
      <c r="E15" s="121"/>
      <c r="F15" s="79"/>
      <c r="G15" s="42"/>
      <c r="H15" s="80"/>
      <c r="I15" s="80"/>
      <c r="J15" s="80"/>
      <c r="K15" s="81"/>
      <c r="L15" s="128"/>
      <c r="M15" s="15"/>
      <c r="N15" s="129"/>
    </row>
    <row r="16" spans="2:14">
      <c r="B16" s="66" t="s">
        <v>414</v>
      </c>
      <c r="C16" s="79">
        <f>sumry!CA21</f>
        <v>42.368000000000002</v>
      </c>
      <c r="D16" s="79">
        <f>sumry!CF21</f>
        <v>27.001000000000001</v>
      </c>
      <c r="E16" s="121">
        <v>21.449189693759799</v>
      </c>
      <c r="F16" s="79">
        <f>F14-F18</f>
        <v>36</v>
      </c>
      <c r="G16" s="42"/>
      <c r="H16" s="80">
        <f>IF(ISERROR(D16-C16)=TRUE,"NA",D16-C16)</f>
        <v>-15.367000000000001</v>
      </c>
      <c r="I16" s="80">
        <f>IF(ISERROR(D16-E16)=TRUE,"NA",D16-E16)</f>
        <v>5.5518103062402027</v>
      </c>
      <c r="J16" s="80"/>
      <c r="K16" s="81"/>
      <c r="L16" s="128"/>
      <c r="M16" s="15"/>
      <c r="N16" s="131"/>
    </row>
    <row r="17" spans="2:22">
      <c r="B17" s="66"/>
      <c r="C17" s="79"/>
      <c r="D17" s="79"/>
      <c r="E17" s="121"/>
      <c r="F17" s="79"/>
      <c r="G17" s="42"/>
      <c r="H17" s="80"/>
      <c r="I17" s="80"/>
      <c r="J17" s="80"/>
      <c r="K17" s="81"/>
      <c r="L17" s="136"/>
      <c r="M17" s="15"/>
      <c r="N17" s="132"/>
    </row>
    <row r="18" spans="2:22">
      <c r="B18" s="66" t="s">
        <v>415</v>
      </c>
      <c r="C18" s="79">
        <f>C14-C16</f>
        <v>76.914999999999964</v>
      </c>
      <c r="D18" s="79">
        <f>D14-D16</f>
        <v>49.915000000000063</v>
      </c>
      <c r="E18" s="121">
        <v>37.315713576814993</v>
      </c>
      <c r="F18" s="698" t="str">
        <f>_xll.ThomsonONEAddinShim.SpreadsheetFormulas.TF($B$1,"TF.ES.NetInc.Mean(period=#1,scale=6)",,F$1)</f>
        <v xml:space="preserve">$66 </v>
      </c>
      <c r="G18" s="42"/>
      <c r="H18" s="80">
        <f>IF(ISERROR(D18-C18)=TRUE,"NA",D18-C18)</f>
        <v>-26.999999999999901</v>
      </c>
      <c r="I18" s="80">
        <f>IF(ISERROR(D18-E18)=TRUE,"NA",D18-E18)</f>
        <v>12.59928642318507</v>
      </c>
      <c r="J18" s="80"/>
      <c r="K18" s="81"/>
      <c r="L18" s="136"/>
      <c r="M18" s="15"/>
      <c r="N18" s="131"/>
    </row>
    <row r="19" spans="2:22">
      <c r="B19" s="66"/>
      <c r="C19" s="79"/>
      <c r="D19" s="79"/>
      <c r="E19" s="121"/>
      <c r="F19" s="79"/>
      <c r="G19" s="42"/>
      <c r="H19" s="71"/>
      <c r="I19" s="71"/>
      <c r="J19" s="71"/>
      <c r="K19" s="83"/>
      <c r="L19" s="138"/>
      <c r="M19" s="15"/>
      <c r="N19" s="137"/>
    </row>
    <row r="20" spans="2:22">
      <c r="B20" s="66" t="s">
        <v>416</v>
      </c>
      <c r="C20" s="1613">
        <f>sumry!CA25</f>
        <v>0.65524746775371412</v>
      </c>
      <c r="D20" s="1613">
        <f>sumry!CF25</f>
        <v>0.43877211774296659</v>
      </c>
      <c r="E20" s="1614">
        <v>0.32459635952423815</v>
      </c>
      <c r="F20" s="1615" t="str">
        <f>_xll.ThomsonONEAddinShim.SpreadsheetFormulas.TF($B$1,"TF.ES.EPS.Mean(period=#1)",,F$1)</f>
        <v xml:space="preserve">$0.56 </v>
      </c>
      <c r="G20" s="42"/>
      <c r="H20" s="84">
        <f>IF(ISERROR(D20-C20)=TRUE,"NA",D20-C20)</f>
        <v>-0.21647535001074752</v>
      </c>
      <c r="I20" s="84">
        <f>IF(ISERROR(D20-E20)=TRUE,"NA",D20-E20)</f>
        <v>0.11417575821872844</v>
      </c>
      <c r="J20" s="84">
        <f>IF(ISERROR(D20-F20)=TRUE,"NA",D20-F20)</f>
        <v>-0.12122788225703346</v>
      </c>
      <c r="K20" s="85"/>
      <c r="L20" s="128"/>
      <c r="M20" s="15"/>
      <c r="N20" s="136"/>
    </row>
    <row r="21" spans="2:22">
      <c r="B21" s="66" t="s">
        <v>144</v>
      </c>
      <c r="C21" s="86">
        <f>sumry!CA26</f>
        <v>117.383132</v>
      </c>
      <c r="D21" s="86">
        <f>sumry!CF26</f>
        <v>113.76064700000001</v>
      </c>
      <c r="E21" s="122">
        <v>114.96035763157894</v>
      </c>
      <c r="F21" s="86">
        <f>F18/F20</f>
        <v>117.85714285714285</v>
      </c>
      <c r="G21" s="42"/>
      <c r="H21" s="87">
        <f>IF(ISERROR(D21-C21)=TRUE,"NA",D21-C21)</f>
        <v>-3.6224849999999975</v>
      </c>
      <c r="I21" s="87">
        <f>IF(ISERROR(D21-E21)=TRUE,"NA",D21-E21)</f>
        <v>-1.1997106315789381</v>
      </c>
      <c r="J21" s="87"/>
      <c r="K21" s="88"/>
      <c r="L21" s="130"/>
      <c r="M21" s="15"/>
      <c r="N21" s="129"/>
    </row>
    <row r="22" spans="2:22">
      <c r="B22" s="66"/>
      <c r="C22" s="79"/>
      <c r="D22" s="79"/>
      <c r="E22" s="121"/>
      <c r="F22" s="79"/>
      <c r="G22" s="42"/>
      <c r="H22" s="80"/>
      <c r="I22" s="80"/>
      <c r="J22" s="80"/>
      <c r="K22" s="81"/>
      <c r="L22" s="136"/>
      <c r="M22" s="15"/>
      <c r="N22" s="139"/>
    </row>
    <row r="23" spans="2:22">
      <c r="B23" s="89" t="s">
        <v>418</v>
      </c>
      <c r="C23" s="86"/>
      <c r="D23" s="86"/>
      <c r="E23" s="122"/>
      <c r="F23" s="86"/>
      <c r="G23" s="42"/>
      <c r="H23" s="86"/>
      <c r="I23" s="86"/>
      <c r="J23" s="86"/>
      <c r="K23" s="90"/>
      <c r="L23" s="136"/>
      <c r="M23" s="15"/>
      <c r="N23" s="129"/>
    </row>
    <row r="24" spans="2:22">
      <c r="B24" s="66" t="s">
        <v>419</v>
      </c>
      <c r="C24" s="91">
        <f>sumry!CA58</f>
        <v>0.3845983686815605</v>
      </c>
      <c r="D24" s="91">
        <f>sumry!CF58</f>
        <v>0.34062600595006942</v>
      </c>
      <c r="E24" s="123">
        <v>0.33450000000000002</v>
      </c>
      <c r="F24" s="91">
        <f>_xll.ThomsonONEAddinShim.SpreadsheetFormulas.TF($B$1,"TF.ES.GPM.Mean(period=#1)",,F$1)</f>
        <v>0.33600000000000002</v>
      </c>
      <c r="G24" s="42"/>
      <c r="H24" s="76">
        <f t="shared" ref="H24:H29" si="0">IF(ISERROR((D24-C24)*10000)=TRUE,"NA",(D24-C24)*10000)</f>
        <v>-439.72362731491074</v>
      </c>
      <c r="I24" s="76">
        <f t="shared" ref="I24:I29" si="1">IF(ISERROR((D24-E24)*10000)=TRUE,"NA",(D24-E24)*10000)</f>
        <v>61.26005950069402</v>
      </c>
      <c r="J24" s="76">
        <f t="shared" ref="J24:J29" si="2">IF(ISERROR((D24-F24)*10000)=TRUE,"NA",(D24-F24)*10000)</f>
        <v>46.260059500694005</v>
      </c>
      <c r="K24" s="78"/>
      <c r="L24" s="136"/>
      <c r="M24" s="15"/>
      <c r="N24" s="136"/>
    </row>
    <row r="25" spans="2:22">
      <c r="B25" s="66" t="s">
        <v>420</v>
      </c>
      <c r="C25" s="91">
        <f>sumry!CA59</f>
        <v>0.25186061030712986</v>
      </c>
      <c r="D25" s="91">
        <f>sumry!CF59</f>
        <v>0.25450236043856844</v>
      </c>
      <c r="E25" s="123">
        <v>0.26700000000000002</v>
      </c>
      <c r="F25" s="91">
        <f>F24-F26</f>
        <v>0.23839234449760768</v>
      </c>
      <c r="G25" s="42"/>
      <c r="H25" s="76">
        <f t="shared" si="0"/>
        <v>26.417501314385806</v>
      </c>
      <c r="I25" s="76">
        <f t="shared" si="1"/>
        <v>-124.97639561431572</v>
      </c>
      <c r="J25" s="76">
        <f t="shared" si="2"/>
        <v>161.10015940960758</v>
      </c>
      <c r="K25" s="78"/>
      <c r="L25" s="136"/>
      <c r="M25" s="15"/>
      <c r="N25" s="150"/>
    </row>
    <row r="26" spans="2:22">
      <c r="B26" s="66" t="s">
        <v>397</v>
      </c>
      <c r="C26" s="91">
        <f>sumry!CA60</f>
        <v>0.13273775837443066</v>
      </c>
      <c r="D26" s="92">
        <f>sumry!CF60</f>
        <v>8.6123645511500979E-2</v>
      </c>
      <c r="E26" s="124">
        <v>6.7500000000000032E-2</v>
      </c>
      <c r="F26" s="91">
        <f>F11/F4</f>
        <v>9.7607655502392338E-2</v>
      </c>
      <c r="G26" s="42"/>
      <c r="H26" s="76">
        <f t="shared" si="0"/>
        <v>-466.14112862929687</v>
      </c>
      <c r="I26" s="76">
        <f t="shared" si="1"/>
        <v>186.23645511500948</v>
      </c>
      <c r="J26" s="76">
        <f t="shared" si="2"/>
        <v>-114.84009990891359</v>
      </c>
      <c r="L26" s="136"/>
      <c r="M26" s="15"/>
      <c r="N26" s="134"/>
    </row>
    <row r="27" spans="2:22">
      <c r="B27" s="66" t="s">
        <v>421</v>
      </c>
      <c r="C27" s="91">
        <f>sumry!CA61</f>
        <v>0.13394036165683021</v>
      </c>
      <c r="D27" s="91">
        <f>sumry!CF61</f>
        <v>8.8112347940444397E-2</v>
      </c>
      <c r="E27" s="123">
        <v>6.8753035345189978E-2</v>
      </c>
      <c r="F27" s="91">
        <f>F14/F4</f>
        <v>9.7607655502392338E-2</v>
      </c>
      <c r="G27" s="42"/>
      <c r="H27" s="76">
        <f t="shared" si="0"/>
        <v>-458.28013716385811</v>
      </c>
      <c r="I27" s="76">
        <f t="shared" si="1"/>
        <v>193.5931259525442</v>
      </c>
      <c r="J27" s="76">
        <f t="shared" si="2"/>
        <v>-94.953075619479407</v>
      </c>
      <c r="L27" s="140"/>
      <c r="M27" s="141"/>
      <c r="N27" s="129"/>
    </row>
    <row r="28" spans="2:22">
      <c r="B28" s="66" t="s">
        <v>422</v>
      </c>
      <c r="C28" s="91">
        <f>sumry!CA62</f>
        <v>0.35518892046645389</v>
      </c>
      <c r="D28" s="91">
        <f>sumry!CF62</f>
        <v>0.35104529616724711</v>
      </c>
      <c r="E28" s="123">
        <v>0.36499999999999999</v>
      </c>
      <c r="F28" s="91">
        <f>F16/F14</f>
        <v>0.35294117647058826</v>
      </c>
      <c r="G28" s="91"/>
      <c r="H28" s="76">
        <f t="shared" si="0"/>
        <v>-41.436242992067832</v>
      </c>
      <c r="I28" s="76">
        <f t="shared" si="1"/>
        <v>-139.54703832752878</v>
      </c>
      <c r="J28" s="76">
        <f t="shared" si="2"/>
        <v>-18.958803033411463</v>
      </c>
      <c r="L28" s="140"/>
      <c r="M28" s="141"/>
      <c r="N28" s="128"/>
    </row>
    <row r="29" spans="2:22">
      <c r="B29" s="66" t="s">
        <v>398</v>
      </c>
      <c r="C29" s="91">
        <f>sumry!CA63</f>
        <v>8.6366229193054284E-2</v>
      </c>
      <c r="D29" s="91">
        <f>sumry!CF63</f>
        <v>5.7180922661699565E-2</v>
      </c>
      <c r="E29" s="123">
        <v>4.3658177444195638E-2</v>
      </c>
      <c r="F29" s="91">
        <f>F18/F4</f>
        <v>6.3157894736842107E-2</v>
      </c>
      <c r="G29" s="91"/>
      <c r="H29" s="76">
        <f t="shared" si="0"/>
        <v>-291.85306531354718</v>
      </c>
      <c r="I29" s="76">
        <f t="shared" si="1"/>
        <v>135.22745217503928</v>
      </c>
      <c r="J29" s="76">
        <f t="shared" si="2"/>
        <v>-59.769720751425417</v>
      </c>
      <c r="L29" s="140"/>
      <c r="M29" s="141"/>
      <c r="N29" s="136"/>
      <c r="V29">
        <f>0.35/0.44</f>
        <v>0.79545454545454541</v>
      </c>
    </row>
    <row r="30" spans="2:22">
      <c r="B30" s="66"/>
      <c r="C30" s="91"/>
      <c r="D30" s="91"/>
      <c r="E30" s="91"/>
      <c r="F30" s="91"/>
      <c r="G30" s="91"/>
      <c r="H30" s="76"/>
      <c r="I30" s="76"/>
      <c r="J30" s="76"/>
      <c r="L30" s="140"/>
      <c r="M30" s="141"/>
      <c r="N30" s="136"/>
    </row>
    <row r="31" spans="2:22">
      <c r="B31" s="89" t="s">
        <v>423</v>
      </c>
      <c r="C31" s="91"/>
      <c r="D31" s="91"/>
      <c r="E31" s="123"/>
      <c r="F31" s="91"/>
      <c r="G31" s="91"/>
      <c r="H31" s="76"/>
      <c r="I31" s="76"/>
      <c r="J31" s="76"/>
      <c r="L31" s="140"/>
      <c r="M31" s="141"/>
      <c r="N31" s="136"/>
    </row>
    <row r="32" spans="2:22">
      <c r="B32" s="66" t="s">
        <v>295</v>
      </c>
      <c r="C32" s="91">
        <f>sumry!CA67</f>
        <v>2.6638692273995179E-2</v>
      </c>
      <c r="D32" s="91">
        <f>sumry!CF67</f>
        <v>-1.9804214838170631E-2</v>
      </c>
      <c r="E32" s="123">
        <v>-4.024791717487719E-2</v>
      </c>
      <c r="F32" s="91">
        <f>F4/C4-1</f>
        <v>0.1734084314729476</v>
      </c>
      <c r="G32" s="91"/>
      <c r="H32" s="76"/>
      <c r="I32" s="93"/>
      <c r="J32" s="76"/>
      <c r="L32" s="140"/>
      <c r="M32" s="141"/>
      <c r="N32" s="136"/>
    </row>
    <row r="33" spans="2:14">
      <c r="B33" s="66" t="s">
        <v>424</v>
      </c>
      <c r="C33" s="91">
        <f>sumry!CA68</f>
        <v>0.01</v>
      </c>
      <c r="D33" s="91">
        <f>sumry!CF68</f>
        <v>-4.9000000000000002E-2</v>
      </c>
      <c r="E33" s="123">
        <v>-7.0069235296580226E-2</v>
      </c>
      <c r="F33" s="153">
        <f>D33</f>
        <v>-4.9000000000000002E-2</v>
      </c>
      <c r="G33" s="91"/>
      <c r="H33" s="76"/>
      <c r="I33" s="76"/>
      <c r="J33" s="76"/>
      <c r="L33" s="140"/>
      <c r="M33" s="141"/>
      <c r="N33" s="136"/>
    </row>
    <row r="34" spans="2:14">
      <c r="B34" s="66" t="s">
        <v>425</v>
      </c>
      <c r="C34" s="91">
        <f>sumry!CA73</f>
        <v>4.6395215391361821E-2</v>
      </c>
      <c r="D34" s="91">
        <f>sumry!CF73</f>
        <v>-9.5230027775424775E-3</v>
      </c>
      <c r="E34" s="123">
        <v>1.744296498694542E-2</v>
      </c>
      <c r="F34" s="91">
        <f>F9/C9-1</f>
        <v>0.11066032394259451</v>
      </c>
      <c r="G34" s="91"/>
      <c r="H34" s="76"/>
      <c r="I34" s="76"/>
      <c r="J34" s="76"/>
      <c r="L34" s="140"/>
      <c r="M34" s="141"/>
      <c r="N34" s="136"/>
    </row>
    <row r="35" spans="2:14">
      <c r="B35" s="66" t="s">
        <v>426</v>
      </c>
      <c r="C35" s="91">
        <f>sumry!CA74</f>
        <v>0.13938178909118903</v>
      </c>
      <c r="D35" s="91">
        <f>sumry!CF74</f>
        <v>-0.36402395695868361</v>
      </c>
      <c r="E35" s="123">
        <v>-0.51194546010071051</v>
      </c>
      <c r="F35" s="91">
        <f>F11/C11-1</f>
        <v>-0.13714343721449573</v>
      </c>
      <c r="G35" s="91"/>
      <c r="H35" s="76"/>
      <c r="I35" s="76"/>
      <c r="J35" s="76"/>
      <c r="K35" s="144"/>
      <c r="L35" s="145"/>
      <c r="M35" s="91"/>
      <c r="N35" s="146"/>
    </row>
    <row r="36" spans="2:14" ht="13.5" thickBot="1">
      <c r="B36" s="66" t="s">
        <v>427</v>
      </c>
      <c r="C36" s="91">
        <f>sumry!CA75</f>
        <v>0.2653869983190742</v>
      </c>
      <c r="D36" s="91">
        <f>sumry!CF75</f>
        <v>-0.33037189865511007</v>
      </c>
      <c r="E36" s="123">
        <v>-0.50462020000320984</v>
      </c>
      <c r="F36" s="91">
        <f>F20/C20-1</f>
        <v>-0.14536106195150444</v>
      </c>
      <c r="G36" s="91"/>
      <c r="H36" s="76"/>
      <c r="I36" s="76"/>
      <c r="J36" s="144"/>
      <c r="K36" s="144"/>
      <c r="L36" s="147"/>
      <c r="M36" s="42"/>
      <c r="N36" s="147"/>
    </row>
    <row r="37" spans="2:14">
      <c r="B37" s="42"/>
      <c r="C37" s="68"/>
      <c r="D37" s="68"/>
      <c r="E37" s="68"/>
      <c r="F37" s="68"/>
      <c r="G37" s="42"/>
      <c r="H37" s="42"/>
      <c r="I37" s="42"/>
      <c r="J37" s="144"/>
      <c r="K37" s="144"/>
      <c r="L37" s="144"/>
      <c r="M37" s="144"/>
      <c r="N37" s="144"/>
    </row>
    <row r="38" spans="2:14">
      <c r="B38" s="94" t="s">
        <v>145</v>
      </c>
      <c r="C38" s="42"/>
      <c r="D38" s="42"/>
      <c r="E38" s="42"/>
      <c r="F38" s="151"/>
      <c r="G38" s="42"/>
      <c r="H38" s="42"/>
      <c r="I38" s="42"/>
      <c r="J38" s="144"/>
      <c r="K38" s="144"/>
      <c r="L38" s="144"/>
      <c r="M38" s="144"/>
      <c r="N38" s="144"/>
    </row>
    <row r="39" spans="2:14">
      <c r="B39" s="95" t="s">
        <v>295</v>
      </c>
      <c r="C39" s="42"/>
      <c r="D39" s="42"/>
      <c r="E39" s="42"/>
      <c r="F39" s="42"/>
      <c r="G39" s="42"/>
      <c r="H39" s="42"/>
      <c r="I39" s="96">
        <f>(I4*(D18/D4))/D21</f>
        <v>9.1513621100733702E-3</v>
      </c>
      <c r="J39" s="96"/>
      <c r="K39" s="96"/>
      <c r="L39" s="144"/>
      <c r="M39" s="144"/>
      <c r="N39" s="144"/>
    </row>
    <row r="40" spans="2:14">
      <c r="B40" s="95" t="s">
        <v>158</v>
      </c>
      <c r="C40" s="42"/>
      <c r="D40" s="42"/>
      <c r="E40" s="42"/>
      <c r="F40" s="42"/>
      <c r="G40" s="42"/>
      <c r="H40" s="42"/>
      <c r="I40" s="96">
        <f>(((D24*E4)-E8)*(1-D28))/D21</f>
        <v>2.9869358458808705E-2</v>
      </c>
      <c r="J40" s="144"/>
      <c r="K40" s="144"/>
      <c r="L40" s="144"/>
      <c r="M40" s="144"/>
      <c r="N40" s="144"/>
    </row>
    <row r="41" spans="2:14">
      <c r="B41" s="95" t="s">
        <v>297</v>
      </c>
      <c r="C41" s="42"/>
      <c r="D41" s="42"/>
      <c r="E41" s="42"/>
      <c r="F41" s="42"/>
      <c r="G41" s="42"/>
      <c r="H41" s="42"/>
      <c r="I41" s="96">
        <f>-(((D25*E4)-E9)*(1-D28))/D21</f>
        <v>6.0936355431577771E-2</v>
      </c>
      <c r="J41" s="144"/>
      <c r="K41" s="144"/>
      <c r="L41" s="144"/>
      <c r="M41" s="144"/>
      <c r="N41" s="144"/>
    </row>
    <row r="42" spans="2:14">
      <c r="B42" s="95" t="s">
        <v>426</v>
      </c>
      <c r="C42" s="42"/>
      <c r="D42" s="42"/>
      <c r="E42" s="42"/>
      <c r="F42" s="42"/>
      <c r="G42" s="42"/>
      <c r="H42" s="42"/>
      <c r="I42" s="96">
        <f>(((D26*E4)-E11)*(1-D28))/D21</f>
        <v>9.0805713890386483E-2</v>
      </c>
      <c r="J42" s="144"/>
      <c r="K42" s="144"/>
      <c r="L42" s="144"/>
      <c r="M42" s="144"/>
      <c r="N42" s="144"/>
    </row>
    <row r="43" spans="2:14">
      <c r="B43" s="95" t="s">
        <v>143</v>
      </c>
      <c r="C43" s="42"/>
      <c r="D43" s="42"/>
      <c r="E43" s="42"/>
      <c r="F43" s="42"/>
      <c r="G43" s="42"/>
      <c r="H43" s="42"/>
      <c r="I43" s="96">
        <f>-(I13*(1-D28))/D21</f>
        <v>-3.7935339630125403E-3</v>
      </c>
      <c r="J43" s="144"/>
      <c r="K43" s="144"/>
      <c r="L43" s="144"/>
      <c r="M43" s="144"/>
      <c r="N43" s="144"/>
    </row>
    <row r="44" spans="2:14">
      <c r="B44" s="95" t="s">
        <v>422</v>
      </c>
      <c r="C44" s="42"/>
      <c r="D44" s="42"/>
      <c r="E44" s="42"/>
      <c r="F44" s="42"/>
      <c r="G44" s="42"/>
      <c r="H44" s="42"/>
      <c r="I44" s="96">
        <f>I20-I45-I43-I42-I39</f>
        <v>1.3433250132970538E-2</v>
      </c>
      <c r="J44" s="148"/>
      <c r="K44" s="148"/>
      <c r="L44" s="144"/>
      <c r="M44" s="144"/>
      <c r="N44" s="144"/>
    </row>
    <row r="45" spans="2:14">
      <c r="B45" s="95" t="s">
        <v>146</v>
      </c>
      <c r="C45" s="42"/>
      <c r="D45" s="42"/>
      <c r="E45" s="42"/>
      <c r="F45" s="42"/>
      <c r="G45" s="42"/>
      <c r="H45" s="42"/>
      <c r="I45" s="96">
        <f>D20-(D18/E21)</f>
        <v>4.5789660483105954E-3</v>
      </c>
      <c r="J45" s="144"/>
      <c r="K45" s="144"/>
      <c r="L45" s="144"/>
      <c r="M45" s="144"/>
      <c r="N45" s="144"/>
    </row>
    <row r="46" spans="2:14">
      <c r="B46" s="97" t="s">
        <v>147</v>
      </c>
      <c r="C46" s="42"/>
      <c r="D46" s="42"/>
      <c r="E46" s="42"/>
      <c r="F46" s="42"/>
      <c r="G46" s="42"/>
      <c r="H46" s="42"/>
      <c r="I46" s="84">
        <f>SUM(I39,I42:I45)</f>
        <v>0.11417575821872844</v>
      </c>
      <c r="J46" s="144"/>
      <c r="K46" s="144"/>
      <c r="L46" s="144"/>
      <c r="M46" s="144"/>
      <c r="N46" s="144"/>
    </row>
    <row r="47" spans="2:14">
      <c r="B47" s="97"/>
      <c r="C47" s="42"/>
      <c r="D47" s="42"/>
      <c r="E47" s="42"/>
      <c r="F47" s="163"/>
      <c r="G47" s="42"/>
      <c r="H47" s="42"/>
      <c r="I47" s="98"/>
      <c r="J47" s="144"/>
      <c r="K47" s="144"/>
      <c r="L47" s="144"/>
      <c r="M47" s="144"/>
      <c r="N47" s="144"/>
    </row>
    <row r="48" spans="2:14">
      <c r="B48" s="165" t="s">
        <v>311</v>
      </c>
      <c r="C48" s="164"/>
      <c r="D48" s="164"/>
      <c r="E48" s="164"/>
      <c r="F48" s="164"/>
      <c r="G48" s="42"/>
      <c r="H48" s="42"/>
      <c r="I48" s="42"/>
      <c r="J48" s="144"/>
      <c r="K48" s="144"/>
      <c r="L48" s="144"/>
      <c r="M48" s="144"/>
      <c r="N48" s="144"/>
    </row>
    <row r="49" spans="2:14">
      <c r="B49" s="163" t="s">
        <v>311</v>
      </c>
      <c r="C49" s="159">
        <f>work!CE13/100</f>
        <v>0.15112127940566888</v>
      </c>
      <c r="D49" s="159">
        <f>turn!N160/100</f>
        <v>-5.4693136543373155E-2</v>
      </c>
      <c r="E49" s="167">
        <v>6.5032181835819491E-2</v>
      </c>
      <c r="F49" s="159"/>
      <c r="G49" s="42"/>
      <c r="H49" s="76"/>
      <c r="I49" s="76"/>
      <c r="J49" s="144"/>
      <c r="K49" s="144"/>
      <c r="L49" s="144"/>
      <c r="M49" s="144"/>
      <c r="N49" s="144"/>
    </row>
    <row r="50" spans="2:14">
      <c r="B50" s="163" t="s">
        <v>159</v>
      </c>
      <c r="C50" s="159">
        <f>work!CF13/100</f>
        <v>0.11611753718573992</v>
      </c>
      <c r="D50" s="159">
        <f>turn!L160/100</f>
        <v>1.3245423404177004E-2</v>
      </c>
      <c r="E50" s="167">
        <v>6.1268043887629409E-2</v>
      </c>
      <c r="F50" s="159"/>
      <c r="G50" s="42"/>
      <c r="H50" s="76"/>
      <c r="I50" s="76"/>
      <c r="J50" s="144"/>
      <c r="K50" s="144"/>
      <c r="L50" s="144"/>
      <c r="M50" s="144"/>
      <c r="N50" s="144"/>
    </row>
    <row r="51" spans="2:14">
      <c r="B51" s="163" t="s">
        <v>14</v>
      </c>
      <c r="C51" s="166">
        <f>(C50-C49)*10000</f>
        <v>-350.03742219928967</v>
      </c>
      <c r="D51" s="166">
        <f>(D50-D49)*10000</f>
        <v>679.38559947550164</v>
      </c>
      <c r="E51" s="166">
        <v>-37.641379481900827</v>
      </c>
      <c r="F51" s="166"/>
      <c r="G51" s="42"/>
      <c r="H51" s="76"/>
      <c r="I51" s="42"/>
      <c r="J51" s="144"/>
      <c r="K51" s="144"/>
      <c r="L51" s="144"/>
      <c r="M51" s="144"/>
      <c r="N51" s="144"/>
    </row>
    <row r="52" spans="2:14">
      <c r="B52" s="163"/>
      <c r="C52" s="164"/>
      <c r="D52" s="164"/>
      <c r="E52" s="164"/>
      <c r="F52" s="164"/>
      <c r="G52" s="163"/>
      <c r="H52" s="42"/>
      <c r="I52" s="42"/>
      <c r="J52" s="144"/>
      <c r="K52" s="144"/>
      <c r="L52" s="144"/>
      <c r="M52" s="144"/>
      <c r="N52" s="144"/>
    </row>
    <row r="53" spans="2:14">
      <c r="B53" s="165" t="s">
        <v>15</v>
      </c>
      <c r="C53" s="164"/>
      <c r="D53" s="164"/>
      <c r="E53" s="164"/>
      <c r="F53" s="164"/>
      <c r="G53" s="163"/>
      <c r="H53" s="42"/>
      <c r="I53" s="42"/>
      <c r="J53" s="144"/>
      <c r="K53" s="144"/>
      <c r="L53" s="144"/>
      <c r="M53" s="144"/>
      <c r="N53" s="144"/>
    </row>
    <row r="54" spans="2:14">
      <c r="B54" s="163" t="s">
        <v>16</v>
      </c>
      <c r="C54" s="159">
        <f>sumry!BM68+sumry!BR68</f>
        <v>6.0000000000000005E-2</v>
      </c>
      <c r="D54" s="159">
        <f>sumry!BR68+sumry!BW68</f>
        <v>0</v>
      </c>
      <c r="E54" s="162">
        <v>1.2940854084229235E-2</v>
      </c>
      <c r="F54" s="162"/>
      <c r="G54" s="143"/>
      <c r="H54" s="143"/>
      <c r="I54" s="143"/>
      <c r="J54" s="144"/>
      <c r="K54" s="144"/>
      <c r="L54" s="144"/>
      <c r="M54" s="144"/>
      <c r="N54" s="144"/>
    </row>
    <row r="55" spans="2:14">
      <c r="B55" s="163" t="s">
        <v>489</v>
      </c>
      <c r="C55" s="159">
        <f>sumry!BM69+sumry!BR69</f>
        <v>-0.08</v>
      </c>
      <c r="D55" s="159">
        <f>sumry!BR69+sumry!BW69</f>
        <v>-6.0000000000000005E-2</v>
      </c>
      <c r="E55" s="162">
        <v>-0.05</v>
      </c>
      <c r="F55" s="162"/>
      <c r="G55" s="143"/>
      <c r="H55" s="143"/>
      <c r="I55" s="143"/>
      <c r="J55" s="144"/>
      <c r="K55" s="144"/>
      <c r="L55" s="144"/>
      <c r="M55" s="144"/>
      <c r="N55" s="144"/>
    </row>
    <row r="56" spans="2:14">
      <c r="B56" s="163" t="s">
        <v>490</v>
      </c>
      <c r="C56" s="159">
        <f>sumry!BM70+sumry!BR70</f>
        <v>0.15</v>
      </c>
      <c r="D56" s="159">
        <f>sumry!BR70+sumry!BW70</f>
        <v>0.02</v>
      </c>
      <c r="E56" s="162">
        <v>0.03</v>
      </c>
      <c r="F56" s="162"/>
      <c r="G56" s="143"/>
      <c r="H56" s="143"/>
      <c r="I56" s="143"/>
      <c r="J56" s="144"/>
      <c r="K56" s="144"/>
      <c r="L56" s="144"/>
      <c r="M56" s="144"/>
      <c r="N56" s="144"/>
    </row>
    <row r="57" spans="2:14">
      <c r="B57" s="163" t="s">
        <v>498</v>
      </c>
      <c r="C57" s="159">
        <f>sumry!BM71+sumry!BR71</f>
        <v>0.44999999999999996</v>
      </c>
      <c r="D57" s="159">
        <f>sumry!BR71+sumry!BW71</f>
        <v>0.18</v>
      </c>
      <c r="E57" s="162">
        <v>0.24</v>
      </c>
      <c r="F57" s="162"/>
      <c r="G57" s="143"/>
      <c r="H57" s="143"/>
      <c r="I57" s="143"/>
      <c r="J57" s="144"/>
      <c r="K57" s="144"/>
      <c r="L57" s="144"/>
      <c r="M57" s="144"/>
      <c r="N57" s="144"/>
    </row>
    <row r="58" spans="2:14">
      <c r="B58" s="42"/>
      <c r="C58" s="160"/>
      <c r="D58" s="160"/>
      <c r="E58" s="160"/>
      <c r="F58" s="144"/>
      <c r="G58" s="144"/>
      <c r="H58" s="144"/>
      <c r="I58" s="144"/>
      <c r="J58" s="144"/>
      <c r="K58" s="144"/>
      <c r="L58" s="144"/>
      <c r="M58" s="144"/>
      <c r="N58" s="144"/>
    </row>
    <row r="59" spans="2:14">
      <c r="B59" s="94" t="s">
        <v>635</v>
      </c>
      <c r="C59" s="160"/>
      <c r="D59" s="144"/>
      <c r="E59" s="144"/>
      <c r="F59" s="144"/>
      <c r="G59" s="144"/>
      <c r="H59" s="144"/>
      <c r="I59" s="144"/>
      <c r="J59" s="144"/>
      <c r="K59" s="144"/>
      <c r="L59" s="144"/>
      <c r="M59" s="144"/>
      <c r="N59" s="144"/>
    </row>
    <row r="60" spans="2:14">
      <c r="B60" s="42" t="s">
        <v>489</v>
      </c>
      <c r="C60" s="161">
        <f>sumry!BR69</f>
        <v>-7.0000000000000007E-2</v>
      </c>
      <c r="D60" s="91">
        <f>sumry!BW69</f>
        <v>0.01</v>
      </c>
      <c r="E60" s="699">
        <v>0.02</v>
      </c>
      <c r="F60" s="408">
        <v>2.7400000000000001E-2</v>
      </c>
      <c r="G60" s="144"/>
      <c r="H60" s="144"/>
      <c r="I60" s="144"/>
      <c r="J60" s="144"/>
      <c r="K60" s="144"/>
      <c r="L60" s="144"/>
      <c r="M60" s="144"/>
      <c r="N60" s="144"/>
    </row>
    <row r="61" spans="2:14">
      <c r="B61" s="42" t="s">
        <v>490</v>
      </c>
      <c r="C61" s="91">
        <f>sumry!BR70</f>
        <v>0.02</v>
      </c>
      <c r="D61" s="91">
        <f>sumry!BW70</f>
        <v>0</v>
      </c>
      <c r="E61" s="699">
        <v>0.01</v>
      </c>
      <c r="F61" s="408">
        <v>1.61E-2</v>
      </c>
      <c r="G61" s="144"/>
      <c r="H61" s="144"/>
      <c r="I61" s="144"/>
      <c r="J61" s="144"/>
      <c r="K61" s="144"/>
      <c r="L61" s="144"/>
      <c r="M61" s="144"/>
      <c r="N61" s="144"/>
    </row>
    <row r="62" spans="2:14">
      <c r="B62" s="42" t="s">
        <v>498</v>
      </c>
      <c r="C62" s="91">
        <f>sumry!BR71</f>
        <v>0.15</v>
      </c>
      <c r="D62" s="91">
        <f>sumry!BW71</f>
        <v>0.03</v>
      </c>
      <c r="E62" s="699">
        <v>0.09</v>
      </c>
      <c r="F62" s="408">
        <v>9.8900000000000002E-2</v>
      </c>
      <c r="G62" s="144"/>
      <c r="H62" s="144"/>
      <c r="I62" s="144"/>
      <c r="J62" s="144"/>
      <c r="K62" s="144"/>
      <c r="L62" s="144"/>
      <c r="M62" s="144"/>
      <c r="N62" s="144"/>
    </row>
    <row r="63" spans="2:14">
      <c r="B63" s="144"/>
      <c r="C63" s="144"/>
      <c r="D63" s="144"/>
      <c r="E63" s="149"/>
      <c r="F63" s="144"/>
      <c r="G63" s="144"/>
      <c r="H63" s="144"/>
      <c r="I63" s="144"/>
      <c r="J63" s="144"/>
      <c r="K63" s="144"/>
      <c r="L63" s="144"/>
      <c r="M63" s="144"/>
      <c r="N63" s="144"/>
    </row>
    <row r="64" spans="2:14">
      <c r="B64" s="144"/>
      <c r="C64" s="144"/>
      <c r="D64" s="144"/>
      <c r="E64" s="144"/>
      <c r="F64" s="144"/>
      <c r="G64" s="144"/>
      <c r="H64" s="144"/>
      <c r="I64" s="144"/>
      <c r="J64" s="144"/>
      <c r="K64" s="144"/>
      <c r="L64" s="144"/>
      <c r="M64" s="144"/>
      <c r="N64" s="144"/>
    </row>
    <row r="65" spans="2:14">
      <c r="B65" s="144"/>
      <c r="C65" s="144"/>
      <c r="D65" s="144"/>
      <c r="E65" s="144"/>
      <c r="F65" s="144"/>
      <c r="G65" s="144"/>
      <c r="H65" s="144"/>
      <c r="I65" s="144"/>
      <c r="J65" s="144"/>
      <c r="K65" s="144"/>
      <c r="L65" s="144"/>
      <c r="M65" s="144"/>
      <c r="N65" s="144"/>
    </row>
    <row r="66" spans="2:14">
      <c r="B66" s="144"/>
      <c r="C66" s="144"/>
      <c r="D66" s="144"/>
      <c r="E66" s="144"/>
      <c r="F66" s="144"/>
      <c r="G66" s="144"/>
      <c r="H66" s="144"/>
      <c r="I66" s="144"/>
      <c r="J66" s="144"/>
      <c r="K66" s="144"/>
      <c r="L66" s="144"/>
      <c r="M66" s="144"/>
      <c r="N66" s="144"/>
    </row>
  </sheetData>
  <phoneticPr fontId="36" type="noConversion"/>
  <pageMargins left="0.75" right="0.75" top="1" bottom="1" header="0.5" footer="0.5"/>
  <pageSetup paperSize="9" orientation="landscape"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enableFormatConditionsCalculation="0">
    <tabColor indexed="59"/>
  </sheetPr>
  <dimension ref="A3:AL205"/>
  <sheetViews>
    <sheetView zoomScale="80" zoomScaleNormal="80" workbookViewId="0">
      <selection activeCell="R31" sqref="R31"/>
    </sheetView>
  </sheetViews>
  <sheetFormatPr defaultRowHeight="12.75" outlineLevelRow="3" outlineLevelCol="1"/>
  <cols>
    <col min="1" max="1" width="20" customWidth="1"/>
    <col min="2" max="2" width="1" customWidth="1"/>
    <col min="3" max="12" width="0" hidden="1" customWidth="1" outlineLevel="1"/>
    <col min="13" max="13" width="9.140625" collapsed="1"/>
    <col min="16" max="16" width="8.5703125" bestFit="1" customWidth="1"/>
  </cols>
  <sheetData>
    <row r="3" spans="1:23">
      <c r="A3" s="45" t="s">
        <v>129</v>
      </c>
      <c r="B3" s="46"/>
      <c r="C3" s="47" t="s">
        <v>543</v>
      </c>
      <c r="D3" s="47" t="s">
        <v>189</v>
      </c>
      <c r="E3" s="47" t="s">
        <v>205</v>
      </c>
      <c r="F3" s="47" t="s">
        <v>524</v>
      </c>
      <c r="G3" s="47" t="s">
        <v>176</v>
      </c>
      <c r="H3" s="47" t="s">
        <v>242</v>
      </c>
      <c r="I3" s="47" t="s">
        <v>130</v>
      </c>
      <c r="J3" s="47" t="s">
        <v>102</v>
      </c>
      <c r="K3" s="47" t="s">
        <v>111</v>
      </c>
      <c r="L3" s="402">
        <v>2013</v>
      </c>
      <c r="M3" s="402">
        <f>L3+1</f>
        <v>2014</v>
      </c>
      <c r="N3" s="402" t="s">
        <v>688</v>
      </c>
      <c r="O3" s="47" t="s">
        <v>127</v>
      </c>
      <c r="P3" s="47" t="s">
        <v>128</v>
      </c>
      <c r="Q3" s="47" t="s">
        <v>60</v>
      </c>
      <c r="R3" s="47" t="s">
        <v>644</v>
      </c>
      <c r="S3" s="47" t="s">
        <v>720</v>
      </c>
      <c r="T3" s="47" t="s">
        <v>721</v>
      </c>
      <c r="U3" s="47" t="s">
        <v>774</v>
      </c>
    </row>
    <row r="4" spans="1:23">
      <c r="A4" s="6" t="s">
        <v>408</v>
      </c>
      <c r="B4" s="46"/>
      <c r="C4" s="12" t="s">
        <v>227</v>
      </c>
      <c r="D4" s="12" t="s">
        <v>227</v>
      </c>
      <c r="E4" s="12" t="s">
        <v>227</v>
      </c>
      <c r="F4" s="12" t="s">
        <v>227</v>
      </c>
      <c r="G4" s="12" t="s">
        <v>227</v>
      </c>
      <c r="H4" s="12" t="s">
        <v>227</v>
      </c>
      <c r="I4" s="12" t="s">
        <v>227</v>
      </c>
      <c r="J4" s="12" t="s">
        <v>227</v>
      </c>
      <c r="K4" s="12" t="s">
        <v>227</v>
      </c>
      <c r="L4" s="12" t="s">
        <v>227</v>
      </c>
      <c r="M4" s="12" t="s">
        <v>227</v>
      </c>
      <c r="N4" s="12" t="s">
        <v>227</v>
      </c>
      <c r="O4" s="12" t="s">
        <v>227</v>
      </c>
      <c r="P4" s="12" t="s">
        <v>227</v>
      </c>
      <c r="Q4" s="12" t="s">
        <v>227</v>
      </c>
      <c r="R4" s="12" t="s">
        <v>227</v>
      </c>
      <c r="S4" s="12" t="s">
        <v>227</v>
      </c>
      <c r="T4" s="12" t="s">
        <v>227</v>
      </c>
      <c r="U4" s="12" t="s">
        <v>227</v>
      </c>
    </row>
    <row r="5" spans="1:23">
      <c r="C5" s="5"/>
      <c r="D5" s="5"/>
      <c r="E5" s="5"/>
      <c r="F5" s="5"/>
      <c r="G5" s="5"/>
      <c r="H5" s="5"/>
      <c r="I5" s="5"/>
      <c r="J5" s="5"/>
      <c r="K5" s="5"/>
      <c r="L5" s="5"/>
      <c r="M5" s="5"/>
    </row>
    <row r="6" spans="1:23">
      <c r="A6" s="48" t="s">
        <v>388</v>
      </c>
      <c r="C6" s="49">
        <f>'yrP&amp;L'!L7</f>
        <v>827.75</v>
      </c>
      <c r="D6" s="49">
        <f>'yrP&amp;L'!M7</f>
        <v>1092.107</v>
      </c>
      <c r="E6" s="49">
        <f>'yrP&amp;L'!N7</f>
        <v>1224.7170000000001</v>
      </c>
      <c r="F6" s="49">
        <f>'yrP&amp;L'!O7</f>
        <v>1507.7239999999999</v>
      </c>
      <c r="G6" s="49">
        <f>'yrP&amp;L'!P7</f>
        <v>1834.6179999999999</v>
      </c>
      <c r="H6" s="49">
        <f>'yrP&amp;L'!Q7</f>
        <v>1937.8150000000001</v>
      </c>
      <c r="I6" s="49">
        <f>'yrP&amp;L'!R7</f>
        <v>2274.1019999999999</v>
      </c>
      <c r="J6" s="49">
        <f>'yrP&amp;L'!S7</f>
        <v>2473.8010000000004</v>
      </c>
      <c r="K6" s="49">
        <f>'yrP&amp;L'!T7</f>
        <v>2794.9250000000002</v>
      </c>
      <c r="L6" s="49">
        <f>'yrP&amp;L'!U7</f>
        <v>3086.64446</v>
      </c>
      <c r="M6" s="49">
        <f>'yrP&amp;L'!V7</f>
        <v>3323.3465000000001</v>
      </c>
      <c r="N6" s="49">
        <f>'yrP&amp;L'!W7</f>
        <v>3445.134</v>
      </c>
      <c r="O6" s="49">
        <f>'yrP&amp;L'!X7</f>
        <v>3545.7939999999999</v>
      </c>
      <c r="P6" s="49">
        <f>'yrP&amp;L'!Y7</f>
        <v>3616.0140000000001</v>
      </c>
      <c r="Q6" s="49">
        <f>'yrP&amp;L'!Z7</f>
        <v>3780.8670300681124</v>
      </c>
      <c r="R6" s="49">
        <f>'yrP&amp;L'!AA7</f>
        <v>3842.0676519982039</v>
      </c>
      <c r="S6" s="49">
        <f>'yrP&amp;L'!AB7</f>
        <v>3916.705838467351</v>
      </c>
      <c r="T6" s="49">
        <f>'yrP&amp;L'!AC7</f>
        <v>3984.0831573459695</v>
      </c>
      <c r="U6" s="49">
        <f>'yrP&amp;L'!AD7</f>
        <v>4045.0758316509987</v>
      </c>
      <c r="W6" s="18"/>
    </row>
    <row r="7" spans="1:23" outlineLevel="1">
      <c r="A7" s="48"/>
      <c r="C7" s="50"/>
      <c r="D7" s="50"/>
      <c r="E7" s="50"/>
      <c r="F7" s="50"/>
      <c r="G7" s="50"/>
      <c r="H7" s="50"/>
      <c r="I7" s="50"/>
      <c r="J7" s="50"/>
      <c r="K7" s="50"/>
      <c r="L7" s="50"/>
      <c r="M7" s="50"/>
    </row>
    <row r="8" spans="1:23" outlineLevel="1">
      <c r="A8" s="48" t="s">
        <v>409</v>
      </c>
      <c r="C8" s="49">
        <f>'yrP&amp;L'!L10</f>
        <v>489.00000000000011</v>
      </c>
      <c r="D8" s="49">
        <f>'yrP&amp;L'!M10</f>
        <v>643.50099999999998</v>
      </c>
      <c r="E8" s="49">
        <f>'yrP&amp;L'!N10</f>
        <v>772.79599999999994</v>
      </c>
      <c r="F8" s="49">
        <f>'yrP&amp;L'!O10</f>
        <v>930.952</v>
      </c>
      <c r="G8" s="49">
        <f>'yrP&amp;L'!P10</f>
        <v>1121.1400000000001</v>
      </c>
      <c r="H8" s="49">
        <f>'yrP&amp;L'!Q10</f>
        <v>1151.67</v>
      </c>
      <c r="I8" s="49">
        <f>'yrP&amp;L'!R10</f>
        <v>1337.482</v>
      </c>
      <c r="J8" s="49">
        <f>'yrP&amp;L'!S10</f>
        <v>1613.2649999999999</v>
      </c>
      <c r="K8" s="49">
        <f>'yrP&amp;L'!T10</f>
        <v>1763.394</v>
      </c>
      <c r="L8" s="49">
        <f>'yrP&amp;L'!U10</f>
        <v>1925.2660000000001</v>
      </c>
      <c r="M8" s="49">
        <f>'yrP&amp;L'!V10</f>
        <v>2148.1469999999999</v>
      </c>
      <c r="N8" s="49">
        <f>'yrP&amp;L'!W10</f>
        <v>2243.232</v>
      </c>
      <c r="O8" s="49">
        <f>'yrP&amp;L'!X10</f>
        <v>2296.84</v>
      </c>
      <c r="P8" s="49">
        <f>'yrP&amp;L'!Y10</f>
        <v>2429.0970000000002</v>
      </c>
      <c r="Q8" s="49">
        <f>'yrP&amp;L'!Z10</f>
        <v>2525.7731349124797</v>
      </c>
      <c r="R8" s="49">
        <f>'yrP&amp;L'!AA10</f>
        <v>2559.5854697612035</v>
      </c>
      <c r="S8" s="49">
        <f>'yrP&amp;L'!AB10</f>
        <v>2608.1344178354088</v>
      </c>
      <c r="T8" s="49">
        <f>'yrP&amp;L'!AC10</f>
        <v>2648.6184830036009</v>
      </c>
      <c r="U8" s="49">
        <f>'yrP&amp;L'!AD10</f>
        <v>2686.7393673825932</v>
      </c>
    </row>
    <row r="9" spans="1:23" outlineLevel="1">
      <c r="A9" s="48"/>
      <c r="C9" s="50"/>
      <c r="D9" s="50"/>
      <c r="E9" s="50"/>
      <c r="F9" s="50"/>
      <c r="G9" s="50"/>
      <c r="H9" s="50"/>
      <c r="I9" s="50"/>
      <c r="J9" s="50"/>
      <c r="K9" s="50"/>
      <c r="L9" s="50"/>
      <c r="M9" s="50"/>
    </row>
    <row r="10" spans="1:23">
      <c r="A10" s="48" t="s">
        <v>410</v>
      </c>
      <c r="C10" s="49">
        <f t="shared" ref="C10:P10" si="0">C6-C8</f>
        <v>338.74999999999989</v>
      </c>
      <c r="D10" s="49">
        <f t="shared" si="0"/>
        <v>448.60599999999999</v>
      </c>
      <c r="E10" s="49">
        <f t="shared" si="0"/>
        <v>451.92100000000016</v>
      </c>
      <c r="F10" s="49">
        <f t="shared" si="0"/>
        <v>576.77199999999993</v>
      </c>
      <c r="G10" s="49">
        <f t="shared" si="0"/>
        <v>713.47799999999984</v>
      </c>
      <c r="H10" s="49">
        <f t="shared" si="0"/>
        <v>786.14499999999998</v>
      </c>
      <c r="I10" s="49">
        <f t="shared" si="0"/>
        <v>936.61999999999989</v>
      </c>
      <c r="J10" s="49">
        <f t="shared" si="0"/>
        <v>860.53600000000051</v>
      </c>
      <c r="K10" s="49">
        <f t="shared" si="0"/>
        <v>1031.5310000000002</v>
      </c>
      <c r="L10" s="49">
        <f t="shared" si="0"/>
        <v>1161.3784599999999</v>
      </c>
      <c r="M10" s="49">
        <f>M6-M8</f>
        <v>1175.1995000000002</v>
      </c>
      <c r="N10" s="49">
        <f t="shared" si="0"/>
        <v>1201.902</v>
      </c>
      <c r="O10" s="49">
        <f t="shared" si="0"/>
        <v>1248.9539999999997</v>
      </c>
      <c r="P10" s="49">
        <f t="shared" si="0"/>
        <v>1186.9169999999999</v>
      </c>
      <c r="Q10" s="49">
        <f>Q6-Q8</f>
        <v>1255.0938951556327</v>
      </c>
      <c r="R10" s="49">
        <f>R6-R8</f>
        <v>1282.4821822370004</v>
      </c>
      <c r="S10" s="49">
        <f>S6-S8</f>
        <v>1308.5714206319421</v>
      </c>
      <c r="T10" s="49">
        <f>T6-T8</f>
        <v>1335.4646743423687</v>
      </c>
      <c r="U10" s="49">
        <f>U6-U8</f>
        <v>1358.3364642684055</v>
      </c>
      <c r="W10" s="18"/>
    </row>
    <row r="11" spans="1:23">
      <c r="A11" s="48" t="s">
        <v>411</v>
      </c>
      <c r="C11" s="50">
        <f>'yrP&amp;L'!L24</f>
        <v>190.38400000000001</v>
      </c>
      <c r="D11" s="50">
        <f>'yrP&amp;L'!M24</f>
        <v>240.90700000000004</v>
      </c>
      <c r="E11" s="50">
        <f>'yrP&amp;L'!N24</f>
        <v>287.93199999999996</v>
      </c>
      <c r="F11" s="50">
        <f>'yrP&amp;L'!O24</f>
        <v>351.827</v>
      </c>
      <c r="G11" s="50">
        <f>'yrP&amp;L'!P24</f>
        <v>414.04300000000001</v>
      </c>
      <c r="H11" s="50">
        <f>'yrP&amp;L'!Q24</f>
        <v>447.16100000000006</v>
      </c>
      <c r="I11" s="50">
        <f>'yrP&amp;L'!R24</f>
        <v>522.41700000000003</v>
      </c>
      <c r="J11" s="50">
        <f>'yrP&amp;L'!S24</f>
        <v>575.81099999999992</v>
      </c>
      <c r="K11" s="50">
        <f>'yrP&amp;L'!T24</f>
        <v>657.24599999999998</v>
      </c>
      <c r="L11" s="50">
        <f>'yrP&amp;L'!U24</f>
        <v>734.51099999999997</v>
      </c>
      <c r="M11" s="50">
        <f>'yrP&amp;L'!V24</f>
        <v>809.54499999999996</v>
      </c>
      <c r="N11" s="50">
        <f>'yrP&amp;L'!W24</f>
        <v>848.32300000000009</v>
      </c>
      <c r="O11" s="50">
        <f>'yrP&amp;L'!X24</f>
        <v>906.08600000000001</v>
      </c>
      <c r="P11" s="50">
        <f>'yrP&amp;L'!Y24</f>
        <v>913.55400000000009</v>
      </c>
      <c r="Q11" s="50">
        <f>'yrP&amp;L'!Z24</f>
        <v>950.85021950155021</v>
      </c>
      <c r="R11" s="50">
        <f>'yrP&amp;L'!AA24</f>
        <v>976.65359713794339</v>
      </c>
      <c r="S11" s="50">
        <f>'yrP&amp;L'!AB24</f>
        <v>996.40996530609414</v>
      </c>
      <c r="T11" s="50">
        <f>'yrP&amp;L'!AC24</f>
        <v>1017.5348383861607</v>
      </c>
      <c r="U11" s="50">
        <f>'yrP&amp;L'!AD24</f>
        <v>1034.7303977363256</v>
      </c>
    </row>
    <row r="12" spans="1:23" outlineLevel="1">
      <c r="A12" s="48" t="s">
        <v>131</v>
      </c>
      <c r="C12" s="50">
        <f>sumry!CW15</f>
        <v>31.858000000000001</v>
      </c>
      <c r="D12" s="50">
        <f>sumry!CX15</f>
        <v>39.340000000000003</v>
      </c>
      <c r="E12" s="50">
        <f>sumry!CY15</f>
        <v>55.713000000000001</v>
      </c>
      <c r="F12" s="50">
        <f>sumry!CZ15</f>
        <v>70.016999999999996</v>
      </c>
      <c r="G12" s="50">
        <f>sumry!DA15</f>
        <v>81.948999999999998</v>
      </c>
      <c r="H12" s="50">
        <f>sumry!DB15</f>
        <v>92.35</v>
      </c>
      <c r="I12" s="50">
        <f>sumry!DC15</f>
        <v>101.105</v>
      </c>
      <c r="J12" s="50">
        <f>sumry!DD15</f>
        <v>0</v>
      </c>
      <c r="K12" s="50">
        <f>sumry!DE15</f>
        <v>118.664</v>
      </c>
      <c r="L12" s="50">
        <f>sumry!DF15</f>
        <v>132.66399999999999</v>
      </c>
      <c r="M12" s="50">
        <f>sumry!DG15</f>
        <v>138.11000000000001</v>
      </c>
      <c r="N12" s="50">
        <f>sumry!DH15</f>
        <v>142.72200000000001</v>
      </c>
      <c r="O12" s="50">
        <f>sumry!DI15</f>
        <v>135.33000000000001</v>
      </c>
      <c r="P12" s="50">
        <f>sumry!DJ15</f>
        <v>131.66999999999999</v>
      </c>
      <c r="Q12" s="50">
        <f>sumry!DK15</f>
        <v>132.99</v>
      </c>
      <c r="R12" s="50">
        <f>sumry!DL15</f>
        <v>134.64000000000001</v>
      </c>
      <c r="S12" s="50">
        <f>sumry!DM15</f>
        <v>137.28</v>
      </c>
      <c r="T12" s="50">
        <f>sumry!DN15</f>
        <v>139.26</v>
      </c>
      <c r="U12" s="50">
        <f>sumry!DO15</f>
        <v>139.26</v>
      </c>
    </row>
    <row r="13" spans="1:23">
      <c r="A13" s="51" t="s">
        <v>426</v>
      </c>
      <c r="C13" s="49">
        <f>C10-C11</f>
        <v>148.36599999999987</v>
      </c>
      <c r="D13" s="49">
        <f t="shared" ref="D13:P13" si="1">D10-D11</f>
        <v>207.69899999999996</v>
      </c>
      <c r="E13" s="49">
        <f t="shared" si="1"/>
        <v>163.9890000000002</v>
      </c>
      <c r="F13" s="49">
        <f t="shared" si="1"/>
        <v>224.94499999999994</v>
      </c>
      <c r="G13" s="49">
        <f t="shared" si="1"/>
        <v>299.43499999999983</v>
      </c>
      <c r="H13" s="49">
        <f t="shared" si="1"/>
        <v>338.98399999999992</v>
      </c>
      <c r="I13" s="49">
        <f t="shared" si="1"/>
        <v>414.20299999999986</v>
      </c>
      <c r="J13" s="49">
        <f t="shared" si="1"/>
        <v>284.72500000000059</v>
      </c>
      <c r="K13" s="49">
        <f t="shared" si="1"/>
        <v>374.2850000000002</v>
      </c>
      <c r="L13" s="49">
        <f>L10-L11</f>
        <v>426.86745999999994</v>
      </c>
      <c r="M13" s="49">
        <f>M10-M11</f>
        <v>365.65450000000021</v>
      </c>
      <c r="N13" s="49">
        <f t="shared" si="1"/>
        <v>353.57899999999995</v>
      </c>
      <c r="O13" s="49">
        <f t="shared" si="1"/>
        <v>342.86799999999971</v>
      </c>
      <c r="P13" s="49">
        <f t="shared" si="1"/>
        <v>273.36299999999983</v>
      </c>
      <c r="Q13" s="49">
        <f>Q10-Q11</f>
        <v>304.24367565408249</v>
      </c>
      <c r="R13" s="49">
        <f>R10-R11</f>
        <v>305.82858509905702</v>
      </c>
      <c r="S13" s="49">
        <f>S10-S11</f>
        <v>312.16145532584801</v>
      </c>
      <c r="T13" s="49">
        <f>T10-T11</f>
        <v>317.92983595620797</v>
      </c>
      <c r="U13" s="49">
        <f>U10-U11</f>
        <v>323.60606653207992</v>
      </c>
      <c r="W13" s="49"/>
    </row>
    <row r="14" spans="1:23" outlineLevel="1">
      <c r="A14" s="48"/>
      <c r="C14" s="50"/>
      <c r="D14" s="50"/>
      <c r="E14" s="50"/>
      <c r="F14" s="50"/>
      <c r="G14" s="50"/>
      <c r="H14" s="50"/>
      <c r="I14" s="50"/>
      <c r="J14" s="50"/>
      <c r="K14" s="50"/>
      <c r="L14" s="50"/>
      <c r="M14" s="50"/>
    </row>
    <row r="15" spans="1:23" outlineLevel="1">
      <c r="A15" s="48" t="s">
        <v>132</v>
      </c>
      <c r="C15" s="50">
        <f>'yrP&amp;L'!L36</f>
        <v>1.8259999999999998</v>
      </c>
      <c r="D15" s="50">
        <f>'yrP&amp;L'!M36</f>
        <v>4.6979999999999995</v>
      </c>
      <c r="E15" s="50">
        <f>'yrP&amp;L'!N36</f>
        <v>6.1690000000000005</v>
      </c>
      <c r="F15" s="50">
        <f>'yrP&amp;L'!O36</f>
        <v>9.4489999999999998</v>
      </c>
      <c r="G15" s="50">
        <f>'yrP&amp;L'!P36</f>
        <v>10.055</v>
      </c>
      <c r="H15" s="50">
        <f>'yrP&amp;L'!Q36</f>
        <v>5.4220000000000006</v>
      </c>
      <c r="I15" s="50">
        <f>'yrP&amp;L'!R36</f>
        <v>3.0049999999999999</v>
      </c>
      <c r="J15" s="50">
        <f>'yrP&amp;L'!S36</f>
        <v>4.1059999999999999</v>
      </c>
      <c r="K15" s="50">
        <f>'yrP&amp;L'!T36</f>
        <v>1.2869999999999999</v>
      </c>
      <c r="L15" s="50">
        <f>'yrP&amp;L'!U36</f>
        <v>0.68700000000000006</v>
      </c>
      <c r="M15" s="50">
        <f>'yrP&amp;L'!V36</f>
        <v>-1.9350000000000001</v>
      </c>
      <c r="N15" s="50">
        <f>'yrP&amp;L'!W36</f>
        <v>-3.548</v>
      </c>
      <c r="O15" s="50">
        <f>'yrP&amp;L'!X36</f>
        <v>-0.42800000000000005</v>
      </c>
      <c r="P15" s="50">
        <f>'yrP&amp;L'!Y36</f>
        <v>1.474</v>
      </c>
      <c r="Q15" s="50">
        <f>'yrP&amp;L'!Z36</f>
        <v>0.373</v>
      </c>
      <c r="R15" s="50">
        <f>'yrP&amp;L'!AA36</f>
        <v>0.37903772409830372</v>
      </c>
      <c r="S15" s="50">
        <f>'yrP&amp;L'!AB36</f>
        <v>0.38640112601950016</v>
      </c>
      <c r="T15" s="50">
        <f>'yrP&amp;L'!AC36</f>
        <v>0.39304820980791683</v>
      </c>
      <c r="U15" s="50">
        <f>'yrP&amp;L'!AD36</f>
        <v>0.39906541891229674</v>
      </c>
    </row>
    <row r="16" spans="1:23" outlineLevel="1">
      <c r="A16" s="51" t="s">
        <v>133</v>
      </c>
      <c r="C16" s="49">
        <f>C13+C15</f>
        <v>150.19199999999987</v>
      </c>
      <c r="D16" s="49">
        <f t="shared" ref="D16:P16" si="2">D13+D15</f>
        <v>212.39699999999996</v>
      </c>
      <c r="E16" s="49">
        <f t="shared" si="2"/>
        <v>170.15800000000021</v>
      </c>
      <c r="F16" s="49">
        <f t="shared" si="2"/>
        <v>234.39399999999995</v>
      </c>
      <c r="G16" s="49">
        <f t="shared" si="2"/>
        <v>309.48999999999984</v>
      </c>
      <c r="H16" s="49">
        <f t="shared" si="2"/>
        <v>344.40599999999995</v>
      </c>
      <c r="I16" s="49">
        <f t="shared" si="2"/>
        <v>417.20799999999986</v>
      </c>
      <c r="J16" s="49">
        <f t="shared" si="2"/>
        <v>288.83100000000059</v>
      </c>
      <c r="K16" s="49">
        <f t="shared" si="2"/>
        <v>375.57200000000017</v>
      </c>
      <c r="L16" s="49">
        <f>L13+L15</f>
        <v>427.55445999999995</v>
      </c>
      <c r="M16" s="49">
        <f>M13+M15</f>
        <v>363.71950000000021</v>
      </c>
      <c r="N16" s="49">
        <f t="shared" si="2"/>
        <v>350.03099999999995</v>
      </c>
      <c r="O16" s="49">
        <f t="shared" si="2"/>
        <v>342.43999999999971</v>
      </c>
      <c r="P16" s="49">
        <f t="shared" si="2"/>
        <v>274.83699999999982</v>
      </c>
      <c r="Q16" s="49">
        <f>Q13+Q15</f>
        <v>304.61667565408248</v>
      </c>
      <c r="R16" s="49">
        <f>R13+R15</f>
        <v>306.2076228231553</v>
      </c>
      <c r="S16" s="49">
        <f>S13+S15</f>
        <v>312.54785645186752</v>
      </c>
      <c r="T16" s="49">
        <f>T13+T15</f>
        <v>318.32288416601591</v>
      </c>
      <c r="U16" s="49">
        <f>U13+U15</f>
        <v>324.00513195099222</v>
      </c>
    </row>
    <row r="17" spans="1:38" outlineLevel="1">
      <c r="A17" s="48"/>
      <c r="C17" s="50"/>
      <c r="D17" s="50"/>
      <c r="E17" s="50"/>
      <c r="F17" s="50"/>
      <c r="G17" s="50"/>
      <c r="H17" s="50"/>
      <c r="I17" s="50"/>
      <c r="J17" s="50"/>
      <c r="K17" s="50"/>
      <c r="L17" s="50"/>
      <c r="M17" s="50"/>
    </row>
    <row r="18" spans="1:38">
      <c r="A18" s="48" t="s">
        <v>414</v>
      </c>
      <c r="C18" s="50">
        <f>'yrP&amp;L'!L42</f>
        <v>59.703000000000003</v>
      </c>
      <c r="D18" s="50">
        <f>'yrP&amp;L'!M42</f>
        <v>81.600999999999999</v>
      </c>
      <c r="E18" s="50">
        <f>'yrP&amp;L'!N42</f>
        <v>53.951999999999998</v>
      </c>
      <c r="F18" s="50">
        <f>'yrP&amp;L'!O42</f>
        <v>74.164000000000001</v>
      </c>
      <c r="G18" s="50">
        <f>'yrP&amp;L'!P42</f>
        <v>110.126</v>
      </c>
      <c r="H18" s="50">
        <f>'yrP&amp;L'!Q42</f>
        <v>124.51299999999999</v>
      </c>
      <c r="I18" s="50">
        <f>'yrP&amp;L'!R42</f>
        <v>144.25</v>
      </c>
      <c r="J18" s="50">
        <f>'yrP&amp;L'!S42</f>
        <v>103.57999999999998</v>
      </c>
      <c r="K18" s="50">
        <f>'yrP&amp;L'!T42</f>
        <v>138.25800000000001</v>
      </c>
      <c r="L18" s="50">
        <f>'yrP&amp;L'!U42</f>
        <v>145.15799999999999</v>
      </c>
      <c r="M18" s="50">
        <f>'yrP&amp;L'!V42</f>
        <v>131.02199999999999</v>
      </c>
      <c r="N18" s="50">
        <f>'yrP&amp;L'!W42</f>
        <v>125.542</v>
      </c>
      <c r="O18" s="50">
        <f>'yrP&amp;L'!X42</f>
        <v>121.673</v>
      </c>
      <c r="P18" s="50">
        <f>'yrP&amp;L'!Y42</f>
        <v>92.847999999999999</v>
      </c>
      <c r="Q18" s="50">
        <f>'yrP&amp;L'!Z42</f>
        <v>76.991567904757304</v>
      </c>
      <c r="R18" s="50">
        <f>'yrP&amp;L'!AA42</f>
        <v>77.393678251269165</v>
      </c>
      <c r="S18" s="50">
        <f>'yrP&amp;L'!AB42</f>
        <v>78.996166121996737</v>
      </c>
      <c r="T18" s="50">
        <f>'yrP&amp;L'!AC42</f>
        <v>80.455798748644597</v>
      </c>
      <c r="U18" s="50">
        <f>'yrP&amp;L'!AD42</f>
        <v>81.891981338613718</v>
      </c>
      <c r="X18" s="1439"/>
      <c r="Y18" s="1440"/>
      <c r="Z18" s="1440"/>
      <c r="AA18" s="1440"/>
      <c r="AB18" s="1440"/>
      <c r="AC18" s="1441"/>
    </row>
    <row r="19" spans="1:38" outlineLevel="1">
      <c r="A19" s="48"/>
      <c r="C19" s="50"/>
      <c r="D19" s="50"/>
      <c r="E19" s="50"/>
      <c r="F19" s="50"/>
      <c r="G19" s="50"/>
      <c r="H19" s="50"/>
      <c r="I19" s="50"/>
      <c r="J19" s="50"/>
      <c r="K19" s="50"/>
      <c r="L19" s="50"/>
      <c r="M19" s="50"/>
      <c r="X19" s="1442"/>
      <c r="Y19" s="1443"/>
      <c r="Z19" s="1443"/>
      <c r="AA19" s="1443"/>
      <c r="AB19" s="1443"/>
      <c r="AC19" s="1444"/>
    </row>
    <row r="20" spans="1:38" outlineLevel="1">
      <c r="A20" s="48"/>
      <c r="C20" s="50"/>
      <c r="D20" s="50"/>
      <c r="E20" s="50"/>
      <c r="F20" s="50"/>
      <c r="G20" s="50"/>
      <c r="H20" s="50"/>
      <c r="I20" s="50"/>
      <c r="J20" s="50"/>
      <c r="K20" s="50"/>
      <c r="L20" s="50"/>
      <c r="M20" s="50"/>
      <c r="X20" s="1442"/>
      <c r="Y20" s="1443"/>
      <c r="Z20" s="1443"/>
      <c r="AA20" s="1443"/>
      <c r="AB20" s="1443"/>
      <c r="AC20" s="1444"/>
    </row>
    <row r="21" spans="1:38" outlineLevel="1">
      <c r="A21" s="48" t="s">
        <v>134</v>
      </c>
      <c r="C21" s="49">
        <f>C16-C18</f>
        <v>90.488999999999862</v>
      </c>
      <c r="D21" s="49">
        <f t="shared" ref="D21:P21" si="3">D16-D18</f>
        <v>130.79599999999996</v>
      </c>
      <c r="E21" s="49">
        <f t="shared" si="3"/>
        <v>116.20600000000022</v>
      </c>
      <c r="F21" s="49">
        <f t="shared" si="3"/>
        <v>160.22999999999996</v>
      </c>
      <c r="G21" s="49">
        <f t="shared" si="3"/>
        <v>199.36399999999983</v>
      </c>
      <c r="H21" s="49">
        <f t="shared" si="3"/>
        <v>219.89299999999997</v>
      </c>
      <c r="I21" s="49">
        <f t="shared" si="3"/>
        <v>272.95799999999986</v>
      </c>
      <c r="J21" s="49">
        <f>J16-J18</f>
        <v>185.2510000000006</v>
      </c>
      <c r="K21" s="49">
        <f t="shared" si="3"/>
        <v>237.31400000000016</v>
      </c>
      <c r="L21" s="49">
        <f t="shared" si="3"/>
        <v>282.39645999999993</v>
      </c>
      <c r="M21" s="49">
        <f>M16-M18</f>
        <v>232.69750000000022</v>
      </c>
      <c r="N21" s="49">
        <f t="shared" si="3"/>
        <v>224.48899999999995</v>
      </c>
      <c r="O21" s="49">
        <f t="shared" si="3"/>
        <v>220.76699999999971</v>
      </c>
      <c r="P21" s="49">
        <f t="shared" si="3"/>
        <v>181.98899999999981</v>
      </c>
      <c r="Q21" s="49">
        <f>Q16-Q18</f>
        <v>227.6251077493252</v>
      </c>
      <c r="R21" s="49">
        <f>R16-R18</f>
        <v>228.81394457188614</v>
      </c>
      <c r="S21" s="49">
        <f>S16-S18</f>
        <v>233.55169032987078</v>
      </c>
      <c r="T21" s="49">
        <f>T16-T18</f>
        <v>237.8670854173713</v>
      </c>
      <c r="U21" s="49">
        <f>U16-U18</f>
        <v>242.11315061237849</v>
      </c>
      <c r="X21" s="1442"/>
      <c r="Y21" s="1443"/>
      <c r="Z21" s="1443"/>
      <c r="AA21" s="1443"/>
      <c r="AB21" s="1443"/>
      <c r="AC21" s="1444"/>
      <c r="AL21" s="152">
        <f>35/26-1</f>
        <v>0.34615384615384626</v>
      </c>
    </row>
    <row r="22" spans="1:38" outlineLevel="1">
      <c r="A22" s="48"/>
      <c r="C22" s="50"/>
      <c r="D22" s="50"/>
      <c r="E22" s="50"/>
      <c r="F22" s="50"/>
      <c r="G22" s="50"/>
      <c r="H22" s="50"/>
      <c r="I22" s="50"/>
      <c r="J22" s="50"/>
      <c r="K22" s="50"/>
      <c r="L22" s="50"/>
      <c r="M22" s="50"/>
      <c r="X22" s="1442"/>
      <c r="Y22" s="1443"/>
      <c r="Z22" s="1443"/>
      <c r="AA22" s="1443"/>
      <c r="AB22" s="1443"/>
      <c r="AC22" s="1444"/>
    </row>
    <row r="23" spans="1:38">
      <c r="A23" s="52" t="s">
        <v>135</v>
      </c>
      <c r="B23" s="52"/>
      <c r="C23" s="53">
        <f t="shared" ref="C23:P23" si="4">C21/C24</f>
        <v>0.54086978668520869</v>
      </c>
      <c r="D23" s="53">
        <f t="shared" si="4"/>
        <v>0.76967781072409458</v>
      </c>
      <c r="E23" s="53">
        <f t="shared" si="4"/>
        <v>0.68902827452303461</v>
      </c>
      <c r="F23" s="53">
        <f t="shared" si="4"/>
        <v>0.94455228159954896</v>
      </c>
      <c r="G23" s="53">
        <f t="shared" si="4"/>
        <v>1.1669397312408092</v>
      </c>
      <c r="H23" s="53">
        <f t="shared" si="4"/>
        <v>1.2841948570475967</v>
      </c>
      <c r="I23" s="53">
        <f t="shared" si="4"/>
        <v>1.6016631036697118</v>
      </c>
      <c r="J23" s="53">
        <f t="shared" si="4"/>
        <v>1.1860520595357951</v>
      </c>
      <c r="K23" s="53">
        <f>K21/K24</f>
        <v>1.6181151190203222</v>
      </c>
      <c r="L23" s="53">
        <f t="shared" si="4"/>
        <v>1.8924841102053414</v>
      </c>
      <c r="M23" s="53">
        <f>M21/M24</f>
        <v>1.7025450024000583</v>
      </c>
      <c r="N23" s="53">
        <f>N21/N24</f>
        <v>1.7814690743955239</v>
      </c>
      <c r="O23" s="53">
        <f t="shared" si="4"/>
        <v>1.8822141492607638</v>
      </c>
      <c r="P23" s="53">
        <f t="shared" si="4"/>
        <v>1.6371602326812424</v>
      </c>
      <c r="Q23" s="53">
        <f>Q21/Q24</f>
        <v>2.1143326517144296</v>
      </c>
      <c r="R23" s="53">
        <f>R21/R24</f>
        <v>2.19982542999242</v>
      </c>
      <c r="S23" s="53">
        <f>S21/S24</f>
        <v>2.3006711225305501</v>
      </c>
      <c r="T23" s="53">
        <f>T21/T24</f>
        <v>2.4003886789252227</v>
      </c>
      <c r="U23" s="53">
        <f>U21/U24</f>
        <v>2.5005874242573998</v>
      </c>
      <c r="X23" s="1445"/>
      <c r="Y23" s="1446"/>
      <c r="Z23" s="1447"/>
      <c r="AA23" s="1443"/>
      <c r="AB23" s="1443"/>
      <c r="AC23" s="1444"/>
    </row>
    <row r="24" spans="1:38">
      <c r="A24" s="48" t="s">
        <v>568</v>
      </c>
      <c r="C24" s="50">
        <f>'yrP&amp;L'!L54</f>
        <v>167.30274499999999</v>
      </c>
      <c r="D24" s="50">
        <f>'yrP&amp;L'!M54</f>
        <v>169.93604099999999</v>
      </c>
      <c r="E24" s="50">
        <f>'yrP&amp;L'!N54</f>
        <v>168.652005</v>
      </c>
      <c r="F24" s="50">
        <f>'yrP&amp;L'!O54</f>
        <v>169.63592499999999</v>
      </c>
      <c r="G24" s="50">
        <f>'yrP&amp;L'!P54</f>
        <v>170.84344175000001</v>
      </c>
      <c r="H24" s="50">
        <f>'yrP&amp;L'!Q54</f>
        <v>171.230245</v>
      </c>
      <c r="I24" s="50">
        <f>'yrP&amp;L'!R54</f>
        <v>170.42160699999999</v>
      </c>
      <c r="J24" s="50">
        <f>'yrP&amp;L'!S54</f>
        <v>156.19128900000001</v>
      </c>
      <c r="K24" s="50">
        <f>'yrP&amp;L'!T54</f>
        <v>146.66076425</v>
      </c>
      <c r="L24" s="50">
        <f>'yrP&amp;L'!U54</f>
        <v>149.21999</v>
      </c>
      <c r="M24" s="50">
        <f>'yrP&amp;L'!V54</f>
        <v>136.67626974439395</v>
      </c>
      <c r="N24" s="50">
        <f>'yrP&amp;L'!W54</f>
        <v>126.013414</v>
      </c>
      <c r="O24" s="50">
        <f>'yrP&amp;L'!X54</f>
        <v>117.291117</v>
      </c>
      <c r="P24" s="50">
        <f>'yrP&amp;L'!Y54</f>
        <v>111.16138565248997</v>
      </c>
      <c r="Q24" s="50">
        <f>'yrP&amp;L'!Z54</f>
        <v>107.65813391036312</v>
      </c>
      <c r="R24" s="50">
        <f>'yrP&amp;L'!AA54</f>
        <v>104.01459199999999</v>
      </c>
      <c r="S24" s="50">
        <f>'yrP&amp;L'!AB54</f>
        <v>101.51459199999999</v>
      </c>
      <c r="T24" s="50">
        <f>'yrP&amp;L'!AC54</f>
        <v>99.095237161290314</v>
      </c>
      <c r="U24" s="50">
        <f>'yrP&amp;L'!AD54</f>
        <v>96.822509888563047</v>
      </c>
      <c r="X24" s="1442"/>
      <c r="Y24" s="1443" t="s">
        <v>77</v>
      </c>
      <c r="Z24" s="1443" t="s">
        <v>147</v>
      </c>
      <c r="AA24" s="1443" t="s">
        <v>715</v>
      </c>
      <c r="AB24" s="1443"/>
      <c r="AC24" s="1444"/>
    </row>
    <row r="25" spans="1:38" outlineLevel="1">
      <c r="A25" s="48"/>
      <c r="C25" s="50"/>
      <c r="D25" s="50"/>
      <c r="E25" s="50"/>
      <c r="F25" s="50"/>
      <c r="G25" s="50"/>
      <c r="H25" s="50"/>
      <c r="I25" s="50"/>
      <c r="J25" s="50"/>
      <c r="K25" s="50"/>
      <c r="L25" s="50"/>
      <c r="M25" s="50"/>
      <c r="X25" s="1442" t="s">
        <v>157</v>
      </c>
      <c r="Y25" s="1443">
        <v>17</v>
      </c>
      <c r="Z25" s="1446">
        <f>R62</f>
        <v>2.746494165719398</v>
      </c>
      <c r="AA25" s="1443">
        <f>Z25*Y25</f>
        <v>46.690400817229765</v>
      </c>
      <c r="AB25" s="1443"/>
      <c r="AC25" s="1444"/>
    </row>
    <row r="26" spans="1:38" outlineLevel="1">
      <c r="A26" s="48" t="s">
        <v>395</v>
      </c>
      <c r="C26" s="49">
        <f t="shared" ref="C26:P26" si="5">C13+C12</f>
        <v>180.22399999999988</v>
      </c>
      <c r="D26" s="49">
        <f t="shared" si="5"/>
        <v>247.03899999999996</v>
      </c>
      <c r="E26" s="49">
        <f t="shared" si="5"/>
        <v>219.7020000000002</v>
      </c>
      <c r="F26" s="49">
        <f t="shared" si="5"/>
        <v>294.96199999999993</v>
      </c>
      <c r="G26" s="49">
        <f t="shared" si="5"/>
        <v>381.38399999999984</v>
      </c>
      <c r="H26" s="49">
        <f t="shared" si="5"/>
        <v>431.33399999999995</v>
      </c>
      <c r="I26" s="49">
        <f t="shared" si="5"/>
        <v>515.30799999999988</v>
      </c>
      <c r="J26" s="49">
        <f t="shared" si="5"/>
        <v>284.72500000000059</v>
      </c>
      <c r="K26" s="49">
        <f t="shared" si="5"/>
        <v>492.94900000000018</v>
      </c>
      <c r="L26" s="49">
        <f t="shared" si="5"/>
        <v>559.53145999999992</v>
      </c>
      <c r="M26" s="49">
        <f>M13+M12</f>
        <v>503.76450000000023</v>
      </c>
      <c r="N26" s="49">
        <f t="shared" si="5"/>
        <v>496.30099999999993</v>
      </c>
      <c r="O26" s="49">
        <f t="shared" si="5"/>
        <v>478.19799999999975</v>
      </c>
      <c r="P26" s="49">
        <f t="shared" si="5"/>
        <v>405.03299999999979</v>
      </c>
      <c r="Q26" s="49">
        <f>Q13+Q12</f>
        <v>437.2336756540825</v>
      </c>
      <c r="R26" s="49">
        <f>R13+R12</f>
        <v>440.46858509905701</v>
      </c>
      <c r="S26" s="49">
        <f>S13+S12</f>
        <v>449.44145532584798</v>
      </c>
      <c r="T26" s="49">
        <f>T13+T12</f>
        <v>457.18983595620796</v>
      </c>
      <c r="U26" s="49">
        <f>U13+U12</f>
        <v>462.86606653207991</v>
      </c>
      <c r="X26" s="1442" t="s">
        <v>74</v>
      </c>
      <c r="Y26" s="1443">
        <v>15</v>
      </c>
      <c r="Z26" s="1446">
        <f>R23</f>
        <v>2.19982542999242</v>
      </c>
      <c r="AA26" s="1443">
        <f>Z26*Y26</f>
        <v>32.997381449886298</v>
      </c>
      <c r="AB26" s="1443"/>
      <c r="AC26" s="1444"/>
      <c r="AE26" s="1783"/>
    </row>
    <row r="27" spans="1:38">
      <c r="A27" s="48"/>
      <c r="C27" s="50"/>
      <c r="D27" s="50"/>
      <c r="E27" s="50"/>
      <c r="F27" s="50"/>
      <c r="G27" s="50"/>
      <c r="H27" s="50"/>
      <c r="I27" s="50"/>
      <c r="J27" s="50"/>
      <c r="K27" s="50"/>
      <c r="L27" s="50"/>
      <c r="M27" s="50"/>
      <c r="W27" s="142"/>
      <c r="X27" s="1442" t="s">
        <v>160</v>
      </c>
      <c r="Y27" s="1443">
        <v>11</v>
      </c>
      <c r="Z27" s="1446">
        <f>R103</f>
        <v>1.3462533248106379</v>
      </c>
      <c r="AA27" s="1443">
        <f>Z27*Y27</f>
        <v>14.808786572917016</v>
      </c>
      <c r="AB27" s="1443"/>
      <c r="AC27" s="1444"/>
    </row>
    <row r="28" spans="1:38">
      <c r="A28" s="54" t="s">
        <v>418</v>
      </c>
      <c r="C28" s="50"/>
      <c r="D28" s="50"/>
      <c r="E28" s="50"/>
      <c r="F28" s="50"/>
      <c r="G28" s="50"/>
      <c r="H28" s="50"/>
      <c r="I28" s="50"/>
      <c r="J28" s="50"/>
      <c r="K28" s="50"/>
      <c r="L28" s="50"/>
      <c r="M28" s="50"/>
      <c r="Q28" s="406">
        <f>Q29-P29</f>
        <v>3.7202295323485179E-3</v>
      </c>
      <c r="X28" s="1448"/>
      <c r="Y28" s="1449"/>
      <c r="Z28" s="1449"/>
      <c r="AA28" s="1449"/>
      <c r="AB28" s="1449"/>
      <c r="AC28" s="1450"/>
    </row>
    <row r="29" spans="1:38">
      <c r="A29" s="48" t="s">
        <v>158</v>
      </c>
      <c r="C29" s="55">
        <f>C10/C6</f>
        <v>0.40924192086982769</v>
      </c>
      <c r="D29" s="55">
        <f t="shared" ref="D29:L29" si="6">D10/D6</f>
        <v>0.41077110576161496</v>
      </c>
      <c r="E29" s="55">
        <f t="shared" si="6"/>
        <v>0.3690003486519744</v>
      </c>
      <c r="F29" s="55">
        <f t="shared" si="6"/>
        <v>0.38254481589468625</v>
      </c>
      <c r="G29" s="55">
        <f t="shared" si="6"/>
        <v>0.38889730723235022</v>
      </c>
      <c r="H29" s="55">
        <f t="shared" si="6"/>
        <v>0.40568630132391376</v>
      </c>
      <c r="I29" s="55">
        <f t="shared" si="6"/>
        <v>0.41186367190213979</v>
      </c>
      <c r="J29" s="55">
        <f t="shared" si="6"/>
        <v>0.34785983189431985</v>
      </c>
      <c r="K29" s="55">
        <f t="shared" si="6"/>
        <v>0.36907287315402026</v>
      </c>
      <c r="L29" s="55">
        <f t="shared" si="6"/>
        <v>0.3762592274718935</v>
      </c>
      <c r="M29" s="55">
        <f t="shared" ref="M29:T29" si="7">M10/M6</f>
        <v>0.35361931113713246</v>
      </c>
      <c r="N29" s="55">
        <f t="shared" si="7"/>
        <v>0.34886944890967958</v>
      </c>
      <c r="O29" s="55">
        <f t="shared" si="7"/>
        <v>0.35223535264597994</v>
      </c>
      <c r="P29" s="55">
        <f t="shared" si="7"/>
        <v>0.32823904995943043</v>
      </c>
      <c r="Q29" s="55">
        <f t="shared" si="7"/>
        <v>0.33195927949177895</v>
      </c>
      <c r="R29" s="55">
        <f t="shared" si="7"/>
        <v>0.33379999999999999</v>
      </c>
      <c r="S29" s="55">
        <f t="shared" si="7"/>
        <v>0.33410000000000006</v>
      </c>
      <c r="T29" s="55">
        <f t="shared" si="7"/>
        <v>0.33519999999999994</v>
      </c>
      <c r="U29" s="55">
        <f t="shared" ref="U29" si="8">U10/U6</f>
        <v>0.33580000000000004</v>
      </c>
      <c r="W29" s="142"/>
    </row>
    <row r="30" spans="1:38">
      <c r="A30" s="48" t="s">
        <v>420</v>
      </c>
      <c r="C30" s="55">
        <f>C11/C6</f>
        <v>0.23000181214134705</v>
      </c>
      <c r="D30" s="55">
        <f t="shared" ref="D30:L30" si="9">D11/D6</f>
        <v>0.22058919135212945</v>
      </c>
      <c r="E30" s="55">
        <f t="shared" si="9"/>
        <v>0.23510084370511714</v>
      </c>
      <c r="F30" s="55">
        <f t="shared" si="9"/>
        <v>0.23334973775041057</v>
      </c>
      <c r="G30" s="55">
        <f t="shared" si="9"/>
        <v>0.22568349378453717</v>
      </c>
      <c r="H30" s="55">
        <f t="shared" si="9"/>
        <v>0.23075525785485201</v>
      </c>
      <c r="I30" s="55">
        <f t="shared" si="9"/>
        <v>0.22972452422978393</v>
      </c>
      <c r="J30" s="55">
        <f t="shared" si="9"/>
        <v>0.23276367015778546</v>
      </c>
      <c r="K30" s="55">
        <f t="shared" si="9"/>
        <v>0.23515693623263592</v>
      </c>
      <c r="L30" s="55">
        <f t="shared" si="9"/>
        <v>0.23796423900406072</v>
      </c>
      <c r="M30" s="55">
        <f t="shared" ref="M30:T30" si="10">M11/M6</f>
        <v>0.24359331775967386</v>
      </c>
      <c r="N30" s="55">
        <f t="shared" si="10"/>
        <v>0.24623802731620892</v>
      </c>
      <c r="O30" s="55">
        <f t="shared" si="10"/>
        <v>0.25553825179917389</v>
      </c>
      <c r="P30" s="55">
        <f t="shared" si="10"/>
        <v>0.25264116787158458</v>
      </c>
      <c r="Q30" s="55">
        <f t="shared" si="10"/>
        <v>0.25148999209433204</v>
      </c>
      <c r="R30" s="55">
        <f t="shared" si="10"/>
        <v>0.25419999999999998</v>
      </c>
      <c r="S30" s="55">
        <f t="shared" si="10"/>
        <v>0.25440000000000002</v>
      </c>
      <c r="T30" s="55">
        <f t="shared" si="10"/>
        <v>0.25540000000000002</v>
      </c>
      <c r="U30" s="55">
        <f t="shared" ref="U30" si="11">U11/U6</f>
        <v>0.25580000000000003</v>
      </c>
      <c r="AC30">
        <f>1.4*13</f>
        <v>18.2</v>
      </c>
    </row>
    <row r="31" spans="1:38">
      <c r="A31" s="48" t="s">
        <v>397</v>
      </c>
      <c r="C31" s="55">
        <f t="shared" ref="C31:S31" si="12">C13/C6</f>
        <v>0.17924010872848067</v>
      </c>
      <c r="D31" s="55">
        <f t="shared" si="12"/>
        <v>0.19018191440948548</v>
      </c>
      <c r="E31" s="55">
        <f t="shared" si="12"/>
        <v>0.13389950494685726</v>
      </c>
      <c r="F31" s="55">
        <f t="shared" si="12"/>
        <v>0.14919507814427571</v>
      </c>
      <c r="G31" s="55">
        <f t="shared" si="12"/>
        <v>0.16321381344781302</v>
      </c>
      <c r="H31" s="55">
        <f t="shared" si="12"/>
        <v>0.17493104346906177</v>
      </c>
      <c r="I31" s="55">
        <f t="shared" si="12"/>
        <v>0.18213914767235589</v>
      </c>
      <c r="J31" s="55">
        <f t="shared" si="12"/>
        <v>0.11509616173653441</v>
      </c>
      <c r="K31" s="55">
        <f t="shared" si="12"/>
        <v>0.13391593692138434</v>
      </c>
      <c r="L31" s="55">
        <f t="shared" si="12"/>
        <v>0.13829498846783278</v>
      </c>
      <c r="M31" s="55">
        <f>M13/M6</f>
        <v>0.11002599337745859</v>
      </c>
      <c r="N31" s="55">
        <f t="shared" si="12"/>
        <v>0.10263142159347066</v>
      </c>
      <c r="O31" s="55">
        <f t="shared" si="12"/>
        <v>9.6697100846806022E-2</v>
      </c>
      <c r="P31" s="55">
        <f t="shared" si="12"/>
        <v>7.5597882087845847E-2</v>
      </c>
      <c r="Q31" s="55">
        <f t="shared" si="12"/>
        <v>8.0469287397446909E-2</v>
      </c>
      <c r="R31" s="55">
        <f t="shared" si="12"/>
        <v>7.9600000000000004E-2</v>
      </c>
      <c r="S31" s="55">
        <f t="shared" si="12"/>
        <v>7.9700000000000035E-2</v>
      </c>
      <c r="T31" s="55">
        <f>T13/T6</f>
        <v>7.9799999999999899E-2</v>
      </c>
      <c r="U31" s="55">
        <f>U13/U6</f>
        <v>0.08</v>
      </c>
    </row>
    <row r="32" spans="1:38">
      <c r="A32" s="48" t="s">
        <v>422</v>
      </c>
      <c r="C32" s="55">
        <f>C18/C16</f>
        <v>0.39751118568232702</v>
      </c>
      <c r="D32" s="55">
        <f t="shared" ref="D32:L32" si="13">D18/D16</f>
        <v>0.38419092548388167</v>
      </c>
      <c r="E32" s="55">
        <f t="shared" si="13"/>
        <v>0.31707001727805878</v>
      </c>
      <c r="F32" s="55">
        <f t="shared" si="13"/>
        <v>0.31640741657209664</v>
      </c>
      <c r="G32" s="55">
        <f t="shared" si="13"/>
        <v>0.35583055995347201</v>
      </c>
      <c r="H32" s="55">
        <f t="shared" si="13"/>
        <v>0.36152970621882319</v>
      </c>
      <c r="I32" s="55">
        <f t="shared" si="13"/>
        <v>0.3457508005599127</v>
      </c>
      <c r="J32" s="55">
        <f t="shared" si="13"/>
        <v>0.35861801537923482</v>
      </c>
      <c r="K32" s="55">
        <f t="shared" si="13"/>
        <v>0.36812648440245799</v>
      </c>
      <c r="L32" s="55">
        <f t="shared" si="13"/>
        <v>0.33950762670093537</v>
      </c>
      <c r="M32" s="55">
        <f t="shared" ref="M32:T32" si="14">M18/M16</f>
        <v>0.36022814284084276</v>
      </c>
      <c r="N32" s="55">
        <f t="shared" si="14"/>
        <v>0.35865966157283219</v>
      </c>
      <c r="O32" s="55">
        <f t="shared" si="14"/>
        <v>0.3553118794533352</v>
      </c>
      <c r="P32" s="55">
        <f t="shared" si="14"/>
        <v>0.33782933156743838</v>
      </c>
      <c r="Q32" s="55">
        <f t="shared" si="14"/>
        <v>0.25274902544136363</v>
      </c>
      <c r="R32" s="55">
        <f t="shared" si="14"/>
        <v>0.25274902544136363</v>
      </c>
      <c r="S32" s="55">
        <f t="shared" si="14"/>
        <v>0.25274902544136363</v>
      </c>
      <c r="T32" s="55">
        <f t="shared" si="14"/>
        <v>0.25274902544136363</v>
      </c>
      <c r="U32" s="55">
        <f t="shared" ref="U32" si="15">U18/U16</f>
        <v>0.25274902544136363</v>
      </c>
    </row>
    <row r="33" spans="1:27">
      <c r="A33" s="48"/>
      <c r="C33" s="50"/>
      <c r="D33" s="50"/>
      <c r="E33" s="50"/>
      <c r="F33" s="50"/>
      <c r="G33" s="50"/>
      <c r="H33" s="50"/>
      <c r="I33" s="50"/>
      <c r="J33" s="50"/>
      <c r="K33" s="50"/>
      <c r="L33" s="50"/>
      <c r="M33" s="50"/>
    </row>
    <row r="34" spans="1:27">
      <c r="A34" s="54" t="s">
        <v>423</v>
      </c>
      <c r="C34" s="50"/>
      <c r="D34" s="50"/>
      <c r="E34" s="50"/>
      <c r="F34" s="50"/>
      <c r="G34" s="50"/>
      <c r="H34" s="50"/>
      <c r="I34" s="50"/>
      <c r="J34" s="50"/>
      <c r="K34" s="50"/>
      <c r="L34" s="407"/>
      <c r="M34" s="50"/>
      <c r="AA34">
        <f>1.85*15</f>
        <v>27.75</v>
      </c>
    </row>
    <row r="35" spans="1:27">
      <c r="A35" s="48" t="s">
        <v>295</v>
      </c>
      <c r="C35" s="56" t="s">
        <v>378</v>
      </c>
      <c r="D35" s="55">
        <f>((D6/C6)-1)</f>
        <v>0.31936816671700385</v>
      </c>
      <c r="E35" s="55">
        <f t="shared" ref="E35:M35" si="16">((E6/D6)-1)</f>
        <v>0.12142583098542548</v>
      </c>
      <c r="F35" s="55">
        <f t="shared" si="16"/>
        <v>0.23107950653089637</v>
      </c>
      <c r="G35" s="55">
        <f t="shared" si="16"/>
        <v>0.21681289148411786</v>
      </c>
      <c r="H35" s="55">
        <f t="shared" si="16"/>
        <v>5.6249856918443086E-2</v>
      </c>
      <c r="I35" s="55">
        <f t="shared" si="16"/>
        <v>0.17353926974453171</v>
      </c>
      <c r="J35" s="55">
        <f t="shared" si="16"/>
        <v>8.7814442799839521E-2</v>
      </c>
      <c r="K35" s="55">
        <f t="shared" si="16"/>
        <v>0.12980995641929161</v>
      </c>
      <c r="L35" s="55">
        <f t="shared" si="16"/>
        <v>0.10437470057336062</v>
      </c>
      <c r="M35" s="55">
        <f t="shared" si="16"/>
        <v>7.6685877841596417E-2</v>
      </c>
      <c r="N35" s="55">
        <f t="shared" ref="N35:U35" si="17">((N6/M6)-1)</f>
        <v>3.6646043378263382E-2</v>
      </c>
      <c r="O35" s="55">
        <f t="shared" si="17"/>
        <v>2.9218021708299347E-2</v>
      </c>
      <c r="P35" s="55">
        <f t="shared" si="17"/>
        <v>1.9803744944009827E-2</v>
      </c>
      <c r="Q35" s="55">
        <f t="shared" si="17"/>
        <v>4.5589710125047089E-2</v>
      </c>
      <c r="R35" s="55">
        <f t="shared" si="17"/>
        <v>1.6186927877489765E-2</v>
      </c>
      <c r="S35" s="55">
        <f t="shared" si="17"/>
        <v>1.9426567470858691E-2</v>
      </c>
      <c r="T35" s="55">
        <f t="shared" si="17"/>
        <v>1.720254766566387E-2</v>
      </c>
      <c r="U35" s="55">
        <f t="shared" si="17"/>
        <v>1.5309086657131932E-2</v>
      </c>
    </row>
    <row r="36" spans="1:27">
      <c r="A36" s="48" t="s">
        <v>136</v>
      </c>
      <c r="C36" s="55">
        <f>yrSales!L51</f>
        <v>0.22</v>
      </c>
      <c r="D36" s="55">
        <f>yrSales!M51</f>
        <v>0.109</v>
      </c>
      <c r="E36" s="55">
        <f>yrSales!N51</f>
        <v>-6.2E-2</v>
      </c>
      <c r="F36" s="55">
        <f>yrSales!O51</f>
        <v>6.1240545094416121E-2</v>
      </c>
      <c r="G36" s="55">
        <f>yrSales!P51</f>
        <v>7.8E-2</v>
      </c>
      <c r="H36" s="55">
        <f>yrSales!Q51</f>
        <v>-2.6000000000000002E-2</v>
      </c>
      <c r="I36" s="55">
        <f>yrSales!R51</f>
        <v>8.6694387741127713E-2</v>
      </c>
      <c r="J36" s="55">
        <f>yrSales!S51</f>
        <v>0</v>
      </c>
      <c r="K36" s="55">
        <f>yrSales!T51</f>
        <v>7.0000000000000007E-2</v>
      </c>
      <c r="L36" s="55">
        <f>yrSales!U51</f>
        <v>6.1944861640197184E-2</v>
      </c>
      <c r="M36" s="55">
        <f>yrSales!V51</f>
        <v>1.5251115844607806E-2</v>
      </c>
      <c r="N36" s="55">
        <f>yrSales!W51</f>
        <v>1.5340975572611579E-2</v>
      </c>
      <c r="O36" s="55">
        <f>yrSales!X51</f>
        <v>0.01</v>
      </c>
      <c r="P36" s="55">
        <f>yrSales!Y51</f>
        <v>0</v>
      </c>
      <c r="Q36" s="55">
        <f>yrSales!Z51</f>
        <v>2.948325097702496E-2</v>
      </c>
      <c r="R36" s="55">
        <f>yrSales!AA51</f>
        <v>0</v>
      </c>
      <c r="S36" s="55">
        <f>yrSales!AB51</f>
        <v>0</v>
      </c>
      <c r="T36" s="55">
        <f>yrSales!AC51</f>
        <v>0</v>
      </c>
      <c r="U36" s="55">
        <f>yrSales!AD51</f>
        <v>0</v>
      </c>
    </row>
    <row r="37" spans="1:27">
      <c r="A37" s="48" t="s">
        <v>411</v>
      </c>
      <c r="C37" s="57" t="s">
        <v>378</v>
      </c>
      <c r="D37" s="55">
        <f>((D11/C11)-1)</f>
        <v>0.26537419110849658</v>
      </c>
      <c r="E37" s="55">
        <f t="shared" ref="E37:M37" si="18">((E11/D11)-1)</f>
        <v>0.19519980739455445</v>
      </c>
      <c r="F37" s="55">
        <f t="shared" si="18"/>
        <v>0.22191003431365752</v>
      </c>
      <c r="G37" s="55">
        <f t="shared" si="18"/>
        <v>0.17683691132289447</v>
      </c>
      <c r="H37" s="55">
        <f t="shared" si="18"/>
        <v>7.9986861268032561E-2</v>
      </c>
      <c r="I37" s="55">
        <f t="shared" si="18"/>
        <v>0.16829732467724146</v>
      </c>
      <c r="J37" s="55">
        <f t="shared" si="18"/>
        <v>0.10220570923227967</v>
      </c>
      <c r="K37" s="55">
        <f t="shared" si="18"/>
        <v>0.14142661394103295</v>
      </c>
      <c r="L37" s="55">
        <f t="shared" si="18"/>
        <v>0.1175587223048904</v>
      </c>
      <c r="M37" s="55">
        <f t="shared" si="18"/>
        <v>0.10215503920295266</v>
      </c>
      <c r="N37" s="55">
        <f t="shared" ref="N37:U37" si="19">((N11/M11)-1)</f>
        <v>4.790098141548671E-2</v>
      </c>
      <c r="O37" s="55">
        <f t="shared" si="19"/>
        <v>6.8090809750531278E-2</v>
      </c>
      <c r="P37" s="55">
        <f t="shared" si="19"/>
        <v>8.2420432497578577E-3</v>
      </c>
      <c r="Q37" s="55">
        <f t="shared" si="19"/>
        <v>4.0825413168296798E-2</v>
      </c>
      <c r="R37" s="55">
        <f t="shared" si="19"/>
        <v>2.7137163253661223E-2</v>
      </c>
      <c r="S37" s="55">
        <f t="shared" si="19"/>
        <v>2.0228634007027901E-2</v>
      </c>
      <c r="T37" s="55">
        <f t="shared" si="19"/>
        <v>2.1200985353028834E-2</v>
      </c>
      <c r="U37" s="55">
        <f t="shared" si="19"/>
        <v>1.6899234012898834E-2</v>
      </c>
    </row>
    <row r="38" spans="1:27">
      <c r="A38" s="48" t="s">
        <v>426</v>
      </c>
      <c r="C38" s="57" t="s">
        <v>378</v>
      </c>
      <c r="D38" s="55">
        <f>((D13/C13)-1)</f>
        <v>0.3999096828114268</v>
      </c>
      <c r="E38" s="55">
        <f t="shared" ref="E38:M38" si="20">((E13/D13)-1)</f>
        <v>-0.21044877442837839</v>
      </c>
      <c r="F38" s="55">
        <f t="shared" si="20"/>
        <v>0.37170785845391863</v>
      </c>
      <c r="G38" s="55">
        <f t="shared" si="20"/>
        <v>0.33114761386116576</v>
      </c>
      <c r="H38" s="55">
        <f t="shared" si="20"/>
        <v>0.13207874830931621</v>
      </c>
      <c r="I38" s="55">
        <f t="shared" si="20"/>
        <v>0.22189542869279943</v>
      </c>
      <c r="J38" s="55">
        <f t="shared" si="20"/>
        <v>-0.31259551475966929</v>
      </c>
      <c r="K38" s="55">
        <f t="shared" si="20"/>
        <v>0.31454912634998489</v>
      </c>
      <c r="L38" s="55">
        <f t="shared" si="20"/>
        <v>0.14048775665602342</v>
      </c>
      <c r="M38" s="55">
        <f t="shared" si="20"/>
        <v>-0.14340038943235389</v>
      </c>
      <c r="N38" s="55">
        <f t="shared" ref="N38:U38" si="21">((N13/M13)-1)</f>
        <v>-3.302434401873966E-2</v>
      </c>
      <c r="O38" s="55">
        <f t="shared" si="21"/>
        <v>-3.029308867325331E-2</v>
      </c>
      <c r="P38" s="55">
        <f t="shared" si="21"/>
        <v>-0.20271649731091834</v>
      </c>
      <c r="Q38" s="55">
        <f t="shared" si="21"/>
        <v>0.11296582073683226</v>
      </c>
      <c r="R38" s="55">
        <f t="shared" si="21"/>
        <v>5.2093422864656347E-3</v>
      </c>
      <c r="S38" s="55">
        <f t="shared" si="21"/>
        <v>2.0707254113410567E-2</v>
      </c>
      <c r="T38" s="55">
        <f t="shared" si="21"/>
        <v>1.8478836935004184E-2</v>
      </c>
      <c r="U38" s="55">
        <f t="shared" si="21"/>
        <v>1.7853720959532193E-2</v>
      </c>
    </row>
    <row r="39" spans="1:27">
      <c r="A39" s="48" t="s">
        <v>427</v>
      </c>
      <c r="C39" s="57" t="s">
        <v>378</v>
      </c>
      <c r="D39" s="55">
        <f>((D23/C23)-1)</f>
        <v>0.42303717026082355</v>
      </c>
      <c r="E39" s="55">
        <f t="shared" ref="E39:M39" si="22">((E23/D23)-1)</f>
        <v>-0.10478350171636985</v>
      </c>
      <c r="F39" s="55">
        <f t="shared" si="22"/>
        <v>0.37084691082292021</v>
      </c>
      <c r="G39" s="55">
        <f t="shared" si="22"/>
        <v>0.23544218141600259</v>
      </c>
      <c r="H39" s="55">
        <f t="shared" si="22"/>
        <v>0.10048087546227435</v>
      </c>
      <c r="I39" s="55">
        <f t="shared" si="22"/>
        <v>0.24721189691725143</v>
      </c>
      <c r="J39" s="55">
        <f t="shared" si="22"/>
        <v>-0.25948718128155257</v>
      </c>
      <c r="K39" s="55">
        <f t="shared" si="22"/>
        <v>0.36428675791316523</v>
      </c>
      <c r="L39" s="55">
        <f t="shared" si="22"/>
        <v>0.16956086001540749</v>
      </c>
      <c r="M39" s="55">
        <f t="shared" si="22"/>
        <v>-0.10036496834030162</v>
      </c>
      <c r="N39" s="55">
        <f t="shared" ref="N39:U39" si="23">((N23/M23)-1)</f>
        <v>4.6356526191206227E-2</v>
      </c>
      <c r="O39" s="55">
        <f t="shared" si="23"/>
        <v>5.6551683278265097E-2</v>
      </c>
      <c r="P39" s="55">
        <f t="shared" si="23"/>
        <v>-0.13019449284012974</v>
      </c>
      <c r="Q39" s="55">
        <f t="shared" si="23"/>
        <v>0.29146348018220736</v>
      </c>
      <c r="R39" s="55">
        <f t="shared" si="23"/>
        <v>4.0434875850149599E-2</v>
      </c>
      <c r="S39" s="55">
        <f t="shared" si="23"/>
        <v>4.5842588763271852E-2</v>
      </c>
      <c r="T39" s="55">
        <f t="shared" si="23"/>
        <v>4.3342812198638558E-2</v>
      </c>
      <c r="U39" s="55">
        <f t="shared" si="23"/>
        <v>4.1742717007414498E-2</v>
      </c>
    </row>
    <row r="40" spans="1:27">
      <c r="A40" s="48" t="s">
        <v>395</v>
      </c>
      <c r="C40" s="57" t="s">
        <v>378</v>
      </c>
      <c r="D40" s="55">
        <f>((D26/C26)-1)</f>
        <v>0.37073308771306879</v>
      </c>
      <c r="E40" s="55">
        <f t="shared" ref="E40:M40" si="24">((E26/D26)-1)</f>
        <v>-0.11065864094333189</v>
      </c>
      <c r="F40" s="55">
        <f t="shared" si="24"/>
        <v>0.34255491529435167</v>
      </c>
      <c r="G40" s="55">
        <f t="shared" si="24"/>
        <v>0.29299367376136565</v>
      </c>
      <c r="H40" s="55">
        <f t="shared" si="24"/>
        <v>0.13097036058146161</v>
      </c>
      <c r="I40" s="55">
        <f t="shared" si="24"/>
        <v>0.19468439770572221</v>
      </c>
      <c r="J40" s="55">
        <f t="shared" si="24"/>
        <v>-0.44746636962748365</v>
      </c>
      <c r="K40" s="55">
        <f t="shared" si="24"/>
        <v>0.73131618228114559</v>
      </c>
      <c r="L40" s="55">
        <f t="shared" si="24"/>
        <v>0.13506967252190338</v>
      </c>
      <c r="M40" s="55">
        <f t="shared" si="24"/>
        <v>-9.9667246592353709E-2</v>
      </c>
      <c r="N40" s="55">
        <f t="shared" ref="N40:U40" si="25">((N26/M26)-1)</f>
        <v>-1.4815454443495524E-2</v>
      </c>
      <c r="O40" s="55">
        <f t="shared" si="25"/>
        <v>-3.6475848325915439E-2</v>
      </c>
      <c r="P40" s="55">
        <f t="shared" si="25"/>
        <v>-0.15300147637589445</v>
      </c>
      <c r="Q40" s="55">
        <f t="shared" si="25"/>
        <v>7.9501363232336031E-2</v>
      </c>
      <c r="R40" s="55">
        <f t="shared" si="25"/>
        <v>7.3985825545921369E-3</v>
      </c>
      <c r="S40" s="55">
        <f t="shared" si="25"/>
        <v>2.0371192249211356E-2</v>
      </c>
      <c r="T40" s="55">
        <f t="shared" si="25"/>
        <v>1.7240022117546605E-2</v>
      </c>
      <c r="U40" s="55">
        <f t="shared" si="25"/>
        <v>1.2415478493742471E-2</v>
      </c>
    </row>
    <row r="41" spans="1:27" outlineLevel="2">
      <c r="A41" s="44"/>
      <c r="B41" s="44"/>
      <c r="C41" s="44"/>
      <c r="D41" s="44"/>
      <c r="E41" s="44"/>
      <c r="F41" s="44"/>
      <c r="G41" s="44"/>
      <c r="H41" s="44"/>
      <c r="I41" s="44"/>
      <c r="J41" s="44"/>
      <c r="K41" s="44"/>
      <c r="L41" s="44"/>
      <c r="M41" s="405"/>
      <c r="N41" s="44"/>
      <c r="O41" s="44"/>
      <c r="P41" s="44"/>
      <c r="Q41" s="44"/>
      <c r="R41" s="44"/>
      <c r="S41" s="44"/>
      <c r="T41" s="44"/>
      <c r="U41" s="44"/>
    </row>
    <row r="42" spans="1:27" outlineLevel="2">
      <c r="A42" s="45" t="s">
        <v>137</v>
      </c>
      <c r="C42" s="7" t="s">
        <v>543</v>
      </c>
      <c r="D42" s="7" t="s">
        <v>189</v>
      </c>
      <c r="E42" s="7" t="s">
        <v>205</v>
      </c>
      <c r="F42" s="7" t="s">
        <v>524</v>
      </c>
      <c r="G42" s="7" t="s">
        <v>176</v>
      </c>
      <c r="H42" s="7" t="s">
        <v>242</v>
      </c>
      <c r="I42" s="7" t="s">
        <v>130</v>
      </c>
      <c r="J42" s="7" t="s">
        <v>102</v>
      </c>
      <c r="K42" s="7" t="s">
        <v>111</v>
      </c>
      <c r="L42" s="403">
        <f t="shared" ref="L42:T42" si="26">L3</f>
        <v>2013</v>
      </c>
      <c r="M42" s="403">
        <f t="shared" si="26"/>
        <v>2014</v>
      </c>
      <c r="N42" s="403" t="str">
        <f t="shared" si="26"/>
        <v>2015A</v>
      </c>
      <c r="O42" s="7" t="str">
        <f t="shared" si="26"/>
        <v>2016E</v>
      </c>
      <c r="P42" s="7" t="str">
        <f t="shared" si="26"/>
        <v>2017E</v>
      </c>
      <c r="Q42" s="7" t="str">
        <f>Q3</f>
        <v>2018E</v>
      </c>
      <c r="R42" s="7" t="str">
        <f>R3</f>
        <v>2019E</v>
      </c>
      <c r="S42" s="7" t="str">
        <f>S3</f>
        <v>2020E</v>
      </c>
      <c r="T42" s="7" t="str">
        <f t="shared" si="26"/>
        <v>2021E</v>
      </c>
      <c r="U42" s="7" t="str">
        <f t="shared" ref="U42" si="27">U3</f>
        <v>2022E</v>
      </c>
    </row>
    <row r="43" spans="1:27" outlineLevel="2">
      <c r="A43" s="6" t="s">
        <v>408</v>
      </c>
      <c r="C43" s="12" t="s">
        <v>227</v>
      </c>
      <c r="D43" s="12" t="s">
        <v>227</v>
      </c>
      <c r="E43" s="12" t="s">
        <v>227</v>
      </c>
      <c r="F43" s="12" t="s">
        <v>227</v>
      </c>
      <c r="G43" s="12" t="s">
        <v>227</v>
      </c>
      <c r="H43" s="12" t="s">
        <v>227</v>
      </c>
      <c r="I43" s="12" t="s">
        <v>227</v>
      </c>
      <c r="J43" s="12" t="s">
        <v>227</v>
      </c>
      <c r="K43" s="12" t="s">
        <v>227</v>
      </c>
      <c r="L43" s="12" t="s">
        <v>227</v>
      </c>
      <c r="M43" s="12" t="s">
        <v>227</v>
      </c>
      <c r="N43" s="12" t="s">
        <v>227</v>
      </c>
      <c r="O43" s="12" t="s">
        <v>227</v>
      </c>
      <c r="P43" s="12" t="s">
        <v>227</v>
      </c>
      <c r="Q43" s="12" t="s">
        <v>227</v>
      </c>
      <c r="R43" s="12" t="s">
        <v>227</v>
      </c>
      <c r="S43" s="12" t="s">
        <v>227</v>
      </c>
      <c r="T43" s="12" t="s">
        <v>227</v>
      </c>
      <c r="U43" s="12" t="s">
        <v>227</v>
      </c>
    </row>
    <row r="44" spans="1:27" outlineLevel="2">
      <c r="A44" s="46"/>
    </row>
    <row r="45" spans="1:27" outlineLevel="2">
      <c r="A45" s="46" t="s">
        <v>388</v>
      </c>
      <c r="C45" s="58">
        <f>C6</f>
        <v>827.75</v>
      </c>
      <c r="D45" s="58">
        <f t="shared" ref="D45:I45" si="28">D6</f>
        <v>1092.107</v>
      </c>
      <c r="E45" s="58">
        <f t="shared" si="28"/>
        <v>1224.7170000000001</v>
      </c>
      <c r="F45" s="58">
        <f t="shared" si="28"/>
        <v>1507.7239999999999</v>
      </c>
      <c r="G45" s="58">
        <f t="shared" si="28"/>
        <v>1834.6179999999999</v>
      </c>
      <c r="H45" s="58">
        <f t="shared" si="28"/>
        <v>1937.8150000000001</v>
      </c>
      <c r="I45" s="58">
        <f t="shared" si="28"/>
        <v>2274.1019999999999</v>
      </c>
      <c r="J45" s="58">
        <f t="shared" ref="J45:O45" si="29">J6</f>
        <v>2473.8010000000004</v>
      </c>
      <c r="K45" s="58">
        <f t="shared" si="29"/>
        <v>2794.9250000000002</v>
      </c>
      <c r="L45" s="58">
        <f t="shared" si="29"/>
        <v>3086.64446</v>
      </c>
      <c r="M45" s="58">
        <f t="shared" si="29"/>
        <v>3323.3465000000001</v>
      </c>
      <c r="N45" s="58">
        <f t="shared" si="29"/>
        <v>3445.134</v>
      </c>
      <c r="O45" s="58">
        <f t="shared" si="29"/>
        <v>3545.7939999999999</v>
      </c>
      <c r="P45" s="58">
        <f t="shared" ref="P45" si="30">P6</f>
        <v>3616.0140000000001</v>
      </c>
      <c r="Q45" s="58">
        <f t="shared" ref="Q45:U45" si="31">(P45*(1+Q74))</f>
        <v>3836.9758117696765</v>
      </c>
      <c r="R45" s="58">
        <f t="shared" si="31"/>
        <v>3995.0090577967067</v>
      </c>
      <c r="S45" s="58">
        <f t="shared" si="31"/>
        <v>4172.4935972496032</v>
      </c>
      <c r="T45" s="58">
        <f t="shared" si="31"/>
        <v>4348.5834571722062</v>
      </c>
      <c r="U45" s="58">
        <f t="shared" si="31"/>
        <v>4523.8708845831306</v>
      </c>
    </row>
    <row r="46" spans="1:27" outlineLevel="3">
      <c r="A46" s="46"/>
      <c r="C46" s="14"/>
      <c r="D46" s="14"/>
      <c r="E46" s="14"/>
      <c r="F46" s="14"/>
      <c r="G46" s="14"/>
      <c r="H46" s="14"/>
      <c r="I46" s="14"/>
      <c r="J46" s="14"/>
      <c r="K46" s="14"/>
      <c r="L46" s="14"/>
      <c r="M46" s="14"/>
      <c r="N46" s="14"/>
      <c r="O46" s="14"/>
      <c r="P46" s="14"/>
    </row>
    <row r="47" spans="1:27" outlineLevel="3">
      <c r="A47" s="46" t="s">
        <v>409</v>
      </c>
      <c r="C47" s="58">
        <f>C8</f>
        <v>489.00000000000011</v>
      </c>
      <c r="D47" s="58">
        <f t="shared" ref="D47:J47" si="32">D8</f>
        <v>643.50099999999998</v>
      </c>
      <c r="E47" s="58">
        <f t="shared" si="32"/>
        <v>772.79599999999994</v>
      </c>
      <c r="F47" s="58">
        <f t="shared" si="32"/>
        <v>930.952</v>
      </c>
      <c r="G47" s="58">
        <f t="shared" si="32"/>
        <v>1121.1400000000001</v>
      </c>
      <c r="H47" s="58">
        <f t="shared" si="32"/>
        <v>1151.67</v>
      </c>
      <c r="I47" s="58">
        <f t="shared" si="32"/>
        <v>1337.482</v>
      </c>
      <c r="J47" s="58">
        <f t="shared" si="32"/>
        <v>1613.2649999999999</v>
      </c>
      <c r="K47" s="58">
        <f t="shared" ref="K47:P47" si="33">K8</f>
        <v>1763.394</v>
      </c>
      <c r="L47" s="58">
        <f t="shared" si="33"/>
        <v>1925.2660000000001</v>
      </c>
      <c r="M47" s="58">
        <f t="shared" si="33"/>
        <v>2148.1469999999999</v>
      </c>
      <c r="N47" s="58">
        <f t="shared" si="33"/>
        <v>2243.232</v>
      </c>
      <c r="O47" s="58">
        <f t="shared" si="33"/>
        <v>2296.84</v>
      </c>
      <c r="P47" s="58">
        <f t="shared" si="33"/>
        <v>2429.0970000000002</v>
      </c>
      <c r="Q47" s="58">
        <f t="shared" ref="Q47:U47" si="34">Q45-Q49</f>
        <v>2535.6298600224895</v>
      </c>
      <c r="R47" s="58">
        <f t="shared" si="34"/>
        <v>2631.5124663706906</v>
      </c>
      <c r="S47" s="58">
        <f t="shared" si="34"/>
        <v>2749.2560312277633</v>
      </c>
      <c r="T47" s="58">
        <f t="shared" si="34"/>
        <v>2860.4981981278775</v>
      </c>
      <c r="U47" s="58">
        <f t="shared" si="34"/>
        <v>2973.0879453480329</v>
      </c>
    </row>
    <row r="48" spans="1:27" outlineLevel="3">
      <c r="A48" s="46"/>
      <c r="C48" s="14"/>
      <c r="D48" s="14"/>
      <c r="E48" s="14"/>
      <c r="F48" s="14"/>
      <c r="G48" s="14"/>
      <c r="H48" s="14"/>
      <c r="I48" s="14"/>
      <c r="J48" s="14"/>
      <c r="K48" s="14"/>
      <c r="L48" s="14"/>
      <c r="M48" s="14"/>
      <c r="N48" s="14"/>
      <c r="O48" s="14"/>
      <c r="P48" s="14"/>
    </row>
    <row r="49" spans="1:27" outlineLevel="2">
      <c r="A49" s="46" t="s">
        <v>410</v>
      </c>
      <c r="C49" s="58">
        <f>C45-C47</f>
        <v>338.74999999999989</v>
      </c>
      <c r="D49" s="58">
        <f t="shared" ref="D49:J49" si="35">D45-D47</f>
        <v>448.60599999999999</v>
      </c>
      <c r="E49" s="58">
        <f t="shared" si="35"/>
        <v>451.92100000000016</v>
      </c>
      <c r="F49" s="58">
        <f t="shared" si="35"/>
        <v>576.77199999999993</v>
      </c>
      <c r="G49" s="58">
        <f t="shared" si="35"/>
        <v>713.47799999999984</v>
      </c>
      <c r="H49" s="58">
        <f t="shared" si="35"/>
        <v>786.14499999999998</v>
      </c>
      <c r="I49" s="58">
        <f t="shared" si="35"/>
        <v>936.61999999999989</v>
      </c>
      <c r="J49" s="58">
        <f t="shared" si="35"/>
        <v>860.53600000000051</v>
      </c>
      <c r="K49" s="58">
        <f t="shared" ref="K49:P49" si="36">K45-K47</f>
        <v>1031.5310000000002</v>
      </c>
      <c r="L49" s="58">
        <f t="shared" si="36"/>
        <v>1161.3784599999999</v>
      </c>
      <c r="M49" s="58">
        <f t="shared" si="36"/>
        <v>1175.1995000000002</v>
      </c>
      <c r="N49" s="58">
        <f t="shared" si="36"/>
        <v>1201.902</v>
      </c>
      <c r="O49" s="58">
        <f t="shared" si="36"/>
        <v>1248.9539999999997</v>
      </c>
      <c r="P49" s="58">
        <f t="shared" si="36"/>
        <v>1186.9169999999999</v>
      </c>
      <c r="Q49" s="58">
        <f t="shared" ref="Q49:U49" si="37">Q45*Q68</f>
        <v>1301.345951747187</v>
      </c>
      <c r="R49" s="58">
        <f t="shared" si="37"/>
        <v>1363.496591426016</v>
      </c>
      <c r="S49" s="58">
        <f t="shared" si="37"/>
        <v>1423.2375660218399</v>
      </c>
      <c r="T49" s="58">
        <f t="shared" si="37"/>
        <v>1488.0852590443287</v>
      </c>
      <c r="U49" s="58">
        <f t="shared" si="37"/>
        <v>1550.7829392350975</v>
      </c>
      <c r="Y49">
        <v>0.71</v>
      </c>
      <c r="Z49">
        <v>2.25</v>
      </c>
      <c r="AA49">
        <v>2.4500000000000002</v>
      </c>
    </row>
    <row r="50" spans="1:27" outlineLevel="2">
      <c r="A50" s="46" t="s">
        <v>411</v>
      </c>
      <c r="C50" s="14">
        <f t="shared" ref="C50:J51" si="38">C11</f>
        <v>190.38400000000001</v>
      </c>
      <c r="D50" s="14">
        <f t="shared" si="38"/>
        <v>240.90700000000004</v>
      </c>
      <c r="E50" s="14">
        <f t="shared" si="38"/>
        <v>287.93199999999996</v>
      </c>
      <c r="F50" s="14">
        <f t="shared" si="38"/>
        <v>351.827</v>
      </c>
      <c r="G50" s="14">
        <f t="shared" si="38"/>
        <v>414.04300000000001</v>
      </c>
      <c r="H50" s="14">
        <f t="shared" si="38"/>
        <v>447.16100000000006</v>
      </c>
      <c r="I50" s="14">
        <f t="shared" si="38"/>
        <v>522.41700000000003</v>
      </c>
      <c r="J50" s="14">
        <f t="shared" si="38"/>
        <v>575.81099999999992</v>
      </c>
      <c r="K50" s="14">
        <f t="shared" ref="K50:M51" si="39">K11</f>
        <v>657.24599999999998</v>
      </c>
      <c r="L50" s="14">
        <f t="shared" si="39"/>
        <v>734.51099999999997</v>
      </c>
      <c r="M50" s="14">
        <f t="shared" si="39"/>
        <v>809.54499999999996</v>
      </c>
      <c r="N50" s="14">
        <f t="shared" ref="N50:P51" si="40">N11</f>
        <v>848.32300000000009</v>
      </c>
      <c r="O50" s="14">
        <f t="shared" si="40"/>
        <v>906.08600000000001</v>
      </c>
      <c r="P50" s="14">
        <f t="shared" si="40"/>
        <v>913.55400000000009</v>
      </c>
      <c r="Q50" s="14">
        <f t="shared" ref="Q50:U50" si="41">Q45*Q69</f>
        <v>945.77613750925082</v>
      </c>
      <c r="R50" s="14">
        <f t="shared" si="41"/>
        <v>981.57372550065077</v>
      </c>
      <c r="S50" s="14">
        <f t="shared" si="41"/>
        <v>1019.757435167803</v>
      </c>
      <c r="T50" s="14">
        <f t="shared" si="41"/>
        <v>1058.445213475715</v>
      </c>
      <c r="U50" s="14">
        <f t="shared" si="41"/>
        <v>1102.9197216613672</v>
      </c>
      <c r="Y50" s="1271">
        <f>0.59/Y49-1</f>
        <v>-0.16901408450704225</v>
      </c>
      <c r="Z50" s="1271">
        <f>P23/Z49-1</f>
        <v>-0.27237322991944779</v>
      </c>
      <c r="AA50" s="1271">
        <f>T23/AA49-1</f>
        <v>-2.0249518806031652E-2</v>
      </c>
    </row>
    <row r="51" spans="1:27" outlineLevel="3">
      <c r="A51" s="46" t="s">
        <v>131</v>
      </c>
      <c r="C51" s="14">
        <f t="shared" si="38"/>
        <v>31.858000000000001</v>
      </c>
      <c r="D51" s="14">
        <f t="shared" si="38"/>
        <v>39.340000000000003</v>
      </c>
      <c r="E51" s="14">
        <f t="shared" si="38"/>
        <v>55.713000000000001</v>
      </c>
      <c r="F51" s="14">
        <f t="shared" si="38"/>
        <v>70.016999999999996</v>
      </c>
      <c r="G51" s="14">
        <f t="shared" si="38"/>
        <v>81.948999999999998</v>
      </c>
      <c r="H51" s="14">
        <f t="shared" si="38"/>
        <v>92.35</v>
      </c>
      <c r="I51" s="14">
        <f t="shared" si="38"/>
        <v>101.105</v>
      </c>
      <c r="J51" s="14">
        <f t="shared" si="38"/>
        <v>0</v>
      </c>
      <c r="K51" s="14">
        <f t="shared" si="39"/>
        <v>118.664</v>
      </c>
      <c r="L51" s="14">
        <f t="shared" si="39"/>
        <v>132.66399999999999</v>
      </c>
      <c r="M51" s="14">
        <f t="shared" si="39"/>
        <v>138.11000000000001</v>
      </c>
      <c r="N51" s="14">
        <f t="shared" si="40"/>
        <v>142.72200000000001</v>
      </c>
      <c r="O51" s="14">
        <f t="shared" si="40"/>
        <v>135.33000000000001</v>
      </c>
      <c r="P51" s="14">
        <f t="shared" si="40"/>
        <v>131.66999999999999</v>
      </c>
      <c r="Q51" s="14">
        <f t="shared" ref="Q51:U51" si="42">Q12</f>
        <v>132.99</v>
      </c>
      <c r="R51" s="14">
        <f t="shared" si="42"/>
        <v>134.64000000000001</v>
      </c>
      <c r="S51" s="14">
        <f t="shared" si="42"/>
        <v>137.28</v>
      </c>
      <c r="T51" s="14">
        <f t="shared" si="42"/>
        <v>139.26</v>
      </c>
      <c r="U51" s="14">
        <f t="shared" si="42"/>
        <v>139.26</v>
      </c>
    </row>
    <row r="52" spans="1:27" outlineLevel="2">
      <c r="A52" s="59" t="s">
        <v>426</v>
      </c>
      <c r="C52" s="58">
        <f>C49-C50</f>
        <v>148.36599999999987</v>
      </c>
      <c r="D52" s="58">
        <f t="shared" ref="D52:S52" si="43">D49-D50</f>
        <v>207.69899999999996</v>
      </c>
      <c r="E52" s="58">
        <f t="shared" si="43"/>
        <v>163.9890000000002</v>
      </c>
      <c r="F52" s="58">
        <f t="shared" si="43"/>
        <v>224.94499999999994</v>
      </c>
      <c r="G52" s="58">
        <f t="shared" si="43"/>
        <v>299.43499999999983</v>
      </c>
      <c r="H52" s="58">
        <f t="shared" si="43"/>
        <v>338.98399999999992</v>
      </c>
      <c r="I52" s="58">
        <f t="shared" si="43"/>
        <v>414.20299999999986</v>
      </c>
      <c r="J52" s="58">
        <f t="shared" si="43"/>
        <v>284.72500000000059</v>
      </c>
      <c r="K52" s="58">
        <f t="shared" ref="K52:P52" si="44">K49-K50</f>
        <v>374.2850000000002</v>
      </c>
      <c r="L52" s="58">
        <f t="shared" si="44"/>
        <v>426.86745999999994</v>
      </c>
      <c r="M52" s="58">
        <f t="shared" si="44"/>
        <v>365.65450000000021</v>
      </c>
      <c r="N52" s="58">
        <f t="shared" si="44"/>
        <v>353.57899999999995</v>
      </c>
      <c r="O52" s="58">
        <f t="shared" si="44"/>
        <v>342.86799999999971</v>
      </c>
      <c r="P52" s="58">
        <f t="shared" si="44"/>
        <v>273.36299999999983</v>
      </c>
      <c r="Q52" s="58">
        <f t="shared" si="43"/>
        <v>355.56981423793616</v>
      </c>
      <c r="R52" s="58">
        <f t="shared" si="43"/>
        <v>381.92286592536527</v>
      </c>
      <c r="S52" s="58">
        <f t="shared" si="43"/>
        <v>403.48013085403693</v>
      </c>
      <c r="T52" s="58">
        <f>T49-T50</f>
        <v>429.64004556861369</v>
      </c>
      <c r="U52" s="58">
        <f>U49-U50</f>
        <v>447.86321757373025</v>
      </c>
    </row>
    <row r="53" spans="1:27" outlineLevel="3">
      <c r="A53" s="46"/>
      <c r="C53" s="14"/>
      <c r="D53" s="14"/>
      <c r="E53" s="14"/>
      <c r="F53" s="14"/>
      <c r="G53" s="14"/>
      <c r="H53" s="14"/>
      <c r="I53" s="14"/>
      <c r="J53" s="14"/>
      <c r="K53" s="14"/>
      <c r="L53" s="14"/>
      <c r="M53" s="14"/>
      <c r="N53" s="14"/>
      <c r="O53" s="14"/>
      <c r="P53" s="14"/>
    </row>
    <row r="54" spans="1:27" outlineLevel="3">
      <c r="A54" s="46" t="s">
        <v>132</v>
      </c>
      <c r="C54" s="14">
        <f>C15</f>
        <v>1.8259999999999998</v>
      </c>
      <c r="D54" s="14">
        <f t="shared" ref="D54:S54" si="45">D15</f>
        <v>4.6979999999999995</v>
      </c>
      <c r="E54" s="14">
        <f t="shared" si="45"/>
        <v>6.1690000000000005</v>
      </c>
      <c r="F54" s="14">
        <f t="shared" si="45"/>
        <v>9.4489999999999998</v>
      </c>
      <c r="G54" s="14">
        <f t="shared" si="45"/>
        <v>10.055</v>
      </c>
      <c r="H54" s="14">
        <f t="shared" si="45"/>
        <v>5.4220000000000006</v>
      </c>
      <c r="I54" s="14">
        <f t="shared" si="45"/>
        <v>3.0049999999999999</v>
      </c>
      <c r="J54" s="14">
        <f t="shared" si="45"/>
        <v>4.1059999999999999</v>
      </c>
      <c r="K54" s="14">
        <f t="shared" ref="K54:P54" si="46">K15</f>
        <v>1.2869999999999999</v>
      </c>
      <c r="L54" s="14">
        <f t="shared" si="46"/>
        <v>0.68700000000000006</v>
      </c>
      <c r="M54" s="14">
        <f t="shared" si="46"/>
        <v>-1.9350000000000001</v>
      </c>
      <c r="N54" s="14">
        <f t="shared" si="46"/>
        <v>-3.548</v>
      </c>
      <c r="O54" s="14">
        <f t="shared" si="46"/>
        <v>-0.42800000000000005</v>
      </c>
      <c r="P54" s="14">
        <f t="shared" si="46"/>
        <v>1.474</v>
      </c>
      <c r="Q54" s="14">
        <f t="shared" si="45"/>
        <v>0.373</v>
      </c>
      <c r="R54" s="14">
        <f t="shared" si="45"/>
        <v>0.37903772409830372</v>
      </c>
      <c r="S54" s="14">
        <f t="shared" si="45"/>
        <v>0.38640112601950016</v>
      </c>
      <c r="T54" s="14">
        <f>T15</f>
        <v>0.39304820980791683</v>
      </c>
      <c r="U54" s="14">
        <f>U15</f>
        <v>0.39906541891229674</v>
      </c>
    </row>
    <row r="55" spans="1:27" outlineLevel="3">
      <c r="A55" s="59" t="s">
        <v>133</v>
      </c>
      <c r="C55" s="58">
        <f>C52+C54</f>
        <v>150.19199999999987</v>
      </c>
      <c r="D55" s="58">
        <f t="shared" ref="D55:T55" si="47">D52+D54</f>
        <v>212.39699999999996</v>
      </c>
      <c r="E55" s="58">
        <f t="shared" si="47"/>
        <v>170.15800000000021</v>
      </c>
      <c r="F55" s="58">
        <f t="shared" si="47"/>
        <v>234.39399999999995</v>
      </c>
      <c r="G55" s="58">
        <f t="shared" si="47"/>
        <v>309.48999999999984</v>
      </c>
      <c r="H55" s="58">
        <f t="shared" si="47"/>
        <v>344.40599999999995</v>
      </c>
      <c r="I55" s="58">
        <f t="shared" si="47"/>
        <v>417.20799999999986</v>
      </c>
      <c r="J55" s="58">
        <f t="shared" si="47"/>
        <v>288.83100000000059</v>
      </c>
      <c r="K55" s="58">
        <f t="shared" ref="K55:S55" si="48">K52+K54</f>
        <v>375.57200000000017</v>
      </c>
      <c r="L55" s="58">
        <f t="shared" si="48"/>
        <v>427.55445999999995</v>
      </c>
      <c r="M55" s="58">
        <f t="shared" si="48"/>
        <v>363.71950000000021</v>
      </c>
      <c r="N55" s="58">
        <f t="shared" si="48"/>
        <v>350.03099999999995</v>
      </c>
      <c r="O55" s="58">
        <f t="shared" si="48"/>
        <v>342.43999999999971</v>
      </c>
      <c r="P55" s="58">
        <f t="shared" si="48"/>
        <v>274.83699999999982</v>
      </c>
      <c r="Q55" s="58">
        <f t="shared" si="48"/>
        <v>355.94281423793615</v>
      </c>
      <c r="R55" s="58">
        <f t="shared" si="48"/>
        <v>382.30190364946355</v>
      </c>
      <c r="S55" s="58">
        <f t="shared" si="48"/>
        <v>403.86653198005644</v>
      </c>
      <c r="T55" s="58">
        <f t="shared" si="47"/>
        <v>430.03309377842163</v>
      </c>
      <c r="U55" s="58">
        <f t="shared" ref="U55" si="49">U52+U54</f>
        <v>448.26228299264255</v>
      </c>
    </row>
    <row r="56" spans="1:27" outlineLevel="3">
      <c r="A56" s="46"/>
      <c r="C56" s="14"/>
      <c r="D56" s="14"/>
      <c r="E56" s="14"/>
      <c r="F56" s="14"/>
      <c r="G56" s="14"/>
      <c r="H56" s="14"/>
      <c r="I56" s="14"/>
      <c r="J56" s="14"/>
      <c r="K56" s="14"/>
      <c r="L56" s="14"/>
      <c r="M56" s="14"/>
      <c r="N56" s="14"/>
      <c r="O56" s="14"/>
      <c r="P56" s="14"/>
    </row>
    <row r="57" spans="1:27" outlineLevel="2">
      <c r="A57" s="46" t="s">
        <v>414</v>
      </c>
      <c r="C57" s="14">
        <f>C18</f>
        <v>59.703000000000003</v>
      </c>
      <c r="D57" s="14">
        <f t="shared" ref="D57:J57" si="50">D18</f>
        <v>81.600999999999999</v>
      </c>
      <c r="E57" s="14">
        <f t="shared" si="50"/>
        <v>53.951999999999998</v>
      </c>
      <c r="F57" s="14">
        <f t="shared" si="50"/>
        <v>74.164000000000001</v>
      </c>
      <c r="G57" s="14">
        <f t="shared" si="50"/>
        <v>110.126</v>
      </c>
      <c r="H57" s="14">
        <f t="shared" si="50"/>
        <v>124.51299999999999</v>
      </c>
      <c r="I57" s="14">
        <f t="shared" si="50"/>
        <v>144.25</v>
      </c>
      <c r="J57" s="14">
        <f t="shared" si="50"/>
        <v>103.57999999999998</v>
      </c>
      <c r="K57" s="14">
        <f t="shared" ref="K57:P57" si="51">K18</f>
        <v>138.25800000000001</v>
      </c>
      <c r="L57" s="14">
        <f t="shared" si="51"/>
        <v>145.15799999999999</v>
      </c>
      <c r="M57" s="14">
        <f t="shared" si="51"/>
        <v>131.02199999999999</v>
      </c>
      <c r="N57" s="14">
        <f t="shared" si="51"/>
        <v>125.542</v>
      </c>
      <c r="O57" s="14">
        <f t="shared" si="51"/>
        <v>121.673</v>
      </c>
      <c r="P57" s="14">
        <f t="shared" si="51"/>
        <v>92.847999999999999</v>
      </c>
      <c r="Q57" s="14">
        <f t="shared" ref="Q57:U57" si="52">Q55*Q71</f>
        <v>89.96419941149469</v>
      </c>
      <c r="R57" s="14">
        <f t="shared" si="52"/>
        <v>96.626433571780012</v>
      </c>
      <c r="S57" s="14">
        <f t="shared" si="52"/>
        <v>102.07687236634258</v>
      </c>
      <c r="T57" s="14">
        <f t="shared" si="52"/>
        <v>108.69044536003059</v>
      </c>
      <c r="U57" s="14">
        <f t="shared" si="52"/>
        <v>113.29785516851115</v>
      </c>
      <c r="X57" s="4"/>
    </row>
    <row r="58" spans="1:27" outlineLevel="3">
      <c r="A58" s="46"/>
      <c r="C58" s="14"/>
      <c r="D58" s="14"/>
      <c r="E58" s="14"/>
      <c r="F58" s="14"/>
      <c r="G58" s="14"/>
      <c r="H58" s="14"/>
      <c r="I58" s="14"/>
      <c r="J58" s="14"/>
      <c r="K58" s="14"/>
      <c r="L58" s="14"/>
      <c r="M58" s="14"/>
      <c r="N58" s="14"/>
      <c r="O58" s="14"/>
      <c r="P58" s="14"/>
    </row>
    <row r="59" spans="1:27" outlineLevel="3">
      <c r="A59" s="46"/>
      <c r="C59" s="14"/>
      <c r="D59" s="14"/>
      <c r="E59" s="14"/>
      <c r="F59" s="14"/>
      <c r="G59" s="14"/>
      <c r="H59" s="14"/>
      <c r="I59" s="14"/>
      <c r="J59" s="14"/>
      <c r="K59" s="14"/>
      <c r="L59" s="14"/>
      <c r="M59" s="14"/>
      <c r="N59" s="14"/>
      <c r="O59" s="14"/>
      <c r="P59" s="14"/>
    </row>
    <row r="60" spans="1:27" outlineLevel="3">
      <c r="A60" s="46" t="s">
        <v>134</v>
      </c>
      <c r="C60" s="58">
        <f>C55-C57</f>
        <v>90.488999999999862</v>
      </c>
      <c r="D60" s="58">
        <f t="shared" ref="D60:S60" si="53">D55-D57</f>
        <v>130.79599999999996</v>
      </c>
      <c r="E60" s="58">
        <f t="shared" si="53"/>
        <v>116.20600000000022</v>
      </c>
      <c r="F60" s="58">
        <f t="shared" si="53"/>
        <v>160.22999999999996</v>
      </c>
      <c r="G60" s="58">
        <f t="shared" si="53"/>
        <v>199.36399999999983</v>
      </c>
      <c r="H60" s="58">
        <f t="shared" si="53"/>
        <v>219.89299999999997</v>
      </c>
      <c r="I60" s="58">
        <f t="shared" si="53"/>
        <v>272.95799999999986</v>
      </c>
      <c r="J60" s="58">
        <f t="shared" si="53"/>
        <v>185.2510000000006</v>
      </c>
      <c r="K60" s="58">
        <f t="shared" ref="K60:P60" si="54">K55-K57</f>
        <v>237.31400000000016</v>
      </c>
      <c r="L60" s="58">
        <f t="shared" si="54"/>
        <v>282.39645999999993</v>
      </c>
      <c r="M60" s="58">
        <f t="shared" si="54"/>
        <v>232.69750000000022</v>
      </c>
      <c r="N60" s="58">
        <f t="shared" si="54"/>
        <v>224.48899999999995</v>
      </c>
      <c r="O60" s="58">
        <f t="shared" si="54"/>
        <v>220.76699999999971</v>
      </c>
      <c r="P60" s="58">
        <f t="shared" si="54"/>
        <v>181.98899999999981</v>
      </c>
      <c r="Q60" s="58">
        <f t="shared" si="53"/>
        <v>265.97861482644146</v>
      </c>
      <c r="R60" s="58">
        <f t="shared" si="53"/>
        <v>285.67547007768354</v>
      </c>
      <c r="S60" s="58">
        <f t="shared" si="53"/>
        <v>301.78965961371387</v>
      </c>
      <c r="T60" s="58">
        <f>T55-T57</f>
        <v>321.34264841839104</v>
      </c>
      <c r="U60" s="58">
        <f>U55-U57</f>
        <v>334.96442782413141</v>
      </c>
    </row>
    <row r="61" spans="1:27" outlineLevel="3">
      <c r="A61" s="46"/>
      <c r="C61" s="14"/>
      <c r="D61" s="14"/>
      <c r="E61" s="14"/>
      <c r="F61" s="14"/>
      <c r="G61" s="14"/>
      <c r="H61" s="14"/>
      <c r="I61" s="14"/>
      <c r="J61" s="14"/>
      <c r="K61" s="14"/>
      <c r="L61" s="14"/>
      <c r="M61" s="14"/>
      <c r="N61" s="14"/>
      <c r="O61" s="14"/>
      <c r="P61" s="14"/>
    </row>
    <row r="62" spans="1:27" outlineLevel="2">
      <c r="A62" s="52" t="s">
        <v>135</v>
      </c>
      <c r="B62" s="52"/>
      <c r="C62" s="53">
        <f>C60/C63</f>
        <v>0.54086978668520869</v>
      </c>
      <c r="D62" s="53">
        <f t="shared" ref="D62:S62" si="55">D60/D63</f>
        <v>0.76967781072409458</v>
      </c>
      <c r="E62" s="53">
        <f t="shared" si="55"/>
        <v>0.68902827452303461</v>
      </c>
      <c r="F62" s="53">
        <f t="shared" si="55"/>
        <v>0.94455228159954896</v>
      </c>
      <c r="G62" s="53">
        <f t="shared" si="55"/>
        <v>1.1669397312408092</v>
      </c>
      <c r="H62" s="53">
        <f t="shared" si="55"/>
        <v>1.2841948570475967</v>
      </c>
      <c r="I62" s="53">
        <f t="shared" si="55"/>
        <v>1.6016631036697118</v>
      </c>
      <c r="J62" s="53">
        <f t="shared" si="55"/>
        <v>1.1860520595357951</v>
      </c>
      <c r="K62" s="53">
        <f t="shared" ref="K62:P62" si="56">K60/K63</f>
        <v>1.6181151190203222</v>
      </c>
      <c r="L62" s="53">
        <f t="shared" si="56"/>
        <v>1.8924841102053414</v>
      </c>
      <c r="M62" s="53">
        <f t="shared" si="56"/>
        <v>1.7025450024000583</v>
      </c>
      <c r="N62" s="53">
        <f t="shared" si="56"/>
        <v>1.7814690743955239</v>
      </c>
      <c r="O62" s="53">
        <f t="shared" si="56"/>
        <v>1.8822141492607638</v>
      </c>
      <c r="P62" s="53">
        <f t="shared" si="56"/>
        <v>1.6371602326812424</v>
      </c>
      <c r="Q62" s="53">
        <f t="shared" si="55"/>
        <v>2.4705854092538613</v>
      </c>
      <c r="R62" s="53">
        <f t="shared" si="55"/>
        <v>2.746494165719398</v>
      </c>
      <c r="S62" s="53">
        <f t="shared" si="55"/>
        <v>2.9728697487521192</v>
      </c>
      <c r="T62" s="53">
        <f>T60/T63</f>
        <v>3.2427658243086328</v>
      </c>
      <c r="U62" s="53">
        <f>U60/U63</f>
        <v>3.459571831071675</v>
      </c>
      <c r="X62" s="142"/>
      <c r="Y62" s="142"/>
      <c r="Z62" s="152"/>
      <c r="AA62">
        <f>35/39-1</f>
        <v>-0.10256410256410253</v>
      </c>
    </row>
    <row r="63" spans="1:27" outlineLevel="2">
      <c r="A63" s="46" t="s">
        <v>568</v>
      </c>
      <c r="C63" s="14">
        <f>C24</f>
        <v>167.30274499999999</v>
      </c>
      <c r="D63" s="14">
        <f t="shared" ref="D63:S63" si="57">D24</f>
        <v>169.93604099999999</v>
      </c>
      <c r="E63" s="14">
        <f t="shared" si="57"/>
        <v>168.652005</v>
      </c>
      <c r="F63" s="14">
        <f t="shared" si="57"/>
        <v>169.63592499999999</v>
      </c>
      <c r="G63" s="14">
        <f t="shared" si="57"/>
        <v>170.84344175000001</v>
      </c>
      <c r="H63" s="14">
        <f t="shared" si="57"/>
        <v>171.230245</v>
      </c>
      <c r="I63" s="14">
        <f t="shared" si="57"/>
        <v>170.42160699999999</v>
      </c>
      <c r="J63" s="14">
        <f t="shared" si="57"/>
        <v>156.19128900000001</v>
      </c>
      <c r="K63" s="14">
        <f t="shared" ref="K63:P63" si="58">K24</f>
        <v>146.66076425</v>
      </c>
      <c r="L63" s="14">
        <f t="shared" si="58"/>
        <v>149.21999</v>
      </c>
      <c r="M63" s="14">
        <f t="shared" si="58"/>
        <v>136.67626974439395</v>
      </c>
      <c r="N63" s="14">
        <f t="shared" si="58"/>
        <v>126.013414</v>
      </c>
      <c r="O63" s="14">
        <f t="shared" si="58"/>
        <v>117.291117</v>
      </c>
      <c r="P63" s="14">
        <f t="shared" si="58"/>
        <v>111.16138565248997</v>
      </c>
      <c r="Q63" s="14">
        <f t="shared" si="57"/>
        <v>107.65813391036312</v>
      </c>
      <c r="R63" s="14">
        <f t="shared" si="57"/>
        <v>104.01459199999999</v>
      </c>
      <c r="S63" s="14">
        <f t="shared" si="57"/>
        <v>101.51459199999999</v>
      </c>
      <c r="T63" s="14">
        <f>T24</f>
        <v>99.095237161290314</v>
      </c>
      <c r="U63" s="14">
        <f>U24</f>
        <v>96.822509888563047</v>
      </c>
    </row>
    <row r="64" spans="1:27" outlineLevel="3">
      <c r="A64" s="46"/>
      <c r="P64" s="409"/>
      <c r="W64" s="142"/>
    </row>
    <row r="65" spans="1:24" outlineLevel="3">
      <c r="A65" s="46" t="s">
        <v>395</v>
      </c>
      <c r="C65" s="58">
        <f>C51+C52</f>
        <v>180.22399999999988</v>
      </c>
      <c r="D65" s="58">
        <f t="shared" ref="D65:S65" si="59">D51+D52</f>
        <v>247.03899999999996</v>
      </c>
      <c r="E65" s="58">
        <f t="shared" si="59"/>
        <v>219.7020000000002</v>
      </c>
      <c r="F65" s="58">
        <f t="shared" si="59"/>
        <v>294.96199999999993</v>
      </c>
      <c r="G65" s="58">
        <f t="shared" si="59"/>
        <v>381.38399999999984</v>
      </c>
      <c r="H65" s="58">
        <f t="shared" si="59"/>
        <v>431.33399999999995</v>
      </c>
      <c r="I65" s="58">
        <f t="shared" si="59"/>
        <v>515.30799999999988</v>
      </c>
      <c r="J65" s="58">
        <f t="shared" si="59"/>
        <v>284.72500000000059</v>
      </c>
      <c r="K65" s="58">
        <f t="shared" ref="K65:P65" si="60">K51+K52</f>
        <v>492.94900000000018</v>
      </c>
      <c r="L65" s="58">
        <f t="shared" si="60"/>
        <v>559.53145999999992</v>
      </c>
      <c r="M65" s="58">
        <f t="shared" si="60"/>
        <v>503.76450000000023</v>
      </c>
      <c r="N65" s="58">
        <f t="shared" si="60"/>
        <v>496.30099999999993</v>
      </c>
      <c r="O65" s="58">
        <f t="shared" si="60"/>
        <v>478.19799999999975</v>
      </c>
      <c r="P65" s="58">
        <f t="shared" si="60"/>
        <v>405.03299999999979</v>
      </c>
      <c r="Q65" s="58">
        <f t="shared" si="59"/>
        <v>488.55981423793617</v>
      </c>
      <c r="R65" s="58">
        <f t="shared" si="59"/>
        <v>516.56286592536526</v>
      </c>
      <c r="S65" s="58">
        <f t="shared" si="59"/>
        <v>540.7601308540369</v>
      </c>
      <c r="T65" s="58">
        <f>T51+T52</f>
        <v>568.90004556861368</v>
      </c>
      <c r="U65" s="58">
        <f>U51+U52</f>
        <v>587.12321757373024</v>
      </c>
    </row>
    <row r="66" spans="1:24" outlineLevel="2">
      <c r="A66" s="46"/>
      <c r="P66" s="406">
        <f>P50/O50-1</f>
        <v>8.2420432497578577E-3</v>
      </c>
      <c r="Q66" s="406">
        <f>Q50/M50-1</f>
        <v>0.16828111779981447</v>
      </c>
      <c r="R66" s="406">
        <f>R50/N50-1</f>
        <v>0.15707546005548667</v>
      </c>
      <c r="S66" s="406">
        <f>S50/O50-1</f>
        <v>0.12545325186329226</v>
      </c>
      <c r="T66" s="406">
        <f>T50/P50-1</f>
        <v>0.15860169565862003</v>
      </c>
      <c r="U66" s="406">
        <f>U50/Q50-1</f>
        <v>0.16615304396023567</v>
      </c>
      <c r="X66">
        <f>39/15.5</f>
        <v>2.5161290322580645</v>
      </c>
    </row>
    <row r="67" spans="1:24" outlineLevel="2">
      <c r="A67" s="6" t="s">
        <v>418</v>
      </c>
      <c r="W67" s="10"/>
    </row>
    <row r="68" spans="1:24" outlineLevel="2">
      <c r="A68" s="46" t="s">
        <v>158</v>
      </c>
      <c r="C68" s="10">
        <f>C49/C45</f>
        <v>0.40924192086982769</v>
      </c>
      <c r="D68" s="10">
        <f t="shared" ref="D68:J68" si="61">D49/D45</f>
        <v>0.41077110576161496</v>
      </c>
      <c r="E68" s="10">
        <f t="shared" si="61"/>
        <v>0.3690003486519744</v>
      </c>
      <c r="F68" s="10">
        <f t="shared" si="61"/>
        <v>0.38254481589468625</v>
      </c>
      <c r="G68" s="10">
        <f t="shared" si="61"/>
        <v>0.38889730723235022</v>
      </c>
      <c r="H68" s="10">
        <f t="shared" si="61"/>
        <v>0.40568630132391376</v>
      </c>
      <c r="I68" s="10">
        <f t="shared" si="61"/>
        <v>0.41186367190213979</v>
      </c>
      <c r="J68" s="10">
        <f t="shared" si="61"/>
        <v>0.34785983189431985</v>
      </c>
      <c r="K68" s="10">
        <f t="shared" ref="K68:P68" si="62">K49/K45</f>
        <v>0.36907287315402026</v>
      </c>
      <c r="L68" s="10">
        <f t="shared" si="62"/>
        <v>0.3762592274718935</v>
      </c>
      <c r="M68" s="10">
        <f t="shared" si="62"/>
        <v>0.35361931113713246</v>
      </c>
      <c r="N68" s="10">
        <f t="shared" si="62"/>
        <v>0.34886944890967958</v>
      </c>
      <c r="O68" s="10">
        <f t="shared" si="62"/>
        <v>0.35223535264597994</v>
      </c>
      <c r="P68" s="10">
        <f t="shared" si="62"/>
        <v>0.32823904995943043</v>
      </c>
      <c r="Q68" s="16">
        <f>Q29+0.0072</f>
        <v>0.33915927949177893</v>
      </c>
      <c r="R68" s="16">
        <f>R29+0.0075</f>
        <v>0.34129999999999999</v>
      </c>
      <c r="S68" s="16">
        <f>S29+0.007</f>
        <v>0.34110000000000007</v>
      </c>
      <c r="T68" s="16">
        <f>T29+0.007</f>
        <v>0.34219999999999995</v>
      </c>
      <c r="U68" s="16">
        <f>U29+0.007</f>
        <v>0.34280000000000005</v>
      </c>
    </row>
    <row r="69" spans="1:24" outlineLevel="2">
      <c r="A69" s="46" t="s">
        <v>420</v>
      </c>
      <c r="C69" s="10">
        <f>C50/C45</f>
        <v>0.23000181214134705</v>
      </c>
      <c r="D69" s="10">
        <f t="shared" ref="D69:J69" si="63">D50/D45</f>
        <v>0.22058919135212945</v>
      </c>
      <c r="E69" s="10">
        <f t="shared" si="63"/>
        <v>0.23510084370511714</v>
      </c>
      <c r="F69" s="10">
        <f t="shared" si="63"/>
        <v>0.23334973775041057</v>
      </c>
      <c r="G69" s="10">
        <f t="shared" si="63"/>
        <v>0.22568349378453717</v>
      </c>
      <c r="H69" s="10">
        <f t="shared" si="63"/>
        <v>0.23075525785485201</v>
      </c>
      <c r="I69" s="10">
        <f t="shared" si="63"/>
        <v>0.22972452422978393</v>
      </c>
      <c r="J69" s="10">
        <f t="shared" si="63"/>
        <v>0.23276367015778546</v>
      </c>
      <c r="K69" s="10">
        <f t="shared" ref="K69:P69" si="64">K50/K45</f>
        <v>0.23515693623263592</v>
      </c>
      <c r="L69" s="10">
        <f t="shared" si="64"/>
        <v>0.23796423900406072</v>
      </c>
      <c r="M69" s="10">
        <f t="shared" si="64"/>
        <v>0.24359331775967386</v>
      </c>
      <c r="N69" s="10">
        <f t="shared" si="64"/>
        <v>0.24623802731620892</v>
      </c>
      <c r="O69" s="10">
        <f t="shared" si="64"/>
        <v>0.25553825179917389</v>
      </c>
      <c r="P69" s="10">
        <f t="shared" si="64"/>
        <v>0.25264116787158458</v>
      </c>
      <c r="Q69" s="16">
        <f>Q30-0.005</f>
        <v>0.24648999209433203</v>
      </c>
      <c r="R69" s="16">
        <f>R30-0.0085</f>
        <v>0.24569999999999997</v>
      </c>
      <c r="S69" s="16">
        <f>S30-0.01</f>
        <v>0.24440000000000001</v>
      </c>
      <c r="T69" s="16">
        <f>T30-0.012</f>
        <v>0.24340000000000001</v>
      </c>
      <c r="U69" s="16">
        <f>U30-0.012</f>
        <v>0.24380000000000002</v>
      </c>
    </row>
    <row r="70" spans="1:24" outlineLevel="2">
      <c r="A70" s="46" t="s">
        <v>397</v>
      </c>
      <c r="C70" s="10">
        <f>C52/C45</f>
        <v>0.17924010872848067</v>
      </c>
      <c r="D70" s="10">
        <f t="shared" ref="D70:S70" si="65">D52/D45</f>
        <v>0.19018191440948548</v>
      </c>
      <c r="E70" s="10">
        <f t="shared" si="65"/>
        <v>0.13389950494685726</v>
      </c>
      <c r="F70" s="10">
        <f t="shared" si="65"/>
        <v>0.14919507814427571</v>
      </c>
      <c r="G70" s="10">
        <f t="shared" si="65"/>
        <v>0.16321381344781302</v>
      </c>
      <c r="H70" s="10">
        <f t="shared" si="65"/>
        <v>0.17493104346906177</v>
      </c>
      <c r="I70" s="10">
        <f t="shared" si="65"/>
        <v>0.18213914767235589</v>
      </c>
      <c r="J70" s="10">
        <f t="shared" si="65"/>
        <v>0.11509616173653441</v>
      </c>
      <c r="K70" s="10">
        <f t="shared" ref="K70:P70" si="66">K52/K45</f>
        <v>0.13391593692138434</v>
      </c>
      <c r="L70" s="10">
        <f t="shared" si="66"/>
        <v>0.13829498846783278</v>
      </c>
      <c r="M70" s="10">
        <f t="shared" si="66"/>
        <v>0.11002599337745859</v>
      </c>
      <c r="N70" s="10">
        <f t="shared" si="66"/>
        <v>0.10263142159347066</v>
      </c>
      <c r="O70" s="10">
        <f t="shared" si="66"/>
        <v>9.6697100846806022E-2</v>
      </c>
      <c r="P70" s="10">
        <f t="shared" si="66"/>
        <v>7.5597882087845847E-2</v>
      </c>
      <c r="Q70" s="10">
        <f t="shared" si="65"/>
        <v>9.266928739744687E-2</v>
      </c>
      <c r="R70" s="10">
        <f t="shared" si="65"/>
        <v>9.5600000000000032E-2</v>
      </c>
      <c r="S70" s="10">
        <f t="shared" si="65"/>
        <v>9.6700000000000078E-2</v>
      </c>
      <c r="T70" s="10">
        <f>T52/T45</f>
        <v>9.879999999999993E-2</v>
      </c>
      <c r="U70" s="10">
        <f>U52/U45</f>
        <v>9.9000000000000074E-2</v>
      </c>
    </row>
    <row r="71" spans="1:24" outlineLevel="2">
      <c r="A71" s="46" t="s">
        <v>422</v>
      </c>
      <c r="C71" s="10">
        <f>C57/C55</f>
        <v>0.39751118568232702</v>
      </c>
      <c r="D71" s="10">
        <f t="shared" ref="D71:J71" si="67">D57/D55</f>
        <v>0.38419092548388167</v>
      </c>
      <c r="E71" s="10">
        <f t="shared" si="67"/>
        <v>0.31707001727805878</v>
      </c>
      <c r="F71" s="10">
        <f t="shared" si="67"/>
        <v>0.31640741657209664</v>
      </c>
      <c r="G71" s="10">
        <f t="shared" si="67"/>
        <v>0.35583055995347201</v>
      </c>
      <c r="H71" s="10">
        <f t="shared" si="67"/>
        <v>0.36152970621882319</v>
      </c>
      <c r="I71" s="10">
        <f t="shared" si="67"/>
        <v>0.3457508005599127</v>
      </c>
      <c r="J71" s="10">
        <f t="shared" si="67"/>
        <v>0.35861801537923482</v>
      </c>
      <c r="K71" s="10">
        <f t="shared" ref="K71:P71" si="68">K57/K55</f>
        <v>0.36812648440245799</v>
      </c>
      <c r="L71" s="10">
        <f t="shared" si="68"/>
        <v>0.33950762670093537</v>
      </c>
      <c r="M71" s="10">
        <f t="shared" si="68"/>
        <v>0.36022814284084276</v>
      </c>
      <c r="N71" s="10">
        <f t="shared" si="68"/>
        <v>0.35865966157283219</v>
      </c>
      <c r="O71" s="10">
        <f t="shared" si="68"/>
        <v>0.3553118794533352</v>
      </c>
      <c r="P71" s="10">
        <f t="shared" si="68"/>
        <v>0.33782933156743838</v>
      </c>
      <c r="Q71" s="16">
        <f t="shared" ref="Q71:U71" si="69">Q32</f>
        <v>0.25274902544136363</v>
      </c>
      <c r="R71" s="16">
        <f t="shared" si="69"/>
        <v>0.25274902544136363</v>
      </c>
      <c r="S71" s="16">
        <f t="shared" si="69"/>
        <v>0.25274902544136363</v>
      </c>
      <c r="T71" s="16">
        <f t="shared" si="69"/>
        <v>0.25274902544136363</v>
      </c>
      <c r="U71" s="16">
        <f t="shared" si="69"/>
        <v>0.25274902544136363</v>
      </c>
    </row>
    <row r="72" spans="1:24" outlineLevel="2">
      <c r="A72" s="46"/>
      <c r="X72" s="142"/>
    </row>
    <row r="73" spans="1:24" outlineLevel="2">
      <c r="A73" s="6" t="s">
        <v>423</v>
      </c>
    </row>
    <row r="74" spans="1:24" outlineLevel="2">
      <c r="A74" s="46" t="s">
        <v>295</v>
      </c>
      <c r="C74" s="60" t="s">
        <v>378</v>
      </c>
      <c r="D74" s="10">
        <f>((D45/C45)-1)</f>
        <v>0.31936816671700385</v>
      </c>
      <c r="E74" s="10">
        <f t="shared" ref="E74:O74" si="70">((E45/D45)-1)</f>
        <v>0.12142583098542548</v>
      </c>
      <c r="F74" s="10">
        <f t="shared" si="70"/>
        <v>0.23107950653089637</v>
      </c>
      <c r="G74" s="10">
        <f t="shared" si="70"/>
        <v>0.21681289148411786</v>
      </c>
      <c r="H74" s="10">
        <f t="shared" si="70"/>
        <v>5.6249856918443086E-2</v>
      </c>
      <c r="I74" s="10">
        <f t="shared" si="70"/>
        <v>0.17353926974453171</v>
      </c>
      <c r="J74" s="10">
        <f t="shared" si="70"/>
        <v>8.7814442799839521E-2</v>
      </c>
      <c r="K74" s="10">
        <f t="shared" si="70"/>
        <v>0.12980995641929161</v>
      </c>
      <c r="L74" s="10">
        <f t="shared" si="70"/>
        <v>0.10437470057336062</v>
      </c>
      <c r="M74" s="10">
        <f t="shared" si="70"/>
        <v>7.6685877841596417E-2</v>
      </c>
      <c r="N74" s="10">
        <f t="shared" si="70"/>
        <v>3.6646043378263382E-2</v>
      </c>
      <c r="O74" s="10">
        <f t="shared" si="70"/>
        <v>2.9218021708299347E-2</v>
      </c>
      <c r="P74" s="10">
        <f t="shared" ref="P74:U74" si="71">P75+P81</f>
        <v>1.9803744944009827E-2</v>
      </c>
      <c r="Q74" s="10">
        <f t="shared" si="71"/>
        <v>6.1106459148022131E-2</v>
      </c>
      <c r="R74" s="10">
        <f t="shared" si="71"/>
        <v>4.1186927877489767E-2</v>
      </c>
      <c r="S74" s="10">
        <f t="shared" si="71"/>
        <v>4.4426567470858692E-2</v>
      </c>
      <c r="T74" s="10">
        <f t="shared" si="71"/>
        <v>4.2202547665663871E-2</v>
      </c>
      <c r="U74" s="10">
        <f t="shared" si="71"/>
        <v>4.0309086657131933E-2</v>
      </c>
    </row>
    <row r="75" spans="1:24" outlineLevel="2">
      <c r="A75" s="46" t="s">
        <v>136</v>
      </c>
      <c r="C75" s="10">
        <f>C36</f>
        <v>0.22</v>
      </c>
      <c r="D75" s="10">
        <f t="shared" ref="D75:J75" si="72">D36</f>
        <v>0.109</v>
      </c>
      <c r="E75" s="10">
        <f t="shared" si="72"/>
        <v>-6.2E-2</v>
      </c>
      <c r="F75" s="10">
        <f t="shared" si="72"/>
        <v>6.1240545094416121E-2</v>
      </c>
      <c r="G75" s="10">
        <f t="shared" si="72"/>
        <v>7.8E-2</v>
      </c>
      <c r="H75" s="10">
        <f t="shared" si="72"/>
        <v>-2.6000000000000002E-2</v>
      </c>
      <c r="I75" s="10">
        <f t="shared" si="72"/>
        <v>8.6694387741127713E-2</v>
      </c>
      <c r="J75" s="10">
        <f t="shared" si="72"/>
        <v>0</v>
      </c>
      <c r="K75" s="10">
        <f t="shared" ref="K75:P75" si="73">K36</f>
        <v>7.0000000000000007E-2</v>
      </c>
      <c r="L75" s="10">
        <f t="shared" si="73"/>
        <v>6.1944861640197184E-2</v>
      </c>
      <c r="M75" s="10">
        <f t="shared" si="73"/>
        <v>1.5251115844607806E-2</v>
      </c>
      <c r="N75" s="10">
        <f t="shared" si="73"/>
        <v>1.5340975572611579E-2</v>
      </c>
      <c r="O75" s="10">
        <f t="shared" si="73"/>
        <v>0.01</v>
      </c>
      <c r="P75" s="10">
        <f t="shared" si="73"/>
        <v>0</v>
      </c>
      <c r="Q75" s="16">
        <v>0.04</v>
      </c>
      <c r="R75" s="16">
        <v>0.02</v>
      </c>
      <c r="S75" s="16">
        <v>0.02</v>
      </c>
      <c r="T75" s="16">
        <v>0.02</v>
      </c>
      <c r="U75" s="16">
        <v>0.02</v>
      </c>
    </row>
    <row r="76" spans="1:24" outlineLevel="2">
      <c r="A76" s="46" t="s">
        <v>411</v>
      </c>
      <c r="C76" s="60" t="s">
        <v>378</v>
      </c>
      <c r="D76" s="10">
        <f>((D50/C50)-1)</f>
        <v>0.26537419110849658</v>
      </c>
      <c r="E76" s="10">
        <f t="shared" ref="E76:O76" si="74">((E50/D50)-1)</f>
        <v>0.19519980739455445</v>
      </c>
      <c r="F76" s="10">
        <f t="shared" si="74"/>
        <v>0.22191003431365752</v>
      </c>
      <c r="G76" s="10">
        <f t="shared" si="74"/>
        <v>0.17683691132289447</v>
      </c>
      <c r="H76" s="10">
        <f t="shared" si="74"/>
        <v>7.9986861268032561E-2</v>
      </c>
      <c r="I76" s="10">
        <f t="shared" si="74"/>
        <v>0.16829732467724146</v>
      </c>
      <c r="J76" s="10">
        <f t="shared" si="74"/>
        <v>0.10220570923227967</v>
      </c>
      <c r="K76" s="10">
        <f t="shared" si="74"/>
        <v>0.14142661394103295</v>
      </c>
      <c r="L76" s="10">
        <f t="shared" si="74"/>
        <v>0.1175587223048904</v>
      </c>
      <c r="M76" s="10">
        <f t="shared" si="74"/>
        <v>0.10215503920295266</v>
      </c>
      <c r="N76" s="10">
        <f t="shared" si="74"/>
        <v>4.790098141548671E-2</v>
      </c>
      <c r="O76" s="10">
        <f t="shared" si="74"/>
        <v>6.8090809750531278E-2</v>
      </c>
      <c r="P76" s="10">
        <f t="shared" ref="P76:U76" si="75">((P50/O50)-1)</f>
        <v>8.2420432497578577E-3</v>
      </c>
      <c r="Q76" s="10">
        <f t="shared" si="75"/>
        <v>3.5271190875690639E-2</v>
      </c>
      <c r="R76" s="10">
        <f t="shared" si="75"/>
        <v>3.784995896140364E-2</v>
      </c>
      <c r="S76" s="10">
        <f t="shared" si="75"/>
        <v>3.8900500976303931E-2</v>
      </c>
      <c r="T76" s="10">
        <f t="shared" si="75"/>
        <v>3.7938216455902563E-2</v>
      </c>
      <c r="U76" s="10">
        <f t="shared" si="75"/>
        <v>4.2018715394448458E-2</v>
      </c>
    </row>
    <row r="77" spans="1:24" outlineLevel="2">
      <c r="A77" s="46" t="s">
        <v>426</v>
      </c>
      <c r="C77" s="60" t="s">
        <v>378</v>
      </c>
      <c r="D77" s="10">
        <f>((D52/C52)-1)</f>
        <v>0.3999096828114268</v>
      </c>
      <c r="E77" s="10">
        <f t="shared" ref="E77:O77" si="76">((E52/D52)-1)</f>
        <v>-0.21044877442837839</v>
      </c>
      <c r="F77" s="10">
        <f t="shared" si="76"/>
        <v>0.37170785845391863</v>
      </c>
      <c r="G77" s="10">
        <f t="shared" si="76"/>
        <v>0.33114761386116576</v>
      </c>
      <c r="H77" s="10">
        <f t="shared" si="76"/>
        <v>0.13207874830931621</v>
      </c>
      <c r="I77" s="10">
        <f t="shared" si="76"/>
        <v>0.22189542869279943</v>
      </c>
      <c r="J77" s="10">
        <f t="shared" si="76"/>
        <v>-0.31259551475966929</v>
      </c>
      <c r="K77" s="10">
        <f t="shared" si="76"/>
        <v>0.31454912634998489</v>
      </c>
      <c r="L77" s="10">
        <f t="shared" si="76"/>
        <v>0.14048775665602342</v>
      </c>
      <c r="M77" s="10">
        <f t="shared" si="76"/>
        <v>-0.14340038943235389</v>
      </c>
      <c r="N77" s="10">
        <f t="shared" si="76"/>
        <v>-3.302434401873966E-2</v>
      </c>
      <c r="O77" s="10">
        <f t="shared" si="76"/>
        <v>-3.029308867325331E-2</v>
      </c>
      <c r="P77" s="10">
        <f t="shared" ref="P77:U77" si="77">((P52/O52)-1)</f>
        <v>-0.20271649731091834</v>
      </c>
      <c r="Q77" s="10">
        <f t="shared" si="77"/>
        <v>0.30072399789999515</v>
      </c>
      <c r="R77" s="10">
        <f t="shared" si="77"/>
        <v>7.4114985671406064E-2</v>
      </c>
      <c r="S77" s="10">
        <f t="shared" si="77"/>
        <v>5.6444027975230737E-2</v>
      </c>
      <c r="T77" s="10">
        <f t="shared" si="77"/>
        <v>6.4835695029652918E-2</v>
      </c>
      <c r="U77" s="10">
        <f t="shared" si="77"/>
        <v>4.241497549652018E-2</v>
      </c>
    </row>
    <row r="78" spans="1:24" outlineLevel="2">
      <c r="A78" s="46" t="s">
        <v>427</v>
      </c>
      <c r="C78" s="60" t="s">
        <v>378</v>
      </c>
      <c r="D78" s="10">
        <f t="shared" ref="D78:O78" si="78">((D62/C62)-1)</f>
        <v>0.42303717026082355</v>
      </c>
      <c r="E78" s="10">
        <f t="shared" si="78"/>
        <v>-0.10478350171636985</v>
      </c>
      <c r="F78" s="10">
        <f t="shared" si="78"/>
        <v>0.37084691082292021</v>
      </c>
      <c r="G78" s="10">
        <f t="shared" si="78"/>
        <v>0.23544218141600259</v>
      </c>
      <c r="H78" s="10">
        <f t="shared" si="78"/>
        <v>0.10048087546227435</v>
      </c>
      <c r="I78" s="10">
        <f t="shared" si="78"/>
        <v>0.24721189691725143</v>
      </c>
      <c r="J78" s="10">
        <f t="shared" si="78"/>
        <v>-0.25948718128155257</v>
      </c>
      <c r="K78" s="10">
        <f t="shared" si="78"/>
        <v>0.36428675791316523</v>
      </c>
      <c r="L78" s="10">
        <f t="shared" si="78"/>
        <v>0.16956086001540749</v>
      </c>
      <c r="M78" s="10">
        <f t="shared" si="78"/>
        <v>-0.10036496834030162</v>
      </c>
      <c r="N78" s="10">
        <f t="shared" si="78"/>
        <v>4.6356526191206227E-2</v>
      </c>
      <c r="O78" s="10">
        <f t="shared" si="78"/>
        <v>5.6551683278265097E-2</v>
      </c>
      <c r="P78" s="10">
        <f t="shared" ref="P78:U78" si="79">((P62/O62)-1)</f>
        <v>-0.13019449284012974</v>
      </c>
      <c r="Q78" s="10">
        <f t="shared" si="79"/>
        <v>0.50906756708088685</v>
      </c>
      <c r="R78" s="10">
        <f t="shared" si="79"/>
        <v>0.11167748155238377</v>
      </c>
      <c r="S78" s="10">
        <f t="shared" si="79"/>
        <v>8.2423471295969719E-2</v>
      </c>
      <c r="T78" s="10">
        <f t="shared" si="79"/>
        <v>9.078637759686714E-2</v>
      </c>
      <c r="U78" s="10">
        <f t="shared" si="79"/>
        <v>6.6858360581515619E-2</v>
      </c>
    </row>
    <row r="79" spans="1:24" outlineLevel="3">
      <c r="A79" s="46" t="s">
        <v>395</v>
      </c>
      <c r="C79" s="60" t="s">
        <v>378</v>
      </c>
      <c r="D79" s="10">
        <f t="shared" ref="D79:O79" si="80">((D65/C65)-1)</f>
        <v>0.37073308771306879</v>
      </c>
      <c r="E79" s="10">
        <f t="shared" si="80"/>
        <v>-0.11065864094333189</v>
      </c>
      <c r="F79" s="10">
        <f t="shared" si="80"/>
        <v>0.34255491529435167</v>
      </c>
      <c r="G79" s="10">
        <f t="shared" si="80"/>
        <v>0.29299367376136565</v>
      </c>
      <c r="H79" s="10">
        <f t="shared" si="80"/>
        <v>0.13097036058146161</v>
      </c>
      <c r="I79" s="10">
        <f t="shared" si="80"/>
        <v>0.19468439770572221</v>
      </c>
      <c r="J79" s="10">
        <f t="shared" si="80"/>
        <v>-0.44746636962748365</v>
      </c>
      <c r="K79" s="10">
        <f t="shared" si="80"/>
        <v>0.73131618228114559</v>
      </c>
      <c r="L79" s="10">
        <f t="shared" si="80"/>
        <v>0.13506967252190338</v>
      </c>
      <c r="M79" s="10">
        <f t="shared" si="80"/>
        <v>-9.9667246592353709E-2</v>
      </c>
      <c r="N79" s="10">
        <f t="shared" si="80"/>
        <v>-1.4815454443495524E-2</v>
      </c>
      <c r="O79" s="10">
        <f t="shared" si="80"/>
        <v>-3.6475848325915439E-2</v>
      </c>
      <c r="P79" s="10">
        <f t="shared" ref="P79:U79" si="81">((P65/O65)-1)</f>
        <v>-0.15300147637589445</v>
      </c>
      <c r="Q79" s="10">
        <f t="shared" si="81"/>
        <v>0.20622224420710511</v>
      </c>
      <c r="R79" s="10">
        <f t="shared" si="81"/>
        <v>5.7317550218715319E-2</v>
      </c>
      <c r="S79" s="10">
        <f t="shared" si="81"/>
        <v>4.6842826933223058E-2</v>
      </c>
      <c r="T79" s="10">
        <f t="shared" si="81"/>
        <v>5.2037702317540679E-2</v>
      </c>
      <c r="U79" s="10">
        <f t="shared" si="81"/>
        <v>3.2032291343732533E-2</v>
      </c>
    </row>
    <row r="80" spans="1:24" outlineLevel="2">
      <c r="A80" s="46" t="s">
        <v>138</v>
      </c>
      <c r="C80" s="60" t="s">
        <v>378</v>
      </c>
      <c r="D80" s="10">
        <f>D35-D36</f>
        <v>0.21036816671700387</v>
      </c>
      <c r="E80" s="10">
        <f t="shared" ref="E80:P80" si="82">E35-E36</f>
        <v>0.18342583098542548</v>
      </c>
      <c r="F80" s="10">
        <f t="shared" si="82"/>
        <v>0.16983896143648025</v>
      </c>
      <c r="G80" s="10">
        <f t="shared" si="82"/>
        <v>0.13881289148411785</v>
      </c>
      <c r="H80" s="10">
        <f t="shared" si="82"/>
        <v>8.2249856918443082E-2</v>
      </c>
      <c r="I80" s="10">
        <f t="shared" si="82"/>
        <v>8.6844882003403998E-2</v>
      </c>
      <c r="J80" s="10">
        <f t="shared" si="82"/>
        <v>8.7814442799839521E-2</v>
      </c>
      <c r="K80" s="10">
        <f>K35-K36</f>
        <v>5.9809956419291599E-2</v>
      </c>
      <c r="L80" s="10">
        <f>L35-L36</f>
        <v>4.242983893316344E-2</v>
      </c>
      <c r="M80" s="10">
        <f>M35-M36</f>
        <v>6.1434761996988607E-2</v>
      </c>
      <c r="N80" s="10">
        <f>N35-N36</f>
        <v>2.1305067805651803E-2</v>
      </c>
      <c r="O80" s="10">
        <f>O35-O36</f>
        <v>1.9218021708299345E-2</v>
      </c>
      <c r="P80" s="10">
        <f t="shared" si="82"/>
        <v>1.9803744944009827E-2</v>
      </c>
      <c r="Q80" s="10">
        <f>Q35-Q36</f>
        <v>1.6106459148022129E-2</v>
      </c>
      <c r="R80" s="10">
        <f>R35-R36</f>
        <v>1.6186927877489765E-2</v>
      </c>
      <c r="S80" s="10">
        <f>S35-S36</f>
        <v>1.9426567470858691E-2</v>
      </c>
      <c r="T80" s="10">
        <f>T35-T36</f>
        <v>1.720254766566387E-2</v>
      </c>
      <c r="U80" s="10">
        <f>U35-U36</f>
        <v>1.5309086657131932E-2</v>
      </c>
    </row>
    <row r="81" spans="1:26" outlineLevel="2">
      <c r="A81" s="46" t="s">
        <v>139</v>
      </c>
      <c r="C81" s="60" t="s">
        <v>378</v>
      </c>
      <c r="D81" s="10">
        <f>D80</f>
        <v>0.21036816671700387</v>
      </c>
      <c r="E81" s="10">
        <f t="shared" ref="E81:J81" si="83">E80</f>
        <v>0.18342583098542548</v>
      </c>
      <c r="F81" s="10">
        <f t="shared" si="83"/>
        <v>0.16983896143648025</v>
      </c>
      <c r="G81" s="10">
        <f t="shared" si="83"/>
        <v>0.13881289148411785</v>
      </c>
      <c r="H81" s="10">
        <f t="shared" si="83"/>
        <v>8.2249856918443082E-2</v>
      </c>
      <c r="I81" s="10">
        <f t="shared" si="83"/>
        <v>8.6844882003403998E-2</v>
      </c>
      <c r="J81" s="10">
        <f t="shared" si="83"/>
        <v>8.7814442799839521E-2</v>
      </c>
      <c r="K81" s="10">
        <f t="shared" ref="K81:P81" si="84">K80</f>
        <v>5.9809956419291599E-2</v>
      </c>
      <c r="L81" s="10">
        <f t="shared" si="84"/>
        <v>4.242983893316344E-2</v>
      </c>
      <c r="M81" s="10">
        <f t="shared" si="84"/>
        <v>6.1434761996988607E-2</v>
      </c>
      <c r="N81" s="10">
        <f t="shared" si="84"/>
        <v>2.1305067805651803E-2</v>
      </c>
      <c r="O81" s="10">
        <f t="shared" si="84"/>
        <v>1.9218021708299345E-2</v>
      </c>
      <c r="P81" s="10">
        <f t="shared" si="84"/>
        <v>1.9803744944009827E-2</v>
      </c>
      <c r="Q81" s="16">
        <f t="shared" ref="Q81:U81" si="85">Q80+0.005</f>
        <v>2.110645914802213E-2</v>
      </c>
      <c r="R81" s="16">
        <f t="shared" si="85"/>
        <v>2.1186927877489766E-2</v>
      </c>
      <c r="S81" s="16">
        <f t="shared" si="85"/>
        <v>2.4426567470858692E-2</v>
      </c>
      <c r="T81" s="16">
        <f t="shared" si="85"/>
        <v>2.2202547665663871E-2</v>
      </c>
      <c r="U81" s="16">
        <f t="shared" si="85"/>
        <v>2.0309086657131933E-2</v>
      </c>
    </row>
    <row r="82" spans="1:26">
      <c r="A82" s="44"/>
      <c r="B82" s="44"/>
      <c r="C82" s="44"/>
      <c r="D82" s="44"/>
      <c r="E82" s="44"/>
      <c r="F82" s="44"/>
      <c r="G82" s="44"/>
      <c r="H82" s="44"/>
      <c r="I82" s="44"/>
      <c r="J82" s="44"/>
      <c r="K82" s="99"/>
      <c r="L82" s="44"/>
      <c r="M82" s="44"/>
      <c r="N82" s="44"/>
      <c r="O82" s="44"/>
      <c r="P82" s="44"/>
      <c r="Q82" s="44"/>
      <c r="R82" s="44"/>
      <c r="S82" s="44"/>
      <c r="T82" s="44"/>
      <c r="U82" s="44"/>
    </row>
    <row r="83" spans="1:26">
      <c r="A83" s="45" t="s">
        <v>140</v>
      </c>
      <c r="C83" s="7" t="s">
        <v>543</v>
      </c>
      <c r="D83" s="7" t="s">
        <v>189</v>
      </c>
      <c r="E83" s="7" t="s">
        <v>205</v>
      </c>
      <c r="F83" s="7" t="s">
        <v>524</v>
      </c>
      <c r="G83" s="7" t="s">
        <v>176</v>
      </c>
      <c r="H83" s="7" t="s">
        <v>242</v>
      </c>
      <c r="I83" s="7" t="s">
        <v>130</v>
      </c>
      <c r="J83" s="7" t="s">
        <v>102</v>
      </c>
      <c r="K83" s="7" t="s">
        <v>111</v>
      </c>
      <c r="L83" s="403">
        <v>2013</v>
      </c>
      <c r="M83" s="404">
        <f>L83+1</f>
        <v>2014</v>
      </c>
      <c r="N83" s="7" t="s">
        <v>126</v>
      </c>
      <c r="O83" s="7" t="s">
        <v>127</v>
      </c>
      <c r="P83" s="7" t="s">
        <v>128</v>
      </c>
      <c r="Q83" s="7" t="s">
        <v>60</v>
      </c>
      <c r="R83" s="7" t="s">
        <v>644</v>
      </c>
      <c r="S83" s="7" t="s">
        <v>720</v>
      </c>
      <c r="T83" s="7" t="s">
        <v>721</v>
      </c>
      <c r="U83" s="7" t="str">
        <f>U42</f>
        <v>2022E</v>
      </c>
    </row>
    <row r="84" spans="1:26">
      <c r="A84" s="6" t="s">
        <v>408</v>
      </c>
      <c r="C84" s="12" t="s">
        <v>227</v>
      </c>
      <c r="D84" s="12" t="s">
        <v>227</v>
      </c>
      <c r="E84" s="12" t="s">
        <v>227</v>
      </c>
      <c r="F84" s="12" t="s">
        <v>227</v>
      </c>
      <c r="G84" s="12" t="s">
        <v>227</v>
      </c>
      <c r="H84" s="12" t="s">
        <v>227</v>
      </c>
      <c r="I84" s="12" t="s">
        <v>227</v>
      </c>
      <c r="J84" s="12" t="s">
        <v>227</v>
      </c>
      <c r="K84" s="12" t="s">
        <v>227</v>
      </c>
      <c r="L84" s="12" t="s">
        <v>227</v>
      </c>
      <c r="M84" s="12" t="s">
        <v>227</v>
      </c>
      <c r="N84" s="12" t="s">
        <v>227</v>
      </c>
      <c r="O84" s="12" t="s">
        <v>227</v>
      </c>
      <c r="P84" s="12" t="s">
        <v>227</v>
      </c>
      <c r="Q84" s="12" t="s">
        <v>227</v>
      </c>
      <c r="R84" s="12" t="s">
        <v>227</v>
      </c>
      <c r="S84" s="12" t="s">
        <v>227</v>
      </c>
      <c r="T84" s="12" t="s">
        <v>227</v>
      </c>
      <c r="U84" s="12" t="s">
        <v>227</v>
      </c>
    </row>
    <row r="85" spans="1:26">
      <c r="A85" s="46"/>
      <c r="K85" s="4"/>
    </row>
    <row r="86" spans="1:26">
      <c r="A86" s="46" t="s">
        <v>388</v>
      </c>
      <c r="C86" s="58">
        <f>C6</f>
        <v>827.75</v>
      </c>
      <c r="D86" s="58">
        <f t="shared" ref="D86:J86" si="86">D6</f>
        <v>1092.107</v>
      </c>
      <c r="E86" s="58">
        <f t="shared" si="86"/>
        <v>1224.7170000000001</v>
      </c>
      <c r="F86" s="58">
        <f t="shared" si="86"/>
        <v>1507.7239999999999</v>
      </c>
      <c r="G86" s="58">
        <f t="shared" si="86"/>
        <v>1834.6179999999999</v>
      </c>
      <c r="H86" s="58">
        <f t="shared" si="86"/>
        <v>1937.8150000000001</v>
      </c>
      <c r="I86" s="58">
        <f t="shared" si="86"/>
        <v>2274.1019999999999</v>
      </c>
      <c r="J86" s="58">
        <f t="shared" si="86"/>
        <v>2473.8010000000004</v>
      </c>
      <c r="K86" s="58">
        <f t="shared" ref="K86:P86" si="87">K6</f>
        <v>2794.9250000000002</v>
      </c>
      <c r="L86" s="58">
        <f t="shared" si="87"/>
        <v>3086.64446</v>
      </c>
      <c r="M86" s="58">
        <f t="shared" si="87"/>
        <v>3323.3465000000001</v>
      </c>
      <c r="N86" s="58">
        <f t="shared" si="87"/>
        <v>3445.134</v>
      </c>
      <c r="O86" s="58">
        <f t="shared" si="87"/>
        <v>3545.7939999999999</v>
      </c>
      <c r="P86" s="58">
        <f t="shared" si="87"/>
        <v>3616.0140000000001</v>
      </c>
      <c r="Q86" s="58">
        <f t="shared" ref="Q86:U86" si="88">(P86*(1+Q115))</f>
        <v>3620.0149717696763</v>
      </c>
      <c r="R86" s="58">
        <f t="shared" si="88"/>
        <v>3624.3116684566003</v>
      </c>
      <c r="S86" s="58">
        <f t="shared" si="88"/>
        <v>3640.3549285924441</v>
      </c>
      <c r="T86" s="58">
        <f t="shared" si="88"/>
        <v>3648.3729838426038</v>
      </c>
      <c r="U86" s="58">
        <f t="shared" si="88"/>
        <v>3649.5006472521504</v>
      </c>
    </row>
    <row r="87" spans="1:26" outlineLevel="1">
      <c r="A87" s="46"/>
      <c r="C87" s="14"/>
      <c r="D87" s="14"/>
      <c r="E87" s="14"/>
      <c r="F87" s="14"/>
      <c r="G87" s="14"/>
      <c r="H87" s="14"/>
      <c r="I87" s="14"/>
      <c r="J87" s="14"/>
      <c r="K87" s="14"/>
      <c r="L87" s="14"/>
      <c r="M87" s="14"/>
      <c r="N87" s="14"/>
      <c r="O87" s="14"/>
      <c r="P87" s="14"/>
    </row>
    <row r="88" spans="1:26" outlineLevel="1">
      <c r="A88" s="46" t="s">
        <v>409</v>
      </c>
      <c r="C88" s="58">
        <f>C8</f>
        <v>489.00000000000011</v>
      </c>
      <c r="D88" s="58">
        <f t="shared" ref="D88:J88" si="89">D8</f>
        <v>643.50099999999998</v>
      </c>
      <c r="E88" s="58">
        <f t="shared" si="89"/>
        <v>772.79599999999994</v>
      </c>
      <c r="F88" s="58">
        <f t="shared" si="89"/>
        <v>930.952</v>
      </c>
      <c r="G88" s="58">
        <f t="shared" si="89"/>
        <v>1121.1400000000001</v>
      </c>
      <c r="H88" s="58">
        <f t="shared" si="89"/>
        <v>1151.67</v>
      </c>
      <c r="I88" s="58">
        <f t="shared" si="89"/>
        <v>1337.482</v>
      </c>
      <c r="J88" s="58">
        <f t="shared" si="89"/>
        <v>1613.2649999999999</v>
      </c>
      <c r="K88" s="58">
        <f t="shared" ref="K88:P88" si="90">K8</f>
        <v>1763.394</v>
      </c>
      <c r="L88" s="58">
        <f t="shared" si="90"/>
        <v>1925.2660000000001</v>
      </c>
      <c r="M88" s="58">
        <f t="shared" si="90"/>
        <v>2148.1469999999999</v>
      </c>
      <c r="N88" s="58">
        <f t="shared" si="90"/>
        <v>2243.232</v>
      </c>
      <c r="O88" s="58">
        <f t="shared" si="90"/>
        <v>2296.84</v>
      </c>
      <c r="P88" s="58">
        <f t="shared" si="90"/>
        <v>2429.0970000000002</v>
      </c>
      <c r="Q88" s="58">
        <f t="shared" ref="Q88:U88" si="91">Q86-Q90</f>
        <v>2472.617634568107</v>
      </c>
      <c r="R88" s="58">
        <f t="shared" si="91"/>
        <v>2487.0026668949195</v>
      </c>
      <c r="S88" s="58">
        <f t="shared" si="91"/>
        <v>2507.8405103073346</v>
      </c>
      <c r="T88" s="58">
        <f t="shared" si="91"/>
        <v>2520.2960572384709</v>
      </c>
      <c r="U88" s="58">
        <f t="shared" si="91"/>
        <v>2518.8853467334338</v>
      </c>
    </row>
    <row r="89" spans="1:26" outlineLevel="1">
      <c r="A89" s="46"/>
      <c r="C89" s="14"/>
      <c r="D89" s="14"/>
      <c r="E89" s="14"/>
      <c r="F89" s="14"/>
      <c r="G89" s="14"/>
      <c r="H89" s="14"/>
      <c r="I89" s="14"/>
      <c r="J89" s="14"/>
      <c r="K89" s="14"/>
      <c r="L89" s="14"/>
      <c r="M89" s="14"/>
      <c r="N89" s="14"/>
      <c r="O89" s="14"/>
      <c r="P89" s="14"/>
    </row>
    <row r="90" spans="1:26">
      <c r="A90" s="46" t="s">
        <v>410</v>
      </c>
      <c r="C90" s="58">
        <f>C86-C88</f>
        <v>338.74999999999989</v>
      </c>
      <c r="D90" s="58">
        <f t="shared" ref="D90:J90" si="92">D86-D88</f>
        <v>448.60599999999999</v>
      </c>
      <c r="E90" s="58">
        <f t="shared" si="92"/>
        <v>451.92100000000016</v>
      </c>
      <c r="F90" s="58">
        <f t="shared" si="92"/>
        <v>576.77199999999993</v>
      </c>
      <c r="G90" s="58">
        <f t="shared" si="92"/>
        <v>713.47799999999984</v>
      </c>
      <c r="H90" s="58">
        <f t="shared" si="92"/>
        <v>786.14499999999998</v>
      </c>
      <c r="I90" s="58">
        <f t="shared" si="92"/>
        <v>936.61999999999989</v>
      </c>
      <c r="J90" s="58">
        <f t="shared" si="92"/>
        <v>860.53600000000051</v>
      </c>
      <c r="K90" s="58">
        <f t="shared" ref="K90:P90" si="93">K86-K88</f>
        <v>1031.5310000000002</v>
      </c>
      <c r="L90" s="58">
        <f t="shared" si="93"/>
        <v>1161.3784599999999</v>
      </c>
      <c r="M90" s="58">
        <f t="shared" si="93"/>
        <v>1175.1995000000002</v>
      </c>
      <c r="N90" s="58">
        <f t="shared" si="93"/>
        <v>1201.902</v>
      </c>
      <c r="O90" s="58">
        <f t="shared" si="93"/>
        <v>1248.9539999999997</v>
      </c>
      <c r="P90" s="58">
        <f t="shared" si="93"/>
        <v>1186.9169999999999</v>
      </c>
      <c r="Q90" s="58">
        <f t="shared" ref="Q90:U90" si="94">Q86*Q109</f>
        <v>1147.3973372015691</v>
      </c>
      <c r="R90" s="58">
        <f t="shared" si="94"/>
        <v>1137.309001561681</v>
      </c>
      <c r="S90" s="58">
        <f t="shared" si="94"/>
        <v>1132.5144182851095</v>
      </c>
      <c r="T90" s="58">
        <f t="shared" si="94"/>
        <v>1128.0769266041327</v>
      </c>
      <c r="U90" s="58">
        <f t="shared" si="94"/>
        <v>1130.6153005187164</v>
      </c>
    </row>
    <row r="91" spans="1:26">
      <c r="A91" s="46" t="s">
        <v>411</v>
      </c>
      <c r="C91" s="14">
        <f t="shared" ref="C91:J92" si="95">C11</f>
        <v>190.38400000000001</v>
      </c>
      <c r="D91" s="14">
        <f t="shared" si="95"/>
        <v>240.90700000000004</v>
      </c>
      <c r="E91" s="14">
        <f t="shared" si="95"/>
        <v>287.93199999999996</v>
      </c>
      <c r="F91" s="14">
        <f t="shared" si="95"/>
        <v>351.827</v>
      </c>
      <c r="G91" s="14">
        <f t="shared" si="95"/>
        <v>414.04300000000001</v>
      </c>
      <c r="H91" s="14">
        <f t="shared" si="95"/>
        <v>447.16100000000006</v>
      </c>
      <c r="I91" s="14">
        <f t="shared" si="95"/>
        <v>522.41700000000003</v>
      </c>
      <c r="J91" s="14">
        <f t="shared" si="95"/>
        <v>575.81099999999992</v>
      </c>
      <c r="K91" s="14">
        <f t="shared" ref="K91:M92" si="96">K11</f>
        <v>657.24599999999998</v>
      </c>
      <c r="L91" s="14">
        <f t="shared" si="96"/>
        <v>734.51099999999997</v>
      </c>
      <c r="M91" s="14">
        <f t="shared" si="96"/>
        <v>809.54499999999996</v>
      </c>
      <c r="N91" s="14">
        <f t="shared" ref="N91:P92" si="97">N11</f>
        <v>848.32300000000009</v>
      </c>
      <c r="O91" s="14">
        <f t="shared" si="97"/>
        <v>906.08600000000001</v>
      </c>
      <c r="P91" s="14">
        <f t="shared" si="97"/>
        <v>913.55400000000009</v>
      </c>
      <c r="Q91" s="14">
        <f t="shared" ref="Q91:U91" si="98">Q86*Q110</f>
        <v>933.92763394822248</v>
      </c>
      <c r="R91" s="14">
        <f t="shared" si="98"/>
        <v>950.29451946932056</v>
      </c>
      <c r="S91" s="14">
        <f t="shared" si="98"/>
        <v>958.86948819124984</v>
      </c>
      <c r="T91" s="14">
        <f t="shared" si="98"/>
        <v>968.2781899118271</v>
      </c>
      <c r="U91" s="14">
        <f t="shared" si="98"/>
        <v>970.03727203962171</v>
      </c>
      <c r="W91" s="1240"/>
      <c r="X91" s="1241"/>
      <c r="Y91" s="1241"/>
      <c r="Z91" s="1241"/>
    </row>
    <row r="92" spans="1:26" outlineLevel="1">
      <c r="A92" s="46" t="s">
        <v>131</v>
      </c>
      <c r="C92" s="14">
        <f t="shared" si="95"/>
        <v>31.858000000000001</v>
      </c>
      <c r="D92" s="14">
        <f t="shared" si="95"/>
        <v>39.340000000000003</v>
      </c>
      <c r="E92" s="14">
        <f t="shared" si="95"/>
        <v>55.713000000000001</v>
      </c>
      <c r="F92" s="14">
        <f t="shared" si="95"/>
        <v>70.016999999999996</v>
      </c>
      <c r="G92" s="14">
        <f t="shared" si="95"/>
        <v>81.948999999999998</v>
      </c>
      <c r="H92" s="14">
        <f t="shared" si="95"/>
        <v>92.35</v>
      </c>
      <c r="I92" s="14">
        <f t="shared" si="95"/>
        <v>101.105</v>
      </c>
      <c r="J92" s="14">
        <f t="shared" si="95"/>
        <v>0</v>
      </c>
      <c r="K92" s="14">
        <f t="shared" si="96"/>
        <v>118.664</v>
      </c>
      <c r="L92" s="14">
        <f t="shared" si="96"/>
        <v>132.66399999999999</v>
      </c>
      <c r="M92" s="14">
        <f t="shared" si="96"/>
        <v>138.11000000000001</v>
      </c>
      <c r="N92" s="14">
        <f t="shared" si="97"/>
        <v>142.72200000000001</v>
      </c>
      <c r="O92" s="14">
        <f t="shared" si="97"/>
        <v>135.33000000000001</v>
      </c>
      <c r="P92" s="14">
        <f t="shared" si="97"/>
        <v>131.66999999999999</v>
      </c>
      <c r="Q92" s="14">
        <f t="shared" ref="Q92:U92" si="99">Q12</f>
        <v>132.99</v>
      </c>
      <c r="R92" s="14">
        <f t="shared" si="99"/>
        <v>134.64000000000001</v>
      </c>
      <c r="S92" s="14">
        <f t="shared" si="99"/>
        <v>137.28</v>
      </c>
      <c r="T92" s="14">
        <f t="shared" si="99"/>
        <v>139.26</v>
      </c>
      <c r="U92" s="14">
        <f t="shared" si="99"/>
        <v>139.26</v>
      </c>
      <c r="W92" s="2"/>
      <c r="X92" s="2"/>
      <c r="Y92" s="2"/>
      <c r="Z92" s="2"/>
    </row>
    <row r="93" spans="1:26">
      <c r="A93" s="59" t="s">
        <v>426</v>
      </c>
      <c r="C93" s="58">
        <f>C90-C91</f>
        <v>148.36599999999987</v>
      </c>
      <c r="D93" s="58">
        <f t="shared" ref="D93:S93" si="100">D90-D91</f>
        <v>207.69899999999996</v>
      </c>
      <c r="E93" s="58">
        <f t="shared" si="100"/>
        <v>163.9890000000002</v>
      </c>
      <c r="F93" s="58">
        <f>F90-F91</f>
        <v>224.94499999999994</v>
      </c>
      <c r="G93" s="58">
        <f t="shared" si="100"/>
        <v>299.43499999999983</v>
      </c>
      <c r="H93" s="58">
        <f t="shared" si="100"/>
        <v>338.98399999999992</v>
      </c>
      <c r="I93" s="58">
        <f t="shared" si="100"/>
        <v>414.20299999999986</v>
      </c>
      <c r="J93" s="58">
        <f t="shared" ref="J93:O93" si="101">J90-J91</f>
        <v>284.72500000000059</v>
      </c>
      <c r="K93" s="58">
        <f t="shared" si="101"/>
        <v>374.2850000000002</v>
      </c>
      <c r="L93" s="58">
        <f t="shared" si="101"/>
        <v>426.86745999999994</v>
      </c>
      <c r="M93" s="58">
        <f t="shared" si="101"/>
        <v>365.65450000000021</v>
      </c>
      <c r="N93" s="58">
        <f t="shared" si="101"/>
        <v>353.57899999999995</v>
      </c>
      <c r="O93" s="58">
        <f t="shared" si="101"/>
        <v>342.86799999999971</v>
      </c>
      <c r="P93" s="58">
        <f t="shared" ref="P93" si="102">P90-P91</f>
        <v>273.36299999999983</v>
      </c>
      <c r="Q93" s="58">
        <f t="shared" si="100"/>
        <v>213.46970325334667</v>
      </c>
      <c r="R93" s="58">
        <f t="shared" si="100"/>
        <v>187.01448209236048</v>
      </c>
      <c r="S93" s="58">
        <f t="shared" si="100"/>
        <v>173.64493009385967</v>
      </c>
      <c r="T93" s="58">
        <f>T90-T91</f>
        <v>159.79873669230562</v>
      </c>
      <c r="U93" s="58">
        <f>U90-U91</f>
        <v>160.57802847909466</v>
      </c>
      <c r="W93" s="2"/>
      <c r="X93" s="2"/>
      <c r="Y93" s="2"/>
      <c r="Z93" s="2"/>
    </row>
    <row r="94" spans="1:26" outlineLevel="1">
      <c r="A94" s="46"/>
      <c r="C94" s="14"/>
      <c r="D94" s="14"/>
      <c r="E94" s="14"/>
      <c r="F94" s="14"/>
      <c r="G94" s="14"/>
      <c r="H94" s="14"/>
      <c r="I94" s="14"/>
      <c r="J94" s="14"/>
      <c r="K94" s="14"/>
      <c r="L94" s="14"/>
      <c r="M94" s="14"/>
      <c r="N94" s="14"/>
      <c r="O94" s="14"/>
      <c r="P94" s="14"/>
      <c r="W94" s="2"/>
      <c r="X94" s="2"/>
      <c r="Y94" s="2"/>
      <c r="Z94" s="2"/>
    </row>
    <row r="95" spans="1:26" outlineLevel="1">
      <c r="A95" s="46" t="s">
        <v>132</v>
      </c>
      <c r="C95" s="14">
        <f>C15</f>
        <v>1.8259999999999998</v>
      </c>
      <c r="D95" s="14">
        <f t="shared" ref="D95:S95" si="103">D15</f>
        <v>4.6979999999999995</v>
      </c>
      <c r="E95" s="14">
        <f t="shared" si="103"/>
        <v>6.1690000000000005</v>
      </c>
      <c r="F95" s="14">
        <f t="shared" si="103"/>
        <v>9.4489999999999998</v>
      </c>
      <c r="G95" s="14">
        <f t="shared" si="103"/>
        <v>10.055</v>
      </c>
      <c r="H95" s="14">
        <f t="shared" si="103"/>
        <v>5.4220000000000006</v>
      </c>
      <c r="I95" s="14">
        <f t="shared" si="103"/>
        <v>3.0049999999999999</v>
      </c>
      <c r="J95" s="14">
        <f t="shared" si="103"/>
        <v>4.1059999999999999</v>
      </c>
      <c r="K95" s="14">
        <f t="shared" ref="K95:P95" si="104">K15</f>
        <v>1.2869999999999999</v>
      </c>
      <c r="L95" s="14">
        <f t="shared" si="104"/>
        <v>0.68700000000000006</v>
      </c>
      <c r="M95" s="14">
        <f t="shared" si="104"/>
        <v>-1.9350000000000001</v>
      </c>
      <c r="N95" s="14">
        <f t="shared" si="104"/>
        <v>-3.548</v>
      </c>
      <c r="O95" s="14">
        <f t="shared" si="104"/>
        <v>-0.42800000000000005</v>
      </c>
      <c r="P95" s="14">
        <f t="shared" si="104"/>
        <v>1.474</v>
      </c>
      <c r="Q95" s="14">
        <f t="shared" si="103"/>
        <v>0.373</v>
      </c>
      <c r="R95" s="14">
        <f t="shared" si="103"/>
        <v>0.37903772409830372</v>
      </c>
      <c r="S95" s="14">
        <f t="shared" si="103"/>
        <v>0.38640112601950016</v>
      </c>
      <c r="T95" s="14">
        <f>T15</f>
        <v>0.39304820980791683</v>
      </c>
      <c r="U95" s="14">
        <f>U15</f>
        <v>0.39906541891229674</v>
      </c>
      <c r="W95" s="2"/>
      <c r="X95" s="2"/>
      <c r="Y95" s="2"/>
      <c r="Z95" s="2"/>
    </row>
    <row r="96" spans="1:26" outlineLevel="1">
      <c r="A96" s="59" t="s">
        <v>133</v>
      </c>
      <c r="C96" s="58">
        <f>C93+C95</f>
        <v>150.19199999999987</v>
      </c>
      <c r="D96" s="58">
        <f t="shared" ref="D96:T96" si="105">D93+D95</f>
        <v>212.39699999999996</v>
      </c>
      <c r="E96" s="58">
        <f t="shared" si="105"/>
        <v>170.15800000000021</v>
      </c>
      <c r="F96" s="58">
        <f t="shared" si="105"/>
        <v>234.39399999999995</v>
      </c>
      <c r="G96" s="58">
        <f t="shared" si="105"/>
        <v>309.48999999999984</v>
      </c>
      <c r="H96" s="58">
        <f t="shared" si="105"/>
        <v>344.40599999999995</v>
      </c>
      <c r="I96" s="58">
        <f t="shared" si="105"/>
        <v>417.20799999999986</v>
      </c>
      <c r="J96" s="58">
        <f t="shared" si="105"/>
        <v>288.83100000000059</v>
      </c>
      <c r="K96" s="58">
        <f t="shared" ref="K96:S96" si="106">K93+K95</f>
        <v>375.57200000000017</v>
      </c>
      <c r="L96" s="58">
        <f t="shared" si="106"/>
        <v>427.55445999999995</v>
      </c>
      <c r="M96" s="58">
        <f t="shared" si="106"/>
        <v>363.71950000000021</v>
      </c>
      <c r="N96" s="58">
        <f t="shared" si="106"/>
        <v>350.03099999999995</v>
      </c>
      <c r="O96" s="58">
        <f t="shared" si="106"/>
        <v>342.43999999999971</v>
      </c>
      <c r="P96" s="58">
        <f t="shared" si="106"/>
        <v>274.83699999999982</v>
      </c>
      <c r="Q96" s="58">
        <f t="shared" si="106"/>
        <v>213.84270325334666</v>
      </c>
      <c r="R96" s="58">
        <f t="shared" si="106"/>
        <v>187.39351981645879</v>
      </c>
      <c r="S96" s="58">
        <f t="shared" si="106"/>
        <v>174.03133121987918</v>
      </c>
      <c r="T96" s="58">
        <f t="shared" si="105"/>
        <v>160.19178490211354</v>
      </c>
      <c r="U96" s="58">
        <f t="shared" ref="U96" si="107">U93+U95</f>
        <v>160.97709389800696</v>
      </c>
      <c r="W96" s="2"/>
      <c r="X96" s="2"/>
      <c r="Y96" s="2"/>
      <c r="Z96" s="2"/>
    </row>
    <row r="97" spans="1:29" outlineLevel="1">
      <c r="A97" s="46"/>
      <c r="C97" s="14"/>
      <c r="D97" s="14"/>
      <c r="E97" s="14"/>
      <c r="F97" s="14"/>
      <c r="G97" s="14"/>
      <c r="H97" s="14"/>
      <c r="I97" s="14"/>
      <c r="J97" s="14"/>
      <c r="K97" s="14"/>
      <c r="L97" s="14"/>
      <c r="M97" s="14"/>
      <c r="N97" s="14"/>
      <c r="O97" s="14"/>
      <c r="P97" s="14"/>
      <c r="W97" s="2"/>
      <c r="X97" s="2"/>
      <c r="Y97" s="2"/>
      <c r="Z97" s="2"/>
    </row>
    <row r="98" spans="1:29">
      <c r="A98" s="46" t="s">
        <v>414</v>
      </c>
      <c r="C98" s="14">
        <f>C18</f>
        <v>59.703000000000003</v>
      </c>
      <c r="D98" s="14">
        <f t="shared" ref="D98:J98" si="108">D18</f>
        <v>81.600999999999999</v>
      </c>
      <c r="E98" s="14">
        <f t="shared" si="108"/>
        <v>53.951999999999998</v>
      </c>
      <c r="F98" s="14">
        <f t="shared" si="108"/>
        <v>74.164000000000001</v>
      </c>
      <c r="G98" s="14">
        <f t="shared" si="108"/>
        <v>110.126</v>
      </c>
      <c r="H98" s="14">
        <f t="shared" si="108"/>
        <v>124.51299999999999</v>
      </c>
      <c r="I98" s="14">
        <f t="shared" si="108"/>
        <v>144.25</v>
      </c>
      <c r="J98" s="14">
        <f t="shared" si="108"/>
        <v>103.57999999999998</v>
      </c>
      <c r="K98" s="14">
        <f t="shared" ref="K98:P98" si="109">K18</f>
        <v>138.25800000000001</v>
      </c>
      <c r="L98" s="14">
        <f t="shared" si="109"/>
        <v>145.15799999999999</v>
      </c>
      <c r="M98" s="14">
        <f t="shared" si="109"/>
        <v>131.02199999999999</v>
      </c>
      <c r="N98" s="14">
        <f t="shared" si="109"/>
        <v>125.542</v>
      </c>
      <c r="O98" s="14">
        <f t="shared" si="109"/>
        <v>121.673</v>
      </c>
      <c r="P98" s="14">
        <f t="shared" si="109"/>
        <v>92.847999999999999</v>
      </c>
      <c r="Q98" s="14">
        <f t="shared" ref="Q98:U98" si="110">Q96*Q112</f>
        <v>54.048534845030083</v>
      </c>
      <c r="R98" s="14">
        <f t="shared" si="110"/>
        <v>47.363529507636819</v>
      </c>
      <c r="S98" s="14">
        <f t="shared" si="110"/>
        <v>43.986249362087619</v>
      </c>
      <c r="T98" s="14">
        <f t="shared" si="110"/>
        <v>40.488317517721747</v>
      </c>
      <c r="U98" s="14">
        <f t="shared" si="110"/>
        <v>40.686803601104138</v>
      </c>
      <c r="W98" s="2"/>
      <c r="X98" s="8"/>
      <c r="Y98" s="2"/>
      <c r="Z98" s="2"/>
    </row>
    <row r="99" spans="1:29" outlineLevel="1">
      <c r="A99" s="46"/>
      <c r="C99" s="14"/>
      <c r="D99" s="14"/>
      <c r="E99" s="14"/>
      <c r="F99" s="14"/>
      <c r="G99" s="14"/>
      <c r="H99" s="14"/>
      <c r="I99" s="14"/>
      <c r="J99" s="14"/>
      <c r="K99" s="14"/>
      <c r="L99" s="14"/>
      <c r="M99" s="14"/>
      <c r="N99" s="14"/>
      <c r="O99" s="14"/>
      <c r="P99" s="14"/>
      <c r="W99" s="2"/>
      <c r="X99" s="2"/>
      <c r="Y99" s="2"/>
      <c r="Z99" s="2"/>
    </row>
    <row r="100" spans="1:29" outlineLevel="1">
      <c r="A100" s="46"/>
      <c r="C100" s="14"/>
      <c r="D100" s="14"/>
      <c r="E100" s="14"/>
      <c r="F100" s="14"/>
      <c r="G100" s="14"/>
      <c r="H100" s="14"/>
      <c r="I100" s="14"/>
      <c r="J100" s="14"/>
      <c r="K100" s="14"/>
      <c r="L100" s="14"/>
      <c r="M100" s="14"/>
      <c r="N100" s="14"/>
      <c r="O100" s="14"/>
      <c r="P100" s="14"/>
      <c r="W100" s="2"/>
      <c r="X100" s="2"/>
      <c r="Y100" s="2"/>
      <c r="Z100" s="2"/>
    </row>
    <row r="101" spans="1:29" outlineLevel="1">
      <c r="A101" s="46" t="s">
        <v>134</v>
      </c>
      <c r="C101" s="58">
        <f>C96-C98</f>
        <v>90.488999999999862</v>
      </c>
      <c r="D101" s="58">
        <f t="shared" ref="D101:S101" si="111">D96-D98</f>
        <v>130.79599999999996</v>
      </c>
      <c r="E101" s="58">
        <f t="shared" si="111"/>
        <v>116.20600000000022</v>
      </c>
      <c r="F101" s="58">
        <f t="shared" si="111"/>
        <v>160.22999999999996</v>
      </c>
      <c r="G101" s="58">
        <f t="shared" si="111"/>
        <v>199.36399999999983</v>
      </c>
      <c r="H101" s="58">
        <f t="shared" si="111"/>
        <v>219.89299999999997</v>
      </c>
      <c r="I101" s="58">
        <f t="shared" si="111"/>
        <v>272.95799999999986</v>
      </c>
      <c r="J101" s="58">
        <f t="shared" si="111"/>
        <v>185.2510000000006</v>
      </c>
      <c r="K101" s="58">
        <f t="shared" ref="K101:P101" si="112">K96-K98</f>
        <v>237.31400000000016</v>
      </c>
      <c r="L101" s="58">
        <f t="shared" si="112"/>
        <v>282.39645999999993</v>
      </c>
      <c r="M101" s="58">
        <f t="shared" si="112"/>
        <v>232.69750000000022</v>
      </c>
      <c r="N101" s="58">
        <f t="shared" si="112"/>
        <v>224.48899999999995</v>
      </c>
      <c r="O101" s="58">
        <f t="shared" si="112"/>
        <v>220.76699999999971</v>
      </c>
      <c r="P101" s="58">
        <f t="shared" si="112"/>
        <v>181.98899999999981</v>
      </c>
      <c r="Q101" s="58">
        <f t="shared" si="111"/>
        <v>159.79416840831658</v>
      </c>
      <c r="R101" s="58">
        <f t="shared" si="111"/>
        <v>140.02999030882197</v>
      </c>
      <c r="S101" s="58">
        <f t="shared" si="111"/>
        <v>130.04508185779156</v>
      </c>
      <c r="T101" s="58">
        <f>T96-T98</f>
        <v>119.70346738439179</v>
      </c>
      <c r="U101" s="58">
        <f>U96-U98</f>
        <v>120.29029029690281</v>
      </c>
      <c r="W101" s="2"/>
      <c r="X101" s="2"/>
      <c r="Y101" s="2"/>
      <c r="Z101" s="2"/>
    </row>
    <row r="102" spans="1:29" outlineLevel="1">
      <c r="A102" s="46"/>
      <c r="P102" s="409"/>
      <c r="W102" s="2"/>
      <c r="X102" s="2"/>
      <c r="Y102" s="2"/>
      <c r="Z102" s="2"/>
    </row>
    <row r="103" spans="1:29">
      <c r="A103" s="52" t="s">
        <v>135</v>
      </c>
      <c r="B103" s="52"/>
      <c r="C103" s="53">
        <f t="shared" ref="C103:S103" si="113">C101/C104</f>
        <v>0.54086978668520869</v>
      </c>
      <c r="D103" s="53">
        <f t="shared" si="113"/>
        <v>0.76967781072409458</v>
      </c>
      <c r="E103" s="53">
        <f t="shared" si="113"/>
        <v>0.68902827452303461</v>
      </c>
      <c r="F103" s="53">
        <f t="shared" si="113"/>
        <v>0.94455228159954896</v>
      </c>
      <c r="G103" s="53">
        <f t="shared" si="113"/>
        <v>1.1669397312408092</v>
      </c>
      <c r="H103" s="53">
        <f t="shared" si="113"/>
        <v>1.2841948570475967</v>
      </c>
      <c r="I103" s="53">
        <f t="shared" si="113"/>
        <v>1.6016631036697118</v>
      </c>
      <c r="J103" s="53">
        <f t="shared" si="113"/>
        <v>1.1860520595357951</v>
      </c>
      <c r="K103" s="53">
        <f t="shared" ref="K103:P103" si="114">K101/K104</f>
        <v>1.6181151190203222</v>
      </c>
      <c r="L103" s="53">
        <f t="shared" si="114"/>
        <v>1.8924841102053414</v>
      </c>
      <c r="M103" s="53">
        <f t="shared" si="114"/>
        <v>1.7025450024000583</v>
      </c>
      <c r="N103" s="53">
        <f t="shared" si="114"/>
        <v>1.7814690743955239</v>
      </c>
      <c r="O103" s="53">
        <f t="shared" si="114"/>
        <v>1.8822141492607638</v>
      </c>
      <c r="P103" s="53">
        <f t="shared" si="114"/>
        <v>1.6371602326812424</v>
      </c>
      <c r="Q103" s="53">
        <f t="shared" si="113"/>
        <v>1.4842739940241048</v>
      </c>
      <c r="R103" s="53">
        <f t="shared" si="113"/>
        <v>1.3462533248106379</v>
      </c>
      <c r="S103" s="53">
        <f t="shared" si="113"/>
        <v>1.281048165546403</v>
      </c>
      <c r="T103" s="53">
        <f>T101/T104</f>
        <v>1.2079638821546883</v>
      </c>
      <c r="U103" s="53">
        <f>U101/U104</f>
        <v>1.2423793850763607</v>
      </c>
      <c r="W103" s="2"/>
      <c r="X103" s="1242"/>
      <c r="Y103" s="1242"/>
      <c r="Z103" s="1241"/>
      <c r="AC103">
        <f>1.8</f>
        <v>1.8</v>
      </c>
    </row>
    <row r="104" spans="1:29">
      <c r="A104" s="46" t="s">
        <v>568</v>
      </c>
      <c r="C104" s="14">
        <f>C63</f>
        <v>167.30274499999999</v>
      </c>
      <c r="D104" s="14">
        <f t="shared" ref="D104:S104" si="115">D63</f>
        <v>169.93604099999999</v>
      </c>
      <c r="E104" s="14">
        <f t="shared" si="115"/>
        <v>168.652005</v>
      </c>
      <c r="F104" s="14">
        <f t="shared" si="115"/>
        <v>169.63592499999999</v>
      </c>
      <c r="G104" s="14">
        <f t="shared" si="115"/>
        <v>170.84344175000001</v>
      </c>
      <c r="H104" s="14">
        <f t="shared" si="115"/>
        <v>171.230245</v>
      </c>
      <c r="I104" s="14">
        <f t="shared" si="115"/>
        <v>170.42160699999999</v>
      </c>
      <c r="J104" s="14">
        <f t="shared" si="115"/>
        <v>156.19128900000001</v>
      </c>
      <c r="K104" s="14">
        <f t="shared" ref="K104:P104" si="116">K63</f>
        <v>146.66076425</v>
      </c>
      <c r="L104" s="14">
        <f t="shared" si="116"/>
        <v>149.21999</v>
      </c>
      <c r="M104" s="14">
        <f t="shared" si="116"/>
        <v>136.67626974439395</v>
      </c>
      <c r="N104" s="14">
        <f t="shared" si="116"/>
        <v>126.013414</v>
      </c>
      <c r="O104" s="14">
        <f t="shared" si="116"/>
        <v>117.291117</v>
      </c>
      <c r="P104" s="14">
        <f t="shared" si="116"/>
        <v>111.16138565248997</v>
      </c>
      <c r="Q104" s="14">
        <f t="shared" si="115"/>
        <v>107.65813391036312</v>
      </c>
      <c r="R104" s="14">
        <f t="shared" si="115"/>
        <v>104.01459199999999</v>
      </c>
      <c r="S104" s="14">
        <f t="shared" si="115"/>
        <v>101.51459199999999</v>
      </c>
      <c r="T104" s="14">
        <f>T63</f>
        <v>99.095237161290314</v>
      </c>
      <c r="U104" s="14">
        <f>U63</f>
        <v>96.822509888563047</v>
      </c>
    </row>
    <row r="105" spans="1:29" outlineLevel="1">
      <c r="A105" s="46"/>
      <c r="P105" s="409"/>
    </row>
    <row r="106" spans="1:29" outlineLevel="1">
      <c r="A106" s="46" t="s">
        <v>395</v>
      </c>
      <c r="C106" s="58">
        <f>C92+C93</f>
        <v>180.22399999999988</v>
      </c>
      <c r="D106" s="58">
        <f t="shared" ref="D106:S106" si="117">D92+D93</f>
        <v>247.03899999999996</v>
      </c>
      <c r="E106" s="58">
        <f t="shared" si="117"/>
        <v>219.7020000000002</v>
      </c>
      <c r="F106" s="58">
        <f t="shared" si="117"/>
        <v>294.96199999999993</v>
      </c>
      <c r="G106" s="58">
        <f t="shared" si="117"/>
        <v>381.38399999999984</v>
      </c>
      <c r="H106" s="58">
        <f t="shared" si="117"/>
        <v>431.33399999999995</v>
      </c>
      <c r="I106" s="58">
        <f t="shared" si="117"/>
        <v>515.30799999999988</v>
      </c>
      <c r="J106" s="58">
        <f t="shared" si="117"/>
        <v>284.72500000000059</v>
      </c>
      <c r="K106" s="58">
        <f t="shared" ref="K106:P106" si="118">K92+K93</f>
        <v>492.94900000000018</v>
      </c>
      <c r="L106" s="58">
        <f t="shared" si="118"/>
        <v>559.53145999999992</v>
      </c>
      <c r="M106" s="58">
        <f t="shared" si="118"/>
        <v>503.76450000000023</v>
      </c>
      <c r="N106" s="58">
        <f t="shared" si="118"/>
        <v>496.30099999999993</v>
      </c>
      <c r="O106" s="58">
        <f t="shared" si="118"/>
        <v>478.19799999999975</v>
      </c>
      <c r="P106" s="58">
        <f t="shared" si="118"/>
        <v>405.03299999999979</v>
      </c>
      <c r="Q106" s="58">
        <f t="shared" si="117"/>
        <v>346.45970325334667</v>
      </c>
      <c r="R106" s="58">
        <f t="shared" si="117"/>
        <v>321.65448209236047</v>
      </c>
      <c r="S106" s="58">
        <f t="shared" si="117"/>
        <v>310.92493009385964</v>
      </c>
      <c r="T106" s="58">
        <f>T92+T93</f>
        <v>299.05873669230562</v>
      </c>
      <c r="U106" s="58">
        <f>U92+U93</f>
        <v>299.83802847909465</v>
      </c>
    </row>
    <row r="107" spans="1:29">
      <c r="A107" s="46"/>
      <c r="P107" s="1271">
        <f>P91/O91-1</f>
        <v>8.2420432497578577E-3</v>
      </c>
      <c r="Q107" s="1271">
        <f>Q91/M91-1</f>
        <v>0.15364511416687465</v>
      </c>
      <c r="R107" s="1271">
        <f>R91/N91-1</f>
        <v>0.12020364822045426</v>
      </c>
      <c r="S107" s="1271">
        <f>S91/O91-1</f>
        <v>5.8254391074632927E-2</v>
      </c>
      <c r="T107" s="1271">
        <f>T91/P91-1</f>
        <v>5.9902523454362866E-2</v>
      </c>
      <c r="U107" s="1271">
        <f>U91/Q91-1</f>
        <v>3.8664278450295075E-2</v>
      </c>
    </row>
    <row r="108" spans="1:29">
      <c r="A108" s="6" t="s">
        <v>418</v>
      </c>
    </row>
    <row r="109" spans="1:29">
      <c r="A109" s="46" t="s">
        <v>158</v>
      </c>
      <c r="C109" s="10">
        <f>C90/C86</f>
        <v>0.40924192086982769</v>
      </c>
      <c r="D109" s="10">
        <f t="shared" ref="D109:J109" si="119">D90/D86</f>
        <v>0.41077110576161496</v>
      </c>
      <c r="E109" s="10">
        <f t="shared" si="119"/>
        <v>0.3690003486519744</v>
      </c>
      <c r="F109" s="10">
        <f t="shared" si="119"/>
        <v>0.38254481589468625</v>
      </c>
      <c r="G109" s="10">
        <f t="shared" si="119"/>
        <v>0.38889730723235022</v>
      </c>
      <c r="H109" s="10">
        <f t="shared" si="119"/>
        <v>0.40568630132391376</v>
      </c>
      <c r="I109" s="10">
        <f t="shared" si="119"/>
        <v>0.41186367190213979</v>
      </c>
      <c r="J109" s="10">
        <f t="shared" si="119"/>
        <v>0.34785983189431985</v>
      </c>
      <c r="K109" s="10">
        <f t="shared" ref="K109:P109" si="120">K90/K86</f>
        <v>0.36907287315402026</v>
      </c>
      <c r="L109" s="10">
        <f t="shared" si="120"/>
        <v>0.3762592274718935</v>
      </c>
      <c r="M109" s="10">
        <f t="shared" si="120"/>
        <v>0.35361931113713246</v>
      </c>
      <c r="N109" s="10">
        <f t="shared" si="120"/>
        <v>0.34886944890967958</v>
      </c>
      <c r="O109" s="10">
        <f t="shared" si="120"/>
        <v>0.35223535264597994</v>
      </c>
      <c r="P109" s="10">
        <f t="shared" si="120"/>
        <v>0.32823904995943043</v>
      </c>
      <c r="Q109" s="16">
        <f>Q29-0.015</f>
        <v>0.31695927949177893</v>
      </c>
      <c r="R109" s="16">
        <f>R29-0.02</f>
        <v>0.31379999999999997</v>
      </c>
      <c r="S109" s="16">
        <f>S29-0.023</f>
        <v>0.31110000000000004</v>
      </c>
      <c r="T109" s="16">
        <f>T29-0.026</f>
        <v>0.30919999999999992</v>
      </c>
      <c r="U109" s="16">
        <f>U29-0.026</f>
        <v>0.30980000000000002</v>
      </c>
    </row>
    <row r="110" spans="1:29">
      <c r="A110" s="46" t="s">
        <v>420</v>
      </c>
      <c r="C110" s="10">
        <f>C91/C86</f>
        <v>0.23000181214134705</v>
      </c>
      <c r="D110" s="10">
        <f t="shared" ref="D110:J110" si="121">D91/D86</f>
        <v>0.22058919135212945</v>
      </c>
      <c r="E110" s="10">
        <f t="shared" si="121"/>
        <v>0.23510084370511714</v>
      </c>
      <c r="F110" s="10">
        <f t="shared" si="121"/>
        <v>0.23334973775041057</v>
      </c>
      <c r="G110" s="10">
        <f t="shared" si="121"/>
        <v>0.22568349378453717</v>
      </c>
      <c r="H110" s="10">
        <f t="shared" si="121"/>
        <v>0.23075525785485201</v>
      </c>
      <c r="I110" s="10">
        <f t="shared" si="121"/>
        <v>0.22972452422978393</v>
      </c>
      <c r="J110" s="10">
        <f t="shared" si="121"/>
        <v>0.23276367015778546</v>
      </c>
      <c r="K110" s="10">
        <f t="shared" ref="K110:P110" si="122">K91/K86</f>
        <v>0.23515693623263592</v>
      </c>
      <c r="L110" s="10">
        <f t="shared" si="122"/>
        <v>0.23796423900406072</v>
      </c>
      <c r="M110" s="10">
        <f t="shared" si="122"/>
        <v>0.24359331775967386</v>
      </c>
      <c r="N110" s="10">
        <f t="shared" si="122"/>
        <v>0.24623802731620892</v>
      </c>
      <c r="O110" s="10">
        <f t="shared" si="122"/>
        <v>0.25553825179917389</v>
      </c>
      <c r="P110" s="10">
        <f t="shared" si="122"/>
        <v>0.25264116787158458</v>
      </c>
      <c r="Q110" s="16">
        <f>Q30+0.0065</f>
        <v>0.25798999209433204</v>
      </c>
      <c r="R110" s="16">
        <f>R30+0.008</f>
        <v>0.26219999999999999</v>
      </c>
      <c r="S110" s="16">
        <f>S30+0.009</f>
        <v>0.26340000000000002</v>
      </c>
      <c r="T110" s="16">
        <f>T30+0.01</f>
        <v>0.26540000000000002</v>
      </c>
      <c r="U110" s="16">
        <f>U30+0.01</f>
        <v>0.26580000000000004</v>
      </c>
      <c r="V110" s="142">
        <f>10*T103</f>
        <v>12.079638821546883</v>
      </c>
    </row>
    <row r="111" spans="1:29">
      <c r="A111" s="46" t="s">
        <v>397</v>
      </c>
      <c r="C111" s="10">
        <f>C93/C86</f>
        <v>0.17924010872848067</v>
      </c>
      <c r="D111" s="10">
        <f t="shared" ref="D111:J111" si="123">D93/D86</f>
        <v>0.19018191440948548</v>
      </c>
      <c r="E111" s="10">
        <f t="shared" si="123"/>
        <v>0.13389950494685726</v>
      </c>
      <c r="F111" s="10">
        <f t="shared" si="123"/>
        <v>0.14919507814427571</v>
      </c>
      <c r="G111" s="10">
        <f t="shared" si="123"/>
        <v>0.16321381344781302</v>
      </c>
      <c r="H111" s="10">
        <f t="shared" si="123"/>
        <v>0.17493104346906177</v>
      </c>
      <c r="I111" s="10">
        <f t="shared" si="123"/>
        <v>0.18213914767235589</v>
      </c>
      <c r="J111" s="10">
        <f t="shared" si="123"/>
        <v>0.11509616173653441</v>
      </c>
      <c r="K111" s="10">
        <f t="shared" ref="K111:T111" si="124">K93/K86</f>
        <v>0.13391593692138434</v>
      </c>
      <c r="L111" s="10">
        <f t="shared" si="124"/>
        <v>0.13829498846783278</v>
      </c>
      <c r="M111" s="10">
        <f t="shared" si="124"/>
        <v>0.11002599337745859</v>
      </c>
      <c r="N111" s="10">
        <f t="shared" ref="N111:S111" si="125">N93/N86</f>
        <v>0.10263142159347066</v>
      </c>
      <c r="O111" s="10">
        <f t="shared" si="125"/>
        <v>9.6697100846806022E-2</v>
      </c>
      <c r="P111" s="10">
        <f t="shared" si="125"/>
        <v>7.5597882087845847E-2</v>
      </c>
      <c r="Q111" s="10">
        <f t="shared" si="125"/>
        <v>5.8969287397446897E-2</v>
      </c>
      <c r="R111" s="10">
        <f t="shared" si="125"/>
        <v>5.1599999999999972E-2</v>
      </c>
      <c r="S111" s="10">
        <f t="shared" si="125"/>
        <v>4.770000000000002E-2</v>
      </c>
      <c r="T111" s="10">
        <f t="shared" si="124"/>
        <v>4.3799999999999881E-2</v>
      </c>
      <c r="U111" s="10">
        <f t="shared" ref="U111" si="126">U93/U86</f>
        <v>4.4000000000000011E-2</v>
      </c>
      <c r="W111" s="10"/>
    </row>
    <row r="112" spans="1:29">
      <c r="A112" s="46" t="s">
        <v>422</v>
      </c>
      <c r="C112" s="10">
        <f>C98/C96</f>
        <v>0.39751118568232702</v>
      </c>
      <c r="D112" s="10">
        <f t="shared" ref="D112:J112" si="127">D98/D96</f>
        <v>0.38419092548388167</v>
      </c>
      <c r="E112" s="10">
        <f t="shared" si="127"/>
        <v>0.31707001727805878</v>
      </c>
      <c r="F112" s="10">
        <f t="shared" si="127"/>
        <v>0.31640741657209664</v>
      </c>
      <c r="G112" s="10">
        <f t="shared" si="127"/>
        <v>0.35583055995347201</v>
      </c>
      <c r="H112" s="10">
        <f t="shared" si="127"/>
        <v>0.36152970621882319</v>
      </c>
      <c r="I112" s="10">
        <f t="shared" si="127"/>
        <v>0.3457508005599127</v>
      </c>
      <c r="J112" s="10">
        <f t="shared" si="127"/>
        <v>0.35861801537923482</v>
      </c>
      <c r="K112" s="10">
        <f t="shared" ref="K112:P112" si="128">K98/K96</f>
        <v>0.36812648440245799</v>
      </c>
      <c r="L112" s="10">
        <f t="shared" si="128"/>
        <v>0.33950762670093537</v>
      </c>
      <c r="M112" s="10">
        <f t="shared" si="128"/>
        <v>0.36022814284084276</v>
      </c>
      <c r="N112" s="10">
        <f t="shared" si="128"/>
        <v>0.35865966157283219</v>
      </c>
      <c r="O112" s="10">
        <f t="shared" si="128"/>
        <v>0.3553118794533352</v>
      </c>
      <c r="P112" s="10">
        <f t="shared" si="128"/>
        <v>0.33782933156743838</v>
      </c>
      <c r="Q112" s="16">
        <f t="shared" ref="Q112:U112" si="129">Q32</f>
        <v>0.25274902544136363</v>
      </c>
      <c r="R112" s="16">
        <f t="shared" si="129"/>
        <v>0.25274902544136363</v>
      </c>
      <c r="S112" s="16">
        <f t="shared" si="129"/>
        <v>0.25274902544136363</v>
      </c>
      <c r="T112" s="16">
        <f t="shared" si="129"/>
        <v>0.25274902544136363</v>
      </c>
      <c r="U112" s="16">
        <f t="shared" si="129"/>
        <v>0.25274902544136363</v>
      </c>
    </row>
    <row r="113" spans="1:30">
      <c r="A113" s="46"/>
      <c r="K113">
        <v>7</v>
      </c>
    </row>
    <row r="114" spans="1:30">
      <c r="A114" s="6" t="s">
        <v>423</v>
      </c>
    </row>
    <row r="115" spans="1:30">
      <c r="A115" s="46" t="s">
        <v>295</v>
      </c>
      <c r="C115" s="9" t="s">
        <v>378</v>
      </c>
      <c r="D115" s="61">
        <f>((D86/C86)-1)</f>
        <v>0.31936816671700385</v>
      </c>
      <c r="E115" s="61">
        <f t="shared" ref="E115:O115" si="130">((E86/D86)-1)</f>
        <v>0.12142583098542548</v>
      </c>
      <c r="F115" s="61">
        <f t="shared" si="130"/>
        <v>0.23107950653089637</v>
      </c>
      <c r="G115" s="61">
        <f t="shared" si="130"/>
        <v>0.21681289148411786</v>
      </c>
      <c r="H115" s="61">
        <f t="shared" si="130"/>
        <v>5.6249856918443086E-2</v>
      </c>
      <c r="I115" s="61">
        <f t="shared" si="130"/>
        <v>0.17353926974453171</v>
      </c>
      <c r="J115" s="61">
        <f t="shared" si="130"/>
        <v>8.7814442799839521E-2</v>
      </c>
      <c r="K115" s="61">
        <f t="shared" si="130"/>
        <v>0.12980995641929161</v>
      </c>
      <c r="L115" s="61">
        <f t="shared" si="130"/>
        <v>0.10437470057336062</v>
      </c>
      <c r="M115" s="61">
        <f t="shared" si="130"/>
        <v>7.6685877841596417E-2</v>
      </c>
      <c r="N115" s="61">
        <f t="shared" si="130"/>
        <v>3.6646043378263382E-2</v>
      </c>
      <c r="O115" s="61">
        <f t="shared" si="130"/>
        <v>2.9218021708299347E-2</v>
      </c>
      <c r="P115" s="61">
        <f t="shared" ref="P115:U115" si="131">P116+P122</f>
        <v>1.9803744944009827E-2</v>
      </c>
      <c r="Q115" s="61">
        <f t="shared" si="131"/>
        <v>1.1064591480221281E-3</v>
      </c>
      <c r="R115" s="61">
        <f t="shared" si="131"/>
        <v>1.186927877489764E-3</v>
      </c>
      <c r="S115" s="61">
        <f t="shared" si="131"/>
        <v>4.4265674708586899E-3</v>
      </c>
      <c r="T115" s="61">
        <f t="shared" si="131"/>
        <v>2.2025476656638687E-3</v>
      </c>
      <c r="U115" s="61">
        <f t="shared" si="131"/>
        <v>3.0908665713193055E-4</v>
      </c>
      <c r="Z115" s="142"/>
    </row>
    <row r="116" spans="1:30">
      <c r="A116" s="46" t="s">
        <v>136</v>
      </c>
      <c r="C116" s="10">
        <f>C36</f>
        <v>0.22</v>
      </c>
      <c r="D116" s="10">
        <f t="shared" ref="D116:J116" si="132">D36</f>
        <v>0.109</v>
      </c>
      <c r="E116" s="10">
        <f t="shared" si="132"/>
        <v>-6.2E-2</v>
      </c>
      <c r="F116" s="10">
        <f t="shared" si="132"/>
        <v>6.1240545094416121E-2</v>
      </c>
      <c r="G116" s="10">
        <f t="shared" si="132"/>
        <v>7.8E-2</v>
      </c>
      <c r="H116" s="10">
        <f t="shared" si="132"/>
        <v>-2.6000000000000002E-2</v>
      </c>
      <c r="I116" s="10">
        <f t="shared" si="132"/>
        <v>8.6694387741127713E-2</v>
      </c>
      <c r="J116" s="10">
        <f t="shared" si="132"/>
        <v>0</v>
      </c>
      <c r="K116" s="10">
        <f t="shared" ref="K116:P116" si="133">K36</f>
        <v>7.0000000000000007E-2</v>
      </c>
      <c r="L116" s="10">
        <f t="shared" si="133"/>
        <v>6.1944861640197184E-2</v>
      </c>
      <c r="M116" s="10">
        <f t="shared" si="133"/>
        <v>1.5251115844607806E-2</v>
      </c>
      <c r="N116" s="10">
        <f t="shared" si="133"/>
        <v>1.5340975572611579E-2</v>
      </c>
      <c r="O116" s="10">
        <f t="shared" si="133"/>
        <v>0.01</v>
      </c>
      <c r="P116" s="10">
        <f t="shared" si="133"/>
        <v>0</v>
      </c>
      <c r="Q116" s="16">
        <v>-0.01</v>
      </c>
      <c r="R116" s="16">
        <v>-0.01</v>
      </c>
      <c r="S116" s="16">
        <v>-0.01</v>
      </c>
      <c r="T116" s="16">
        <v>-0.01</v>
      </c>
      <c r="U116" s="16">
        <v>-0.01</v>
      </c>
    </row>
    <row r="117" spans="1:30">
      <c r="A117" s="46" t="s">
        <v>411</v>
      </c>
      <c r="C117" s="9" t="s">
        <v>378</v>
      </c>
      <c r="D117" s="61">
        <f>((D91/C91)-1)</f>
        <v>0.26537419110849658</v>
      </c>
      <c r="E117" s="61">
        <f>((E91/D91)-1)</f>
        <v>0.19519980739455445</v>
      </c>
      <c r="F117" s="61">
        <f t="shared" ref="F117:O117" si="134">((F91/E91)-1)</f>
        <v>0.22191003431365752</v>
      </c>
      <c r="G117" s="61">
        <f t="shared" si="134"/>
        <v>0.17683691132289447</v>
      </c>
      <c r="H117" s="61">
        <f t="shared" si="134"/>
        <v>7.9986861268032561E-2</v>
      </c>
      <c r="I117" s="61">
        <f t="shared" si="134"/>
        <v>0.16829732467724146</v>
      </c>
      <c r="J117" s="61">
        <f t="shared" si="134"/>
        <v>0.10220570923227967</v>
      </c>
      <c r="K117" s="61">
        <f t="shared" si="134"/>
        <v>0.14142661394103295</v>
      </c>
      <c r="L117" s="61">
        <f t="shared" si="134"/>
        <v>0.1175587223048904</v>
      </c>
      <c r="M117" s="61">
        <f t="shared" si="134"/>
        <v>0.10215503920295266</v>
      </c>
      <c r="N117" s="61">
        <f t="shared" si="134"/>
        <v>4.790098141548671E-2</v>
      </c>
      <c r="O117" s="61">
        <f t="shared" si="134"/>
        <v>6.8090809750531278E-2</v>
      </c>
      <c r="P117" s="61">
        <f t="shared" ref="P117:U117" si="135">((P91/O91)-1)</f>
        <v>8.2420432497578577E-3</v>
      </c>
      <c r="Q117" s="61">
        <f t="shared" si="135"/>
        <v>2.2301510308336825E-2</v>
      </c>
      <c r="R117" s="61">
        <f t="shared" si="135"/>
        <v>1.7524789851121936E-2</v>
      </c>
      <c r="S117" s="61">
        <f t="shared" si="135"/>
        <v>9.0234853997872566E-3</v>
      </c>
      <c r="T117" s="61">
        <f t="shared" si="135"/>
        <v>9.8122860685923019E-3</v>
      </c>
      <c r="U117" s="61">
        <f t="shared" si="135"/>
        <v>1.8167115051459515E-3</v>
      </c>
    </row>
    <row r="118" spans="1:30">
      <c r="A118" s="46" t="s">
        <v>426</v>
      </c>
      <c r="C118" s="9" t="s">
        <v>378</v>
      </c>
      <c r="D118" s="61">
        <f>((D93/C93)-1)</f>
        <v>0.3999096828114268</v>
      </c>
      <c r="E118" s="61">
        <f t="shared" ref="E118:O118" si="136">((E93/D93)-1)</f>
        <v>-0.21044877442837839</v>
      </c>
      <c r="F118" s="61">
        <f t="shared" si="136"/>
        <v>0.37170785845391863</v>
      </c>
      <c r="G118" s="61">
        <f t="shared" si="136"/>
        <v>0.33114761386116576</v>
      </c>
      <c r="H118" s="61">
        <f t="shared" si="136"/>
        <v>0.13207874830931621</v>
      </c>
      <c r="I118" s="61">
        <f t="shared" si="136"/>
        <v>0.22189542869279943</v>
      </c>
      <c r="J118" s="61">
        <f t="shared" si="136"/>
        <v>-0.31259551475966929</v>
      </c>
      <c r="K118" s="61">
        <f t="shared" si="136"/>
        <v>0.31454912634998489</v>
      </c>
      <c r="L118" s="61">
        <f t="shared" si="136"/>
        <v>0.14048775665602342</v>
      </c>
      <c r="M118" s="61">
        <f t="shared" si="136"/>
        <v>-0.14340038943235389</v>
      </c>
      <c r="N118" s="61">
        <f t="shared" si="136"/>
        <v>-3.302434401873966E-2</v>
      </c>
      <c r="O118" s="61">
        <f t="shared" si="136"/>
        <v>-3.029308867325331E-2</v>
      </c>
      <c r="P118" s="61">
        <f t="shared" ref="P118:U118" si="137">((P93/O93)-1)</f>
        <v>-0.20271649731091834</v>
      </c>
      <c r="Q118" s="61">
        <f t="shared" si="137"/>
        <v>-0.21909803721298493</v>
      </c>
      <c r="R118" s="61">
        <f t="shared" si="137"/>
        <v>-0.12392962915954886</v>
      </c>
      <c r="S118" s="61">
        <f t="shared" si="137"/>
        <v>-7.1489394024030761E-2</v>
      </c>
      <c r="T118" s="61">
        <f t="shared" si="137"/>
        <v>-7.9738541137191921E-2</v>
      </c>
      <c r="U118" s="61">
        <f t="shared" si="137"/>
        <v>4.8767080573957067E-3</v>
      </c>
    </row>
    <row r="119" spans="1:30">
      <c r="A119" s="46" t="s">
        <v>427</v>
      </c>
      <c r="C119" s="9" t="s">
        <v>378</v>
      </c>
      <c r="D119" s="61">
        <f>((D103/C103)-1)</f>
        <v>0.42303717026082355</v>
      </c>
      <c r="E119" s="61">
        <f t="shared" ref="E119:O119" si="138">((E103/D103)-1)</f>
        <v>-0.10478350171636985</v>
      </c>
      <c r="F119" s="61">
        <f t="shared" si="138"/>
        <v>0.37084691082292021</v>
      </c>
      <c r="G119" s="61">
        <f t="shared" si="138"/>
        <v>0.23544218141600259</v>
      </c>
      <c r="H119" s="61">
        <f t="shared" si="138"/>
        <v>0.10048087546227435</v>
      </c>
      <c r="I119" s="61">
        <f t="shared" si="138"/>
        <v>0.24721189691725143</v>
      </c>
      <c r="J119" s="61">
        <f t="shared" si="138"/>
        <v>-0.25948718128155257</v>
      </c>
      <c r="K119" s="61">
        <f t="shared" si="138"/>
        <v>0.36428675791316523</v>
      </c>
      <c r="L119" s="61">
        <f t="shared" si="138"/>
        <v>0.16956086001540749</v>
      </c>
      <c r="M119" s="61">
        <f t="shared" si="138"/>
        <v>-0.10036496834030162</v>
      </c>
      <c r="N119" s="61">
        <f t="shared" si="138"/>
        <v>4.6356526191206227E-2</v>
      </c>
      <c r="O119" s="61">
        <f t="shared" si="138"/>
        <v>5.6551683278265097E-2</v>
      </c>
      <c r="P119" s="61">
        <f t="shared" ref="P119:U119" si="139">((P103/O103)-1)</f>
        <v>-0.13019449284012974</v>
      </c>
      <c r="Q119" s="61">
        <f t="shared" si="139"/>
        <v>-9.3385018524881791E-2</v>
      </c>
      <c r="R119" s="61">
        <f t="shared" si="139"/>
        <v>-9.2988673094831165E-2</v>
      </c>
      <c r="S119" s="61">
        <f t="shared" si="139"/>
        <v>-4.8434539074142302E-2</v>
      </c>
      <c r="T119" s="61">
        <f t="shared" si="139"/>
        <v>-5.7050379023447673E-2</v>
      </c>
      <c r="U119" s="61">
        <f t="shared" si="139"/>
        <v>2.8490506570680196E-2</v>
      </c>
    </row>
    <row r="120" spans="1:30">
      <c r="A120" s="46" t="s">
        <v>395</v>
      </c>
      <c r="C120" s="9" t="s">
        <v>378</v>
      </c>
      <c r="D120" s="61">
        <f>((D106/C106)-1)</f>
        <v>0.37073308771306879</v>
      </c>
      <c r="E120" s="61">
        <f t="shared" ref="E120:O120" si="140">((E106/D106)-1)</f>
        <v>-0.11065864094333189</v>
      </c>
      <c r="F120" s="61">
        <f t="shared" si="140"/>
        <v>0.34255491529435167</v>
      </c>
      <c r="G120" s="61">
        <f t="shared" si="140"/>
        <v>0.29299367376136565</v>
      </c>
      <c r="H120" s="61">
        <f t="shared" si="140"/>
        <v>0.13097036058146161</v>
      </c>
      <c r="I120" s="61">
        <f t="shared" si="140"/>
        <v>0.19468439770572221</v>
      </c>
      <c r="J120" s="61">
        <f t="shared" si="140"/>
        <v>-0.44746636962748365</v>
      </c>
      <c r="K120" s="61">
        <f t="shared" si="140"/>
        <v>0.73131618228114559</v>
      </c>
      <c r="L120" s="61">
        <f t="shared" si="140"/>
        <v>0.13506967252190338</v>
      </c>
      <c r="M120" s="61">
        <f t="shared" si="140"/>
        <v>-9.9667246592353709E-2</v>
      </c>
      <c r="N120" s="61">
        <f t="shared" si="140"/>
        <v>-1.4815454443495524E-2</v>
      </c>
      <c r="O120" s="61">
        <f t="shared" si="140"/>
        <v>-3.6475848325915439E-2</v>
      </c>
      <c r="P120" s="61">
        <f t="shared" ref="P120:U120" si="141">((P106/O106)-1)</f>
        <v>-0.15300147637589445</v>
      </c>
      <c r="Q120" s="61">
        <f t="shared" si="141"/>
        <v>-0.14461364073212091</v>
      </c>
      <c r="R120" s="61">
        <f t="shared" si="141"/>
        <v>-7.1596266255667618E-2</v>
      </c>
      <c r="S120" s="61">
        <f t="shared" si="141"/>
        <v>-3.335738376379882E-2</v>
      </c>
      <c r="T120" s="61">
        <f t="shared" si="141"/>
        <v>-3.8164174863597911E-2</v>
      </c>
      <c r="U120" s="61">
        <f t="shared" si="141"/>
        <v>2.6058151499208648E-3</v>
      </c>
    </row>
    <row r="121" spans="1:30" outlineLevel="1">
      <c r="A121" s="46" t="s">
        <v>138</v>
      </c>
      <c r="C121" s="9" t="s">
        <v>378</v>
      </c>
      <c r="D121" s="10">
        <f>D35-D36</f>
        <v>0.21036816671700387</v>
      </c>
      <c r="E121" s="10">
        <f t="shared" ref="E121:J121" si="142">E35-E36</f>
        <v>0.18342583098542548</v>
      </c>
      <c r="F121" s="10">
        <f t="shared" si="142"/>
        <v>0.16983896143648025</v>
      </c>
      <c r="G121" s="10">
        <f t="shared" si="142"/>
        <v>0.13881289148411785</v>
      </c>
      <c r="H121" s="10">
        <f t="shared" si="142"/>
        <v>8.2249856918443082E-2</v>
      </c>
      <c r="I121" s="10">
        <f t="shared" si="142"/>
        <v>8.6844882003403998E-2</v>
      </c>
      <c r="J121" s="10">
        <f t="shared" si="142"/>
        <v>8.7814442799839521E-2</v>
      </c>
      <c r="K121" s="10">
        <f t="shared" ref="K121:P121" si="143">K35-K36</f>
        <v>5.9809956419291599E-2</v>
      </c>
      <c r="L121" s="10">
        <f t="shared" si="143"/>
        <v>4.242983893316344E-2</v>
      </c>
      <c r="M121" s="10">
        <f t="shared" si="143"/>
        <v>6.1434761996988607E-2</v>
      </c>
      <c r="N121" s="10">
        <f>N35-N36</f>
        <v>2.1305067805651803E-2</v>
      </c>
      <c r="O121" s="10">
        <f>O35-O36</f>
        <v>1.9218021708299345E-2</v>
      </c>
      <c r="P121" s="10">
        <f t="shared" si="143"/>
        <v>1.9803744944009827E-2</v>
      </c>
      <c r="Q121" s="10">
        <f>Q35-Q36</f>
        <v>1.6106459148022129E-2</v>
      </c>
      <c r="R121" s="10">
        <f>R35-R36</f>
        <v>1.6186927877489765E-2</v>
      </c>
      <c r="S121" s="10">
        <f>S35-S36</f>
        <v>1.9426567470858691E-2</v>
      </c>
      <c r="T121" s="10">
        <f>T35-T36</f>
        <v>1.720254766566387E-2</v>
      </c>
      <c r="U121" s="10">
        <f>U35-U36</f>
        <v>1.5309086657131932E-2</v>
      </c>
    </row>
    <row r="122" spans="1:30" outlineLevel="1">
      <c r="A122" s="46" t="s">
        <v>156</v>
      </c>
      <c r="C122" s="9" t="s">
        <v>378</v>
      </c>
      <c r="D122" s="10">
        <f t="shared" ref="D122:J122" si="144">D121</f>
        <v>0.21036816671700387</v>
      </c>
      <c r="E122" s="10">
        <f t="shared" si="144"/>
        <v>0.18342583098542548</v>
      </c>
      <c r="F122" s="10">
        <f t="shared" si="144"/>
        <v>0.16983896143648025</v>
      </c>
      <c r="G122" s="10">
        <f t="shared" si="144"/>
        <v>0.13881289148411785</v>
      </c>
      <c r="H122" s="10">
        <f t="shared" si="144"/>
        <v>8.2249856918443082E-2</v>
      </c>
      <c r="I122" s="10">
        <f t="shared" si="144"/>
        <v>8.6844882003403998E-2</v>
      </c>
      <c r="J122" s="10">
        <f t="shared" si="144"/>
        <v>8.7814442799839521E-2</v>
      </c>
      <c r="K122" s="10">
        <f t="shared" ref="K122:P122" si="145">K121</f>
        <v>5.9809956419291599E-2</v>
      </c>
      <c r="L122" s="10">
        <f t="shared" si="145"/>
        <v>4.242983893316344E-2</v>
      </c>
      <c r="M122" s="10">
        <f t="shared" si="145"/>
        <v>6.1434761996988607E-2</v>
      </c>
      <c r="N122" s="10">
        <f t="shared" si="145"/>
        <v>2.1305067805651803E-2</v>
      </c>
      <c r="O122" s="10">
        <f t="shared" si="145"/>
        <v>1.9218021708299345E-2</v>
      </c>
      <c r="P122" s="10">
        <f t="shared" si="145"/>
        <v>1.9803744944009827E-2</v>
      </c>
      <c r="Q122" s="16">
        <f t="shared" ref="Q122:U122" si="146">Q121-0.005</f>
        <v>1.1106459148022128E-2</v>
      </c>
      <c r="R122" s="16">
        <f t="shared" si="146"/>
        <v>1.1186927877489764E-2</v>
      </c>
      <c r="S122" s="16">
        <f t="shared" si="146"/>
        <v>1.442656747085869E-2</v>
      </c>
      <c r="T122" s="16">
        <f t="shared" si="146"/>
        <v>1.2202547665663869E-2</v>
      </c>
      <c r="U122" s="16">
        <f t="shared" si="146"/>
        <v>1.0309086657131931E-2</v>
      </c>
    </row>
    <row r="123" spans="1:30">
      <c r="A123" s="106"/>
      <c r="B123" s="106"/>
      <c r="C123" s="106"/>
      <c r="D123" s="106"/>
      <c r="E123" s="106"/>
      <c r="F123" s="106"/>
      <c r="G123" s="106"/>
      <c r="H123" s="106"/>
      <c r="I123" s="106"/>
      <c r="J123" s="106"/>
      <c r="K123" s="106"/>
      <c r="L123" s="106"/>
      <c r="M123" s="106"/>
      <c r="N123" s="106"/>
      <c r="O123" s="106"/>
      <c r="P123" s="106"/>
      <c r="Q123" s="106"/>
      <c r="R123" s="106"/>
      <c r="S123" s="106"/>
      <c r="T123" s="106"/>
      <c r="U123" s="106"/>
      <c r="V123" s="4"/>
      <c r="W123" s="4"/>
      <c r="X123" s="4"/>
      <c r="Y123" s="4"/>
      <c r="Z123" s="4"/>
      <c r="AA123" s="4"/>
      <c r="AB123" s="4"/>
      <c r="AC123" s="4"/>
      <c r="AD123" s="4"/>
    </row>
    <row r="124" spans="1:30">
      <c r="A124" s="107" t="s">
        <v>73</v>
      </c>
      <c r="B124" s="4"/>
      <c r="C124" s="7" t="str">
        <f t="shared" ref="C124:R125" si="147">C83</f>
        <v>2004A</v>
      </c>
      <c r="D124" s="7" t="str">
        <f t="shared" si="147"/>
        <v>2005A</v>
      </c>
      <c r="E124" s="7" t="str">
        <f t="shared" si="147"/>
        <v>2006A</v>
      </c>
      <c r="F124" s="7" t="str">
        <f t="shared" si="147"/>
        <v>2007A</v>
      </c>
      <c r="G124" s="7" t="str">
        <f t="shared" si="147"/>
        <v>2008A</v>
      </c>
      <c r="H124" s="7" t="str">
        <f t="shared" si="147"/>
        <v>2009A</v>
      </c>
      <c r="I124" s="7" t="str">
        <f t="shared" si="147"/>
        <v>2010A</v>
      </c>
      <c r="J124" s="7" t="str">
        <f t="shared" si="147"/>
        <v>2011A</v>
      </c>
      <c r="K124" s="7" t="str">
        <f t="shared" si="147"/>
        <v>2012A</v>
      </c>
      <c r="L124" s="7">
        <f t="shared" si="147"/>
        <v>2013</v>
      </c>
      <c r="M124" s="7">
        <f>M83</f>
        <v>2014</v>
      </c>
      <c r="N124" s="7" t="str">
        <f t="shared" si="147"/>
        <v>2015E</v>
      </c>
      <c r="O124" s="7" t="str">
        <f t="shared" si="147"/>
        <v>2016E</v>
      </c>
      <c r="P124" s="7" t="str">
        <f t="shared" si="147"/>
        <v>2017E</v>
      </c>
      <c r="Q124" s="7" t="str">
        <f t="shared" si="147"/>
        <v>2018E</v>
      </c>
      <c r="R124" s="7" t="str">
        <f t="shared" si="147"/>
        <v>2019E</v>
      </c>
      <c r="S124" s="7" t="str">
        <f t="shared" ref="S124:U125" si="148">S83</f>
        <v>2020E</v>
      </c>
      <c r="T124" s="7" t="str">
        <f t="shared" si="148"/>
        <v>2021E</v>
      </c>
      <c r="U124" s="7" t="str">
        <f t="shared" si="148"/>
        <v>2022E</v>
      </c>
      <c r="V124" s="4"/>
      <c r="W124" s="4"/>
      <c r="X124" s="4"/>
      <c r="Y124" s="4"/>
      <c r="Z124" s="4"/>
      <c r="AA124" s="4"/>
      <c r="AB124" s="4"/>
      <c r="AC124" s="4"/>
      <c r="AD124" s="4"/>
    </row>
    <row r="125" spans="1:30">
      <c r="A125" s="6" t="s">
        <v>408</v>
      </c>
      <c r="B125" s="4"/>
      <c r="C125" s="12" t="str">
        <f t="shared" si="147"/>
        <v>Jan</v>
      </c>
      <c r="D125" s="12" t="str">
        <f t="shared" si="147"/>
        <v>Jan</v>
      </c>
      <c r="E125" s="12" t="str">
        <f t="shared" si="147"/>
        <v>Jan</v>
      </c>
      <c r="F125" s="12" t="str">
        <f t="shared" si="147"/>
        <v>Jan</v>
      </c>
      <c r="G125" s="12" t="str">
        <f t="shared" si="147"/>
        <v>Jan</v>
      </c>
      <c r="H125" s="12" t="str">
        <f t="shared" si="147"/>
        <v>Jan</v>
      </c>
      <c r="I125" s="12" t="str">
        <f t="shared" si="147"/>
        <v>Jan</v>
      </c>
      <c r="J125" s="12" t="str">
        <f t="shared" si="147"/>
        <v>Jan</v>
      </c>
      <c r="K125" s="12" t="str">
        <f t="shared" si="147"/>
        <v>Jan</v>
      </c>
      <c r="L125" s="12" t="str">
        <f t="shared" si="147"/>
        <v>Jan</v>
      </c>
      <c r="M125" s="12" t="str">
        <f>M84</f>
        <v>Jan</v>
      </c>
      <c r="N125" s="12" t="str">
        <f t="shared" si="147"/>
        <v>Jan</v>
      </c>
      <c r="O125" s="12" t="str">
        <f t="shared" si="147"/>
        <v>Jan</v>
      </c>
      <c r="P125" s="12" t="str">
        <f t="shared" si="147"/>
        <v>Jan</v>
      </c>
      <c r="Q125" s="12" t="str">
        <f t="shared" si="147"/>
        <v>Jan</v>
      </c>
      <c r="R125" s="12" t="str">
        <f t="shared" si="147"/>
        <v>Jan</v>
      </c>
      <c r="S125" s="12" t="str">
        <f t="shared" si="148"/>
        <v>Jan</v>
      </c>
      <c r="T125" s="12" t="str">
        <f t="shared" si="148"/>
        <v>Jan</v>
      </c>
      <c r="U125" s="12" t="str">
        <f t="shared" si="148"/>
        <v>Jan</v>
      </c>
      <c r="V125" s="4"/>
      <c r="W125" s="4"/>
      <c r="X125" s="4"/>
      <c r="Y125" s="4"/>
      <c r="Z125" s="4"/>
      <c r="AA125" s="4"/>
      <c r="AB125" s="4"/>
      <c r="AC125" s="4"/>
      <c r="AD125" s="4"/>
    </row>
    <row r="126" spans="1:30">
      <c r="A126" s="5"/>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row>
    <row r="127" spans="1:30">
      <c r="A127" s="5" t="s">
        <v>388</v>
      </c>
      <c r="B127" s="4"/>
      <c r="C127" s="58">
        <f t="shared" ref="C127:J127" si="149">C6</f>
        <v>827.75</v>
      </c>
      <c r="D127" s="58">
        <f t="shared" si="149"/>
        <v>1092.107</v>
      </c>
      <c r="E127" s="58">
        <f t="shared" si="149"/>
        <v>1224.7170000000001</v>
      </c>
      <c r="F127" s="58">
        <f t="shared" si="149"/>
        <v>1507.7239999999999</v>
      </c>
      <c r="G127" s="58">
        <f t="shared" si="149"/>
        <v>1834.6179999999999</v>
      </c>
      <c r="H127" s="58">
        <f t="shared" si="149"/>
        <v>1937.8150000000001</v>
      </c>
      <c r="I127" s="58">
        <f t="shared" si="149"/>
        <v>2274.1019999999999</v>
      </c>
      <c r="J127" s="58">
        <f t="shared" si="149"/>
        <v>2473.8010000000004</v>
      </c>
      <c r="K127" s="58">
        <f>K6</f>
        <v>2794.9250000000002</v>
      </c>
      <c r="L127" s="58">
        <f>(K127*(1+L168))</f>
        <v>3086.64446</v>
      </c>
      <c r="M127" s="58">
        <f>(L127*(1+M168))</f>
        <v>3323.3465000000001</v>
      </c>
      <c r="N127" s="58">
        <f>(M127*(1+N168))</f>
        <v>3445.134</v>
      </c>
      <c r="O127" s="58">
        <f>(N127*(1+O168))</f>
        <v>3545.7940000000003</v>
      </c>
      <c r="P127" s="58">
        <f>(O127*(1+P168))</f>
        <v>3616.0140000000006</v>
      </c>
      <c r="Q127" s="58">
        <f>(M127*(1+Q168))</f>
        <v>3474.8569035800897</v>
      </c>
      <c r="R127" s="58">
        <f>(N127*(1+R168))</f>
        <v>3500.9001355862879</v>
      </c>
      <c r="S127" s="58">
        <f>(O127*(1+S168))</f>
        <v>3614.6766063787663</v>
      </c>
      <c r="T127" s="58">
        <f>(P127*(1+T168))</f>
        <v>3678.2186531947086</v>
      </c>
      <c r="U127" s="58">
        <f>(Q127*(1+U168))</f>
        <v>3528.0537890381306</v>
      </c>
      <c r="V127" s="4"/>
      <c r="W127" s="4"/>
      <c r="X127" s="4"/>
      <c r="Y127" s="4"/>
      <c r="Z127" s="4"/>
      <c r="AA127" s="4"/>
      <c r="AB127" s="4"/>
      <c r="AC127" s="4"/>
      <c r="AD127" s="4"/>
    </row>
    <row r="128" spans="1:30">
      <c r="A128" s="5"/>
      <c r="B128" s="4"/>
      <c r="C128" s="14"/>
      <c r="D128" s="14"/>
      <c r="E128" s="14"/>
      <c r="F128" s="14"/>
      <c r="G128" s="14"/>
      <c r="H128" s="14"/>
      <c r="I128" s="14"/>
      <c r="J128" s="14"/>
      <c r="K128" s="14"/>
      <c r="L128" s="14"/>
      <c r="M128" s="14"/>
      <c r="V128" s="4"/>
      <c r="W128" s="4"/>
      <c r="X128" s="4"/>
      <c r="Y128" s="4"/>
      <c r="Z128" s="4"/>
      <c r="AA128" s="4"/>
      <c r="AB128" s="4"/>
      <c r="AC128" s="4"/>
      <c r="AD128" s="4"/>
    </row>
    <row r="129" spans="1:30">
      <c r="A129" s="5" t="s">
        <v>409</v>
      </c>
      <c r="B129" s="4"/>
      <c r="C129" s="58">
        <f t="shared" ref="C129:J129" si="150">C8</f>
        <v>489.00000000000011</v>
      </c>
      <c r="D129" s="58">
        <f t="shared" si="150"/>
        <v>643.50099999999998</v>
      </c>
      <c r="E129" s="58">
        <f t="shared" si="150"/>
        <v>772.79599999999994</v>
      </c>
      <c r="F129" s="58">
        <f t="shared" si="150"/>
        <v>930.952</v>
      </c>
      <c r="G129" s="58">
        <f t="shared" si="150"/>
        <v>1121.1400000000001</v>
      </c>
      <c r="H129" s="58">
        <f t="shared" si="150"/>
        <v>1151.67</v>
      </c>
      <c r="I129" s="58">
        <f t="shared" si="150"/>
        <v>1337.482</v>
      </c>
      <c r="J129" s="58">
        <f t="shared" si="150"/>
        <v>1613.2649999999999</v>
      </c>
      <c r="K129" s="58">
        <f>K8</f>
        <v>1763.394</v>
      </c>
      <c r="L129" s="58">
        <f t="shared" ref="L129:T129" si="151">L127-L131</f>
        <v>1925.2660000000001</v>
      </c>
      <c r="M129" s="58">
        <f>M127-M131</f>
        <v>2148.1469999999999</v>
      </c>
      <c r="N129" s="58">
        <f t="shared" si="151"/>
        <v>2243.232</v>
      </c>
      <c r="O129" s="58">
        <f t="shared" si="151"/>
        <v>2296.84</v>
      </c>
      <c r="P129" s="58">
        <f t="shared" si="151"/>
        <v>2429.0970000000007</v>
      </c>
      <c r="Q129" s="58">
        <f>Q127-Q131</f>
        <v>2321.3459095306089</v>
      </c>
      <c r="R129" s="58">
        <f>R127-R131</f>
        <v>2332.2996703275849</v>
      </c>
      <c r="S129" s="58">
        <f>S127-S131</f>
        <v>2407.0131521876201</v>
      </c>
      <c r="T129" s="58">
        <f t="shared" si="151"/>
        <v>2445.2797606438426</v>
      </c>
      <c r="U129" s="58">
        <f t="shared" ref="U129" si="152">U127-U131</f>
        <v>2343.333326679126</v>
      </c>
      <c r="V129" s="4"/>
      <c r="W129" s="4"/>
      <c r="X129" s="4"/>
      <c r="Y129" s="4"/>
      <c r="Z129" s="4"/>
      <c r="AA129" s="4"/>
      <c r="AB129" s="4"/>
      <c r="AC129" s="4"/>
      <c r="AD129" s="4"/>
    </row>
    <row r="130" spans="1:30">
      <c r="A130" s="5"/>
      <c r="B130" s="4"/>
      <c r="C130" s="14"/>
      <c r="D130" s="14"/>
      <c r="E130" s="14"/>
      <c r="F130" s="14"/>
      <c r="G130" s="14"/>
      <c r="H130" s="14"/>
      <c r="I130" s="14"/>
      <c r="J130" s="14"/>
      <c r="K130" s="14"/>
      <c r="L130" s="14"/>
      <c r="M130" s="14"/>
      <c r="V130" s="4"/>
      <c r="W130" s="4"/>
      <c r="X130" s="4"/>
      <c r="Y130" s="4"/>
      <c r="Z130" s="4"/>
      <c r="AA130" s="4"/>
      <c r="AB130" s="4"/>
      <c r="AC130" s="4"/>
      <c r="AD130" s="4"/>
    </row>
    <row r="131" spans="1:30">
      <c r="A131" s="5" t="s">
        <v>410</v>
      </c>
      <c r="B131" s="4"/>
      <c r="C131" s="58">
        <f t="shared" ref="C131:J131" si="153">C127-C129</f>
        <v>338.74999999999989</v>
      </c>
      <c r="D131" s="58">
        <f t="shared" si="153"/>
        <v>448.60599999999999</v>
      </c>
      <c r="E131" s="58">
        <f t="shared" si="153"/>
        <v>451.92100000000016</v>
      </c>
      <c r="F131" s="58">
        <f t="shared" si="153"/>
        <v>576.77199999999993</v>
      </c>
      <c r="G131" s="58">
        <f t="shared" si="153"/>
        <v>713.47799999999984</v>
      </c>
      <c r="H131" s="58">
        <f t="shared" si="153"/>
        <v>786.14499999999998</v>
      </c>
      <c r="I131" s="58">
        <f t="shared" si="153"/>
        <v>936.61999999999989</v>
      </c>
      <c r="J131" s="58">
        <f t="shared" si="153"/>
        <v>860.53600000000051</v>
      </c>
      <c r="K131" s="58">
        <f>K127-K129</f>
        <v>1031.5310000000002</v>
      </c>
      <c r="L131" s="58">
        <f t="shared" ref="L131:T131" si="154">L127*L153</f>
        <v>1161.3784599999999</v>
      </c>
      <c r="M131" s="58">
        <f>M127*M153</f>
        <v>1175.1995000000002</v>
      </c>
      <c r="N131" s="58">
        <f t="shared" si="154"/>
        <v>1201.902</v>
      </c>
      <c r="O131" s="58">
        <f t="shared" si="154"/>
        <v>1248.954</v>
      </c>
      <c r="P131" s="58">
        <f t="shared" si="154"/>
        <v>1186.9170000000001</v>
      </c>
      <c r="Q131" s="58">
        <f>Q127*Q153</f>
        <v>1153.5109940494806</v>
      </c>
      <c r="R131" s="58">
        <f>R127*R153</f>
        <v>1168.6004652587028</v>
      </c>
      <c r="S131" s="58">
        <f>S127*S153</f>
        <v>1207.663454191146</v>
      </c>
      <c r="T131" s="58">
        <f t="shared" si="154"/>
        <v>1232.9388925508661</v>
      </c>
      <c r="U131" s="58">
        <f t="shared" ref="U131" si="155">U127*U153</f>
        <v>1184.7204623590044</v>
      </c>
      <c r="V131" s="4"/>
      <c r="W131" s="4"/>
      <c r="X131" s="4"/>
      <c r="Y131" s="4"/>
      <c r="Z131" s="4"/>
      <c r="AA131" s="4"/>
      <c r="AB131" s="4"/>
      <c r="AC131" s="4"/>
      <c r="AD131" s="4"/>
    </row>
    <row r="132" spans="1:30">
      <c r="A132" s="5" t="s">
        <v>411</v>
      </c>
      <c r="B132" s="4"/>
      <c r="C132" s="14">
        <f t="shared" ref="C132:R133" si="156">C11</f>
        <v>190.38400000000001</v>
      </c>
      <c r="D132" s="14">
        <f t="shared" si="156"/>
        <v>240.90700000000004</v>
      </c>
      <c r="E132" s="14">
        <f t="shared" si="156"/>
        <v>287.93199999999996</v>
      </c>
      <c r="F132" s="14">
        <f t="shared" si="156"/>
        <v>351.827</v>
      </c>
      <c r="G132" s="14">
        <f t="shared" si="156"/>
        <v>414.04300000000001</v>
      </c>
      <c r="H132" s="14">
        <f t="shared" si="156"/>
        <v>447.16100000000006</v>
      </c>
      <c r="I132" s="14">
        <f t="shared" si="156"/>
        <v>522.41700000000003</v>
      </c>
      <c r="J132" s="14">
        <f t="shared" si="156"/>
        <v>575.81099999999992</v>
      </c>
      <c r="K132" s="14">
        <f>K11</f>
        <v>657.24599999999998</v>
      </c>
      <c r="L132" s="14">
        <f t="shared" ref="L132:T132" si="157">L127*L157</f>
        <v>734.51099999999997</v>
      </c>
      <c r="M132" s="14">
        <f>M127*M157</f>
        <v>809.54499999999996</v>
      </c>
      <c r="N132" s="14">
        <f t="shared" si="157"/>
        <v>848.32300000000009</v>
      </c>
      <c r="O132" s="14">
        <f t="shared" si="157"/>
        <v>906.08600000000001</v>
      </c>
      <c r="P132" s="14">
        <f t="shared" si="157"/>
        <v>913.5540000000002</v>
      </c>
      <c r="Q132" s="14">
        <f>Q127*Q157</f>
        <v>873.89173521029181</v>
      </c>
      <c r="R132" s="14">
        <f>R127*R157</f>
        <v>889.92881446603428</v>
      </c>
      <c r="S132" s="14">
        <f>S127*S157</f>
        <v>919.57372866275819</v>
      </c>
      <c r="T132" s="14">
        <f t="shared" si="157"/>
        <v>939.41704402592859</v>
      </c>
      <c r="U132" s="14">
        <f t="shared" ref="U132" si="158">U127*U157</f>
        <v>902.4761592359539</v>
      </c>
      <c r="V132" s="4"/>
      <c r="W132" s="4"/>
      <c r="X132" s="4"/>
      <c r="Y132" s="4"/>
      <c r="Z132" s="4"/>
      <c r="AA132" s="4"/>
      <c r="AB132" s="4"/>
      <c r="AC132" s="4"/>
      <c r="AD132" s="4"/>
    </row>
    <row r="133" spans="1:30">
      <c r="A133" s="5" t="s">
        <v>131</v>
      </c>
      <c r="B133" s="4"/>
      <c r="C133" s="14">
        <f>C12</f>
        <v>31.858000000000001</v>
      </c>
      <c r="D133" s="14">
        <f>D12</f>
        <v>39.340000000000003</v>
      </c>
      <c r="E133" s="14">
        <f>E12</f>
        <v>55.713000000000001</v>
      </c>
      <c r="F133" s="14">
        <f>F12</f>
        <v>70.016999999999996</v>
      </c>
      <c r="G133" s="14">
        <f>G12</f>
        <v>81.948999999999998</v>
      </c>
      <c r="H133" s="14">
        <f t="shared" si="156"/>
        <v>92.35</v>
      </c>
      <c r="I133" s="14">
        <f t="shared" si="156"/>
        <v>101.105</v>
      </c>
      <c r="J133" s="14">
        <f t="shared" si="156"/>
        <v>0</v>
      </c>
      <c r="K133" s="14">
        <f>K12</f>
        <v>118.664</v>
      </c>
      <c r="L133" s="14">
        <f t="shared" si="156"/>
        <v>132.66399999999999</v>
      </c>
      <c r="M133" s="14">
        <f>M12</f>
        <v>138.11000000000001</v>
      </c>
      <c r="N133" s="14">
        <f t="shared" si="156"/>
        <v>142.72200000000001</v>
      </c>
      <c r="O133" s="14">
        <f t="shared" si="156"/>
        <v>135.33000000000001</v>
      </c>
      <c r="P133" s="14">
        <f t="shared" si="156"/>
        <v>131.66999999999999</v>
      </c>
      <c r="Q133" s="14">
        <f t="shared" si="156"/>
        <v>132.99</v>
      </c>
      <c r="R133" s="14">
        <f t="shared" si="156"/>
        <v>134.64000000000001</v>
      </c>
      <c r="S133" s="14">
        <f>S12</f>
        <v>137.28</v>
      </c>
      <c r="T133" s="14">
        <f>T12</f>
        <v>139.26</v>
      </c>
      <c r="U133" s="14">
        <f>U12</f>
        <v>139.26</v>
      </c>
      <c r="V133" s="4"/>
      <c r="W133" s="4"/>
      <c r="X133" s="4"/>
      <c r="Y133" s="4"/>
      <c r="Z133" s="4"/>
      <c r="AA133" s="4"/>
      <c r="AB133" s="4"/>
      <c r="AC133" s="4"/>
      <c r="AD133" s="4"/>
    </row>
    <row r="134" spans="1:30">
      <c r="A134" s="108" t="s">
        <v>426</v>
      </c>
      <c r="B134" s="4"/>
      <c r="C134" s="58">
        <f>C131-C132</f>
        <v>148.36599999999987</v>
      </c>
      <c r="D134" s="58">
        <f t="shared" ref="D134:S134" si="159">D131-D132</f>
        <v>207.69899999999996</v>
      </c>
      <c r="E134" s="58">
        <f t="shared" si="159"/>
        <v>163.9890000000002</v>
      </c>
      <c r="F134" s="58">
        <f t="shared" si="159"/>
        <v>224.94499999999994</v>
      </c>
      <c r="G134" s="58">
        <f t="shared" si="159"/>
        <v>299.43499999999983</v>
      </c>
      <c r="H134" s="58">
        <f t="shared" si="159"/>
        <v>338.98399999999992</v>
      </c>
      <c r="I134" s="58">
        <f t="shared" si="159"/>
        <v>414.20299999999986</v>
      </c>
      <c r="J134" s="58">
        <f t="shared" si="159"/>
        <v>284.72500000000059</v>
      </c>
      <c r="K134" s="58">
        <f>K131-K132</f>
        <v>374.2850000000002</v>
      </c>
      <c r="L134" s="58">
        <f t="shared" si="159"/>
        <v>426.86745999999994</v>
      </c>
      <c r="M134" s="58">
        <f>M131-M132</f>
        <v>365.65450000000021</v>
      </c>
      <c r="N134" s="58">
        <f t="shared" si="159"/>
        <v>353.57899999999995</v>
      </c>
      <c r="O134" s="58">
        <f t="shared" si="159"/>
        <v>342.86799999999994</v>
      </c>
      <c r="P134" s="58">
        <f t="shared" si="159"/>
        <v>273.36299999999994</v>
      </c>
      <c r="Q134" s="58">
        <f t="shared" si="159"/>
        <v>279.61925883918877</v>
      </c>
      <c r="R134" s="58">
        <f t="shared" si="159"/>
        <v>278.67165079266852</v>
      </c>
      <c r="S134" s="58">
        <f t="shared" si="159"/>
        <v>288.08972552838782</v>
      </c>
      <c r="T134" s="58">
        <f>T131-T132</f>
        <v>293.52184852493747</v>
      </c>
      <c r="U134" s="58">
        <f>U131-U132</f>
        <v>282.24430312305049</v>
      </c>
      <c r="V134" s="4"/>
      <c r="W134" s="4"/>
      <c r="X134" s="4"/>
      <c r="Y134" s="4"/>
      <c r="Z134" s="4"/>
      <c r="AA134" s="4"/>
      <c r="AB134" s="4"/>
      <c r="AC134" s="4"/>
      <c r="AD134" s="4"/>
    </row>
    <row r="135" spans="1:30">
      <c r="A135" s="5"/>
      <c r="B135" s="4"/>
      <c r="C135" s="14"/>
      <c r="D135" s="14"/>
      <c r="E135" s="14"/>
      <c r="F135" s="14"/>
      <c r="G135" s="14"/>
      <c r="H135" s="14"/>
      <c r="I135" s="14"/>
      <c r="J135" s="14"/>
      <c r="K135" s="14"/>
      <c r="L135" s="14"/>
      <c r="M135" s="14"/>
      <c r="V135" s="4"/>
      <c r="W135" s="4"/>
      <c r="X135" s="4"/>
      <c r="Y135" s="4"/>
      <c r="Z135" s="4"/>
      <c r="AA135" s="4"/>
      <c r="AB135" s="4"/>
      <c r="AC135" s="4"/>
      <c r="AD135" s="4"/>
    </row>
    <row r="136" spans="1:30">
      <c r="A136" s="5" t="s">
        <v>132</v>
      </c>
      <c r="B136" s="4"/>
      <c r="C136" s="14">
        <f>C15</f>
        <v>1.8259999999999998</v>
      </c>
      <c r="D136" s="14">
        <f>D15</f>
        <v>4.6979999999999995</v>
      </c>
      <c r="E136" s="14">
        <f>E15</f>
        <v>6.1690000000000005</v>
      </c>
      <c r="F136" s="14">
        <f>F15</f>
        <v>9.4489999999999998</v>
      </c>
      <c r="G136" s="14">
        <f>G15</f>
        <v>10.055</v>
      </c>
      <c r="H136" s="14">
        <f t="shared" ref="H136:S136" si="160">H15</f>
        <v>5.4220000000000006</v>
      </c>
      <c r="I136" s="14">
        <f t="shared" si="160"/>
        <v>3.0049999999999999</v>
      </c>
      <c r="J136" s="14">
        <f t="shared" si="160"/>
        <v>4.1059999999999999</v>
      </c>
      <c r="K136" s="14">
        <f>K15</f>
        <v>1.2869999999999999</v>
      </c>
      <c r="L136" s="14">
        <f t="shared" si="160"/>
        <v>0.68700000000000006</v>
      </c>
      <c r="M136" s="14">
        <f>M15</f>
        <v>-1.9350000000000001</v>
      </c>
      <c r="N136" s="14">
        <f t="shared" si="160"/>
        <v>-3.548</v>
      </c>
      <c r="O136" s="14">
        <f t="shared" si="160"/>
        <v>-0.42800000000000005</v>
      </c>
      <c r="P136" s="14">
        <f t="shared" si="160"/>
        <v>1.474</v>
      </c>
      <c r="Q136" s="14">
        <f t="shared" si="160"/>
        <v>0.373</v>
      </c>
      <c r="R136" s="14">
        <f t="shared" si="160"/>
        <v>0.37903772409830372</v>
      </c>
      <c r="S136" s="14">
        <f t="shared" si="160"/>
        <v>0.38640112601950016</v>
      </c>
      <c r="T136" s="14">
        <f>T15</f>
        <v>0.39304820980791683</v>
      </c>
      <c r="U136" s="14">
        <f>U15</f>
        <v>0.39906541891229674</v>
      </c>
      <c r="V136" s="4"/>
      <c r="W136" s="4"/>
      <c r="X136" s="4"/>
      <c r="Y136" s="4"/>
      <c r="Z136" s="4"/>
      <c r="AA136" s="4"/>
      <c r="AB136" s="4"/>
      <c r="AC136" s="4"/>
      <c r="AD136" s="4"/>
    </row>
    <row r="137" spans="1:30">
      <c r="A137" s="108" t="s">
        <v>133</v>
      </c>
      <c r="B137" s="4"/>
      <c r="C137" s="58">
        <f>C134+C136</f>
        <v>150.19199999999987</v>
      </c>
      <c r="D137" s="58">
        <f t="shared" ref="D137:T137" si="161">D134+D136</f>
        <v>212.39699999999996</v>
      </c>
      <c r="E137" s="58">
        <f t="shared" si="161"/>
        <v>170.15800000000021</v>
      </c>
      <c r="F137" s="58">
        <f t="shared" si="161"/>
        <v>234.39399999999995</v>
      </c>
      <c r="G137" s="58">
        <f t="shared" si="161"/>
        <v>309.48999999999984</v>
      </c>
      <c r="H137" s="58">
        <f t="shared" si="161"/>
        <v>344.40599999999995</v>
      </c>
      <c r="I137" s="58">
        <f t="shared" si="161"/>
        <v>417.20799999999986</v>
      </c>
      <c r="J137" s="58">
        <f t="shared" si="161"/>
        <v>288.83100000000059</v>
      </c>
      <c r="K137" s="58">
        <f t="shared" si="161"/>
        <v>375.57200000000017</v>
      </c>
      <c r="L137" s="58">
        <f t="shared" si="161"/>
        <v>427.55445999999995</v>
      </c>
      <c r="M137" s="58">
        <f>M134+M136</f>
        <v>363.71950000000021</v>
      </c>
      <c r="N137" s="58">
        <f t="shared" si="161"/>
        <v>350.03099999999995</v>
      </c>
      <c r="O137" s="58">
        <f t="shared" si="161"/>
        <v>342.43999999999994</v>
      </c>
      <c r="P137" s="58">
        <f t="shared" si="161"/>
        <v>274.83699999999993</v>
      </c>
      <c r="Q137" s="58">
        <f>Q134+Q136</f>
        <v>279.99225883918876</v>
      </c>
      <c r="R137" s="58">
        <f>R134+R136</f>
        <v>279.0506885167668</v>
      </c>
      <c r="S137" s="58">
        <f>S134+S136</f>
        <v>288.47612665440732</v>
      </c>
      <c r="T137" s="58">
        <f t="shared" si="161"/>
        <v>293.91489673474541</v>
      </c>
      <c r="U137" s="58">
        <f t="shared" ref="U137" si="162">U134+U136</f>
        <v>282.64336854196279</v>
      </c>
      <c r="V137" s="4"/>
      <c r="W137" s="4"/>
      <c r="X137" s="4"/>
      <c r="Y137" s="4"/>
      <c r="Z137" s="4"/>
      <c r="AA137" s="4"/>
      <c r="AB137" s="4"/>
      <c r="AC137" s="4"/>
      <c r="AD137" s="4"/>
    </row>
    <row r="138" spans="1:30">
      <c r="A138" s="5"/>
      <c r="B138" s="4"/>
      <c r="C138" s="14"/>
      <c r="D138" s="14"/>
      <c r="E138" s="14"/>
      <c r="F138" s="14"/>
      <c r="G138" s="14"/>
      <c r="H138" s="14"/>
      <c r="I138" s="14"/>
      <c r="J138" s="14"/>
      <c r="K138" s="14"/>
      <c r="L138" s="14"/>
      <c r="M138" s="14"/>
      <c r="V138" s="4"/>
      <c r="W138" s="4"/>
      <c r="X138" s="4"/>
      <c r="Y138" s="4"/>
      <c r="Z138" s="4"/>
      <c r="AA138" s="4"/>
      <c r="AB138" s="4"/>
      <c r="AC138" s="4"/>
      <c r="AD138" s="4"/>
    </row>
    <row r="139" spans="1:30">
      <c r="A139" s="5" t="s">
        <v>414</v>
      </c>
      <c r="B139" s="4"/>
      <c r="C139" s="14">
        <f t="shared" ref="C139:J139" si="163">C18</f>
        <v>59.703000000000003</v>
      </c>
      <c r="D139" s="14">
        <f t="shared" si="163"/>
        <v>81.600999999999999</v>
      </c>
      <c r="E139" s="14">
        <f t="shared" si="163"/>
        <v>53.951999999999998</v>
      </c>
      <c r="F139" s="14">
        <f t="shared" si="163"/>
        <v>74.164000000000001</v>
      </c>
      <c r="G139" s="14">
        <f>G18</f>
        <v>110.126</v>
      </c>
      <c r="H139" s="14">
        <f t="shared" si="163"/>
        <v>124.51299999999999</v>
      </c>
      <c r="I139" s="14">
        <f t="shared" si="163"/>
        <v>144.25</v>
      </c>
      <c r="J139" s="14">
        <f t="shared" si="163"/>
        <v>103.57999999999998</v>
      </c>
      <c r="K139" s="14">
        <f>K18</f>
        <v>138.25800000000001</v>
      </c>
      <c r="L139" s="14">
        <f t="shared" ref="L139:T139" si="164">L137*L162</f>
        <v>145.15799999999999</v>
      </c>
      <c r="M139" s="14">
        <f>M137*M162</f>
        <v>131.02199999999999</v>
      </c>
      <c r="N139" s="14">
        <f t="shared" si="164"/>
        <v>125.542</v>
      </c>
      <c r="O139" s="14">
        <f t="shared" si="164"/>
        <v>121.67300000000009</v>
      </c>
      <c r="P139" s="14">
        <f t="shared" si="164"/>
        <v>92.848000000000042</v>
      </c>
      <c r="Q139" s="14">
        <f>Q137*Q162</f>
        <v>70.767770552730994</v>
      </c>
      <c r="R139" s="14">
        <f>R137*R162</f>
        <v>70.529789571354328</v>
      </c>
      <c r="S139" s="14">
        <f>S137*S162</f>
        <v>72.912059875000836</v>
      </c>
      <c r="T139" s="14">
        <f t="shared" si="164"/>
        <v>74.286703712405938</v>
      </c>
      <c r="U139" s="14">
        <f t="shared" ref="U139" si="165">U137*U162</f>
        <v>71.437835946445261</v>
      </c>
      <c r="V139" s="4"/>
      <c r="W139" s="4"/>
      <c r="X139" s="4"/>
      <c r="Y139" s="4"/>
      <c r="Z139" s="4"/>
      <c r="AA139" s="4"/>
      <c r="AB139" s="4"/>
      <c r="AC139" s="4"/>
      <c r="AD139" s="4"/>
    </row>
    <row r="140" spans="1:30">
      <c r="A140" s="5"/>
      <c r="B140" s="4"/>
      <c r="C140" s="14"/>
      <c r="D140" s="14"/>
      <c r="E140" s="14"/>
      <c r="F140" s="14"/>
      <c r="G140" s="14"/>
      <c r="H140" s="14"/>
      <c r="I140" s="14"/>
      <c r="J140" s="14"/>
      <c r="K140" s="14"/>
      <c r="L140" s="14"/>
      <c r="M140" s="14"/>
      <c r="V140" s="4"/>
      <c r="W140" s="4"/>
      <c r="X140" s="4"/>
      <c r="Y140" s="4"/>
      <c r="Z140" s="4"/>
      <c r="AA140" s="4"/>
      <c r="AB140" s="4"/>
      <c r="AC140" s="4"/>
      <c r="AD140" s="4"/>
    </row>
    <row r="141" spans="1:30">
      <c r="A141" s="5"/>
      <c r="B141" s="4"/>
      <c r="C141" s="14"/>
      <c r="D141" s="14"/>
      <c r="E141" s="14"/>
      <c r="F141" s="14"/>
      <c r="G141" s="14"/>
      <c r="H141" s="14"/>
      <c r="I141" s="14"/>
      <c r="J141" s="14"/>
      <c r="K141" s="14"/>
      <c r="L141" s="14"/>
      <c r="M141" s="14"/>
      <c r="V141" s="4"/>
      <c r="W141" s="4"/>
      <c r="X141" s="4"/>
      <c r="Y141" s="4"/>
      <c r="Z141" s="4"/>
      <c r="AA141" s="4"/>
      <c r="AB141" s="4"/>
      <c r="AC141" s="4"/>
      <c r="AD141" s="4"/>
    </row>
    <row r="142" spans="1:30">
      <c r="A142" s="5" t="s">
        <v>134</v>
      </c>
      <c r="B142" s="4"/>
      <c r="C142" s="58">
        <f t="shared" ref="C142:S142" si="166">C137-C139</f>
        <v>90.488999999999862</v>
      </c>
      <c r="D142" s="58">
        <f t="shared" si="166"/>
        <v>130.79599999999996</v>
      </c>
      <c r="E142" s="58">
        <f t="shared" si="166"/>
        <v>116.20600000000022</v>
      </c>
      <c r="F142" s="58">
        <f t="shared" si="166"/>
        <v>160.22999999999996</v>
      </c>
      <c r="G142" s="58">
        <f t="shared" si="166"/>
        <v>199.36399999999983</v>
      </c>
      <c r="H142" s="58">
        <f t="shared" si="166"/>
        <v>219.89299999999997</v>
      </c>
      <c r="I142" s="58">
        <f t="shared" si="166"/>
        <v>272.95799999999986</v>
      </c>
      <c r="J142" s="58">
        <f t="shared" si="166"/>
        <v>185.2510000000006</v>
      </c>
      <c r="K142" s="58">
        <f>K137-K139</f>
        <v>237.31400000000016</v>
      </c>
      <c r="L142" s="58">
        <f t="shared" si="166"/>
        <v>282.39645999999993</v>
      </c>
      <c r="M142" s="58">
        <f>M137-M139</f>
        <v>232.69750000000022</v>
      </c>
      <c r="N142" s="58">
        <f t="shared" si="166"/>
        <v>224.48899999999995</v>
      </c>
      <c r="O142" s="58">
        <f t="shared" si="166"/>
        <v>220.76699999999985</v>
      </c>
      <c r="P142" s="58">
        <f t="shared" si="166"/>
        <v>181.98899999999989</v>
      </c>
      <c r="Q142" s="58">
        <f t="shared" si="166"/>
        <v>209.22448828645776</v>
      </c>
      <c r="R142" s="58">
        <f t="shared" si="166"/>
        <v>208.52089894541245</v>
      </c>
      <c r="S142" s="58">
        <f t="shared" si="166"/>
        <v>215.56406677940649</v>
      </c>
      <c r="T142" s="58">
        <f>T137-T139</f>
        <v>219.62819302233947</v>
      </c>
      <c r="U142" s="58">
        <f>U137-U139</f>
        <v>211.20553259551752</v>
      </c>
      <c r="V142" s="4"/>
      <c r="W142" s="4"/>
      <c r="X142" s="4"/>
      <c r="Y142" s="4"/>
      <c r="Z142" s="4"/>
      <c r="AA142" s="4"/>
      <c r="AB142" s="4"/>
      <c r="AC142" s="4"/>
      <c r="AD142" s="4"/>
    </row>
    <row r="143" spans="1:30">
      <c r="A143" s="5"/>
      <c r="B143" s="4"/>
      <c r="V143" s="4"/>
      <c r="W143" s="4"/>
      <c r="X143" s="4"/>
      <c r="Y143" s="4"/>
      <c r="Z143" s="4"/>
      <c r="AA143" s="4"/>
      <c r="AB143" s="4"/>
      <c r="AC143" s="4"/>
      <c r="AD143" s="4"/>
    </row>
    <row r="144" spans="1:30">
      <c r="A144" s="109" t="s">
        <v>135</v>
      </c>
      <c r="B144" s="4"/>
      <c r="C144" s="53">
        <f t="shared" ref="C144:S144" si="167">C142/C145</f>
        <v>0.54086978668520869</v>
      </c>
      <c r="D144" s="53">
        <f t="shared" si="167"/>
        <v>0.76967781072409458</v>
      </c>
      <c r="E144" s="53">
        <f t="shared" si="167"/>
        <v>0.68902827452303461</v>
      </c>
      <c r="F144" s="53">
        <f t="shared" si="167"/>
        <v>0.94455228159954896</v>
      </c>
      <c r="G144" s="53">
        <f t="shared" si="167"/>
        <v>1.1669397312408092</v>
      </c>
      <c r="H144" s="53">
        <f t="shared" si="167"/>
        <v>1.2841948570475967</v>
      </c>
      <c r="I144" s="53">
        <f t="shared" si="167"/>
        <v>1.6016631036697118</v>
      </c>
      <c r="J144" s="53">
        <f t="shared" si="167"/>
        <v>1.1860520595357951</v>
      </c>
      <c r="K144" s="53">
        <f t="shared" si="167"/>
        <v>1.6181151190203222</v>
      </c>
      <c r="L144" s="53">
        <f t="shared" si="167"/>
        <v>1.8924841102053414</v>
      </c>
      <c r="M144" s="53">
        <f>M142/M145</f>
        <v>1.7025450024000583</v>
      </c>
      <c r="N144" s="53">
        <f t="shared" si="167"/>
        <v>1.7814690743955239</v>
      </c>
      <c r="O144" s="53">
        <f t="shared" si="167"/>
        <v>1.8822141492607651</v>
      </c>
      <c r="P144" s="53">
        <f t="shared" si="167"/>
        <v>1.6371602326812433</v>
      </c>
      <c r="Q144" s="53">
        <f t="shared" si="167"/>
        <v>1.9434155199147281</v>
      </c>
      <c r="R144" s="53">
        <f t="shared" si="167"/>
        <v>2.004727365035595</v>
      </c>
      <c r="S144" s="53">
        <f t="shared" si="167"/>
        <v>2.1234786303372672</v>
      </c>
      <c r="T144" s="53">
        <f>T142/T145</f>
        <v>2.2163345011714961</v>
      </c>
      <c r="U144" s="53">
        <f>U142/U145</f>
        <v>2.1813680810237468</v>
      </c>
      <c r="V144" s="4"/>
      <c r="W144" s="4"/>
      <c r="X144" s="4"/>
      <c r="Y144" s="4"/>
      <c r="Z144" s="4"/>
      <c r="AA144" s="4"/>
      <c r="AB144" s="4"/>
      <c r="AC144" s="4"/>
      <c r="AD144" s="4"/>
    </row>
    <row r="145" spans="1:30">
      <c r="A145" s="5" t="s">
        <v>568</v>
      </c>
      <c r="B145" s="4"/>
      <c r="C145" s="14">
        <f t="shared" ref="C145:J145" si="168">C24</f>
        <v>167.30274499999999</v>
      </c>
      <c r="D145" s="14">
        <f t="shared" si="168"/>
        <v>169.93604099999999</v>
      </c>
      <c r="E145" s="14">
        <f t="shared" si="168"/>
        <v>168.652005</v>
      </c>
      <c r="F145" s="14">
        <f t="shared" si="168"/>
        <v>169.63592499999999</v>
      </c>
      <c r="G145" s="14">
        <f>G24</f>
        <v>170.84344175000001</v>
      </c>
      <c r="H145" s="14">
        <f t="shared" si="168"/>
        <v>171.230245</v>
      </c>
      <c r="I145" s="14">
        <f t="shared" si="168"/>
        <v>170.42160699999999</v>
      </c>
      <c r="J145" s="14">
        <f t="shared" si="168"/>
        <v>156.19128900000001</v>
      </c>
      <c r="K145" s="14">
        <f>K24</f>
        <v>146.66076425</v>
      </c>
      <c r="L145" s="17">
        <f t="shared" ref="L145:T145" si="169">INDEX(L146:L148,MATCH($AB$150,$AD$150:$AD$152,0))</f>
        <v>149.21999</v>
      </c>
      <c r="M145" s="17">
        <f t="shared" si="169"/>
        <v>136.67626974439395</v>
      </c>
      <c r="N145" s="17">
        <f t="shared" si="169"/>
        <v>126.013414</v>
      </c>
      <c r="O145" s="17">
        <f t="shared" si="169"/>
        <v>117.291117</v>
      </c>
      <c r="P145" s="17">
        <f t="shared" si="169"/>
        <v>111.16138565248997</v>
      </c>
      <c r="Q145" s="17">
        <f t="shared" si="169"/>
        <v>107.65813391036312</v>
      </c>
      <c r="R145" s="17">
        <f t="shared" si="169"/>
        <v>104.01459199999999</v>
      </c>
      <c r="S145" s="17">
        <f t="shared" si="169"/>
        <v>101.51459199999999</v>
      </c>
      <c r="T145" s="17">
        <f t="shared" si="169"/>
        <v>99.095237161290314</v>
      </c>
      <c r="U145" s="17">
        <f t="shared" ref="U145" si="170">INDEX(U146:U148,MATCH($AB$150,$AD$150:$AD$152,0))</f>
        <v>96.822509888563047</v>
      </c>
      <c r="V145" s="4"/>
      <c r="W145" s="4"/>
      <c r="X145" s="4"/>
      <c r="Y145" s="4"/>
      <c r="Z145" s="4"/>
      <c r="AA145" s="4"/>
      <c r="AB145" s="4"/>
      <c r="AC145" s="4"/>
      <c r="AD145" s="4"/>
    </row>
    <row r="146" spans="1:30" hidden="1" outlineLevel="1">
      <c r="A146" s="108" t="s">
        <v>157</v>
      </c>
      <c r="B146" s="4"/>
      <c r="C146" s="14"/>
      <c r="D146" s="14"/>
      <c r="E146" s="14"/>
      <c r="F146" s="14"/>
      <c r="G146" s="14"/>
      <c r="H146" s="14"/>
      <c r="I146" s="14"/>
      <c r="J146" s="14"/>
      <c r="K146" s="14"/>
      <c r="L146" s="17">
        <f t="shared" ref="L146:T146" si="171">L63</f>
        <v>149.21999</v>
      </c>
      <c r="M146" s="17">
        <f>M63</f>
        <v>136.67626974439395</v>
      </c>
      <c r="N146" s="17">
        <f t="shared" si="171"/>
        <v>126.013414</v>
      </c>
      <c r="O146" s="17">
        <f t="shared" si="171"/>
        <v>117.291117</v>
      </c>
      <c r="P146" s="17">
        <f t="shared" si="171"/>
        <v>111.16138565248997</v>
      </c>
      <c r="Q146" s="17">
        <f>Q63</f>
        <v>107.65813391036312</v>
      </c>
      <c r="R146" s="17">
        <f>R63</f>
        <v>104.01459199999999</v>
      </c>
      <c r="S146" s="17">
        <f>S63</f>
        <v>101.51459199999999</v>
      </c>
      <c r="T146" s="17">
        <f t="shared" si="171"/>
        <v>99.095237161290314</v>
      </c>
      <c r="U146" s="17">
        <f t="shared" ref="U146" si="172">U63</f>
        <v>96.822509888563047</v>
      </c>
      <c r="V146" s="4"/>
      <c r="W146" s="4"/>
      <c r="X146" s="4"/>
      <c r="Y146" s="4"/>
      <c r="Z146" s="4"/>
      <c r="AA146" s="4"/>
      <c r="AB146" s="4"/>
      <c r="AC146" s="4"/>
      <c r="AD146" s="4"/>
    </row>
    <row r="147" spans="1:30" hidden="1" outlineLevel="1">
      <c r="A147" s="108" t="s">
        <v>74</v>
      </c>
      <c r="B147" s="4"/>
      <c r="C147" s="14"/>
      <c r="D147" s="14"/>
      <c r="E147" s="14"/>
      <c r="F147" s="14"/>
      <c r="G147" s="14"/>
      <c r="H147" s="14"/>
      <c r="I147" s="14"/>
      <c r="J147" s="14"/>
      <c r="K147" s="14"/>
      <c r="L147" s="17">
        <f t="shared" ref="L147:T147" si="173">L24</f>
        <v>149.21999</v>
      </c>
      <c r="M147" s="17">
        <f>M24</f>
        <v>136.67626974439395</v>
      </c>
      <c r="N147" s="17">
        <f t="shared" si="173"/>
        <v>126.013414</v>
      </c>
      <c r="O147" s="17">
        <f t="shared" si="173"/>
        <v>117.291117</v>
      </c>
      <c r="P147" s="17">
        <f t="shared" si="173"/>
        <v>111.16138565248997</v>
      </c>
      <c r="Q147" s="17">
        <f>Q24</f>
        <v>107.65813391036312</v>
      </c>
      <c r="R147" s="17">
        <f>R24</f>
        <v>104.01459199999999</v>
      </c>
      <c r="S147" s="17">
        <f>S24</f>
        <v>101.51459199999999</v>
      </c>
      <c r="T147" s="17">
        <f t="shared" si="173"/>
        <v>99.095237161290314</v>
      </c>
      <c r="U147" s="17">
        <f t="shared" ref="U147" si="174">U24</f>
        <v>96.822509888563047</v>
      </c>
      <c r="V147" s="4"/>
      <c r="W147" s="4"/>
      <c r="X147" s="4"/>
      <c r="Y147" s="4"/>
      <c r="Z147" s="4"/>
      <c r="AA147" s="4"/>
      <c r="AB147" s="4"/>
      <c r="AC147" s="4"/>
      <c r="AD147" s="4"/>
    </row>
    <row r="148" spans="1:30" hidden="1" outlineLevel="1">
      <c r="A148" s="108" t="s">
        <v>160</v>
      </c>
      <c r="B148" s="4"/>
      <c r="C148" s="14"/>
      <c r="D148" s="14"/>
      <c r="E148" s="14"/>
      <c r="F148" s="14"/>
      <c r="G148" s="14"/>
      <c r="H148" s="14"/>
      <c r="I148" s="14"/>
      <c r="J148" s="14"/>
      <c r="K148" s="14"/>
      <c r="L148" s="17">
        <f t="shared" ref="L148:T148" si="175">L104</f>
        <v>149.21999</v>
      </c>
      <c r="M148" s="17">
        <f>M104</f>
        <v>136.67626974439395</v>
      </c>
      <c r="N148" s="17">
        <f t="shared" si="175"/>
        <v>126.013414</v>
      </c>
      <c r="O148" s="17">
        <f t="shared" si="175"/>
        <v>117.291117</v>
      </c>
      <c r="P148" s="17">
        <f t="shared" si="175"/>
        <v>111.16138565248997</v>
      </c>
      <c r="Q148" s="17">
        <f>Q104</f>
        <v>107.65813391036312</v>
      </c>
      <c r="R148" s="17">
        <f>R104</f>
        <v>104.01459199999999</v>
      </c>
      <c r="S148" s="17">
        <f>S104</f>
        <v>101.51459199999999</v>
      </c>
      <c r="T148" s="17">
        <f t="shared" si="175"/>
        <v>99.095237161290314</v>
      </c>
      <c r="U148" s="17">
        <f t="shared" ref="U148" si="176">U104</f>
        <v>96.822509888563047</v>
      </c>
      <c r="V148" s="4"/>
      <c r="W148" s="4"/>
      <c r="X148" s="4"/>
      <c r="Y148" s="4"/>
      <c r="Z148" s="4"/>
      <c r="AA148" s="4"/>
      <c r="AB148" s="4"/>
      <c r="AC148" s="4"/>
      <c r="AD148" s="4"/>
    </row>
    <row r="149" spans="1:30" ht="13.5" collapsed="1" thickBot="1">
      <c r="A149" s="5"/>
      <c r="B149" s="4"/>
      <c r="L149" s="11"/>
      <c r="M149" s="11"/>
      <c r="N149" s="11"/>
      <c r="O149" s="11"/>
      <c r="P149" s="11"/>
      <c r="Q149" s="11"/>
      <c r="R149" s="11"/>
      <c r="S149" s="11"/>
      <c r="T149" s="11"/>
      <c r="U149" s="11"/>
      <c r="V149" s="4"/>
      <c r="W149" s="4"/>
      <c r="X149" s="4"/>
      <c r="Y149" s="4"/>
      <c r="Z149" s="4"/>
      <c r="AA149" s="4"/>
      <c r="AB149" s="4"/>
      <c r="AC149" s="4"/>
      <c r="AD149" s="4"/>
    </row>
    <row r="150" spans="1:30" ht="13.5" thickBot="1">
      <c r="A150" s="5" t="s">
        <v>395</v>
      </c>
      <c r="B150" s="4"/>
      <c r="C150" s="58">
        <f>C133+C134</f>
        <v>180.22399999999988</v>
      </c>
      <c r="D150" s="58">
        <f>D133+D134</f>
        <v>247.03899999999996</v>
      </c>
      <c r="E150" s="58">
        <f>E133+E134</f>
        <v>219.7020000000002</v>
      </c>
      <c r="F150" s="58">
        <f>F133+F134</f>
        <v>294.96199999999993</v>
      </c>
      <c r="G150" s="58">
        <f t="shared" ref="G150:S150" si="177">G133+G134</f>
        <v>381.38399999999984</v>
      </c>
      <c r="H150" s="58">
        <f>H133+H134</f>
        <v>431.33399999999995</v>
      </c>
      <c r="I150" s="58">
        <f>I133+I134</f>
        <v>515.30799999999988</v>
      </c>
      <c r="J150" s="58">
        <f>J133+J134</f>
        <v>284.72500000000059</v>
      </c>
      <c r="K150" s="58">
        <f t="shared" si="177"/>
        <v>492.94900000000018</v>
      </c>
      <c r="L150" s="117">
        <f t="shared" si="177"/>
        <v>559.53145999999992</v>
      </c>
      <c r="M150" s="117">
        <f>M133+M134</f>
        <v>503.76450000000023</v>
      </c>
      <c r="N150" s="117">
        <f t="shared" si="177"/>
        <v>496.30099999999993</v>
      </c>
      <c r="O150" s="117">
        <f t="shared" si="177"/>
        <v>478.19799999999998</v>
      </c>
      <c r="P150" s="117">
        <f t="shared" si="177"/>
        <v>405.0329999999999</v>
      </c>
      <c r="Q150" s="117">
        <f t="shared" si="177"/>
        <v>412.60925883918878</v>
      </c>
      <c r="R150" s="117">
        <f t="shared" si="177"/>
        <v>413.3116507926685</v>
      </c>
      <c r="S150" s="117">
        <f t="shared" si="177"/>
        <v>425.36972552838779</v>
      </c>
      <c r="T150" s="117">
        <f>T133+T134</f>
        <v>432.78184852493746</v>
      </c>
      <c r="U150" s="117">
        <f>U133+U134</f>
        <v>421.50430312305048</v>
      </c>
      <c r="V150" s="4"/>
      <c r="W150" s="4"/>
      <c r="X150" s="4"/>
      <c r="Y150" s="4"/>
      <c r="Z150" s="4"/>
      <c r="AA150" s="110"/>
      <c r="AB150" s="111" t="str">
        <f>AD151</f>
        <v>Base</v>
      </c>
      <c r="AC150" s="4"/>
      <c r="AD150" s="112" t="s">
        <v>157</v>
      </c>
    </row>
    <row r="151" spans="1:30">
      <c r="A151" s="5"/>
      <c r="B151" s="4"/>
      <c r="L151" s="11"/>
      <c r="M151" s="11"/>
      <c r="N151" s="11"/>
      <c r="O151" s="11"/>
      <c r="P151" s="11"/>
      <c r="Q151" s="11"/>
      <c r="R151" s="11"/>
      <c r="S151" s="11"/>
      <c r="T151" s="11"/>
      <c r="U151" s="11"/>
      <c r="V151" s="4"/>
      <c r="W151" s="4"/>
      <c r="X151" s="4"/>
      <c r="Y151" s="4"/>
      <c r="Z151" s="4"/>
      <c r="AA151" s="4"/>
      <c r="AB151" s="4"/>
      <c r="AC151" s="4"/>
      <c r="AD151" s="112" t="s">
        <v>74</v>
      </c>
    </row>
    <row r="152" spans="1:30">
      <c r="A152" s="6" t="s">
        <v>418</v>
      </c>
      <c r="B152" s="4"/>
      <c r="L152" s="11"/>
      <c r="M152" s="11"/>
      <c r="N152" s="11"/>
      <c r="O152" s="11"/>
      <c r="P152" s="11"/>
      <c r="Q152" s="11"/>
      <c r="R152" s="11"/>
      <c r="S152" s="11"/>
      <c r="T152" s="11"/>
      <c r="U152" s="11"/>
      <c r="V152" s="4"/>
      <c r="W152" s="4"/>
      <c r="X152" s="4"/>
      <c r="Y152" s="4"/>
      <c r="Z152" s="4"/>
      <c r="AA152" s="4"/>
      <c r="AB152" s="4"/>
      <c r="AC152" s="4"/>
      <c r="AD152" s="113" t="s">
        <v>160</v>
      </c>
    </row>
    <row r="153" spans="1:30">
      <c r="A153" s="5" t="s">
        <v>158</v>
      </c>
      <c r="B153" s="4"/>
      <c r="C153" s="10">
        <f t="shared" ref="C153:K153" si="178">C131/C127</f>
        <v>0.40924192086982769</v>
      </c>
      <c r="D153" s="10">
        <f t="shared" si="178"/>
        <v>0.41077110576161496</v>
      </c>
      <c r="E153" s="10">
        <f t="shared" si="178"/>
        <v>0.3690003486519744</v>
      </c>
      <c r="F153" s="10">
        <f t="shared" si="178"/>
        <v>0.38254481589468625</v>
      </c>
      <c r="G153" s="10">
        <f t="shared" si="178"/>
        <v>0.38889730723235022</v>
      </c>
      <c r="H153" s="10">
        <f t="shared" si="178"/>
        <v>0.40568630132391376</v>
      </c>
      <c r="I153" s="10">
        <f t="shared" si="178"/>
        <v>0.41186367190213979</v>
      </c>
      <c r="J153" s="10">
        <f t="shared" si="178"/>
        <v>0.34785983189431985</v>
      </c>
      <c r="K153" s="10">
        <f t="shared" si="178"/>
        <v>0.36907287315402026</v>
      </c>
      <c r="L153" s="114">
        <f t="shared" ref="L153:T153" si="179">INDEX(L154:L156,MATCH($AB$150,$AD$150:$AD$152,0))</f>
        <v>0.3762592274718935</v>
      </c>
      <c r="M153" s="114">
        <f t="shared" si="179"/>
        <v>0.35361931113713246</v>
      </c>
      <c r="N153" s="114">
        <f t="shared" si="179"/>
        <v>0.34886944890967958</v>
      </c>
      <c r="O153" s="114">
        <f t="shared" si="179"/>
        <v>0.35223535264597994</v>
      </c>
      <c r="P153" s="114">
        <f t="shared" si="179"/>
        <v>0.32823904995943043</v>
      </c>
      <c r="Q153" s="114">
        <f t="shared" si="179"/>
        <v>0.33195927949177895</v>
      </c>
      <c r="R153" s="114">
        <f t="shared" si="179"/>
        <v>0.33379999999999999</v>
      </c>
      <c r="S153" s="114">
        <f t="shared" si="179"/>
        <v>0.33410000000000006</v>
      </c>
      <c r="T153" s="114">
        <f t="shared" si="179"/>
        <v>0.33519999999999994</v>
      </c>
      <c r="U153" s="114">
        <f t="shared" ref="U153" si="180">INDEX(U154:U156,MATCH($AB$150,$AD$150:$AD$152,0))</f>
        <v>0.33580000000000004</v>
      </c>
      <c r="V153" s="4"/>
      <c r="W153" s="4"/>
      <c r="X153" s="4"/>
      <c r="Y153" s="4"/>
      <c r="Z153" s="4"/>
      <c r="AA153" s="4"/>
      <c r="AB153" s="4"/>
      <c r="AC153" s="4"/>
      <c r="AD153" s="4"/>
    </row>
    <row r="154" spans="1:30" hidden="1" outlineLevel="1">
      <c r="A154" s="108" t="s">
        <v>157</v>
      </c>
      <c r="B154" s="4"/>
      <c r="C154" s="10"/>
      <c r="D154" s="10"/>
      <c r="E154" s="10"/>
      <c r="F154" s="10"/>
      <c r="G154" s="10"/>
      <c r="H154" s="10"/>
      <c r="I154" s="10"/>
      <c r="J154" s="10"/>
      <c r="K154" s="10"/>
      <c r="L154" s="114">
        <f t="shared" ref="L154:T154" si="181">L68</f>
        <v>0.3762592274718935</v>
      </c>
      <c r="M154" s="114">
        <f>M68</f>
        <v>0.35361931113713246</v>
      </c>
      <c r="N154" s="114">
        <f t="shared" si="181"/>
        <v>0.34886944890967958</v>
      </c>
      <c r="O154" s="114">
        <f t="shared" si="181"/>
        <v>0.35223535264597994</v>
      </c>
      <c r="P154" s="114">
        <f t="shared" si="181"/>
        <v>0.32823904995943043</v>
      </c>
      <c r="Q154" s="114">
        <f>Q68</f>
        <v>0.33915927949177893</v>
      </c>
      <c r="R154" s="114">
        <f>R68</f>
        <v>0.34129999999999999</v>
      </c>
      <c r="S154" s="114">
        <f>S68</f>
        <v>0.34110000000000007</v>
      </c>
      <c r="T154" s="114">
        <f t="shared" si="181"/>
        <v>0.34219999999999995</v>
      </c>
      <c r="U154" s="114">
        <f t="shared" ref="U154" si="182">U68</f>
        <v>0.34280000000000005</v>
      </c>
      <c r="V154" s="4"/>
      <c r="W154" s="4"/>
      <c r="X154" s="4"/>
      <c r="Y154" s="4"/>
      <c r="Z154" s="4"/>
      <c r="AA154" s="4"/>
      <c r="AB154" s="4"/>
      <c r="AC154" s="4"/>
      <c r="AD154" s="4"/>
    </row>
    <row r="155" spans="1:30" hidden="1" outlineLevel="1">
      <c r="A155" s="108" t="s">
        <v>74</v>
      </c>
      <c r="B155" s="4"/>
      <c r="C155" s="10"/>
      <c r="D155" s="10"/>
      <c r="E155" s="10"/>
      <c r="F155" s="10"/>
      <c r="G155" s="10"/>
      <c r="H155" s="10"/>
      <c r="I155" s="10"/>
      <c r="J155" s="10"/>
      <c r="K155" s="10"/>
      <c r="L155" s="114">
        <f t="shared" ref="L155:T155" si="183">L29</f>
        <v>0.3762592274718935</v>
      </c>
      <c r="M155" s="114">
        <f>M29</f>
        <v>0.35361931113713246</v>
      </c>
      <c r="N155" s="114">
        <f t="shared" si="183"/>
        <v>0.34886944890967958</v>
      </c>
      <c r="O155" s="114">
        <f t="shared" si="183"/>
        <v>0.35223535264597994</v>
      </c>
      <c r="P155" s="114">
        <f t="shared" si="183"/>
        <v>0.32823904995943043</v>
      </c>
      <c r="Q155" s="114">
        <f>Q29</f>
        <v>0.33195927949177895</v>
      </c>
      <c r="R155" s="114">
        <f>R29</f>
        <v>0.33379999999999999</v>
      </c>
      <c r="S155" s="114">
        <f>S29</f>
        <v>0.33410000000000006</v>
      </c>
      <c r="T155" s="114">
        <f t="shared" si="183"/>
        <v>0.33519999999999994</v>
      </c>
      <c r="U155" s="114">
        <f t="shared" ref="U155" si="184">U29</f>
        <v>0.33580000000000004</v>
      </c>
      <c r="V155" s="4"/>
      <c r="W155" s="4"/>
      <c r="X155" s="4"/>
      <c r="Y155" s="4"/>
      <c r="Z155" s="4"/>
      <c r="AA155" s="4"/>
      <c r="AB155" s="4"/>
      <c r="AC155" s="4"/>
      <c r="AD155" s="4"/>
    </row>
    <row r="156" spans="1:30" hidden="1" outlineLevel="1">
      <c r="A156" s="108" t="s">
        <v>160</v>
      </c>
      <c r="B156" s="4"/>
      <c r="C156" s="10"/>
      <c r="D156" s="10"/>
      <c r="E156" s="10"/>
      <c r="F156" s="10"/>
      <c r="G156" s="10"/>
      <c r="H156" s="10"/>
      <c r="I156" s="10"/>
      <c r="J156" s="10"/>
      <c r="K156" s="10"/>
      <c r="L156" s="114">
        <f t="shared" ref="L156:T156" si="185">L109</f>
        <v>0.3762592274718935</v>
      </c>
      <c r="M156" s="114">
        <f>M109</f>
        <v>0.35361931113713246</v>
      </c>
      <c r="N156" s="114">
        <f t="shared" si="185"/>
        <v>0.34886944890967958</v>
      </c>
      <c r="O156" s="114">
        <f t="shared" si="185"/>
        <v>0.35223535264597994</v>
      </c>
      <c r="P156" s="114">
        <f t="shared" si="185"/>
        <v>0.32823904995943043</v>
      </c>
      <c r="Q156" s="114">
        <f>Q109</f>
        <v>0.31695927949177893</v>
      </c>
      <c r="R156" s="114">
        <f>R109</f>
        <v>0.31379999999999997</v>
      </c>
      <c r="S156" s="114">
        <f>S109</f>
        <v>0.31110000000000004</v>
      </c>
      <c r="T156" s="114">
        <f t="shared" si="185"/>
        <v>0.30919999999999992</v>
      </c>
      <c r="U156" s="114">
        <f t="shared" ref="U156" si="186">U109</f>
        <v>0.30980000000000002</v>
      </c>
      <c r="V156" s="4"/>
      <c r="W156" s="4"/>
      <c r="X156" s="4"/>
      <c r="Y156" s="4"/>
      <c r="Z156" s="4"/>
      <c r="AA156" s="4"/>
      <c r="AB156" s="4"/>
      <c r="AC156" s="4"/>
      <c r="AD156" s="4"/>
    </row>
    <row r="157" spans="1:30" collapsed="1">
      <c r="A157" s="5" t="s">
        <v>420</v>
      </c>
      <c r="B157" s="4"/>
      <c r="C157" s="10">
        <f t="shared" ref="C157:K157" si="187">C132/C127</f>
        <v>0.23000181214134705</v>
      </c>
      <c r="D157" s="10">
        <f t="shared" si="187"/>
        <v>0.22058919135212945</v>
      </c>
      <c r="E157" s="10">
        <f t="shared" si="187"/>
        <v>0.23510084370511714</v>
      </c>
      <c r="F157" s="10">
        <f t="shared" si="187"/>
        <v>0.23334973775041057</v>
      </c>
      <c r="G157" s="10">
        <f t="shared" si="187"/>
        <v>0.22568349378453717</v>
      </c>
      <c r="H157" s="10">
        <f t="shared" si="187"/>
        <v>0.23075525785485201</v>
      </c>
      <c r="I157" s="10">
        <f t="shared" si="187"/>
        <v>0.22972452422978393</v>
      </c>
      <c r="J157" s="10">
        <f t="shared" si="187"/>
        <v>0.23276367015778546</v>
      </c>
      <c r="K157" s="10">
        <f t="shared" si="187"/>
        <v>0.23515693623263592</v>
      </c>
      <c r="L157" s="114">
        <f t="shared" ref="L157:T157" si="188">INDEX(L158:L160,MATCH($AB$150,$AD$150:$AD$152,0))</f>
        <v>0.23796423900406072</v>
      </c>
      <c r="M157" s="114">
        <f t="shared" si="188"/>
        <v>0.24359331775967386</v>
      </c>
      <c r="N157" s="114">
        <f t="shared" si="188"/>
        <v>0.24623802731620892</v>
      </c>
      <c r="O157" s="114">
        <f t="shared" si="188"/>
        <v>0.25553825179917389</v>
      </c>
      <c r="P157" s="114">
        <f t="shared" si="188"/>
        <v>0.25264116787158458</v>
      </c>
      <c r="Q157" s="114">
        <f t="shared" si="188"/>
        <v>0.25148999209433204</v>
      </c>
      <c r="R157" s="114">
        <f t="shared" si="188"/>
        <v>0.25419999999999998</v>
      </c>
      <c r="S157" s="114">
        <f t="shared" si="188"/>
        <v>0.25440000000000002</v>
      </c>
      <c r="T157" s="114">
        <f t="shared" si="188"/>
        <v>0.25540000000000002</v>
      </c>
      <c r="U157" s="114">
        <f t="shared" ref="U157" si="189">INDEX(U158:U160,MATCH($AB$150,$AD$150:$AD$152,0))</f>
        <v>0.25580000000000003</v>
      </c>
      <c r="V157" s="4"/>
      <c r="W157" s="4"/>
      <c r="X157" s="4"/>
      <c r="Y157" s="4"/>
      <c r="Z157" s="4"/>
      <c r="AA157" s="4"/>
      <c r="AB157" s="4"/>
      <c r="AC157" s="4"/>
      <c r="AD157" s="4"/>
    </row>
    <row r="158" spans="1:30" hidden="1" outlineLevel="1">
      <c r="A158" s="108" t="s">
        <v>157</v>
      </c>
      <c r="B158" s="4"/>
      <c r="C158" s="10"/>
      <c r="D158" s="10"/>
      <c r="E158" s="10"/>
      <c r="F158" s="10"/>
      <c r="G158" s="10"/>
      <c r="H158" s="10"/>
      <c r="I158" s="10"/>
      <c r="J158" s="10"/>
      <c r="K158" s="10"/>
      <c r="L158" s="114">
        <f t="shared" ref="L158:T158" si="190">L69</f>
        <v>0.23796423900406072</v>
      </c>
      <c r="M158" s="114">
        <f>M69</f>
        <v>0.24359331775967386</v>
      </c>
      <c r="N158" s="114">
        <f t="shared" si="190"/>
        <v>0.24623802731620892</v>
      </c>
      <c r="O158" s="114">
        <f t="shared" si="190"/>
        <v>0.25553825179917389</v>
      </c>
      <c r="P158" s="114">
        <f t="shared" si="190"/>
        <v>0.25264116787158458</v>
      </c>
      <c r="Q158" s="114">
        <f>Q69</f>
        <v>0.24648999209433203</v>
      </c>
      <c r="R158" s="114">
        <f>R69</f>
        <v>0.24569999999999997</v>
      </c>
      <c r="S158" s="114">
        <f>S69</f>
        <v>0.24440000000000001</v>
      </c>
      <c r="T158" s="114">
        <f t="shared" si="190"/>
        <v>0.24340000000000001</v>
      </c>
      <c r="U158" s="114">
        <f t="shared" ref="U158" si="191">U69</f>
        <v>0.24380000000000002</v>
      </c>
      <c r="V158" s="4"/>
      <c r="W158" s="4"/>
      <c r="X158" s="4"/>
      <c r="Y158" s="4"/>
      <c r="Z158" s="4"/>
      <c r="AA158" s="4"/>
      <c r="AB158" s="4"/>
      <c r="AC158" s="4"/>
      <c r="AD158" s="4"/>
    </row>
    <row r="159" spans="1:30" hidden="1" outlineLevel="1">
      <c r="A159" s="108" t="s">
        <v>74</v>
      </c>
      <c r="B159" s="4"/>
      <c r="C159" s="10"/>
      <c r="D159" s="10"/>
      <c r="E159" s="10"/>
      <c r="F159" s="10"/>
      <c r="G159" s="10"/>
      <c r="H159" s="10"/>
      <c r="I159" s="10"/>
      <c r="J159" s="10"/>
      <c r="K159" s="114"/>
      <c r="L159" s="114">
        <f t="shared" ref="L159:T159" si="192">L30</f>
        <v>0.23796423900406072</v>
      </c>
      <c r="M159" s="114">
        <f>M30</f>
        <v>0.24359331775967386</v>
      </c>
      <c r="N159" s="114">
        <f t="shared" si="192"/>
        <v>0.24623802731620892</v>
      </c>
      <c r="O159" s="114">
        <f t="shared" si="192"/>
        <v>0.25553825179917389</v>
      </c>
      <c r="P159" s="114">
        <f t="shared" si="192"/>
        <v>0.25264116787158458</v>
      </c>
      <c r="Q159" s="114">
        <f>Q30</f>
        <v>0.25148999209433204</v>
      </c>
      <c r="R159" s="114">
        <f>R30</f>
        <v>0.25419999999999998</v>
      </c>
      <c r="S159" s="114">
        <f>S30</f>
        <v>0.25440000000000002</v>
      </c>
      <c r="T159" s="114">
        <f t="shared" si="192"/>
        <v>0.25540000000000002</v>
      </c>
      <c r="U159" s="114">
        <f t="shared" ref="U159" si="193">U30</f>
        <v>0.25580000000000003</v>
      </c>
      <c r="V159" s="13"/>
      <c r="W159" s="4"/>
      <c r="X159" s="4"/>
      <c r="Y159" s="4"/>
      <c r="Z159" s="4"/>
      <c r="AA159" s="4"/>
      <c r="AB159" s="4"/>
      <c r="AC159" s="4"/>
      <c r="AD159" s="4"/>
    </row>
    <row r="160" spans="1:30" hidden="1" outlineLevel="1">
      <c r="A160" s="108" t="s">
        <v>160</v>
      </c>
      <c r="B160" s="4"/>
      <c r="C160" s="10"/>
      <c r="D160" s="10"/>
      <c r="E160" s="10"/>
      <c r="F160" s="10"/>
      <c r="G160" s="10"/>
      <c r="H160" s="10"/>
      <c r="I160" s="10"/>
      <c r="J160" s="10"/>
      <c r="K160" s="114"/>
      <c r="L160" s="114">
        <f t="shared" ref="L160:T160" si="194">L110</f>
        <v>0.23796423900406072</v>
      </c>
      <c r="M160" s="114">
        <f>M110</f>
        <v>0.24359331775967386</v>
      </c>
      <c r="N160" s="114">
        <f t="shared" si="194"/>
        <v>0.24623802731620892</v>
      </c>
      <c r="O160" s="114">
        <f t="shared" si="194"/>
        <v>0.25553825179917389</v>
      </c>
      <c r="P160" s="114">
        <f t="shared" si="194"/>
        <v>0.25264116787158458</v>
      </c>
      <c r="Q160" s="114">
        <f>Q110</f>
        <v>0.25798999209433204</v>
      </c>
      <c r="R160" s="114">
        <f>R110</f>
        <v>0.26219999999999999</v>
      </c>
      <c r="S160" s="114">
        <f>S110</f>
        <v>0.26340000000000002</v>
      </c>
      <c r="T160" s="114">
        <f t="shared" si="194"/>
        <v>0.26540000000000002</v>
      </c>
      <c r="U160" s="114">
        <f t="shared" ref="U160" si="195">U110</f>
        <v>0.26580000000000004</v>
      </c>
      <c r="V160" s="13"/>
      <c r="W160" s="4"/>
      <c r="X160" s="4"/>
      <c r="Y160" s="4"/>
      <c r="Z160" s="4"/>
      <c r="AA160" s="4"/>
      <c r="AB160" s="4"/>
      <c r="AC160" s="4"/>
      <c r="AD160" s="4"/>
    </row>
    <row r="161" spans="1:30" collapsed="1">
      <c r="A161" s="5" t="s">
        <v>397</v>
      </c>
      <c r="B161" s="4"/>
      <c r="C161" s="10">
        <f>C134/C127</f>
        <v>0.17924010872848067</v>
      </c>
      <c r="D161" s="10">
        <f>D134/D127</f>
        <v>0.19018191440948548</v>
      </c>
      <c r="E161" s="10">
        <f>E134/E127</f>
        <v>0.13389950494685726</v>
      </c>
      <c r="F161" s="10">
        <f>F134/F127</f>
        <v>0.14919507814427571</v>
      </c>
      <c r="G161" s="10">
        <f t="shared" ref="G161:S161" si="196">G134/G127</f>
        <v>0.16321381344781302</v>
      </c>
      <c r="H161" s="10">
        <f t="shared" si="196"/>
        <v>0.17493104346906177</v>
      </c>
      <c r="I161" s="10">
        <f t="shared" si="196"/>
        <v>0.18213914767235589</v>
      </c>
      <c r="J161" s="10">
        <f t="shared" si="196"/>
        <v>0.11509616173653441</v>
      </c>
      <c r="K161" s="10">
        <f>K134/K127</f>
        <v>0.13391593692138434</v>
      </c>
      <c r="L161" s="114">
        <f t="shared" si="196"/>
        <v>0.13829498846783278</v>
      </c>
      <c r="M161" s="114">
        <f>M134/M127</f>
        <v>0.11002599337745859</v>
      </c>
      <c r="N161" s="114">
        <f t="shared" si="196"/>
        <v>0.10263142159347066</v>
      </c>
      <c r="O161" s="114">
        <f t="shared" si="196"/>
        <v>9.6697100846806078E-2</v>
      </c>
      <c r="P161" s="114">
        <f t="shared" si="196"/>
        <v>7.5597882087845875E-2</v>
      </c>
      <c r="Q161" s="114">
        <f t="shared" si="196"/>
        <v>8.0469287397446937E-2</v>
      </c>
      <c r="R161" s="114">
        <f t="shared" si="196"/>
        <v>7.9600000000000004E-2</v>
      </c>
      <c r="S161" s="114">
        <f t="shared" si="196"/>
        <v>7.9700000000000035E-2</v>
      </c>
      <c r="T161" s="114">
        <f>T134/T127</f>
        <v>7.9799999999999927E-2</v>
      </c>
      <c r="U161" s="114">
        <f>U134/U127</f>
        <v>8.0000000000000016E-2</v>
      </c>
      <c r="V161" s="13"/>
      <c r="W161" s="4"/>
      <c r="X161" s="4"/>
      <c r="Y161" s="4"/>
      <c r="Z161" s="4"/>
      <c r="AA161" s="4"/>
      <c r="AB161" s="4"/>
      <c r="AC161" s="4"/>
      <c r="AD161" s="4"/>
    </row>
    <row r="162" spans="1:30">
      <c r="A162" s="5" t="s">
        <v>422</v>
      </c>
      <c r="B162" s="4"/>
      <c r="C162" s="10">
        <f t="shared" ref="C162:J162" si="197">C139/C137</f>
        <v>0.39751118568232702</v>
      </c>
      <c r="D162" s="10">
        <f t="shared" si="197"/>
        <v>0.38419092548388167</v>
      </c>
      <c r="E162" s="10">
        <f t="shared" si="197"/>
        <v>0.31707001727805878</v>
      </c>
      <c r="F162" s="10">
        <f t="shared" si="197"/>
        <v>0.31640741657209664</v>
      </c>
      <c r="G162" s="10">
        <f t="shared" si="197"/>
        <v>0.35583055995347201</v>
      </c>
      <c r="H162" s="10">
        <f t="shared" si="197"/>
        <v>0.36152970621882319</v>
      </c>
      <c r="I162" s="10">
        <f t="shared" si="197"/>
        <v>0.3457508005599127</v>
      </c>
      <c r="J162" s="10">
        <f t="shared" si="197"/>
        <v>0.35861801537923482</v>
      </c>
      <c r="K162" s="10">
        <f>K139/K137</f>
        <v>0.36812648440245799</v>
      </c>
      <c r="L162" s="114">
        <f t="shared" ref="L162:T162" si="198">INDEX(L163:L165,MATCH($AB$150,$AD$150:$AD$152,0))</f>
        <v>0.33950762670093537</v>
      </c>
      <c r="M162" s="114">
        <f t="shared" si="198"/>
        <v>0.36022814284084276</v>
      </c>
      <c r="N162" s="114">
        <f t="shared" si="198"/>
        <v>0.35865966157283219</v>
      </c>
      <c r="O162" s="114">
        <f t="shared" si="198"/>
        <v>0.3553118794533352</v>
      </c>
      <c r="P162" s="114">
        <f t="shared" si="198"/>
        <v>0.33782933156743838</v>
      </c>
      <c r="Q162" s="114">
        <f t="shared" si="198"/>
        <v>0.25274902544136363</v>
      </c>
      <c r="R162" s="114">
        <f t="shared" si="198"/>
        <v>0.25274902544136363</v>
      </c>
      <c r="S162" s="114">
        <f t="shared" si="198"/>
        <v>0.25274902544136363</v>
      </c>
      <c r="T162" s="114">
        <f t="shared" si="198"/>
        <v>0.25274902544136363</v>
      </c>
      <c r="U162" s="114">
        <f t="shared" ref="U162" si="199">INDEX(U163:U165,MATCH($AB$150,$AD$150:$AD$152,0))</f>
        <v>0.25274902544136363</v>
      </c>
      <c r="V162" s="4"/>
      <c r="W162" s="4"/>
      <c r="X162" s="4"/>
      <c r="Y162" s="4"/>
      <c r="Z162" s="4"/>
      <c r="AA162" s="4"/>
      <c r="AB162" s="4"/>
      <c r="AC162" s="4"/>
      <c r="AD162" s="4"/>
    </row>
    <row r="163" spans="1:30" hidden="1" outlineLevel="1">
      <c r="A163" s="108" t="s">
        <v>157</v>
      </c>
      <c r="B163" s="4"/>
      <c r="C163" s="10"/>
      <c r="D163" s="10"/>
      <c r="E163" s="10"/>
      <c r="F163" s="10"/>
      <c r="G163" s="10"/>
      <c r="H163" s="10"/>
      <c r="I163" s="10"/>
      <c r="J163" s="10"/>
      <c r="K163" s="10"/>
      <c r="L163" s="114">
        <f t="shared" ref="L163:T163" si="200">L71</f>
        <v>0.33950762670093537</v>
      </c>
      <c r="M163" s="114">
        <f>M71</f>
        <v>0.36022814284084276</v>
      </c>
      <c r="N163" s="114">
        <f t="shared" si="200"/>
        <v>0.35865966157283219</v>
      </c>
      <c r="O163" s="114">
        <f t="shared" si="200"/>
        <v>0.3553118794533352</v>
      </c>
      <c r="P163" s="114">
        <f t="shared" si="200"/>
        <v>0.33782933156743838</v>
      </c>
      <c r="Q163" s="114">
        <f>Q71</f>
        <v>0.25274902544136363</v>
      </c>
      <c r="R163" s="114">
        <f>R71</f>
        <v>0.25274902544136363</v>
      </c>
      <c r="S163" s="114">
        <f>S71</f>
        <v>0.25274902544136363</v>
      </c>
      <c r="T163" s="114">
        <f t="shared" si="200"/>
        <v>0.25274902544136363</v>
      </c>
      <c r="U163" s="114">
        <f t="shared" ref="U163" si="201">U71</f>
        <v>0.25274902544136363</v>
      </c>
      <c r="V163" s="4"/>
      <c r="W163" s="4"/>
      <c r="X163" s="4"/>
      <c r="Y163" s="4"/>
      <c r="Z163" s="4"/>
      <c r="AA163" s="4"/>
      <c r="AB163" s="4"/>
      <c r="AC163" s="4"/>
      <c r="AD163" s="4"/>
    </row>
    <row r="164" spans="1:30" hidden="1" outlineLevel="1">
      <c r="A164" s="108" t="s">
        <v>74</v>
      </c>
      <c r="B164" s="4"/>
      <c r="C164" s="10"/>
      <c r="D164" s="10"/>
      <c r="E164" s="10"/>
      <c r="F164" s="10"/>
      <c r="G164" s="10"/>
      <c r="H164" s="10"/>
      <c r="I164" s="10"/>
      <c r="J164" s="10"/>
      <c r="K164" s="10"/>
      <c r="L164" s="114">
        <f t="shared" ref="L164:T164" si="202">L32</f>
        <v>0.33950762670093537</v>
      </c>
      <c r="M164" s="114">
        <f>M32</f>
        <v>0.36022814284084276</v>
      </c>
      <c r="N164" s="114">
        <f t="shared" si="202"/>
        <v>0.35865966157283219</v>
      </c>
      <c r="O164" s="114">
        <f t="shared" si="202"/>
        <v>0.3553118794533352</v>
      </c>
      <c r="P164" s="114">
        <f t="shared" si="202"/>
        <v>0.33782933156743838</v>
      </c>
      <c r="Q164" s="114">
        <f>Q32</f>
        <v>0.25274902544136363</v>
      </c>
      <c r="R164" s="114">
        <f>R32</f>
        <v>0.25274902544136363</v>
      </c>
      <c r="S164" s="114">
        <f>S32</f>
        <v>0.25274902544136363</v>
      </c>
      <c r="T164" s="114">
        <f t="shared" si="202"/>
        <v>0.25274902544136363</v>
      </c>
      <c r="U164" s="114">
        <f t="shared" ref="U164" si="203">U32</f>
        <v>0.25274902544136363</v>
      </c>
      <c r="V164" s="4"/>
      <c r="W164" s="4"/>
      <c r="X164" s="4"/>
      <c r="Y164" s="4"/>
      <c r="Z164" s="4"/>
      <c r="AA164" s="4"/>
      <c r="AB164" s="4"/>
      <c r="AC164" s="4"/>
      <c r="AD164" s="4"/>
    </row>
    <row r="165" spans="1:30" hidden="1" outlineLevel="1">
      <c r="A165" s="108" t="s">
        <v>160</v>
      </c>
      <c r="B165" s="4"/>
      <c r="C165" s="10"/>
      <c r="D165" s="10"/>
      <c r="E165" s="10"/>
      <c r="F165" s="10"/>
      <c r="G165" s="10"/>
      <c r="H165" s="10"/>
      <c r="I165" s="10"/>
      <c r="J165" s="10"/>
      <c r="K165" s="10"/>
      <c r="L165" s="114">
        <f t="shared" ref="L165:T165" si="204">L112</f>
        <v>0.33950762670093537</v>
      </c>
      <c r="M165" s="114">
        <f>M112</f>
        <v>0.36022814284084276</v>
      </c>
      <c r="N165" s="114">
        <f t="shared" si="204"/>
        <v>0.35865966157283219</v>
      </c>
      <c r="O165" s="114">
        <f t="shared" si="204"/>
        <v>0.3553118794533352</v>
      </c>
      <c r="P165" s="114">
        <f t="shared" si="204"/>
        <v>0.33782933156743838</v>
      </c>
      <c r="Q165" s="114">
        <f>Q112</f>
        <v>0.25274902544136363</v>
      </c>
      <c r="R165" s="114">
        <f>R112</f>
        <v>0.25274902544136363</v>
      </c>
      <c r="S165" s="114">
        <f>S112</f>
        <v>0.25274902544136363</v>
      </c>
      <c r="T165" s="114">
        <f t="shared" si="204"/>
        <v>0.25274902544136363</v>
      </c>
      <c r="U165" s="114">
        <f t="shared" ref="U165" si="205">U112</f>
        <v>0.25274902544136363</v>
      </c>
      <c r="V165" s="4"/>
      <c r="W165" s="4"/>
      <c r="X165" s="4"/>
      <c r="Y165" s="4"/>
      <c r="Z165" s="4"/>
      <c r="AA165" s="4"/>
      <c r="AB165" s="4"/>
      <c r="AC165" s="4"/>
      <c r="AD165" s="4"/>
    </row>
    <row r="166" spans="1:30" collapsed="1">
      <c r="A166" s="5"/>
      <c r="B166" s="4"/>
      <c r="L166" s="11"/>
      <c r="M166" s="11"/>
      <c r="N166" s="11"/>
      <c r="O166" s="11"/>
      <c r="P166" s="11"/>
      <c r="Q166" s="11"/>
      <c r="R166" s="11"/>
      <c r="S166" s="11"/>
      <c r="T166" s="11"/>
      <c r="U166" s="11"/>
      <c r="V166" s="4"/>
      <c r="W166" s="4"/>
      <c r="X166" s="4"/>
      <c r="Y166" s="4"/>
      <c r="Z166" s="4"/>
      <c r="AA166" s="4"/>
      <c r="AB166" s="4"/>
      <c r="AC166" s="4"/>
      <c r="AD166" s="4"/>
    </row>
    <row r="167" spans="1:30">
      <c r="A167" s="6" t="s">
        <v>423</v>
      </c>
      <c r="B167" s="4"/>
      <c r="L167" s="11"/>
      <c r="M167" s="11"/>
      <c r="N167" s="11"/>
      <c r="O167" s="11"/>
      <c r="P167" s="11"/>
      <c r="Q167" s="11"/>
      <c r="R167" s="11"/>
      <c r="S167" s="11"/>
      <c r="T167" s="11"/>
      <c r="U167" s="11"/>
      <c r="V167" s="4"/>
      <c r="W167" s="4"/>
      <c r="X167" s="4"/>
      <c r="Y167" s="4"/>
      <c r="Z167" s="4"/>
      <c r="AA167" s="4"/>
      <c r="AB167" s="4"/>
      <c r="AC167" s="4"/>
      <c r="AD167" s="4"/>
    </row>
    <row r="168" spans="1:30">
      <c r="A168" s="5" t="s">
        <v>295</v>
      </c>
      <c r="B168" s="4"/>
      <c r="C168" s="115" t="s">
        <v>378</v>
      </c>
      <c r="D168" s="61">
        <f t="shared" ref="D168:K168" si="206">((D127/C127)-1)</f>
        <v>0.31936816671700385</v>
      </c>
      <c r="E168" s="61">
        <f t="shared" si="206"/>
        <v>0.12142583098542548</v>
      </c>
      <c r="F168" s="61">
        <f t="shared" si="206"/>
        <v>0.23107950653089637</v>
      </c>
      <c r="G168" s="61">
        <f t="shared" si="206"/>
        <v>0.21681289148411786</v>
      </c>
      <c r="H168" s="61">
        <f t="shared" si="206"/>
        <v>5.6249856918443086E-2</v>
      </c>
      <c r="I168" s="61">
        <f t="shared" si="206"/>
        <v>0.17353926974453171</v>
      </c>
      <c r="J168" s="61">
        <f t="shared" si="206"/>
        <v>8.7814442799839521E-2</v>
      </c>
      <c r="K168" s="61">
        <f t="shared" si="206"/>
        <v>0.12980995641929161</v>
      </c>
      <c r="L168" s="118">
        <f t="shared" ref="L168:T168" si="207">L169+L178</f>
        <v>0.10437470057336062</v>
      </c>
      <c r="M168" s="118">
        <f t="shared" si="207"/>
        <v>7.6685877841596417E-2</v>
      </c>
      <c r="N168" s="118">
        <f t="shared" si="207"/>
        <v>3.6646043378263382E-2</v>
      </c>
      <c r="O168" s="118">
        <f t="shared" si="207"/>
        <v>2.9218021708299347E-2</v>
      </c>
      <c r="P168" s="118">
        <f t="shared" si="207"/>
        <v>1.9803744944009827E-2</v>
      </c>
      <c r="Q168" s="118">
        <f t="shared" si="207"/>
        <v>4.5589710125047089E-2</v>
      </c>
      <c r="R168" s="118">
        <f t="shared" si="207"/>
        <v>1.6186927877489765E-2</v>
      </c>
      <c r="S168" s="118">
        <f t="shared" si="207"/>
        <v>1.9426567470858691E-2</v>
      </c>
      <c r="T168" s="118">
        <f t="shared" si="207"/>
        <v>1.720254766566387E-2</v>
      </c>
      <c r="U168" s="118">
        <f t="shared" ref="U168" si="208">U169+U178</f>
        <v>1.5309086657131932E-2</v>
      </c>
      <c r="V168" s="4"/>
      <c r="W168" s="4"/>
      <c r="X168" s="4"/>
      <c r="Y168" s="4"/>
      <c r="Z168" s="4"/>
      <c r="AA168" s="4"/>
      <c r="AB168" s="4"/>
      <c r="AC168" s="4"/>
      <c r="AD168" s="4"/>
    </row>
    <row r="169" spans="1:30">
      <c r="A169" s="5" t="s">
        <v>136</v>
      </c>
      <c r="B169" s="4"/>
      <c r="C169" s="10">
        <f t="shared" ref="C169:I169" si="209">C36</f>
        <v>0.22</v>
      </c>
      <c r="D169" s="10">
        <f t="shared" si="209"/>
        <v>0.109</v>
      </c>
      <c r="E169" s="10">
        <f t="shared" si="209"/>
        <v>-6.2E-2</v>
      </c>
      <c r="F169" s="10">
        <f t="shared" si="209"/>
        <v>6.1240545094416121E-2</v>
      </c>
      <c r="G169" s="10">
        <f t="shared" si="209"/>
        <v>7.8E-2</v>
      </c>
      <c r="H169" s="10">
        <f t="shared" si="209"/>
        <v>-2.6000000000000002E-2</v>
      </c>
      <c r="I169" s="10">
        <f t="shared" si="209"/>
        <v>8.6694387741127713E-2</v>
      </c>
      <c r="J169" s="10">
        <f>J36</f>
        <v>0</v>
      </c>
      <c r="K169" s="10">
        <f>K36</f>
        <v>7.0000000000000007E-2</v>
      </c>
      <c r="L169" s="114">
        <f t="shared" ref="L169:T169" si="210">INDEX(L170:L172,MATCH($AB$150,$AD$150:$AD$152,0))</f>
        <v>6.1944861640197184E-2</v>
      </c>
      <c r="M169" s="114">
        <f t="shared" si="210"/>
        <v>1.5251115844607806E-2</v>
      </c>
      <c r="N169" s="114">
        <f t="shared" si="210"/>
        <v>1.5340975572611579E-2</v>
      </c>
      <c r="O169" s="114">
        <f t="shared" si="210"/>
        <v>0.01</v>
      </c>
      <c r="P169" s="114">
        <f t="shared" si="210"/>
        <v>0</v>
      </c>
      <c r="Q169" s="114">
        <f t="shared" si="210"/>
        <v>2.948325097702496E-2</v>
      </c>
      <c r="R169" s="114">
        <f t="shared" si="210"/>
        <v>0</v>
      </c>
      <c r="S169" s="114">
        <f t="shared" si="210"/>
        <v>0</v>
      </c>
      <c r="T169" s="114">
        <f t="shared" si="210"/>
        <v>0</v>
      </c>
      <c r="U169" s="114">
        <f t="shared" ref="U169" si="211">INDEX(U170:U172,MATCH($AB$150,$AD$150:$AD$152,0))</f>
        <v>0</v>
      </c>
      <c r="V169" s="4"/>
      <c r="W169" s="4"/>
      <c r="X169" s="4"/>
      <c r="Y169" s="4"/>
      <c r="Z169" s="4"/>
      <c r="AA169" s="4"/>
      <c r="AB169" s="4"/>
      <c r="AC169" s="4"/>
      <c r="AD169" s="4"/>
    </row>
    <row r="170" spans="1:30" hidden="1" outlineLevel="1">
      <c r="A170" s="108" t="s">
        <v>157</v>
      </c>
      <c r="B170" s="4"/>
      <c r="C170" s="60"/>
      <c r="D170" s="60"/>
      <c r="E170" s="60"/>
      <c r="F170" s="60"/>
      <c r="G170" s="60"/>
      <c r="H170" s="10"/>
      <c r="I170" s="10"/>
      <c r="J170" s="10"/>
      <c r="K170" s="10"/>
      <c r="L170" s="114">
        <f t="shared" ref="L170:T170" si="212">L75</f>
        <v>6.1944861640197184E-2</v>
      </c>
      <c r="M170" s="114">
        <f t="shared" si="212"/>
        <v>1.5251115844607806E-2</v>
      </c>
      <c r="N170" s="114">
        <f t="shared" si="212"/>
        <v>1.5340975572611579E-2</v>
      </c>
      <c r="O170" s="114">
        <f t="shared" si="212"/>
        <v>0.01</v>
      </c>
      <c r="P170" s="114">
        <f t="shared" si="212"/>
        <v>0</v>
      </c>
      <c r="Q170" s="114">
        <f t="shared" si="212"/>
        <v>0.04</v>
      </c>
      <c r="R170" s="114">
        <f t="shared" si="212"/>
        <v>0.02</v>
      </c>
      <c r="S170" s="114">
        <f t="shared" si="212"/>
        <v>0.02</v>
      </c>
      <c r="T170" s="114">
        <f t="shared" si="212"/>
        <v>0.02</v>
      </c>
      <c r="U170" s="114">
        <f t="shared" ref="U170" si="213">U75</f>
        <v>0.02</v>
      </c>
      <c r="V170" s="4"/>
      <c r="W170" s="4"/>
      <c r="X170" s="4"/>
      <c r="Y170" s="4"/>
      <c r="Z170" s="4"/>
      <c r="AA170" s="4"/>
      <c r="AB170" s="4"/>
      <c r="AC170" s="4"/>
      <c r="AD170" s="4"/>
    </row>
    <row r="171" spans="1:30" hidden="1" outlineLevel="1">
      <c r="A171" s="108" t="s">
        <v>74</v>
      </c>
      <c r="B171" s="4"/>
      <c r="C171" s="60"/>
      <c r="D171" s="60"/>
      <c r="E171" s="60"/>
      <c r="F171" s="60"/>
      <c r="G171" s="60"/>
      <c r="H171" s="10"/>
      <c r="I171" s="10"/>
      <c r="J171" s="10"/>
      <c r="K171" s="10"/>
      <c r="L171" s="114">
        <f t="shared" ref="L171:T171" si="214">L36</f>
        <v>6.1944861640197184E-2</v>
      </c>
      <c r="M171" s="114">
        <f t="shared" si="214"/>
        <v>1.5251115844607806E-2</v>
      </c>
      <c r="N171" s="114">
        <f t="shared" si="214"/>
        <v>1.5340975572611579E-2</v>
      </c>
      <c r="O171" s="114">
        <f t="shared" si="214"/>
        <v>0.01</v>
      </c>
      <c r="P171" s="114">
        <f t="shared" si="214"/>
        <v>0</v>
      </c>
      <c r="Q171" s="114">
        <f t="shared" si="214"/>
        <v>2.948325097702496E-2</v>
      </c>
      <c r="R171" s="114">
        <f t="shared" si="214"/>
        <v>0</v>
      </c>
      <c r="S171" s="114">
        <f t="shared" si="214"/>
        <v>0</v>
      </c>
      <c r="T171" s="114">
        <f t="shared" si="214"/>
        <v>0</v>
      </c>
      <c r="U171" s="114">
        <f t="shared" ref="U171" si="215">U36</f>
        <v>0</v>
      </c>
      <c r="V171" s="4"/>
      <c r="W171" s="4"/>
      <c r="X171" s="4"/>
      <c r="Y171" s="4"/>
      <c r="Z171" s="4"/>
      <c r="AA171" s="4"/>
      <c r="AB171" s="4"/>
      <c r="AC171" s="4"/>
      <c r="AD171" s="4"/>
    </row>
    <row r="172" spans="1:30" hidden="1" outlineLevel="1">
      <c r="A172" s="108" t="s">
        <v>160</v>
      </c>
      <c r="B172" s="4"/>
      <c r="C172" s="60"/>
      <c r="D172" s="60"/>
      <c r="E172" s="60"/>
      <c r="F172" s="60"/>
      <c r="G172" s="60"/>
      <c r="H172" s="10"/>
      <c r="I172" s="10"/>
      <c r="J172" s="10"/>
      <c r="K172" s="10"/>
      <c r="L172" s="114">
        <f t="shared" ref="L172:T172" si="216">L116</f>
        <v>6.1944861640197184E-2</v>
      </c>
      <c r="M172" s="114">
        <f t="shared" si="216"/>
        <v>1.5251115844607806E-2</v>
      </c>
      <c r="N172" s="114">
        <f t="shared" si="216"/>
        <v>1.5340975572611579E-2</v>
      </c>
      <c r="O172" s="114">
        <f t="shared" si="216"/>
        <v>0.01</v>
      </c>
      <c r="P172" s="114">
        <f t="shared" si="216"/>
        <v>0</v>
      </c>
      <c r="Q172" s="114">
        <f t="shared" si="216"/>
        <v>-0.01</v>
      </c>
      <c r="R172" s="114">
        <f t="shared" si="216"/>
        <v>-0.01</v>
      </c>
      <c r="S172" s="114">
        <f t="shared" si="216"/>
        <v>-0.01</v>
      </c>
      <c r="T172" s="114">
        <f t="shared" si="216"/>
        <v>-0.01</v>
      </c>
      <c r="U172" s="114">
        <f t="shared" ref="U172" si="217">U116</f>
        <v>-0.01</v>
      </c>
      <c r="V172" s="4"/>
      <c r="W172" s="4"/>
      <c r="X172" s="4"/>
      <c r="Y172" s="4"/>
      <c r="Z172" s="4"/>
      <c r="AA172" s="4"/>
      <c r="AB172" s="4"/>
      <c r="AC172" s="4"/>
      <c r="AD172" s="4"/>
    </row>
    <row r="173" spans="1:30" collapsed="1">
      <c r="A173" s="5" t="s">
        <v>411</v>
      </c>
      <c r="B173" s="4"/>
      <c r="C173" s="115" t="s">
        <v>378</v>
      </c>
      <c r="D173" s="61">
        <f>((D132/C132)-1)</f>
        <v>0.26537419110849658</v>
      </c>
      <c r="E173" s="61">
        <f>((E132/D132)-1)</f>
        <v>0.19519980739455445</v>
      </c>
      <c r="F173" s="61">
        <f>((F132/E132)-1)</f>
        <v>0.22191003431365752</v>
      </c>
      <c r="G173" s="61">
        <f>((G132/F132)-1)</f>
        <v>0.17683691132289447</v>
      </c>
      <c r="H173" s="61">
        <f t="shared" ref="H173:P173" si="218">((H132/G132)-1)</f>
        <v>7.9986861268032561E-2</v>
      </c>
      <c r="I173" s="61">
        <f t="shared" si="218"/>
        <v>0.16829732467724146</v>
      </c>
      <c r="J173" s="61">
        <f t="shared" si="218"/>
        <v>0.10220570923227967</v>
      </c>
      <c r="K173" s="61">
        <f>((K132/J132)-1)</f>
        <v>0.14142661394103295</v>
      </c>
      <c r="L173" s="118">
        <f t="shared" si="218"/>
        <v>0.1175587223048904</v>
      </c>
      <c r="M173" s="118">
        <f t="shared" si="218"/>
        <v>0.10215503920295266</v>
      </c>
      <c r="N173" s="118">
        <f t="shared" si="218"/>
        <v>4.790098141548671E-2</v>
      </c>
      <c r="O173" s="118">
        <f t="shared" si="218"/>
        <v>6.8090809750531278E-2</v>
      </c>
      <c r="P173" s="118">
        <f t="shared" si="218"/>
        <v>8.2420432497578577E-3</v>
      </c>
      <c r="Q173" s="118">
        <f>((Q132/P132)-1)</f>
        <v>-4.3415347959407269E-2</v>
      </c>
      <c r="R173" s="118">
        <f>((R132/Q132)-1)</f>
        <v>1.8351334163703159E-2</v>
      </c>
      <c r="S173" s="118">
        <f>((S132/R132)-1)</f>
        <v>3.3311556738963688E-2</v>
      </c>
      <c r="T173" s="118">
        <f>((T132/S132)-1)</f>
        <v>2.1578819342769284E-2</v>
      </c>
      <c r="U173" s="118">
        <f>((U132/T132)-1)</f>
        <v>-3.9323200515569035E-2</v>
      </c>
      <c r="V173" s="4"/>
      <c r="W173" s="4"/>
      <c r="X173" s="4"/>
      <c r="Y173" s="4"/>
      <c r="Z173" s="4"/>
      <c r="AA173" s="4"/>
      <c r="AB173" s="4"/>
      <c r="AC173" s="4"/>
      <c r="AD173" s="4"/>
    </row>
    <row r="174" spans="1:30">
      <c r="A174" s="5" t="s">
        <v>426</v>
      </c>
      <c r="B174" s="4"/>
      <c r="C174" s="115" t="s">
        <v>378</v>
      </c>
      <c r="D174" s="61">
        <f>((D134/C134)-1)</f>
        <v>0.3999096828114268</v>
      </c>
      <c r="E174" s="61">
        <f>((E134/D134)-1)</f>
        <v>-0.21044877442837839</v>
      </c>
      <c r="F174" s="61">
        <f>((F134/E134)-1)</f>
        <v>0.37170785845391863</v>
      </c>
      <c r="G174" s="61">
        <f>((G134/F134)-1)</f>
        <v>0.33114761386116576</v>
      </c>
      <c r="H174" s="61">
        <f t="shared" ref="H174:P174" si="219">((H134/G134)-1)</f>
        <v>0.13207874830931621</v>
      </c>
      <c r="I174" s="61">
        <f t="shared" si="219"/>
        <v>0.22189542869279943</v>
      </c>
      <c r="J174" s="61">
        <f t="shared" si="219"/>
        <v>-0.31259551475966929</v>
      </c>
      <c r="K174" s="61">
        <f>((K134/J134)-1)</f>
        <v>0.31454912634998489</v>
      </c>
      <c r="L174" s="118">
        <f t="shared" si="219"/>
        <v>0.14048775665602342</v>
      </c>
      <c r="M174" s="118">
        <f t="shared" si="219"/>
        <v>-0.14340038943235389</v>
      </c>
      <c r="N174" s="118">
        <f t="shared" si="219"/>
        <v>-3.302434401873966E-2</v>
      </c>
      <c r="O174" s="118">
        <f t="shared" si="219"/>
        <v>-3.0293088673252644E-2</v>
      </c>
      <c r="P174" s="118">
        <f t="shared" si="219"/>
        <v>-0.20271649731091856</v>
      </c>
      <c r="Q174" s="118">
        <f>((Q134/P134)-1)</f>
        <v>2.288626785332637E-2</v>
      </c>
      <c r="R174" s="118">
        <f>((R134/Q134)-1)</f>
        <v>-3.3889226745473788E-3</v>
      </c>
      <c r="S174" s="118">
        <f>((S134/R134)-1)</f>
        <v>3.3796314440058817E-2</v>
      </c>
      <c r="T174" s="118">
        <f>((T134/S134)-1)</f>
        <v>1.8855663757485708E-2</v>
      </c>
      <c r="U174" s="118">
        <f>((U134/T134)-1)</f>
        <v>-3.8421485346188278E-2</v>
      </c>
      <c r="V174" s="4"/>
      <c r="W174" s="4"/>
      <c r="X174" s="4"/>
      <c r="Y174" s="4"/>
      <c r="Z174" s="4"/>
      <c r="AA174" s="4"/>
      <c r="AB174" s="4"/>
      <c r="AC174" s="4"/>
      <c r="AD174" s="4"/>
    </row>
    <row r="175" spans="1:30">
      <c r="A175" s="5" t="s">
        <v>427</v>
      </c>
      <c r="B175" s="4"/>
      <c r="C175" s="115" t="s">
        <v>378</v>
      </c>
      <c r="D175" s="61">
        <f>((D144/C144)-1)</f>
        <v>0.42303717026082355</v>
      </c>
      <c r="E175" s="61">
        <f>((E144/D144)-1)</f>
        <v>-0.10478350171636985</v>
      </c>
      <c r="F175" s="61">
        <f>((F144/E144)-1)</f>
        <v>0.37084691082292021</v>
      </c>
      <c r="G175" s="61">
        <f>((G144/F144)-1)</f>
        <v>0.23544218141600259</v>
      </c>
      <c r="H175" s="61">
        <f t="shared" ref="H175:P175" si="220">((H144/G144)-1)</f>
        <v>0.10048087546227435</v>
      </c>
      <c r="I175" s="61">
        <f t="shared" si="220"/>
        <v>0.24721189691725143</v>
      </c>
      <c r="J175" s="61">
        <f t="shared" si="220"/>
        <v>-0.25948718128155257</v>
      </c>
      <c r="K175" s="61">
        <f>((K144/J144)-1)</f>
        <v>0.36428675791316523</v>
      </c>
      <c r="L175" s="118">
        <f t="shared" si="220"/>
        <v>0.16956086001540749</v>
      </c>
      <c r="M175" s="118">
        <f t="shared" si="220"/>
        <v>-0.10036496834030162</v>
      </c>
      <c r="N175" s="118">
        <f t="shared" si="220"/>
        <v>4.6356526191206227E-2</v>
      </c>
      <c r="O175" s="118">
        <f t="shared" si="220"/>
        <v>5.6551683278265985E-2</v>
      </c>
      <c r="P175" s="118">
        <f t="shared" si="220"/>
        <v>-0.13019449284012985</v>
      </c>
      <c r="Q175" s="118">
        <f>((Q144/P144)-1)</f>
        <v>0.18706494399263418</v>
      </c>
      <c r="R175" s="118">
        <f>((R144/Q144)-1)</f>
        <v>3.15485003040199E-2</v>
      </c>
      <c r="S175" s="118">
        <f>((S144/R144)-1)</f>
        <v>5.9235618455062866E-2</v>
      </c>
      <c r="T175" s="118">
        <f>((T144/S144)-1)</f>
        <v>4.3728187092459958E-2</v>
      </c>
      <c r="U175" s="118">
        <f>((U144/T144)-1)</f>
        <v>-1.5776689001261723E-2</v>
      </c>
      <c r="V175" s="4"/>
      <c r="W175" s="4"/>
      <c r="X175" s="4"/>
      <c r="Y175" s="4"/>
      <c r="Z175" s="4"/>
      <c r="AA175" s="4"/>
      <c r="AB175" s="4"/>
      <c r="AC175" s="4"/>
      <c r="AD175" s="4"/>
    </row>
    <row r="176" spans="1:30">
      <c r="A176" s="5" t="s">
        <v>395</v>
      </c>
      <c r="B176" s="4"/>
      <c r="C176" s="115" t="s">
        <v>378</v>
      </c>
      <c r="D176" s="61">
        <f>((D150/C150)-1)</f>
        <v>0.37073308771306879</v>
      </c>
      <c r="E176" s="61">
        <f>((E150/D150)-1)</f>
        <v>-0.11065864094333189</v>
      </c>
      <c r="F176" s="61">
        <f>((F150/E150)-1)</f>
        <v>0.34255491529435167</v>
      </c>
      <c r="G176" s="61">
        <f>((G150/F150)-1)</f>
        <v>0.29299367376136565</v>
      </c>
      <c r="H176" s="61">
        <f t="shared" ref="H176:P176" si="221">((H150/G150)-1)</f>
        <v>0.13097036058146161</v>
      </c>
      <c r="I176" s="61">
        <f t="shared" si="221"/>
        <v>0.19468439770572221</v>
      </c>
      <c r="J176" s="61">
        <f t="shared" si="221"/>
        <v>-0.44746636962748365</v>
      </c>
      <c r="K176" s="61">
        <f>((K150/J150)-1)</f>
        <v>0.73131618228114559</v>
      </c>
      <c r="L176" s="118">
        <f t="shared" si="221"/>
        <v>0.13506967252190338</v>
      </c>
      <c r="M176" s="118">
        <f t="shared" si="221"/>
        <v>-9.9667246592353709E-2</v>
      </c>
      <c r="N176" s="118">
        <f t="shared" si="221"/>
        <v>-1.4815454443495524E-2</v>
      </c>
      <c r="O176" s="118">
        <f t="shared" si="221"/>
        <v>-3.6475848325914995E-2</v>
      </c>
      <c r="P176" s="118">
        <f t="shared" si="221"/>
        <v>-0.15300147637589467</v>
      </c>
      <c r="Q176" s="118">
        <f>((Q150/P150)-1)</f>
        <v>1.8705287814051896E-2</v>
      </c>
      <c r="R176" s="118">
        <f>((R150/Q150)-1)</f>
        <v>1.7023174793890927E-3</v>
      </c>
      <c r="S176" s="118">
        <f>((S150/R150)-1)</f>
        <v>2.9174291875377234E-2</v>
      </c>
      <c r="T176" s="118">
        <f>((T150/S150)-1)</f>
        <v>1.7425130543417211E-2</v>
      </c>
      <c r="U176" s="118">
        <f>((U150/T150)-1)</f>
        <v>-2.6058268017303821E-2</v>
      </c>
      <c r="V176" s="4"/>
      <c r="W176" s="4"/>
      <c r="X176" s="4"/>
      <c r="Y176" s="4"/>
      <c r="Z176" s="4"/>
      <c r="AA176" s="4"/>
      <c r="AB176" s="4"/>
      <c r="AC176" s="4"/>
      <c r="AD176" s="4"/>
    </row>
    <row r="177" spans="1:30">
      <c r="A177" s="5" t="s">
        <v>138</v>
      </c>
      <c r="B177" s="4"/>
      <c r="C177" s="115" t="s">
        <v>378</v>
      </c>
      <c r="D177" s="10">
        <f t="shared" ref="D177:P177" si="222">D35-D36</f>
        <v>0.21036816671700387</v>
      </c>
      <c r="E177" s="10">
        <f t="shared" si="222"/>
        <v>0.18342583098542548</v>
      </c>
      <c r="F177" s="10">
        <f t="shared" si="222"/>
        <v>0.16983896143648025</v>
      </c>
      <c r="G177" s="10">
        <f t="shared" si="222"/>
        <v>0.13881289148411785</v>
      </c>
      <c r="H177" s="10">
        <f t="shared" si="222"/>
        <v>8.2249856918443082E-2</v>
      </c>
      <c r="I177" s="10">
        <f t="shared" si="222"/>
        <v>8.6844882003403998E-2</v>
      </c>
      <c r="J177" s="10">
        <f t="shared" si="222"/>
        <v>8.7814442799839521E-2</v>
      </c>
      <c r="K177" s="10">
        <f t="shared" si="222"/>
        <v>5.9809956419291599E-2</v>
      </c>
      <c r="L177" s="114">
        <f t="shared" si="222"/>
        <v>4.242983893316344E-2</v>
      </c>
      <c r="M177" s="114">
        <f>M35-M36</f>
        <v>6.1434761996988607E-2</v>
      </c>
      <c r="N177" s="114">
        <f t="shared" si="222"/>
        <v>2.1305067805651803E-2</v>
      </c>
      <c r="O177" s="114">
        <f t="shared" si="222"/>
        <v>1.9218021708299345E-2</v>
      </c>
      <c r="P177" s="114">
        <f t="shared" si="222"/>
        <v>1.9803744944009827E-2</v>
      </c>
      <c r="Q177" s="114">
        <f>Q35-Q36</f>
        <v>1.6106459148022129E-2</v>
      </c>
      <c r="R177" s="114">
        <f>R35-R36</f>
        <v>1.6186927877489765E-2</v>
      </c>
      <c r="S177" s="114">
        <f>S35-S36</f>
        <v>1.9426567470858691E-2</v>
      </c>
      <c r="T177" s="114">
        <f>T35-T36</f>
        <v>1.720254766566387E-2</v>
      </c>
      <c r="U177" s="114">
        <f>U35-U36</f>
        <v>1.5309086657131932E-2</v>
      </c>
      <c r="V177" s="4"/>
      <c r="W177" s="4"/>
      <c r="X177" s="4"/>
      <c r="Y177" s="4"/>
      <c r="Z177" s="4"/>
      <c r="AA177" s="4"/>
      <c r="AB177" s="4"/>
      <c r="AC177" s="4"/>
      <c r="AD177" s="4"/>
    </row>
    <row r="178" spans="1:30">
      <c r="A178" s="5" t="s">
        <v>156</v>
      </c>
      <c r="B178" s="4"/>
      <c r="C178" s="115" t="s">
        <v>378</v>
      </c>
      <c r="D178" s="10">
        <f t="shared" ref="D178:K178" si="223">D177</f>
        <v>0.21036816671700387</v>
      </c>
      <c r="E178" s="10">
        <f t="shared" si="223"/>
        <v>0.18342583098542548</v>
      </c>
      <c r="F178" s="10">
        <f t="shared" si="223"/>
        <v>0.16983896143648025</v>
      </c>
      <c r="G178" s="10">
        <f t="shared" si="223"/>
        <v>0.13881289148411785</v>
      </c>
      <c r="H178" s="10">
        <f t="shared" si="223"/>
        <v>8.2249856918443082E-2</v>
      </c>
      <c r="I178" s="10">
        <f t="shared" si="223"/>
        <v>8.6844882003403998E-2</v>
      </c>
      <c r="J178" s="10">
        <f t="shared" si="223"/>
        <v>8.7814442799839521E-2</v>
      </c>
      <c r="K178" s="10">
        <f t="shared" si="223"/>
        <v>5.9809956419291599E-2</v>
      </c>
      <c r="L178" s="114">
        <f t="shared" ref="L178:T178" si="224">INDEX(L179:L181,MATCH($AB$150,$AD$150:$AD$152,0))</f>
        <v>4.242983893316344E-2</v>
      </c>
      <c r="M178" s="114">
        <f t="shared" si="224"/>
        <v>6.1434761996988607E-2</v>
      </c>
      <c r="N178" s="114">
        <f t="shared" si="224"/>
        <v>2.1305067805651803E-2</v>
      </c>
      <c r="O178" s="114">
        <f t="shared" si="224"/>
        <v>1.9218021708299345E-2</v>
      </c>
      <c r="P178" s="114">
        <f t="shared" si="224"/>
        <v>1.9803744944009827E-2</v>
      </c>
      <c r="Q178" s="114">
        <f t="shared" si="224"/>
        <v>1.6106459148022129E-2</v>
      </c>
      <c r="R178" s="114">
        <f t="shared" si="224"/>
        <v>1.6186927877489765E-2</v>
      </c>
      <c r="S178" s="114">
        <f t="shared" si="224"/>
        <v>1.9426567470858691E-2</v>
      </c>
      <c r="T178" s="114">
        <f t="shared" si="224"/>
        <v>1.720254766566387E-2</v>
      </c>
      <c r="U178" s="114">
        <f t="shared" ref="U178" si="225">INDEX(U179:U181,MATCH($AB$150,$AD$150:$AD$152,0))</f>
        <v>1.5309086657131932E-2</v>
      </c>
      <c r="V178" s="4"/>
      <c r="W178" s="4"/>
      <c r="X178" s="4"/>
      <c r="Y178" s="4"/>
      <c r="Z178" s="4"/>
      <c r="AA178" s="4"/>
      <c r="AB178" s="4"/>
      <c r="AC178" s="4"/>
      <c r="AD178" s="4"/>
    </row>
    <row r="179" spans="1:30" hidden="1" outlineLevel="1">
      <c r="A179" s="108" t="s">
        <v>157</v>
      </c>
      <c r="B179" s="4"/>
      <c r="C179" s="115"/>
      <c r="D179" s="115"/>
      <c r="E179" s="115"/>
      <c r="F179" s="115"/>
      <c r="G179" s="115"/>
      <c r="H179" s="10"/>
      <c r="I179" s="10"/>
      <c r="J179" s="10"/>
      <c r="K179" s="10"/>
      <c r="L179" s="114">
        <f t="shared" ref="L179:T179" si="226">L81</f>
        <v>4.242983893316344E-2</v>
      </c>
      <c r="M179" s="114">
        <f>M81</f>
        <v>6.1434761996988607E-2</v>
      </c>
      <c r="N179" s="114">
        <f t="shared" si="226"/>
        <v>2.1305067805651803E-2</v>
      </c>
      <c r="O179" s="114">
        <f t="shared" si="226"/>
        <v>1.9218021708299345E-2</v>
      </c>
      <c r="P179" s="114">
        <f t="shared" si="226"/>
        <v>1.9803744944009827E-2</v>
      </c>
      <c r="Q179" s="114">
        <f>Q81</f>
        <v>2.110645914802213E-2</v>
      </c>
      <c r="R179" s="114">
        <f>R81</f>
        <v>2.1186927877489766E-2</v>
      </c>
      <c r="S179" s="114">
        <f>S81</f>
        <v>2.4426567470858692E-2</v>
      </c>
      <c r="T179" s="114">
        <f t="shared" si="226"/>
        <v>2.2202547665663871E-2</v>
      </c>
      <c r="U179" s="114">
        <f t="shared" ref="U179" si="227">U81</f>
        <v>2.0309086657131933E-2</v>
      </c>
      <c r="V179" s="4"/>
      <c r="W179" s="4"/>
      <c r="X179" s="4"/>
      <c r="Y179" s="4"/>
      <c r="Z179" s="4"/>
      <c r="AA179" s="4"/>
      <c r="AB179" s="4"/>
      <c r="AC179" s="4"/>
      <c r="AD179" s="4"/>
    </row>
    <row r="180" spans="1:30" hidden="1" outlineLevel="1">
      <c r="A180" s="108" t="s">
        <v>74</v>
      </c>
      <c r="B180" s="4"/>
      <c r="C180" s="115"/>
      <c r="D180" s="115"/>
      <c r="E180" s="115"/>
      <c r="F180" s="115"/>
      <c r="G180" s="115"/>
      <c r="H180" s="10"/>
      <c r="I180" s="10"/>
      <c r="J180" s="10"/>
      <c r="K180" s="10"/>
      <c r="L180" s="114">
        <f t="shared" ref="L180:S181" si="228">L121</f>
        <v>4.242983893316344E-2</v>
      </c>
      <c r="M180" s="114">
        <f>M121</f>
        <v>6.1434761996988607E-2</v>
      </c>
      <c r="N180" s="114">
        <f t="shared" si="228"/>
        <v>2.1305067805651803E-2</v>
      </c>
      <c r="O180" s="114">
        <f t="shared" si="228"/>
        <v>1.9218021708299345E-2</v>
      </c>
      <c r="P180" s="114">
        <f t="shared" si="228"/>
        <v>1.9803744944009827E-2</v>
      </c>
      <c r="Q180" s="114">
        <f t="shared" si="228"/>
        <v>1.6106459148022129E-2</v>
      </c>
      <c r="R180" s="114">
        <f t="shared" si="228"/>
        <v>1.6186927877489765E-2</v>
      </c>
      <c r="S180" s="114">
        <f t="shared" si="228"/>
        <v>1.9426567470858691E-2</v>
      </c>
      <c r="T180" s="114">
        <f>T121</f>
        <v>1.720254766566387E-2</v>
      </c>
      <c r="U180" s="114">
        <f>U121</f>
        <v>1.5309086657131932E-2</v>
      </c>
      <c r="V180" s="4"/>
      <c r="W180" s="4"/>
      <c r="X180" s="4"/>
      <c r="Y180" s="4"/>
      <c r="Z180" s="4"/>
      <c r="AA180" s="4"/>
      <c r="AB180" s="4"/>
      <c r="AC180" s="4"/>
      <c r="AD180" s="4"/>
    </row>
    <row r="181" spans="1:30" hidden="1" outlineLevel="1">
      <c r="A181" s="108" t="s">
        <v>160</v>
      </c>
      <c r="B181" s="4"/>
      <c r="C181" s="115"/>
      <c r="D181" s="115"/>
      <c r="E181" s="115"/>
      <c r="F181" s="115"/>
      <c r="G181" s="115"/>
      <c r="H181" s="10"/>
      <c r="I181" s="10"/>
      <c r="J181" s="10"/>
      <c r="K181" s="10"/>
      <c r="L181" s="114">
        <f t="shared" si="228"/>
        <v>4.242983893316344E-2</v>
      </c>
      <c r="M181" s="114">
        <f>M122</f>
        <v>6.1434761996988607E-2</v>
      </c>
      <c r="N181" s="114">
        <f t="shared" si="228"/>
        <v>2.1305067805651803E-2</v>
      </c>
      <c r="O181" s="114">
        <f t="shared" si="228"/>
        <v>1.9218021708299345E-2</v>
      </c>
      <c r="P181" s="114">
        <f t="shared" si="228"/>
        <v>1.9803744944009827E-2</v>
      </c>
      <c r="Q181" s="114">
        <f t="shared" si="228"/>
        <v>1.1106459148022128E-2</v>
      </c>
      <c r="R181" s="114">
        <f t="shared" si="228"/>
        <v>1.1186927877489764E-2</v>
      </c>
      <c r="S181" s="114">
        <f t="shared" si="228"/>
        <v>1.442656747085869E-2</v>
      </c>
      <c r="T181" s="114">
        <f>T122</f>
        <v>1.2202547665663869E-2</v>
      </c>
      <c r="U181" s="114">
        <f>U122</f>
        <v>1.0309086657131931E-2</v>
      </c>
      <c r="V181" s="4"/>
      <c r="W181" s="4"/>
      <c r="X181" s="4"/>
      <c r="Y181" s="4"/>
      <c r="Z181" s="4"/>
      <c r="AA181" s="4"/>
      <c r="AB181" s="4"/>
      <c r="AC181" s="4"/>
      <c r="AD181" s="4"/>
    </row>
    <row r="182" spans="1:30" collapsed="1">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row>
    <row r="183" spans="1:30">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row>
    <row r="184" spans="1:30">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row>
    <row r="185" spans="1:30">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row>
    <row r="186" spans="1:30">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row>
    <row r="187" spans="1:30">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row>
    <row r="188" spans="1:30">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row>
    <row r="189" spans="1:30">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row>
    <row r="190" spans="1:30">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row>
    <row r="191" spans="1:30">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row>
    <row r="192" spans="1:30">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row>
    <row r="193" spans="1:30">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row>
    <row r="194" spans="1:30">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row>
    <row r="195" spans="1:30">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row>
    <row r="196" spans="1:30">
      <c r="A196" s="4"/>
      <c r="B196" s="4"/>
      <c r="C196" s="116"/>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row>
    <row r="197" spans="1:30">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row>
    <row r="198" spans="1:30">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row>
    <row r="199" spans="1:30">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c r="AA199" s="4"/>
      <c r="AB199" s="4"/>
      <c r="AC199" s="4"/>
      <c r="AD199" s="4"/>
    </row>
    <row r="200" spans="1:30">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row>
    <row r="201" spans="1:30">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c r="AA201" s="4"/>
      <c r="AB201" s="4"/>
      <c r="AC201" s="4"/>
      <c r="AD201" s="4"/>
    </row>
    <row r="202" spans="1:30">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row>
    <row r="203" spans="1:30">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c r="AA203" s="4"/>
      <c r="AB203" s="4"/>
      <c r="AC203" s="4"/>
      <c r="AD203" s="4"/>
    </row>
    <row r="204" spans="1:30">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row>
    <row r="205" spans="1:30">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c r="AA205" s="4"/>
      <c r="AB205" s="4"/>
      <c r="AC205" s="4"/>
      <c r="AD205" s="4"/>
    </row>
  </sheetData>
  <phoneticPr fontId="36" type="noConversion"/>
  <pageMargins left="0.75" right="0.75" top="1" bottom="1" header="0.5" footer="0.5"/>
  <pageSetup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indexed="59"/>
    <pageSetUpPr fitToPage="1"/>
  </sheetPr>
  <dimension ref="A1:EE104"/>
  <sheetViews>
    <sheetView showGridLines="0" zoomScale="90" zoomScaleNormal="90" zoomScaleSheetLayoutView="85" workbookViewId="0">
      <pane xSplit="2" ySplit="6" topLeftCell="BY7" activePane="bottomRight" state="frozen"/>
      <selection pane="topRight" activeCell="C1" sqref="C1"/>
      <selection pane="bottomLeft" activeCell="A8" sqref="A8"/>
      <selection pane="bottomRight" activeCell="DH23" sqref="DH23"/>
    </sheetView>
  </sheetViews>
  <sheetFormatPr defaultRowHeight="12.75" outlineLevelRow="1" outlineLevelCol="1"/>
  <cols>
    <col min="1" max="1" width="23.85546875" style="410" customWidth="1"/>
    <col min="2" max="2" width="0.5703125" style="410" customWidth="1"/>
    <col min="3" max="6" width="6.42578125" style="410" hidden="1" customWidth="1" outlineLevel="1"/>
    <col min="7" max="7" width="2.140625" style="410" hidden="1" customWidth="1" outlineLevel="1"/>
    <col min="8" max="8" width="6.7109375" style="410" hidden="1" customWidth="1" outlineLevel="1" collapsed="1"/>
    <col min="9" max="11" width="7.28515625" style="410" hidden="1" customWidth="1" outlineLevel="1"/>
    <col min="12" max="12" width="2.140625" style="410" hidden="1" customWidth="1" outlineLevel="1"/>
    <col min="13" max="16" width="7" style="410" hidden="1" customWidth="1" outlineLevel="1"/>
    <col min="17" max="17" width="1.42578125" style="410" hidden="1" customWidth="1" outlineLevel="1"/>
    <col min="18" max="21" width="6.42578125" style="410" hidden="1" customWidth="1" outlineLevel="1"/>
    <col min="22" max="22" width="1.42578125" style="410" hidden="1" customWidth="1" outlineLevel="1"/>
    <col min="23" max="26" width="6.42578125" style="410" hidden="1" customWidth="1" outlineLevel="1"/>
    <col min="27" max="27" width="1.42578125" style="410" hidden="1" customWidth="1" outlineLevel="1" collapsed="1"/>
    <col min="28" max="31" width="6.42578125" style="410" hidden="1" customWidth="1" outlineLevel="1"/>
    <col min="32" max="32" width="1.42578125" style="410" hidden="1" customWidth="1" outlineLevel="1"/>
    <col min="33" max="36" width="6.42578125" style="410" hidden="1" customWidth="1" outlineLevel="1"/>
    <col min="37" max="37" width="1.42578125" style="410" hidden="1" customWidth="1" outlineLevel="1"/>
    <col min="38" max="40" width="6.42578125" style="410" hidden="1" customWidth="1" outlineLevel="1"/>
    <col min="41" max="41" width="8" style="410" hidden="1" customWidth="1" outlineLevel="1"/>
    <col min="42" max="42" width="1.42578125" style="410" hidden="1" customWidth="1" outlineLevel="1" collapsed="1"/>
    <col min="43" max="44" width="8" style="410" hidden="1" customWidth="1" outlineLevel="1"/>
    <col min="45" max="46" width="6.42578125" style="410" hidden="1" customWidth="1" outlineLevel="1"/>
    <col min="47" max="47" width="1.42578125" style="410" hidden="1" customWidth="1" outlineLevel="1" collapsed="1"/>
    <col min="48" max="48" width="7.5703125" style="410" hidden="1" customWidth="1" outlineLevel="1"/>
    <col min="49" max="51" width="6.42578125" style="410" hidden="1" customWidth="1" outlineLevel="1"/>
    <col min="52" max="52" width="1.42578125" style="410" hidden="1" customWidth="1" outlineLevel="1"/>
    <col min="53" max="56" width="6.42578125" style="410" hidden="1" customWidth="1" outlineLevel="1"/>
    <col min="57" max="57" width="1.28515625" style="410" hidden="1" customWidth="1" outlineLevel="1"/>
    <col min="58" max="58" width="7.140625" style="410" hidden="1" customWidth="1" outlineLevel="1"/>
    <col min="59" max="61" width="6.42578125" style="410" hidden="1" customWidth="1" outlineLevel="1"/>
    <col min="62" max="62" width="1.42578125" style="410" hidden="1" customWidth="1" outlineLevel="1"/>
    <col min="63" max="63" width="8" style="410" hidden="1" customWidth="1" outlineLevel="1"/>
    <col min="64" max="65" width="6.42578125" style="410" hidden="1" customWidth="1" outlineLevel="1"/>
    <col min="66" max="66" width="7.140625" style="410" hidden="1" customWidth="1" outlineLevel="1"/>
    <col min="67" max="67" width="1.42578125" style="410" hidden="1" customWidth="1" outlineLevel="1"/>
    <col min="68" max="71" width="8.85546875" style="410" hidden="1" customWidth="1" outlineLevel="1"/>
    <col min="72" max="72" width="1.42578125" style="410" hidden="1" customWidth="1" outlineLevel="1" collapsed="1"/>
    <col min="73" max="75" width="8.85546875" style="410" hidden="1" customWidth="1" outlineLevel="1"/>
    <col min="76" max="76" width="8.7109375" style="410" hidden="1" customWidth="1" outlineLevel="1"/>
    <col min="77" max="77" width="1.42578125" style="410" customWidth="1" collapsed="1"/>
    <col min="82" max="82" width="1.42578125" style="410" customWidth="1"/>
    <col min="83" max="83" width="8.5703125" style="410" customWidth="1"/>
    <col min="84" max="84" width="7" style="410" customWidth="1"/>
    <col min="85" max="85" width="8" style="410" customWidth="1"/>
    <col min="86" max="86" width="9.28515625" style="410" customWidth="1"/>
    <col min="87" max="87" width="1.42578125" style="410" customWidth="1"/>
    <col min="88" max="88" width="8.5703125" style="410" customWidth="1"/>
    <col min="89" max="89" width="7" style="410" customWidth="1"/>
    <col min="90" max="90" width="8" style="410" customWidth="1"/>
    <col min="91" max="91" width="9.28515625" style="410" customWidth="1"/>
    <col min="92" max="92" width="1.42578125" style="410" customWidth="1"/>
    <col min="93" max="93" width="8" style="410" hidden="1" customWidth="1" outlineLevel="1"/>
    <col min="94" max="98" width="6.28515625" style="410" hidden="1" customWidth="1" outlineLevel="1"/>
    <col min="99" max="99" width="7.42578125" style="410" hidden="1" customWidth="1" outlineLevel="1" collapsed="1"/>
    <col min="100" max="104" width="7.42578125" style="410" hidden="1" customWidth="1" outlineLevel="1"/>
    <col min="105" max="105" width="8.85546875" style="410" hidden="1" customWidth="1" outlineLevel="1" collapsed="1"/>
    <col min="106" max="106" width="8.85546875" style="410" hidden="1" customWidth="1" outlineLevel="1"/>
    <col min="107" max="108" width="8.85546875" style="410" hidden="1" customWidth="1" outlineLevel="1" collapsed="1"/>
    <col min="109" max="109" width="8.85546875" style="410" hidden="1" customWidth="1" outlineLevel="1"/>
    <col min="110" max="110" width="8.85546875" style="410" customWidth="1" collapsed="1"/>
    <col min="111" max="111" width="8.85546875" style="410" customWidth="1"/>
    <col min="112" max="112" width="8.85546875" style="410" bestFit="1" customWidth="1"/>
    <col min="113" max="113" width="9.140625" style="410" customWidth="1"/>
    <col min="114" max="117" width="8.85546875" style="410" bestFit="1" customWidth="1"/>
    <col min="118" max="119" width="8.85546875" style="410" customWidth="1"/>
    <col min="120" max="120" width="9.140625" style="410" hidden="1" customWidth="1" outlineLevel="1"/>
    <col min="121" max="121" width="22.140625" hidden="1" customWidth="1" outlineLevel="1"/>
    <col min="122" max="126" width="9.140625" hidden="1" customWidth="1" outlineLevel="1"/>
    <col min="127" max="129" width="9.140625" style="410" hidden="1" customWidth="1" outlineLevel="1"/>
    <col min="130" max="130" width="9.140625" style="410" collapsed="1"/>
    <col min="131" max="16384" width="9.140625" style="410"/>
  </cols>
  <sheetData>
    <row r="1" spans="1:131">
      <c r="A1" s="709" t="s">
        <v>483</v>
      </c>
      <c r="B1" s="710"/>
      <c r="C1" s="710"/>
      <c r="D1" s="710"/>
      <c r="E1" s="710"/>
      <c r="F1" s="710"/>
      <c r="G1" s="710"/>
      <c r="H1" s="710"/>
      <c r="I1" s="710"/>
      <c r="J1" s="710"/>
      <c r="K1" s="710"/>
      <c r="L1" s="710"/>
      <c r="M1" s="710"/>
      <c r="N1" s="710"/>
      <c r="O1" s="710"/>
      <c r="P1" s="710"/>
      <c r="Q1" s="710"/>
      <c r="R1" s="710"/>
      <c r="S1" s="710"/>
      <c r="T1" s="710"/>
      <c r="U1" s="710"/>
      <c r="V1" s="710"/>
      <c r="W1" s="710"/>
      <c r="X1" s="710"/>
      <c r="Y1" s="710"/>
      <c r="Z1" s="710"/>
      <c r="AA1" s="710"/>
      <c r="AB1" s="710"/>
      <c r="AC1" s="710"/>
      <c r="AD1" s="710"/>
      <c r="AE1" s="710"/>
      <c r="AF1" s="710"/>
      <c r="AG1" s="710"/>
      <c r="AH1" s="710"/>
      <c r="AI1" s="710"/>
      <c r="AJ1" s="710"/>
      <c r="AK1" s="710"/>
      <c r="AL1" s="710"/>
      <c r="AM1" s="710"/>
      <c r="AN1" s="710"/>
      <c r="AO1" s="710"/>
      <c r="AP1" s="710"/>
      <c r="AQ1" s="710"/>
      <c r="AR1" s="710"/>
      <c r="AS1" s="710"/>
      <c r="AT1" s="710"/>
      <c r="AU1" s="710"/>
      <c r="AV1" s="710"/>
      <c r="AW1" s="710"/>
      <c r="AX1" s="710"/>
      <c r="AY1" s="710"/>
      <c r="AZ1" s="710"/>
      <c r="BA1" s="710"/>
      <c r="BB1" s="710"/>
      <c r="BC1" s="710"/>
      <c r="BD1" s="710"/>
      <c r="BE1" s="710"/>
      <c r="BF1" s="710"/>
      <c r="BG1" s="710"/>
      <c r="BH1" s="710"/>
      <c r="BI1" s="710"/>
      <c r="BJ1" s="710"/>
      <c r="BK1" s="710"/>
      <c r="BL1" s="710"/>
      <c r="BM1" s="710"/>
      <c r="BN1" s="710"/>
      <c r="BO1" s="710"/>
      <c r="BP1" s="710"/>
      <c r="BQ1" s="710"/>
      <c r="BR1" s="710"/>
      <c r="BS1" s="710"/>
      <c r="BT1" s="710"/>
      <c r="BU1" s="710"/>
      <c r="BV1" s="710"/>
      <c r="BW1" s="710"/>
      <c r="BX1" s="710"/>
      <c r="BY1" s="710"/>
      <c r="BZ1" s="710"/>
      <c r="CA1" s="710"/>
      <c r="CB1" s="710"/>
      <c r="CC1" s="716"/>
      <c r="CD1" s="710"/>
      <c r="CI1" s="710"/>
      <c r="CN1" s="710"/>
      <c r="CO1" s="711"/>
      <c r="CP1" s="711"/>
      <c r="CQ1" s="711"/>
      <c r="CR1" s="711"/>
      <c r="CS1" s="711"/>
      <c r="CT1" s="710"/>
      <c r="CU1" s="710"/>
      <c r="CV1" s="711"/>
      <c r="CW1" s="711"/>
      <c r="CX1" s="711"/>
      <c r="CY1" s="711"/>
      <c r="CZ1" s="711"/>
      <c r="DA1" s="711"/>
      <c r="DB1" s="711"/>
      <c r="DC1" s="711"/>
      <c r="DD1" s="712"/>
      <c r="DE1" s="711"/>
      <c r="DF1" s="711"/>
      <c r="DG1" s="711"/>
      <c r="DH1" s="712"/>
      <c r="DI1" s="712"/>
      <c r="DJ1" s="712"/>
      <c r="DK1" s="712"/>
      <c r="DL1" s="712"/>
      <c r="DM1" s="712"/>
      <c r="DN1" s="712"/>
      <c r="DO1" s="712"/>
      <c r="DP1" s="704"/>
    </row>
    <row r="2" spans="1:131">
      <c r="A2" s="713" t="s">
        <v>722</v>
      </c>
      <c r="B2" s="714"/>
      <c r="C2" s="714"/>
      <c r="D2" s="714"/>
      <c r="E2" s="714"/>
      <c r="F2" s="714"/>
      <c r="G2" s="714"/>
      <c r="H2" s="714"/>
      <c r="I2" s="714"/>
      <c r="J2" s="714"/>
      <c r="K2" s="714"/>
      <c r="L2" s="714"/>
      <c r="M2" s="714"/>
      <c r="N2" s="714"/>
      <c r="O2" s="714"/>
      <c r="P2" s="714"/>
      <c r="Q2" s="714"/>
      <c r="R2" s="714"/>
      <c r="S2" s="714"/>
      <c r="T2" s="714"/>
      <c r="U2" s="714"/>
      <c r="V2" s="714"/>
      <c r="W2" s="714"/>
      <c r="X2" s="714"/>
      <c r="Y2" s="714"/>
      <c r="Z2" s="714"/>
      <c r="AA2" s="714"/>
      <c r="AB2" s="714"/>
      <c r="AC2" s="714"/>
      <c r="AD2" s="714"/>
      <c r="AE2" s="714"/>
      <c r="AF2" s="714"/>
      <c r="AG2" s="714"/>
      <c r="AH2" s="714"/>
      <c r="AI2" s="714"/>
      <c r="AJ2" s="714"/>
      <c r="AK2" s="714"/>
      <c r="AL2" s="714"/>
      <c r="AM2" s="714"/>
      <c r="AN2" s="714"/>
      <c r="AO2" s="714"/>
      <c r="AP2" s="714"/>
      <c r="AQ2" s="714"/>
      <c r="AR2" s="714"/>
      <c r="AS2" s="714"/>
      <c r="AT2" s="714"/>
      <c r="AU2" s="714"/>
      <c r="AV2" s="714"/>
      <c r="AW2" s="714"/>
      <c r="AX2" s="714"/>
      <c r="AY2" s="714"/>
      <c r="AZ2" s="714"/>
      <c r="BA2" s="714"/>
      <c r="BB2" s="714"/>
      <c r="BC2" s="714"/>
      <c r="BD2" s="714"/>
      <c r="BE2" s="714"/>
      <c r="BF2" s="714"/>
      <c r="BG2" s="714"/>
      <c r="BH2" s="714"/>
      <c r="BI2" s="714"/>
      <c r="BJ2" s="714"/>
      <c r="BK2" s="1273"/>
      <c r="BL2" s="1273"/>
      <c r="BM2" s="1273"/>
      <c r="BN2" s="1273"/>
      <c r="BO2" s="714"/>
      <c r="BP2" s="1273"/>
      <c r="BQ2" s="1273"/>
      <c r="BR2" s="1273"/>
      <c r="BS2" s="1273"/>
      <c r="BT2" s="714"/>
      <c r="BU2" s="1273"/>
      <c r="BV2" s="1273"/>
      <c r="BW2" s="1273"/>
      <c r="BX2" s="1273"/>
      <c r="BY2" s="714"/>
      <c r="BZ2" s="1273"/>
      <c r="CA2" s="1273"/>
      <c r="CB2" s="1273"/>
      <c r="CC2" s="1273"/>
      <c r="CD2" s="1273"/>
      <c r="CI2" s="1273"/>
      <c r="CN2" s="1273"/>
      <c r="CO2" s="1273"/>
      <c r="CP2" s="1273"/>
      <c r="CQ2" s="1273"/>
      <c r="CR2" s="1273"/>
      <c r="CS2" s="1273"/>
      <c r="CT2" s="1273"/>
      <c r="CU2" s="1273"/>
      <c r="CV2" s="1273"/>
      <c r="CW2" s="1273"/>
      <c r="CX2" s="1273"/>
      <c r="CY2" s="1273"/>
      <c r="CZ2" s="1273"/>
      <c r="DA2" s="1273"/>
      <c r="DB2" s="1273"/>
      <c r="DC2" s="1273"/>
      <c r="DD2" s="1273"/>
      <c r="DE2" s="1273"/>
      <c r="DF2" s="715"/>
      <c r="DG2" s="715"/>
      <c r="DH2" s="715"/>
      <c r="DI2" s="715"/>
      <c r="DJ2" s="715"/>
      <c r="DK2" s="715"/>
      <c r="DL2" s="715"/>
      <c r="DM2" s="715"/>
      <c r="DN2" s="715"/>
      <c r="DO2" s="715"/>
      <c r="DP2" s="704"/>
    </row>
    <row r="3" spans="1:131">
      <c r="A3" s="711" t="s">
        <v>405</v>
      </c>
      <c r="B3" s="710"/>
      <c r="C3" s="710"/>
      <c r="D3" s="710"/>
      <c r="E3" s="710"/>
      <c r="F3" s="710"/>
      <c r="G3" s="710"/>
      <c r="H3" s="710"/>
      <c r="I3" s="710"/>
      <c r="J3" s="710"/>
      <c r="K3" s="710"/>
      <c r="L3" s="710"/>
      <c r="M3" s="710"/>
      <c r="N3" s="710"/>
      <c r="O3" s="710"/>
      <c r="P3" s="710"/>
      <c r="Q3" s="710"/>
      <c r="R3" s="710"/>
      <c r="S3" s="710"/>
      <c r="T3" s="710"/>
      <c r="U3" s="710"/>
      <c r="V3" s="710"/>
      <c r="W3" s="710"/>
      <c r="X3" s="710"/>
      <c r="Y3" s="710"/>
      <c r="Z3" s="710"/>
      <c r="AA3" s="710"/>
      <c r="AB3" s="710"/>
      <c r="AC3" s="710"/>
      <c r="AD3" s="710"/>
      <c r="AE3" s="710"/>
      <c r="AF3" s="710"/>
      <c r="AG3" s="710"/>
      <c r="AH3" s="710"/>
      <c r="AI3" s="710"/>
      <c r="AJ3" s="710"/>
      <c r="AK3" s="710"/>
      <c r="AL3" s="710"/>
      <c r="AM3" s="710"/>
      <c r="AN3" s="710"/>
      <c r="AO3" s="710"/>
      <c r="AP3" s="710"/>
      <c r="AQ3" s="710"/>
      <c r="AR3" s="710"/>
      <c r="AS3" s="710"/>
      <c r="AT3" s="710"/>
      <c r="AU3" s="710"/>
      <c r="AV3" s="710"/>
      <c r="AW3" s="710"/>
      <c r="AX3" s="710"/>
      <c r="AY3" s="710"/>
      <c r="AZ3" s="710"/>
      <c r="BA3" s="710"/>
      <c r="BB3" s="710"/>
      <c r="BC3" s="710"/>
      <c r="BD3" s="710"/>
      <c r="BE3" s="710"/>
      <c r="BF3" s="710"/>
      <c r="BG3" s="710"/>
      <c r="BH3" s="710"/>
      <c r="BI3" s="710"/>
      <c r="BJ3" s="710"/>
      <c r="BK3" s="710"/>
      <c r="BL3" s="710"/>
      <c r="BM3" s="710"/>
      <c r="BN3" s="710"/>
      <c r="BO3" s="710"/>
      <c r="BP3" s="710"/>
      <c r="BQ3" s="710"/>
      <c r="BR3" s="710"/>
      <c r="BS3" s="710"/>
      <c r="BT3" s="710"/>
      <c r="BU3" s="710"/>
      <c r="BV3" s="710"/>
      <c r="BW3" s="710"/>
      <c r="BX3" s="923"/>
      <c r="BY3" s="710"/>
      <c r="BZ3" s="710"/>
      <c r="CA3" s="710"/>
      <c r="CB3" s="710"/>
      <c r="CC3" s="716"/>
      <c r="CD3" s="710"/>
      <c r="CE3" s="1596"/>
      <c r="CF3" s="1596"/>
      <c r="CG3" s="1596"/>
      <c r="CH3" s="1596"/>
      <c r="CI3" s="710"/>
      <c r="CJ3" s="1596"/>
      <c r="CK3" s="1596"/>
      <c r="CL3" s="1596"/>
      <c r="CM3" s="1596"/>
      <c r="CN3" s="710"/>
      <c r="CO3" s="711"/>
      <c r="CP3" s="711"/>
      <c r="CQ3" s="711"/>
      <c r="CR3" s="711"/>
      <c r="CS3" s="711"/>
      <c r="CT3" s="710"/>
      <c r="CU3" s="710"/>
      <c r="CV3" s="711"/>
      <c r="CW3" s="711"/>
      <c r="CX3" s="711"/>
      <c r="CY3" s="711"/>
      <c r="CZ3" s="711"/>
      <c r="DA3" s="711"/>
      <c r="DB3" s="711"/>
      <c r="DC3" s="711"/>
      <c r="DD3" s="712"/>
      <c r="DE3" s="711"/>
      <c r="DF3" s="711"/>
      <c r="DG3" s="711"/>
      <c r="DH3" s="712"/>
      <c r="DI3" s="717"/>
      <c r="DJ3" s="717"/>
      <c r="DK3" s="712"/>
      <c r="DL3" s="712"/>
      <c r="DM3" s="712"/>
      <c r="DN3" s="712"/>
      <c r="DO3" s="712"/>
      <c r="DP3" s="704"/>
    </row>
    <row r="4" spans="1:131" ht="12.75" customHeight="1">
      <c r="A4" s="718"/>
      <c r="B4" s="719"/>
      <c r="C4" s="720"/>
      <c r="D4" s="720"/>
      <c r="E4" s="720"/>
      <c r="F4" s="720"/>
      <c r="G4" s="720"/>
      <c r="H4" s="720"/>
      <c r="I4" s="720"/>
      <c r="J4" s="720"/>
      <c r="K4" s="720"/>
      <c r="L4" s="720"/>
      <c r="M4" s="720"/>
      <c r="N4" s="720"/>
      <c r="O4" s="720"/>
      <c r="P4" s="720"/>
      <c r="Q4" s="721"/>
      <c r="R4" s="722"/>
      <c r="S4" s="722"/>
      <c r="T4" s="722"/>
      <c r="U4" s="722"/>
      <c r="V4" s="722"/>
      <c r="W4" s="722"/>
      <c r="X4" s="722"/>
      <c r="Y4" s="722"/>
      <c r="Z4" s="722"/>
      <c r="AA4" s="723"/>
      <c r="AB4" s="704"/>
      <c r="AC4" s="720"/>
      <c r="AD4" s="720"/>
      <c r="AE4" s="720"/>
      <c r="AF4" s="719"/>
      <c r="AG4" s="720" t="s">
        <v>406</v>
      </c>
      <c r="AH4" s="720"/>
      <c r="AI4" s="720"/>
      <c r="AJ4" s="720"/>
      <c r="AK4" s="719"/>
      <c r="AL4" s="720"/>
      <c r="AM4" s="720"/>
      <c r="AN4" s="720"/>
      <c r="AO4" s="720"/>
      <c r="AP4" s="719"/>
      <c r="AQ4" s="720"/>
      <c r="AR4" s="720"/>
      <c r="AS4" s="720"/>
      <c r="AT4" s="720"/>
      <c r="AU4" s="719"/>
      <c r="AV4" s="720"/>
      <c r="AW4" s="720"/>
      <c r="AX4" s="720"/>
      <c r="AY4" s="720"/>
      <c r="AZ4" s="719"/>
      <c r="BA4" s="720"/>
      <c r="BB4" s="720"/>
      <c r="BC4" s="720"/>
      <c r="BD4" s="720"/>
      <c r="BE4" s="719"/>
      <c r="BF4" s="720"/>
      <c r="BG4" s="720"/>
      <c r="BH4" s="720"/>
      <c r="BI4" s="720"/>
      <c r="BJ4" s="719"/>
      <c r="BK4" s="720"/>
      <c r="BL4" s="720"/>
      <c r="BM4" s="720"/>
      <c r="BN4" s="720"/>
      <c r="BO4" s="719"/>
      <c r="BP4" s="720"/>
      <c r="BQ4" s="720"/>
      <c r="BR4" s="720"/>
      <c r="BS4" s="720"/>
      <c r="BT4" s="719"/>
      <c r="BU4" s="720"/>
      <c r="BV4" s="720"/>
      <c r="BW4" s="720"/>
      <c r="BX4" s="720"/>
      <c r="BY4" s="719"/>
      <c r="BZ4" s="720"/>
      <c r="CA4" s="720"/>
      <c r="CB4" s="720"/>
      <c r="CC4" s="724"/>
      <c r="CD4" s="719"/>
      <c r="CE4" s="724"/>
      <c r="CF4" s="724"/>
      <c r="CG4" s="724"/>
      <c r="CH4" s="724"/>
      <c r="CI4" s="719"/>
      <c r="CJ4" s="724"/>
      <c r="CK4" s="724"/>
      <c r="CL4" s="724"/>
      <c r="CM4" s="724"/>
      <c r="CN4" s="719"/>
      <c r="CO4" s="719"/>
      <c r="CP4" s="719"/>
      <c r="CQ4" s="719"/>
      <c r="CR4" s="719"/>
      <c r="CS4" s="719"/>
      <c r="CT4" s="725"/>
      <c r="CU4" s="719"/>
      <c r="CV4" s="719"/>
      <c r="CW4" s="719"/>
      <c r="CX4" s="719"/>
      <c r="CY4" s="719"/>
      <c r="CZ4" s="719"/>
      <c r="DA4" s="719"/>
      <c r="DB4" s="719"/>
      <c r="DC4" s="719"/>
      <c r="DD4" s="719"/>
      <c r="DE4" s="719"/>
      <c r="DF4" s="719"/>
      <c r="DG4" s="719"/>
      <c r="DH4" s="719"/>
      <c r="DI4" s="1243"/>
      <c r="DJ4" s="1243"/>
      <c r="DK4" s="719"/>
      <c r="DL4" s="719"/>
      <c r="DM4" s="719"/>
      <c r="DN4" s="1243"/>
      <c r="DO4" s="1243"/>
      <c r="DP4" s="793"/>
    </row>
    <row r="5" spans="1:131">
      <c r="A5" s="726"/>
      <c r="B5" s="727" t="s">
        <v>407</v>
      </c>
      <c r="C5" s="728" t="str">
        <f>+CT5</f>
        <v>2001A</v>
      </c>
      <c r="D5" s="729"/>
      <c r="E5" s="729"/>
      <c r="F5" s="729"/>
      <c r="G5" s="730"/>
      <c r="H5" s="728" t="str">
        <f>+CU5</f>
        <v>2002A</v>
      </c>
      <c r="I5" s="729"/>
      <c r="J5" s="731"/>
      <c r="K5" s="731"/>
      <c r="L5" s="730"/>
      <c r="M5" s="728" t="s">
        <v>389</v>
      </c>
      <c r="N5" s="729"/>
      <c r="O5" s="731"/>
      <c r="P5" s="731"/>
      <c r="Q5" s="730"/>
      <c r="R5" s="728" t="str">
        <f>+CW5</f>
        <v>2004A</v>
      </c>
      <c r="S5" s="729"/>
      <c r="T5" s="731"/>
      <c r="U5" s="731"/>
      <c r="V5" s="732"/>
      <c r="W5" s="728" t="str">
        <f>+CX5</f>
        <v>2005A</v>
      </c>
      <c r="X5" s="729"/>
      <c r="Y5" s="731"/>
      <c r="Z5" s="731"/>
      <c r="AA5" s="730"/>
      <c r="AB5" s="728" t="str">
        <f>CY5</f>
        <v>2006A</v>
      </c>
      <c r="AC5" s="729"/>
      <c r="AD5" s="731"/>
      <c r="AE5" s="731"/>
      <c r="AF5" s="733"/>
      <c r="AG5" s="728" t="str">
        <f>+CZ5</f>
        <v>2007A</v>
      </c>
      <c r="AH5" s="729"/>
      <c r="AI5" s="734"/>
      <c r="AJ5" s="731"/>
      <c r="AK5" s="704"/>
      <c r="AL5" s="728" t="str">
        <f>+DA5</f>
        <v>2008A</v>
      </c>
      <c r="AM5" s="729"/>
      <c r="AN5" s="731"/>
      <c r="AO5" s="731"/>
      <c r="AP5" s="704"/>
      <c r="AQ5" s="728" t="str">
        <f>+DB5</f>
        <v>2009A</v>
      </c>
      <c r="AR5" s="729"/>
      <c r="AS5" s="731"/>
      <c r="AT5" s="731"/>
      <c r="AU5" s="704"/>
      <c r="AV5" s="728">
        <f>+DC5</f>
        <v>2010</v>
      </c>
      <c r="AW5" s="729"/>
      <c r="AX5" s="731"/>
      <c r="AY5" s="731"/>
      <c r="AZ5" s="704"/>
      <c r="BA5" s="728">
        <v>2011</v>
      </c>
      <c r="BB5" s="729"/>
      <c r="BC5" s="731"/>
      <c r="BD5" s="731"/>
      <c r="BE5" s="704"/>
      <c r="BF5" s="728" t="s">
        <v>111</v>
      </c>
      <c r="BG5" s="729"/>
      <c r="BH5" s="731"/>
      <c r="BI5" s="731"/>
      <c r="BJ5" s="704"/>
      <c r="BK5" s="728" t="s">
        <v>85</v>
      </c>
      <c r="BL5" s="729"/>
      <c r="BM5" s="731"/>
      <c r="BN5" s="731"/>
      <c r="BO5" s="704"/>
      <c r="BP5" s="728" t="s">
        <v>680</v>
      </c>
      <c r="BQ5" s="729"/>
      <c r="BR5" s="731"/>
      <c r="BS5" s="731"/>
      <c r="BT5" s="704"/>
      <c r="BU5" s="728" t="s">
        <v>688</v>
      </c>
      <c r="BV5" s="729"/>
      <c r="BW5" s="731"/>
      <c r="BX5" s="731"/>
      <c r="BY5" s="704"/>
      <c r="BZ5" s="728" t="s">
        <v>730</v>
      </c>
      <c r="CA5" s="729"/>
      <c r="CB5" s="731"/>
      <c r="CC5" s="731"/>
      <c r="CD5" s="704"/>
      <c r="CE5" s="728" t="s">
        <v>776</v>
      </c>
      <c r="CF5" s="729"/>
      <c r="CG5" s="731"/>
      <c r="CH5" s="731"/>
      <c r="CI5" s="704"/>
      <c r="CJ5" s="1744" t="s">
        <v>60</v>
      </c>
      <c r="CK5" s="729"/>
      <c r="CL5" s="731"/>
      <c r="CM5" s="1745"/>
      <c r="CN5" s="704"/>
      <c r="CO5" s="735">
        <v>1996</v>
      </c>
      <c r="CP5" s="735">
        <v>1997</v>
      </c>
      <c r="CQ5" s="735">
        <v>1998</v>
      </c>
      <c r="CR5" s="735">
        <v>1999</v>
      </c>
      <c r="CS5" s="735">
        <v>2000</v>
      </c>
      <c r="CT5" s="736" t="s">
        <v>529</v>
      </c>
      <c r="CU5" s="736" t="s">
        <v>390</v>
      </c>
      <c r="CV5" s="736" t="s">
        <v>389</v>
      </c>
      <c r="CW5" s="736" t="s">
        <v>543</v>
      </c>
      <c r="CX5" s="736" t="s">
        <v>189</v>
      </c>
      <c r="CY5" s="736" t="s">
        <v>205</v>
      </c>
      <c r="CZ5" s="737" t="s">
        <v>524</v>
      </c>
      <c r="DA5" s="736" t="s">
        <v>176</v>
      </c>
      <c r="DB5" s="1624" t="s">
        <v>242</v>
      </c>
      <c r="DC5" s="1625">
        <v>2010</v>
      </c>
      <c r="DD5" s="738">
        <f>+DC5+1</f>
        <v>2011</v>
      </c>
      <c r="DE5" s="737" t="s">
        <v>111</v>
      </c>
      <c r="DF5" s="736" t="s">
        <v>85</v>
      </c>
      <c r="DG5" s="737" t="s">
        <v>680</v>
      </c>
      <c r="DH5" s="737" t="s">
        <v>688</v>
      </c>
      <c r="DI5" s="737" t="s">
        <v>730</v>
      </c>
      <c r="DJ5" s="737" t="s">
        <v>776</v>
      </c>
      <c r="DK5" s="739" t="s">
        <v>60</v>
      </c>
      <c r="DL5" s="739" t="s">
        <v>644</v>
      </c>
      <c r="DM5" s="739" t="s">
        <v>720</v>
      </c>
      <c r="DN5" s="739" t="s">
        <v>721</v>
      </c>
      <c r="DO5" s="740" t="s">
        <v>774</v>
      </c>
      <c r="DP5" s="704"/>
    </row>
    <row r="6" spans="1:131">
      <c r="A6" s="741" t="s">
        <v>408</v>
      </c>
      <c r="B6" s="742"/>
      <c r="C6" s="743" t="s">
        <v>224</v>
      </c>
      <c r="D6" s="743" t="s">
        <v>225</v>
      </c>
      <c r="E6" s="743" t="s">
        <v>226</v>
      </c>
      <c r="F6" s="743" t="s">
        <v>227</v>
      </c>
      <c r="G6" s="742"/>
      <c r="H6" s="742" t="str">
        <f>C6</f>
        <v>Apr</v>
      </c>
      <c r="I6" s="742" t="str">
        <f>D6</f>
        <v>Jul</v>
      </c>
      <c r="J6" s="742" t="str">
        <f>E6</f>
        <v>Oct</v>
      </c>
      <c r="K6" s="742" t="str">
        <f>F6</f>
        <v>Jan</v>
      </c>
      <c r="L6" s="742"/>
      <c r="M6" s="744" t="s">
        <v>224</v>
      </c>
      <c r="N6" s="744" t="s">
        <v>225</v>
      </c>
      <c r="O6" s="744" t="s">
        <v>226</v>
      </c>
      <c r="P6" s="744" t="str">
        <f>+F6</f>
        <v>Jan</v>
      </c>
      <c r="Q6" s="742"/>
      <c r="R6" s="744" t="s">
        <v>224</v>
      </c>
      <c r="S6" s="744" t="s">
        <v>225</v>
      </c>
      <c r="T6" s="744" t="s">
        <v>226</v>
      </c>
      <c r="U6" s="744" t="str">
        <f>+K6</f>
        <v>Jan</v>
      </c>
      <c r="V6" s="742"/>
      <c r="W6" s="744" t="s">
        <v>188</v>
      </c>
      <c r="X6" s="744" t="s">
        <v>187</v>
      </c>
      <c r="Y6" s="744" t="s">
        <v>186</v>
      </c>
      <c r="Z6" s="744" t="s">
        <v>177</v>
      </c>
      <c r="AA6" s="745"/>
      <c r="AB6" s="744" t="s">
        <v>188</v>
      </c>
      <c r="AC6" s="744" t="s">
        <v>187</v>
      </c>
      <c r="AD6" s="744" t="s">
        <v>186</v>
      </c>
      <c r="AE6" s="744" t="str">
        <f>+U6</f>
        <v>Jan</v>
      </c>
      <c r="AF6" s="745"/>
      <c r="AG6" s="744" t="str">
        <f>+W6</f>
        <v xml:space="preserve">Apr </v>
      </c>
      <c r="AH6" s="744" t="str">
        <f>+X6</f>
        <v xml:space="preserve">Jul </v>
      </c>
      <c r="AI6" s="744" t="str">
        <f>+Y6</f>
        <v xml:space="preserve">Oct </v>
      </c>
      <c r="AJ6" s="744" t="str">
        <f>+Z6</f>
        <v xml:space="preserve">Jan </v>
      </c>
      <c r="AK6" s="743"/>
      <c r="AL6" s="744" t="str">
        <f>+AB6</f>
        <v xml:space="preserve">Apr </v>
      </c>
      <c r="AM6" s="744" t="str">
        <f>+AC6</f>
        <v xml:space="preserve">Jul </v>
      </c>
      <c r="AN6" s="744" t="str">
        <f>+AD6</f>
        <v xml:space="preserve">Oct </v>
      </c>
      <c r="AO6" s="744" t="str">
        <f>+AE6</f>
        <v>Jan</v>
      </c>
      <c r="AP6" s="744"/>
      <c r="AQ6" s="744" t="str">
        <f>+AG6</f>
        <v xml:space="preserve">Apr </v>
      </c>
      <c r="AR6" s="744" t="str">
        <f>+AH6</f>
        <v xml:space="preserve">Jul </v>
      </c>
      <c r="AS6" s="744" t="str">
        <f>+AI6</f>
        <v xml:space="preserve">Oct </v>
      </c>
      <c r="AT6" s="744" t="str">
        <f>+AE6</f>
        <v>Jan</v>
      </c>
      <c r="AU6" s="743"/>
      <c r="AV6" s="744" t="str">
        <f>+AL6</f>
        <v xml:space="preserve">Apr </v>
      </c>
      <c r="AW6" s="744" t="str">
        <f>+AM6</f>
        <v xml:space="preserve">Jul </v>
      </c>
      <c r="AX6" s="744" t="str">
        <f>+AN6</f>
        <v xml:space="preserve">Oct </v>
      </c>
      <c r="AY6" s="744" t="str">
        <f>+AO6</f>
        <v>Jan</v>
      </c>
      <c r="AZ6" s="743"/>
      <c r="BA6" s="744" t="str">
        <f>+AQ6</f>
        <v xml:space="preserve">Apr </v>
      </c>
      <c r="BB6" s="744" t="str">
        <f>+AR6</f>
        <v xml:space="preserve">Jul </v>
      </c>
      <c r="BC6" s="744" t="str">
        <f>+AS6</f>
        <v xml:space="preserve">Oct </v>
      </c>
      <c r="BD6" s="744" t="str">
        <f>+AT6</f>
        <v>Jan</v>
      </c>
      <c r="BE6" s="743"/>
      <c r="BF6" s="744" t="str">
        <f>+AV6</f>
        <v xml:space="preserve">Apr </v>
      </c>
      <c r="BG6" s="744" t="str">
        <f>+AW6</f>
        <v xml:space="preserve">Jul </v>
      </c>
      <c r="BH6" s="744" t="str">
        <f>+AX6</f>
        <v xml:space="preserve">Oct </v>
      </c>
      <c r="BI6" s="744" t="str">
        <f>+AY6</f>
        <v>Jan</v>
      </c>
      <c r="BJ6" s="743"/>
      <c r="BK6" s="744" t="str">
        <f>+BA6</f>
        <v xml:space="preserve">Apr </v>
      </c>
      <c r="BL6" s="744" t="str">
        <f>+BB6</f>
        <v xml:space="preserve">Jul </v>
      </c>
      <c r="BM6" s="744" t="str">
        <f>+BC6</f>
        <v xml:space="preserve">Oct </v>
      </c>
      <c r="BN6" s="744" t="str">
        <f>+BD6</f>
        <v>Jan</v>
      </c>
      <c r="BO6" s="743"/>
      <c r="BP6" s="744" t="str">
        <f>+BF6</f>
        <v xml:space="preserve">Apr </v>
      </c>
      <c r="BQ6" s="744" t="str">
        <f>+BG6</f>
        <v xml:space="preserve">Jul </v>
      </c>
      <c r="BR6" s="744" t="str">
        <f>+BH6</f>
        <v xml:space="preserve">Oct </v>
      </c>
      <c r="BS6" s="744" t="str">
        <f>+BI6</f>
        <v>Jan</v>
      </c>
      <c r="BT6" s="743"/>
      <c r="BU6" s="744" t="str">
        <f>+BK6</f>
        <v xml:space="preserve">Apr </v>
      </c>
      <c r="BV6" s="744" t="str">
        <f>+BL6</f>
        <v xml:space="preserve">Jul </v>
      </c>
      <c r="BW6" s="744" t="str">
        <f>+BM6</f>
        <v xml:space="preserve">Oct </v>
      </c>
      <c r="BX6" s="744" t="str">
        <f>+BN6</f>
        <v>Jan</v>
      </c>
      <c r="BY6" s="743"/>
      <c r="BZ6" s="744" t="str">
        <f>+BP6</f>
        <v xml:space="preserve">Apr </v>
      </c>
      <c r="CA6" s="744" t="str">
        <f>+BQ6</f>
        <v xml:space="preserve">Jul </v>
      </c>
      <c r="CB6" s="744" t="str">
        <f>+BR6</f>
        <v xml:space="preserve">Oct </v>
      </c>
      <c r="CC6" s="1619" t="str">
        <f>+BS6</f>
        <v>Jan</v>
      </c>
      <c r="CD6" s="743"/>
      <c r="CE6" s="744" t="str">
        <f>+BU6</f>
        <v xml:space="preserve">Apr </v>
      </c>
      <c r="CF6" s="744" t="str">
        <f>+BV6</f>
        <v xml:space="preserve">Jul </v>
      </c>
      <c r="CG6" s="744" t="str">
        <f>+BW6</f>
        <v xml:space="preserve">Oct </v>
      </c>
      <c r="CH6" s="744" t="str">
        <f>+BX6</f>
        <v>Jan</v>
      </c>
      <c r="CI6" s="743"/>
      <c r="CJ6" s="1743" t="str">
        <f>+BZ6</f>
        <v xml:space="preserve">Apr </v>
      </c>
      <c r="CK6" s="1743" t="str">
        <f>+CA6</f>
        <v xml:space="preserve">Jul </v>
      </c>
      <c r="CL6" s="743" t="str">
        <f>+CB6</f>
        <v xml:space="preserve">Oct </v>
      </c>
      <c r="CM6" s="1746" t="str">
        <f>+CC6</f>
        <v>Jan</v>
      </c>
      <c r="CN6" s="743"/>
      <c r="CO6" s="746" t="s">
        <v>227</v>
      </c>
      <c r="CP6" s="746" t="s">
        <v>227</v>
      </c>
      <c r="CQ6" s="746" t="s">
        <v>227</v>
      </c>
      <c r="CR6" s="746" t="s">
        <v>227</v>
      </c>
      <c r="CS6" s="746" t="s">
        <v>227</v>
      </c>
      <c r="CT6" s="747" t="str">
        <f t="shared" ref="CT6:CZ6" si="0">CS6</f>
        <v>Jan</v>
      </c>
      <c r="CU6" s="747" t="str">
        <f t="shared" si="0"/>
        <v>Jan</v>
      </c>
      <c r="CV6" s="747" t="str">
        <f t="shared" si="0"/>
        <v>Jan</v>
      </c>
      <c r="CW6" s="747" t="str">
        <f t="shared" si="0"/>
        <v>Jan</v>
      </c>
      <c r="CX6" s="747" t="str">
        <f t="shared" si="0"/>
        <v>Jan</v>
      </c>
      <c r="CY6" s="747" t="str">
        <f t="shared" si="0"/>
        <v>Jan</v>
      </c>
      <c r="CZ6" s="748" t="str">
        <f t="shared" si="0"/>
        <v>Jan</v>
      </c>
      <c r="DA6" s="747" t="str">
        <f t="shared" ref="DA6:DF6" si="1">CZ6</f>
        <v>Jan</v>
      </c>
      <c r="DB6" s="749" t="str">
        <f t="shared" si="1"/>
        <v>Jan</v>
      </c>
      <c r="DC6" s="747" t="str">
        <f>DB6</f>
        <v>Jan</v>
      </c>
      <c r="DD6" s="748" t="str">
        <f t="shared" si="1"/>
        <v>Jan</v>
      </c>
      <c r="DE6" s="748" t="str">
        <f t="shared" si="1"/>
        <v>Jan</v>
      </c>
      <c r="DF6" s="747" t="str">
        <f t="shared" si="1"/>
        <v>Jan</v>
      </c>
      <c r="DG6" s="748" t="str">
        <f t="shared" ref="DG6:DO6" si="2">DF6</f>
        <v>Jan</v>
      </c>
      <c r="DH6" s="748" t="str">
        <f t="shared" si="2"/>
        <v>Jan</v>
      </c>
      <c r="DI6" s="748" t="str">
        <f t="shared" si="2"/>
        <v>Jan</v>
      </c>
      <c r="DJ6" s="748" t="str">
        <f t="shared" si="2"/>
        <v>Jan</v>
      </c>
      <c r="DK6" s="748" t="str">
        <f t="shared" si="2"/>
        <v>Jan</v>
      </c>
      <c r="DL6" s="748" t="str">
        <f t="shared" si="2"/>
        <v>Jan</v>
      </c>
      <c r="DM6" s="748" t="str">
        <f t="shared" si="2"/>
        <v>Jan</v>
      </c>
      <c r="DN6" s="748" t="str">
        <f t="shared" si="2"/>
        <v>Jan</v>
      </c>
      <c r="DO6" s="749" t="str">
        <f t="shared" si="2"/>
        <v>Jan</v>
      </c>
      <c r="DP6" s="704"/>
    </row>
    <row r="7" spans="1:131">
      <c r="A7" s="711"/>
      <c r="B7" s="750"/>
      <c r="C7" s="750"/>
      <c r="D7" s="750"/>
      <c r="E7" s="750"/>
      <c r="F7" s="750"/>
      <c r="G7" s="750"/>
      <c r="H7" s="750"/>
      <c r="I7" s="750"/>
      <c r="J7" s="750"/>
      <c r="K7" s="750"/>
      <c r="L7" s="750"/>
      <c r="M7" s="750"/>
      <c r="N7" s="750"/>
      <c r="O7" s="750"/>
      <c r="P7" s="750"/>
      <c r="Q7" s="750"/>
      <c r="R7" s="750"/>
      <c r="S7" s="750"/>
      <c r="T7" s="750"/>
      <c r="U7" s="750"/>
      <c r="V7" s="750"/>
      <c r="W7" s="750"/>
      <c r="X7" s="750"/>
      <c r="Y7" s="750"/>
      <c r="Z7" s="750"/>
      <c r="AA7" s="750"/>
      <c r="AB7" s="750"/>
      <c r="AC7" s="750"/>
      <c r="AD7" s="750"/>
      <c r="AE7" s="750"/>
      <c r="AF7" s="750"/>
      <c r="AG7" s="750"/>
      <c r="AH7" s="750"/>
      <c r="AI7" s="750"/>
      <c r="AJ7" s="750"/>
      <c r="AK7" s="750"/>
      <c r="AL7" s="750"/>
      <c r="AM7" s="750"/>
      <c r="AN7" s="750"/>
      <c r="AO7" s="750"/>
      <c r="AP7" s="750" t="s">
        <v>535</v>
      </c>
      <c r="AQ7" s="750"/>
      <c r="AR7" s="750"/>
      <c r="AS7" s="750"/>
      <c r="AT7" s="750"/>
      <c r="AU7" s="750"/>
      <c r="AV7" s="750"/>
      <c r="AW7" s="750"/>
      <c r="AX7" s="750"/>
      <c r="AY7" s="750"/>
      <c r="AZ7" s="750"/>
      <c r="BA7" s="750"/>
      <c r="BB7" s="750"/>
      <c r="BC7" s="750"/>
      <c r="BD7" s="750"/>
      <c r="BE7" s="750"/>
      <c r="BF7" s="750"/>
      <c r="BG7" s="750"/>
      <c r="BH7" s="750"/>
      <c r="BI7" s="750"/>
      <c r="BJ7" s="750"/>
      <c r="BK7" s="750"/>
      <c r="BL7" s="750"/>
      <c r="BM7" s="750"/>
      <c r="BN7" s="750"/>
      <c r="BO7" s="750"/>
      <c r="BP7" s="750"/>
      <c r="BQ7" s="750"/>
      <c r="BR7" s="750"/>
      <c r="BS7" s="750"/>
      <c r="BT7" s="750"/>
      <c r="BU7" s="750"/>
      <c r="BV7" s="750"/>
      <c r="BW7" s="750"/>
      <c r="BX7" s="921"/>
      <c r="BY7" s="750"/>
      <c r="BZ7" s="750"/>
      <c r="CA7" s="750"/>
      <c r="CB7" s="750"/>
      <c r="CC7" s="1620"/>
      <c r="CD7" s="750"/>
      <c r="CE7" s="750"/>
      <c r="CF7" s="750"/>
      <c r="CG7" s="750"/>
      <c r="CH7" s="750"/>
      <c r="CI7" s="750"/>
      <c r="CJ7" s="750"/>
      <c r="CK7" s="750"/>
      <c r="CL7" s="750"/>
      <c r="CM7" s="1747"/>
      <c r="CN7" s="750"/>
      <c r="CO7" s="712"/>
      <c r="CP7" s="712"/>
      <c r="CQ7" s="712"/>
      <c r="CR7" s="712"/>
      <c r="CS7" s="712"/>
      <c r="CT7" s="751"/>
      <c r="CU7" s="751"/>
      <c r="CV7" s="751"/>
      <c r="CW7" s="751"/>
      <c r="CX7" s="751"/>
      <c r="CY7" s="751"/>
      <c r="CZ7" s="712"/>
      <c r="DA7" s="752"/>
      <c r="DB7" s="754"/>
      <c r="DC7" s="752"/>
      <c r="DD7" s="753"/>
      <c r="DE7" s="753"/>
      <c r="DF7" s="752"/>
      <c r="DG7" s="753"/>
      <c r="DH7" s="753"/>
      <c r="DI7" s="753"/>
      <c r="DJ7" s="753"/>
      <c r="DK7" s="753"/>
      <c r="DL7" s="753"/>
      <c r="DM7" s="753"/>
      <c r="DN7" s="753"/>
      <c r="DO7" s="754"/>
      <c r="DP7" s="704"/>
    </row>
    <row r="8" spans="1:131">
      <c r="A8" s="755" t="s">
        <v>388</v>
      </c>
      <c r="B8" s="756"/>
      <c r="C8" s="756">
        <f>'qtrP&amp;L'!$AF10</f>
        <v>71.834000000000003</v>
      </c>
      <c r="D8" s="756">
        <f>'qtrP&amp;L'!$AF11</f>
        <v>80.394999999999996</v>
      </c>
      <c r="E8" s="756">
        <f>'qtrP&amp;L'!$AF12</f>
        <v>92.858999999999995</v>
      </c>
      <c r="F8" s="756">
        <f>'qtrP&amp;L'!$AF13</f>
        <v>103.87</v>
      </c>
      <c r="G8" s="756"/>
      <c r="H8" s="756">
        <f>'qtrP&amp;L'!$AB10</f>
        <v>65.95</v>
      </c>
      <c r="I8" s="756">
        <f>'qtrP&amp;L'!$AB11</f>
        <v>66.727999999999994</v>
      </c>
      <c r="J8" s="756">
        <f>'qtrP&amp;L'!$AB12</f>
        <v>77.090999999999994</v>
      </c>
      <c r="K8" s="756">
        <f>'qtrP&amp;L'!$AB13</f>
        <v>85.563999999999993</v>
      </c>
      <c r="L8" s="756"/>
      <c r="M8" s="756">
        <f>'qtrP&amp;L'!$AN10</f>
        <v>107.02800000000001</v>
      </c>
      <c r="N8" s="756">
        <f>'qtrP&amp;L'!$AN11</f>
        <v>122.879</v>
      </c>
      <c r="O8" s="756">
        <f>'qtrP&amp;L'!$AN12</f>
        <v>142.33099999999999</v>
      </c>
      <c r="P8" s="756">
        <f>'qtrP&amp;L'!$AN13</f>
        <v>176.12299999999999</v>
      </c>
      <c r="Q8" s="756"/>
      <c r="R8" s="756">
        <f>+'qtrP&amp;L'!$AU$10</f>
        <v>170.29</v>
      </c>
      <c r="S8" s="756">
        <f>+'qtrP&amp;L'!$AU$11</f>
        <v>189.48400000000001</v>
      </c>
      <c r="T8" s="756">
        <f>+'qtrP&amp;L'!$AU$12</f>
        <v>216.35300000000001</v>
      </c>
      <c r="U8" s="756">
        <f>+'qtrP&amp;L'!$AU$13</f>
        <v>251.62299999999999</v>
      </c>
      <c r="V8" s="756"/>
      <c r="W8" s="756">
        <f>+'qtrP&amp;L'!$AY$10</f>
        <v>231.32499999999999</v>
      </c>
      <c r="X8" s="756">
        <f>+'qtrP&amp;L'!$AY$11</f>
        <v>253.392</v>
      </c>
      <c r="Y8" s="756">
        <f>+'qtrP&amp;L'!$AY$12</f>
        <v>288.80099999999999</v>
      </c>
      <c r="Z8" s="756">
        <f>+'qtrP&amp;L'!$AY$13</f>
        <v>318.589</v>
      </c>
      <c r="AA8" s="756"/>
      <c r="AB8" s="756">
        <f>'qtrP&amp;L'!BC10</f>
        <v>270.00700000000001</v>
      </c>
      <c r="AC8" s="756">
        <f>'qtrP&amp;L'!BC11</f>
        <v>285.55900000000003</v>
      </c>
      <c r="AD8" s="756">
        <f>'qtrP&amp;L'!BC12</f>
        <v>308.35500000000002</v>
      </c>
      <c r="AE8" s="756">
        <f>'qtrP&amp;L'!BC13</f>
        <v>360.79599999999999</v>
      </c>
      <c r="AF8" s="756"/>
      <c r="AG8" s="756">
        <f>'qtrP&amp;L'!BG10</f>
        <v>314.54399999999998</v>
      </c>
      <c r="AH8" s="756">
        <f>'qtrP&amp;L'!BG11</f>
        <v>348.44900000000001</v>
      </c>
      <c r="AI8" s="756">
        <f>'qtrP&amp;L'!BG12</f>
        <v>379.32</v>
      </c>
      <c r="AJ8" s="756">
        <f>'qtrP&amp;L'!BG13</f>
        <v>465.411</v>
      </c>
      <c r="AK8" s="756"/>
      <c r="AL8" s="756">
        <f>'qtrP&amp;L'!BK10</f>
        <v>394.29199999999997</v>
      </c>
      <c r="AM8" s="756">
        <f>'qtrP&amp;L'!BK11</f>
        <v>454.29500000000002</v>
      </c>
      <c r="AN8" s="756">
        <f>'qtrP&amp;L'!BK12</f>
        <v>477.95299999999997</v>
      </c>
      <c r="AO8" s="756">
        <f>'qtrP&amp;L'!BK13</f>
        <v>508.07799999999997</v>
      </c>
      <c r="AP8" s="756"/>
      <c r="AQ8" s="756">
        <f>'qtrP&amp;L'!BO10</f>
        <v>384.79599999999999</v>
      </c>
      <c r="AR8" s="756">
        <f>'qtrP&amp;L'!BO11</f>
        <v>458.62599999999998</v>
      </c>
      <c r="AS8" s="756">
        <f>'qtrP&amp;L'!BO12</f>
        <v>505.9</v>
      </c>
      <c r="AT8" s="756">
        <f>'qtrP&amp;L'!BO13</f>
        <v>588.49300000000005</v>
      </c>
      <c r="AU8" s="756"/>
      <c r="AV8" s="756">
        <f>'qtrP&amp;L'!$BS$10</f>
        <v>479.96100000000001</v>
      </c>
      <c r="AW8" s="756">
        <f>'qtrP&amp;L'!$BS$11</f>
        <v>552.15899999999999</v>
      </c>
      <c r="AX8" s="756">
        <f>'qtrP&amp;L'!$BS$12</f>
        <v>573.59199999999998</v>
      </c>
      <c r="AY8" s="756">
        <f>'qtrP&amp;L'!$BS$13</f>
        <v>668.39</v>
      </c>
      <c r="AZ8" s="756"/>
      <c r="BA8" s="756">
        <f>'qtrP&amp;L'!$BW$10</f>
        <v>524.01900000000001</v>
      </c>
      <c r="BB8" s="756">
        <f>'qtrP&amp;L'!$BW$11</f>
        <v>609.18100000000004</v>
      </c>
      <c r="BC8" s="756">
        <f>'qtrP&amp;L'!$BW$12</f>
        <v>609.95299999999997</v>
      </c>
      <c r="BD8" s="756">
        <f>'qtrP&amp;L'!$BW$13</f>
        <v>730.64800000000002</v>
      </c>
      <c r="BE8" s="756"/>
      <c r="BF8" s="756">
        <f>'qtrP&amp;L'!$CA$10</f>
        <v>568.92999999999995</v>
      </c>
      <c r="BG8" s="756">
        <f>'qtrP&amp;L'!$CA$11</f>
        <v>676.26900000000001</v>
      </c>
      <c r="BH8" s="756">
        <f>'qtrP&amp;L'!$CA$12</f>
        <v>692.86400000000003</v>
      </c>
      <c r="BI8" s="756">
        <f>'qtrP&amp;L'!$CA$13</f>
        <v>856.86200000000019</v>
      </c>
      <c r="BJ8" s="756"/>
      <c r="BK8" s="756">
        <f>'qtrP&amp;L'!CE10</f>
        <v>648.17700000000002</v>
      </c>
      <c r="BL8" s="756">
        <f>'qtrP&amp;L'!CE11</f>
        <v>758.524</v>
      </c>
      <c r="BM8" s="756">
        <f>'qtrP&amp;L'!CE12</f>
        <v>774.04899999999998</v>
      </c>
      <c r="BN8" s="756">
        <f>'qtrP&amp;L'!CE13</f>
        <v>905.85799999999995</v>
      </c>
      <c r="BO8" s="756"/>
      <c r="BP8" s="756">
        <f>'qtrP&amp;L'!CI10</f>
        <v>686.31</v>
      </c>
      <c r="BQ8" s="756">
        <f>'qtrP&amp;L'!CI11</f>
        <v>811.25300000000004</v>
      </c>
      <c r="BR8" s="756">
        <f>'qtrP&amp;L'!CI12</f>
        <v>814.47</v>
      </c>
      <c r="BS8" s="756">
        <f>'qtrP&amp;L'!CI13</f>
        <v>1011.044</v>
      </c>
      <c r="BT8" s="756"/>
      <c r="BU8" s="756">
        <f>'qtrP&amp;L'!CM10</f>
        <v>739.01</v>
      </c>
      <c r="BV8" s="756">
        <f>'qtrP&amp;L'!CM11</f>
        <v>867.46</v>
      </c>
      <c r="BW8" s="756">
        <f>'qtrP&amp;L'!CM12</f>
        <v>825.25800000000004</v>
      </c>
      <c r="BX8" s="756">
        <f>'qtrP&amp;L'!CM13</f>
        <v>1013.4059999999999</v>
      </c>
      <c r="BY8" s="756"/>
      <c r="BZ8" s="756">
        <f t="array" ref="BZ8:CC8">TRANSPOSE('qtrP&amp;L'!CQ10:CQ13)</f>
        <v>762.577</v>
      </c>
      <c r="CA8" s="756">
        <v>890.56799999999998</v>
      </c>
      <c r="CB8" s="756">
        <v>862.49099999999999</v>
      </c>
      <c r="CC8" s="757">
        <v>1030.1579999999999</v>
      </c>
      <c r="CD8" s="756"/>
      <c r="CE8" s="756">
        <f t="array" ref="CE8:CH8">TRANSPOSE('qtrP&amp;L'!CU10:CU13)</f>
        <v>761.19</v>
      </c>
      <c r="CF8" s="756">
        <v>872.93100000000004</v>
      </c>
      <c r="CG8" s="756">
        <v>892.774</v>
      </c>
      <c r="CH8" s="756">
        <v>1089.1189999999999</v>
      </c>
      <c r="CI8" s="756"/>
      <c r="CJ8" s="756">
        <f t="array" ref="CJ8:CM8">TRANSPOSE('qtrP&amp;L'!CY10:CY13)</f>
        <v>838.28508474707075</v>
      </c>
      <c r="CK8" s="756">
        <v>925.3822853895598</v>
      </c>
      <c r="CL8" s="756">
        <v>912.90358482231454</v>
      </c>
      <c r="CM8" s="761">
        <v>1104.2960751091671</v>
      </c>
      <c r="CN8" s="756"/>
      <c r="CO8" s="757">
        <f>'yrP&amp;L'!D7</f>
        <v>156.49799999999999</v>
      </c>
      <c r="CP8" s="757">
        <f>'yrP&amp;L'!E7</f>
        <v>173.26</v>
      </c>
      <c r="CQ8" s="757">
        <f>'yrP&amp;L'!F7</f>
        <v>209.86500000000001</v>
      </c>
      <c r="CR8" s="757">
        <f>'yrP&amp;L'!G7</f>
        <v>278.113</v>
      </c>
      <c r="CS8" s="757">
        <f>'yrP&amp;L'!H7</f>
        <v>295.33299999999997</v>
      </c>
      <c r="CT8" s="758">
        <f>'yrP&amp;L'!I7</f>
        <v>348.95799999999997</v>
      </c>
      <c r="CU8" s="759">
        <f>'yrP&amp;L'!J7</f>
        <v>422.75399999999996</v>
      </c>
      <c r="CV8" s="759">
        <f>'yrP&amp;L'!K7</f>
        <v>497.21700000000004</v>
      </c>
      <c r="CW8" s="759">
        <f>'yrP&amp;L'!L7</f>
        <v>827.75</v>
      </c>
      <c r="CX8" s="759">
        <f>'yrP&amp;L'!M7</f>
        <v>1092.107</v>
      </c>
      <c r="CY8" s="759">
        <f>'yrP&amp;L'!N7</f>
        <v>1224.7170000000001</v>
      </c>
      <c r="CZ8" s="760">
        <f>'yrP&amp;L'!O7</f>
        <v>1507.7239999999999</v>
      </c>
      <c r="DA8" s="758">
        <f>'yrP&amp;L'!P7</f>
        <v>1834.6179999999999</v>
      </c>
      <c r="DB8" s="761">
        <f>'yrP&amp;L'!Q7</f>
        <v>1937.8150000000001</v>
      </c>
      <c r="DC8" s="758">
        <f>'yrP&amp;L'!R7</f>
        <v>2274.1019999999999</v>
      </c>
      <c r="DD8" s="757">
        <f>'yrP&amp;L'!S7</f>
        <v>2473.8010000000004</v>
      </c>
      <c r="DE8" s="757">
        <f>'yrP&amp;L'!T7</f>
        <v>2794.9250000000002</v>
      </c>
      <c r="DF8" s="758">
        <f>'yrP&amp;L'!U7</f>
        <v>3086.64446</v>
      </c>
      <c r="DG8" s="757">
        <f>'yrP&amp;L'!V7</f>
        <v>3323.3465000000001</v>
      </c>
      <c r="DH8" s="757">
        <f>'yrP&amp;L'!W7</f>
        <v>3445.134</v>
      </c>
      <c r="DI8" s="757">
        <f>'yrP&amp;L'!X7</f>
        <v>3545.7939999999999</v>
      </c>
      <c r="DJ8" s="757">
        <f>'yrP&amp;L'!Y7</f>
        <v>3616.0140000000001</v>
      </c>
      <c r="DK8" s="757">
        <f>'yrP&amp;L'!Z7</f>
        <v>3780.8670300681124</v>
      </c>
      <c r="DL8" s="757">
        <f>'yrP&amp;L'!AA7</f>
        <v>3842.0676519982039</v>
      </c>
      <c r="DM8" s="757">
        <f>'yrP&amp;L'!AB7</f>
        <v>3916.705838467351</v>
      </c>
      <c r="DN8" s="757">
        <f>'yrP&amp;L'!AC7</f>
        <v>3984.0831573459695</v>
      </c>
      <c r="DO8" s="761">
        <f>'yrP&amp;L'!AD7</f>
        <v>4045.0758316509987</v>
      </c>
      <c r="DP8" s="762"/>
    </row>
    <row r="9" spans="1:131">
      <c r="BZ9" s="410"/>
      <c r="CA9" s="410"/>
      <c r="CB9" s="410"/>
      <c r="CC9" s="416"/>
      <c r="CM9" s="764"/>
      <c r="DA9" s="763"/>
      <c r="DB9" s="764"/>
      <c r="DC9" s="763"/>
      <c r="DD9" s="416"/>
      <c r="DE9" s="416"/>
      <c r="DF9" s="763"/>
      <c r="DG9" s="416"/>
      <c r="DH9" s="416"/>
      <c r="DI9" s="416"/>
      <c r="DJ9" s="416"/>
      <c r="DK9" s="416"/>
      <c r="DL9" s="416"/>
      <c r="DM9" s="416"/>
      <c r="DN9" s="416"/>
      <c r="DO9" s="764"/>
    </row>
    <row r="10" spans="1:131">
      <c r="A10" s="755" t="s">
        <v>409</v>
      </c>
      <c r="B10" s="756"/>
      <c r="C10" s="756">
        <f>'qtrP&amp;L'!$AF20</f>
        <v>50.274000000000001</v>
      </c>
      <c r="D10" s="756">
        <f>'qtrP&amp;L'!$AF21</f>
        <v>54.451000000000001</v>
      </c>
      <c r="E10" s="756">
        <f>'qtrP&amp;L'!$AF22</f>
        <v>61.615000000000002</v>
      </c>
      <c r="F10" s="756">
        <f>'qtrP&amp;L'!$AF23</f>
        <v>68.971000000000004</v>
      </c>
      <c r="G10" s="756"/>
      <c r="H10" s="756">
        <f>'qtrP&amp;L'!$AB20</f>
        <v>42.683999999999997</v>
      </c>
      <c r="I10" s="756">
        <f>'qtrP&amp;L'!$AB21</f>
        <v>46.88</v>
      </c>
      <c r="J10" s="756">
        <f>'qtrP&amp;L'!$AB22</f>
        <v>52.557000000000002</v>
      </c>
      <c r="K10" s="756">
        <f>'qtrP&amp;L'!$AB23</f>
        <v>57.88</v>
      </c>
      <c r="L10" s="756"/>
      <c r="M10" s="756">
        <f>'qtrP&amp;L'!$AN20</f>
        <v>69.094999999999999</v>
      </c>
      <c r="N10" s="756">
        <f>'qtrP&amp;L'!$AN21</f>
        <v>77.230999999999995</v>
      </c>
      <c r="O10" s="756">
        <f>'qtrP&amp;L'!$AN22</f>
        <v>85.52</v>
      </c>
      <c r="P10" s="756">
        <f>'qtrP&amp;L'!$AN23</f>
        <v>103.042</v>
      </c>
      <c r="Q10" s="756"/>
      <c r="R10" s="756">
        <f>+'qtrP&amp;L'!$AU$20</f>
        <v>100.396</v>
      </c>
      <c r="S10" s="756">
        <f>+'qtrP&amp;L'!$AU$21</f>
        <v>112.46599999999999</v>
      </c>
      <c r="T10" s="756">
        <f>+'qtrP&amp;L'!$AU$22</f>
        <v>124.895</v>
      </c>
      <c r="U10" s="756">
        <f>+'qtrP&amp;L'!$AU$23</f>
        <v>151.24300000000011</v>
      </c>
      <c r="V10" s="756"/>
      <c r="W10" s="756">
        <f>+'qtrP&amp;L'!$AY$20</f>
        <v>133.708</v>
      </c>
      <c r="X10" s="756">
        <f>+'qtrP&amp;L'!$AY$21</f>
        <v>148.55600000000001</v>
      </c>
      <c r="Y10" s="756">
        <f>+'qtrP&amp;L'!$AY$22</f>
        <v>168.55</v>
      </c>
      <c r="Z10" s="756">
        <f>+'qtrP&amp;L'!$AY$23</f>
        <v>192.68700000000001</v>
      </c>
      <c r="AA10" s="756"/>
      <c r="AB10" s="756">
        <f>'qtrP&amp;L'!BC20</f>
        <v>173.239</v>
      </c>
      <c r="AC10" s="756">
        <f>'qtrP&amp;L'!BC21</f>
        <v>180.80699999999999</v>
      </c>
      <c r="AD10" s="756">
        <f>'qtrP&amp;L'!BC22</f>
        <v>190.40700000000001</v>
      </c>
      <c r="AE10" s="756">
        <f>'qtrP&amp;L'!BC23</f>
        <v>228.34299999999999</v>
      </c>
      <c r="AF10" s="756"/>
      <c r="AG10" s="756">
        <f>'qtrP&amp;L'!BG20</f>
        <v>201.929</v>
      </c>
      <c r="AH10" s="756">
        <f>'qtrP&amp;L'!BG21</f>
        <v>218.422</v>
      </c>
      <c r="AI10" s="756">
        <f>'qtrP&amp;L'!BG22</f>
        <v>229.38200000000001</v>
      </c>
      <c r="AJ10" s="756">
        <f>'qtrP&amp;L'!BG23</f>
        <v>281.21899999999999</v>
      </c>
      <c r="AK10" s="756"/>
      <c r="AL10" s="756">
        <f>'qtrP&amp;L'!BK20</f>
        <v>235.61199999999999</v>
      </c>
      <c r="AM10" s="756">
        <f>'qtrP&amp;L'!BK21</f>
        <v>267.78500000000003</v>
      </c>
      <c r="AN10" s="756">
        <f>'qtrP&amp;L'!BK22</f>
        <v>282.55700000000002</v>
      </c>
      <c r="AO10" s="756">
        <f>'qtrP&amp;L'!BK23</f>
        <v>335.18599999999998</v>
      </c>
      <c r="AP10" s="756"/>
      <c r="AQ10" s="756">
        <f>'qtrP&amp;L'!BO20</f>
        <v>241.49100000000001</v>
      </c>
      <c r="AR10" s="756">
        <f>'qtrP&amp;L'!BO21</f>
        <v>271.53500000000003</v>
      </c>
      <c r="AS10" s="756">
        <f>'qtrP&amp;L'!BO22</f>
        <v>295.81200000000001</v>
      </c>
      <c r="AT10" s="756">
        <f>'qtrP&amp;L'!BO23</f>
        <v>342.83199999999999</v>
      </c>
      <c r="AU10" s="756"/>
      <c r="AV10" s="756">
        <f>'qtrP&amp;L'!$BS$20</f>
        <v>279.17500000000001</v>
      </c>
      <c r="AW10" s="756">
        <f>'qtrP&amp;L'!$BS$21</f>
        <v>317.37799999999999</v>
      </c>
      <c r="AX10" s="756">
        <f>'qtrP&amp;L'!$BS$22</f>
        <v>337.59899999999999</v>
      </c>
      <c r="AY10" s="756">
        <f>'qtrP&amp;L'!$BS$23</f>
        <v>403.33</v>
      </c>
      <c r="AZ10" s="756"/>
      <c r="BA10" s="756">
        <f>'qtrP&amp;L'!$BW$20</f>
        <v>328.55399999999997</v>
      </c>
      <c r="BB10" s="756">
        <f>'qtrP&amp;L'!$BW$21</f>
        <v>378.09100000000001</v>
      </c>
      <c r="BC10" s="756">
        <f>'qtrP&amp;L'!$BW$22</f>
        <v>393.85</v>
      </c>
      <c r="BD10" s="756">
        <f>'qtrP&amp;L'!$BW$23</f>
        <v>512.77</v>
      </c>
      <c r="BE10" s="756"/>
      <c r="BF10" s="756">
        <f>'qtrP&amp;L'!$CA$20</f>
        <v>366.45100000000002</v>
      </c>
      <c r="BG10" s="756">
        <f>'qtrP&amp;L'!$CA$21</f>
        <v>421.755</v>
      </c>
      <c r="BH10" s="756">
        <f>'qtrP&amp;L'!$CA$22</f>
        <v>432.04300000000001</v>
      </c>
      <c r="BI10" s="756">
        <f>'qtrP&amp;L'!$CA$23</f>
        <v>543.14499999999998</v>
      </c>
      <c r="BJ10" s="756"/>
      <c r="BK10" s="756">
        <f>'qtrP&amp;L'!CE20</f>
        <v>409.36799999999999</v>
      </c>
      <c r="BL10" s="756">
        <f>'qtrP&amp;L'!CE21</f>
        <v>460.28100000000001</v>
      </c>
      <c r="BM10" s="756">
        <f>'qtrP&amp;L'!CE22</f>
        <v>481.76400000000001</v>
      </c>
      <c r="BN10" s="756">
        <f>'qtrP&amp;L'!CE23</f>
        <v>573.85299999999995</v>
      </c>
      <c r="BO10" s="756"/>
      <c r="BP10" s="756">
        <f>'qtrP&amp;L'!CI20</f>
        <v>447.79899999999998</v>
      </c>
      <c r="BQ10" s="756">
        <f>'qtrP&amp;L'!CI21</f>
        <v>507.995</v>
      </c>
      <c r="BR10" s="756">
        <f>'qtrP&amp;L'!CI22</f>
        <v>530.94600000000003</v>
      </c>
      <c r="BS10" s="756">
        <f>'qtrP&amp;L'!CI23</f>
        <v>661.40700000000004</v>
      </c>
      <c r="BT10" s="756"/>
      <c r="BU10" s="756">
        <f>'qtrP&amp;L'!CM20</f>
        <v>492.589</v>
      </c>
      <c r="BV10" s="756">
        <f>'qtrP&amp;L'!CM21</f>
        <v>549.35500000000002</v>
      </c>
      <c r="BW10" s="756">
        <f>'qtrP&amp;L'!CM22</f>
        <v>537.07000000000005</v>
      </c>
      <c r="BX10" s="756">
        <f>'qtrP&amp;L'!CM23</f>
        <v>664.21799999999996</v>
      </c>
      <c r="BY10" s="756"/>
      <c r="BZ10" s="756">
        <f t="array" ref="BZ10:CC10">TRANSPOSE('qtrP&amp;L'!CQ20:CQ23)</f>
        <v>500.68599999999998</v>
      </c>
      <c r="CA10" s="756">
        <v>548.05700000000002</v>
      </c>
      <c r="CB10" s="756">
        <v>562.59400000000005</v>
      </c>
      <c r="CC10" s="757">
        <v>685.50300000000004</v>
      </c>
      <c r="CD10" s="756"/>
      <c r="CE10" s="756">
        <f t="array" ref="CE10:CH10">TRANSPOSE('qtrP&amp;L'!CU20:CU23)</f>
        <v>521.41</v>
      </c>
      <c r="CF10" s="756">
        <v>575.58799999999997</v>
      </c>
      <c r="CG10" s="756">
        <v>595.02800000000002</v>
      </c>
      <c r="CH10" s="756">
        <v>737.07100000000003</v>
      </c>
      <c r="CI10" s="756"/>
      <c r="CJ10" s="756">
        <f t="array" ref="CJ10:CM10">TRANSPOSE('qtrP&amp;L'!CY20:CY23)</f>
        <v>564.66883308562683</v>
      </c>
      <c r="CK10" s="756">
        <v>595.94619179087647</v>
      </c>
      <c r="CL10" s="756">
        <v>609.81959466130604</v>
      </c>
      <c r="CM10" s="761">
        <v>755.33851537467024</v>
      </c>
      <c r="CN10" s="756"/>
      <c r="CO10" s="757">
        <f>'yrP&amp;L'!D10</f>
        <v>99.411000000000001</v>
      </c>
      <c r="CP10" s="757">
        <f>'yrP&amp;L'!E10</f>
        <v>112.69800000000001</v>
      </c>
      <c r="CQ10" s="757">
        <f>'yrP&amp;L'!F10</f>
        <v>131.08499999999998</v>
      </c>
      <c r="CR10" s="757">
        <f>'yrP&amp;L'!G10</f>
        <v>173.45899999999997</v>
      </c>
      <c r="CS10" s="757">
        <f>'yrP&amp;L'!H10</f>
        <v>200.00099999999998</v>
      </c>
      <c r="CT10" s="758">
        <f>'yrP&amp;L'!I10</f>
        <v>235.31100000000001</v>
      </c>
      <c r="CU10" s="758">
        <f>'yrP&amp;L'!J10</f>
        <v>271.96299999999997</v>
      </c>
      <c r="CV10" s="758">
        <f>'yrP&amp;L'!K10</f>
        <v>334.88800000000003</v>
      </c>
      <c r="CW10" s="758">
        <f>'yrP&amp;L'!L10</f>
        <v>489.00000000000011</v>
      </c>
      <c r="CX10" s="758">
        <f>'yrP&amp;L'!M10</f>
        <v>643.50099999999998</v>
      </c>
      <c r="CY10" s="758">
        <f>'yrP&amp;L'!N10</f>
        <v>772.79599999999994</v>
      </c>
      <c r="CZ10" s="757">
        <f>'yrP&amp;L'!O10</f>
        <v>930.952</v>
      </c>
      <c r="DA10" s="758">
        <f>'yrP&amp;L'!P10</f>
        <v>1121.1400000000001</v>
      </c>
      <c r="DB10" s="761">
        <f>'yrP&amp;L'!Q10</f>
        <v>1151.67</v>
      </c>
      <c r="DC10" s="758">
        <f>'yrP&amp;L'!R10</f>
        <v>1337.482</v>
      </c>
      <c r="DD10" s="757">
        <f>'yrP&amp;L'!S10</f>
        <v>1613.2649999999999</v>
      </c>
      <c r="DE10" s="757">
        <f>'yrP&amp;L'!T10</f>
        <v>1763.394</v>
      </c>
      <c r="DF10" s="758">
        <f>'yrP&amp;L'!U10</f>
        <v>1925.2660000000001</v>
      </c>
      <c r="DG10" s="757">
        <f>'yrP&amp;L'!V10</f>
        <v>2148.1469999999999</v>
      </c>
      <c r="DH10" s="757">
        <f>'yrP&amp;L'!W10</f>
        <v>2243.232</v>
      </c>
      <c r="DI10" s="757">
        <f>'yrP&amp;L'!X10</f>
        <v>2296.84</v>
      </c>
      <c r="DJ10" s="757">
        <f>'yrP&amp;L'!Y10</f>
        <v>2429.0970000000002</v>
      </c>
      <c r="DK10" s="757">
        <f>'yrP&amp;L'!Z10</f>
        <v>2525.7731349124797</v>
      </c>
      <c r="DL10" s="757">
        <f>'yrP&amp;L'!AA10</f>
        <v>2559.5854697612035</v>
      </c>
      <c r="DM10" s="757">
        <f>'yrP&amp;L'!AB10</f>
        <v>2608.1344178354088</v>
      </c>
      <c r="DN10" s="757">
        <f>'yrP&amp;L'!AC10</f>
        <v>2648.6184830036009</v>
      </c>
      <c r="DO10" s="761">
        <f>'yrP&amp;L'!AD10</f>
        <v>2686.7393673825932</v>
      </c>
      <c r="DP10" s="704"/>
    </row>
    <row r="11" spans="1:131">
      <c r="A11" s="711"/>
      <c r="B11" s="756"/>
      <c r="C11" s="756"/>
      <c r="D11" s="756"/>
      <c r="E11" s="756"/>
      <c r="F11" s="756"/>
      <c r="G11" s="756"/>
      <c r="H11" s="756"/>
      <c r="I11" s="756"/>
      <c r="J11" s="756"/>
      <c r="K11" s="756"/>
      <c r="L11" s="756"/>
      <c r="M11" s="756"/>
      <c r="N11" s="756"/>
      <c r="O11" s="756"/>
      <c r="P11" s="756"/>
      <c r="Q11" s="756"/>
      <c r="R11" s="756"/>
      <c r="S11" s="756"/>
      <c r="T11" s="756"/>
      <c r="U11" s="756"/>
      <c r="V11" s="756"/>
      <c r="W11" s="756"/>
      <c r="X11" s="756"/>
      <c r="Y11" s="756"/>
      <c r="Z11" s="756"/>
      <c r="AA11" s="756"/>
      <c r="AB11" s="756"/>
      <c r="AC11" s="756"/>
      <c r="AD11" s="756"/>
      <c r="AE11" s="756"/>
      <c r="AF11" s="756"/>
      <c r="AG11" s="756"/>
      <c r="AH11" s="756"/>
      <c r="AI11" s="756"/>
      <c r="AJ11" s="756"/>
      <c r="AK11" s="756"/>
      <c r="AL11" s="756"/>
      <c r="AM11" s="756"/>
      <c r="AN11" s="756"/>
      <c r="AO11" s="756"/>
      <c r="AP11" s="756"/>
      <c r="AQ11" s="756"/>
      <c r="AR11" s="756"/>
      <c r="AS11" s="756"/>
      <c r="AT11" s="756"/>
      <c r="AU11" s="756"/>
      <c r="AV11" s="756"/>
      <c r="AW11" s="756"/>
      <c r="AX11" s="756"/>
      <c r="AY11" s="756"/>
      <c r="AZ11" s="756"/>
      <c r="BA11" s="756"/>
      <c r="BB11" s="756"/>
      <c r="BC11" s="756"/>
      <c r="BD11" s="756"/>
      <c r="BE11" s="756"/>
      <c r="BF11" s="756"/>
      <c r="BG11" s="756"/>
      <c r="BH11" s="756"/>
      <c r="BI11" s="756"/>
      <c r="BJ11" s="756"/>
      <c r="BK11" s="756"/>
      <c r="BL11" s="756"/>
      <c r="BM11" s="756"/>
      <c r="BN11" s="756"/>
      <c r="BO11" s="756"/>
      <c r="BP11" s="756"/>
      <c r="BQ11" s="756"/>
      <c r="BR11" s="756"/>
      <c r="BS11" s="756"/>
      <c r="BT11" s="756"/>
      <c r="BU11" s="756"/>
      <c r="BV11" s="756"/>
      <c r="BW11" s="756"/>
      <c r="BX11" s="756"/>
      <c r="BY11" s="756"/>
      <c r="BZ11" s="756"/>
      <c r="CA11" s="756"/>
      <c r="CB11" s="756"/>
      <c r="CC11" s="757"/>
      <c r="CD11" s="756"/>
      <c r="CE11" s="756"/>
      <c r="CF11" s="756"/>
      <c r="CG11" s="756"/>
      <c r="CH11" s="756"/>
      <c r="CI11" s="756"/>
      <c r="CJ11" s="756"/>
      <c r="CK11" s="756"/>
      <c r="CL11" s="756"/>
      <c r="CM11" s="761"/>
      <c r="CN11" s="756"/>
      <c r="CO11" s="757"/>
      <c r="CP11" s="757"/>
      <c r="CQ11" s="757"/>
      <c r="CR11" s="757"/>
      <c r="CS11" s="757"/>
      <c r="CT11" s="758"/>
      <c r="CU11" s="758"/>
      <c r="CV11" s="758"/>
      <c r="CW11" s="758"/>
      <c r="CX11" s="758"/>
      <c r="CY11" s="758"/>
      <c r="CZ11" s="757"/>
      <c r="DA11" s="758"/>
      <c r="DB11" s="761"/>
      <c r="DC11" s="758"/>
      <c r="DD11" s="757"/>
      <c r="DE11" s="757"/>
      <c r="DF11" s="758"/>
      <c r="DG11" s="757"/>
      <c r="DH11" s="757"/>
      <c r="DI11" s="757"/>
      <c r="DJ11" s="757"/>
      <c r="DK11" s="757"/>
      <c r="DL11" s="757"/>
      <c r="DM11" s="757"/>
      <c r="DN11" s="757"/>
      <c r="DO11" s="761"/>
      <c r="DP11" s="704"/>
    </row>
    <row r="12" spans="1:131">
      <c r="A12" s="755" t="s">
        <v>410</v>
      </c>
      <c r="B12" s="756"/>
      <c r="C12" s="756">
        <f>C8-C10</f>
        <v>21.560000000000002</v>
      </c>
      <c r="D12" s="756">
        <f>D8-D10</f>
        <v>25.943999999999996</v>
      </c>
      <c r="E12" s="756">
        <f>E8-E10</f>
        <v>31.243999999999993</v>
      </c>
      <c r="F12" s="756">
        <f>F8-F10</f>
        <v>34.899000000000001</v>
      </c>
      <c r="G12" s="756"/>
      <c r="H12" s="756">
        <f>H8-H10</f>
        <v>23.266000000000005</v>
      </c>
      <c r="I12" s="756">
        <f>I8-I10</f>
        <v>19.847999999999992</v>
      </c>
      <c r="J12" s="756">
        <f>J8-J10</f>
        <v>24.533999999999992</v>
      </c>
      <c r="K12" s="756">
        <f>K8-K10</f>
        <v>27.68399999999999</v>
      </c>
      <c r="L12" s="756"/>
      <c r="M12" s="756">
        <f>M8-M10</f>
        <v>37.933000000000007</v>
      </c>
      <c r="N12" s="756">
        <f>N8-N10</f>
        <v>45.64800000000001</v>
      </c>
      <c r="O12" s="756">
        <f>O8-O10</f>
        <v>56.810999999999993</v>
      </c>
      <c r="P12" s="756">
        <f>P8-P10</f>
        <v>73.080999999999989</v>
      </c>
      <c r="Q12" s="756"/>
      <c r="R12" s="756">
        <f>R8-R10</f>
        <v>69.893999999999991</v>
      </c>
      <c r="S12" s="756">
        <f>S8-S10</f>
        <v>77.018000000000015</v>
      </c>
      <c r="T12" s="756">
        <f>T8-T10</f>
        <v>91.458000000000013</v>
      </c>
      <c r="U12" s="756">
        <f>U8-U10</f>
        <v>100.37999999999988</v>
      </c>
      <c r="V12" s="756"/>
      <c r="W12" s="756">
        <f>W8-W10</f>
        <v>97.61699999999999</v>
      </c>
      <c r="X12" s="756">
        <f>X8-X10</f>
        <v>104.83599999999998</v>
      </c>
      <c r="Y12" s="756">
        <f>Y8-Y10</f>
        <v>120.25099999999998</v>
      </c>
      <c r="Z12" s="756">
        <f>Z8-Z10</f>
        <v>125.90199999999999</v>
      </c>
      <c r="AA12" s="756"/>
      <c r="AB12" s="756">
        <f>AB8-AB10</f>
        <v>96.768000000000001</v>
      </c>
      <c r="AC12" s="756">
        <f>AC8-AC10</f>
        <v>104.75200000000004</v>
      </c>
      <c r="AD12" s="756">
        <f>AD8-AD10</f>
        <v>117.94800000000001</v>
      </c>
      <c r="AE12" s="756">
        <f>AE8-AE10</f>
        <v>132.453</v>
      </c>
      <c r="AF12" s="756"/>
      <c r="AG12" s="756">
        <f>AG8-AG10</f>
        <v>112.61499999999998</v>
      </c>
      <c r="AH12" s="756">
        <f>AH8-AH10</f>
        <v>130.02700000000002</v>
      </c>
      <c r="AI12" s="756">
        <f>AI8-AI10</f>
        <v>149.93799999999999</v>
      </c>
      <c r="AJ12" s="756">
        <f>AE8-AE10</f>
        <v>132.453</v>
      </c>
      <c r="AK12" s="756"/>
      <c r="AL12" s="756">
        <f>AL8-AL10</f>
        <v>158.67999999999998</v>
      </c>
      <c r="AM12" s="756">
        <f>AM8-AM10</f>
        <v>186.51</v>
      </c>
      <c r="AN12" s="756">
        <f>AN8-AN10</f>
        <v>195.39599999999996</v>
      </c>
      <c r="AO12" s="756">
        <f>AO8-AO10</f>
        <v>172.892</v>
      </c>
      <c r="AP12" s="756"/>
      <c r="AQ12" s="756">
        <f>AQ8-AQ10</f>
        <v>143.30499999999998</v>
      </c>
      <c r="AR12" s="756">
        <f>AR8-AR10</f>
        <v>187.09099999999995</v>
      </c>
      <c r="AS12" s="756">
        <f>AS8-AS10</f>
        <v>210.08799999999997</v>
      </c>
      <c r="AT12" s="756">
        <f>AT8-AT10</f>
        <v>245.66100000000006</v>
      </c>
      <c r="AU12" s="756"/>
      <c r="AV12" s="756">
        <f>AV8-AV10</f>
        <v>200.786</v>
      </c>
      <c r="AW12" s="756">
        <f>AW8-AW10</f>
        <v>234.78100000000001</v>
      </c>
      <c r="AX12" s="756">
        <f>AX8-AX10</f>
        <v>235.99299999999999</v>
      </c>
      <c r="AY12" s="756">
        <f>AY8-AY10</f>
        <v>265.06</v>
      </c>
      <c r="AZ12" s="756"/>
      <c r="BA12" s="756">
        <f>BA8-BA10</f>
        <v>195.46500000000003</v>
      </c>
      <c r="BB12" s="756">
        <f>BB8-BB10</f>
        <v>231.09000000000003</v>
      </c>
      <c r="BC12" s="756">
        <f>BC8-BC10</f>
        <v>216.10299999999995</v>
      </c>
      <c r="BD12" s="756">
        <f>BD8-BD10</f>
        <v>217.87800000000004</v>
      </c>
      <c r="BE12" s="756"/>
      <c r="BF12" s="756">
        <f>BF8-BF10</f>
        <v>202.47899999999993</v>
      </c>
      <c r="BG12" s="756">
        <f>BG8-BG10</f>
        <v>254.51400000000001</v>
      </c>
      <c r="BH12" s="756">
        <f>BH8-BH10</f>
        <v>260.82100000000003</v>
      </c>
      <c r="BI12" s="756">
        <f>BI8-BI10</f>
        <v>313.71700000000021</v>
      </c>
      <c r="BJ12" s="756"/>
      <c r="BK12" s="756">
        <f>BK8-BK10</f>
        <v>238.80900000000003</v>
      </c>
      <c r="BL12" s="756">
        <f>BL8-BL10</f>
        <v>298.24299999999999</v>
      </c>
      <c r="BM12" s="756">
        <f>BM8-BM10</f>
        <v>292.28499999999997</v>
      </c>
      <c r="BN12" s="756">
        <f>BN8-BN10</f>
        <v>332.005</v>
      </c>
      <c r="BO12" s="756"/>
      <c r="BP12" s="756">
        <f>BP8-BP10</f>
        <v>238.51099999999997</v>
      </c>
      <c r="BQ12" s="756">
        <f>BQ8-BQ10</f>
        <v>303.25800000000004</v>
      </c>
      <c r="BR12" s="756">
        <f>BR8-BR10</f>
        <v>283.524</v>
      </c>
      <c r="BS12" s="756">
        <f>BS8-BS10</f>
        <v>349.63699999999994</v>
      </c>
      <c r="BT12" s="756"/>
      <c r="BU12" s="756">
        <f>BU8-BU10</f>
        <v>246.42099999999999</v>
      </c>
      <c r="BV12" s="756">
        <f>BV8-BV10</f>
        <v>318.10500000000002</v>
      </c>
      <c r="BW12" s="756">
        <f>BW8-BW10</f>
        <v>288.18799999999999</v>
      </c>
      <c r="BX12" s="756">
        <f>BX8-BX10</f>
        <v>349.18799999999999</v>
      </c>
      <c r="BY12" s="756"/>
      <c r="BZ12" s="756">
        <f>BZ8-BZ10</f>
        <v>261.89100000000002</v>
      </c>
      <c r="CA12" s="756">
        <f>CA8-CA10</f>
        <v>342.51099999999997</v>
      </c>
      <c r="CB12" s="756">
        <f>CB8-CB10</f>
        <v>299.89699999999993</v>
      </c>
      <c r="CC12" s="757">
        <f>CC8-CC10</f>
        <v>344.65499999999986</v>
      </c>
      <c r="CD12" s="756"/>
      <c r="CE12" s="756">
        <f>CE8-CE10</f>
        <v>239.78000000000009</v>
      </c>
      <c r="CF12" s="756">
        <f>CF8-CF10</f>
        <v>297.34300000000007</v>
      </c>
      <c r="CG12" s="756">
        <f>CG8-CG10</f>
        <v>297.74599999999998</v>
      </c>
      <c r="CH12" s="756">
        <f>CH8-CH10</f>
        <v>352.04799999999989</v>
      </c>
      <c r="CI12" s="756"/>
      <c r="CJ12" s="756">
        <f>CJ8-CJ10</f>
        <v>273.61625166144393</v>
      </c>
      <c r="CK12" s="756">
        <f>CK8-CK10</f>
        <v>329.43609359868333</v>
      </c>
      <c r="CL12" s="756">
        <f>CL8-CL10</f>
        <v>303.0839901610085</v>
      </c>
      <c r="CM12" s="761">
        <f>CM8-CM10</f>
        <v>348.95755973449684</v>
      </c>
      <c r="CN12" s="756"/>
      <c r="CO12" s="757">
        <f>CO8-CO10</f>
        <v>57.086999999999989</v>
      </c>
      <c r="CP12" s="757">
        <f>CP8-CP10</f>
        <v>60.561999999999983</v>
      </c>
      <c r="CQ12" s="757">
        <f>CQ8-CQ10</f>
        <v>78.78000000000003</v>
      </c>
      <c r="CR12" s="757">
        <f>CR8-CR10</f>
        <v>104.65400000000002</v>
      </c>
      <c r="CS12" s="757">
        <f t="shared" ref="CS12:CZ12" si="3">CS8-CS10</f>
        <v>95.331999999999994</v>
      </c>
      <c r="CT12" s="758">
        <f t="shared" si="3"/>
        <v>113.64699999999996</v>
      </c>
      <c r="CU12" s="758">
        <f t="shared" si="3"/>
        <v>150.791</v>
      </c>
      <c r="CV12" s="758">
        <f t="shared" si="3"/>
        <v>162.32900000000001</v>
      </c>
      <c r="CW12" s="758">
        <f t="shared" si="3"/>
        <v>338.74999999999989</v>
      </c>
      <c r="CX12" s="758">
        <f t="shared" si="3"/>
        <v>448.60599999999999</v>
      </c>
      <c r="CY12" s="758">
        <f t="shared" si="3"/>
        <v>451.92100000000016</v>
      </c>
      <c r="CZ12" s="757">
        <f t="shared" si="3"/>
        <v>576.77199999999993</v>
      </c>
      <c r="DA12" s="758">
        <f t="shared" ref="DA12:DF12" si="4">DA8-DA10</f>
        <v>713.47799999999984</v>
      </c>
      <c r="DB12" s="761">
        <f t="shared" si="4"/>
        <v>786.14499999999998</v>
      </c>
      <c r="DC12" s="758">
        <f t="shared" si="4"/>
        <v>936.61999999999989</v>
      </c>
      <c r="DD12" s="757">
        <f t="shared" si="4"/>
        <v>860.53600000000051</v>
      </c>
      <c r="DE12" s="757">
        <f t="shared" si="4"/>
        <v>1031.5310000000002</v>
      </c>
      <c r="DF12" s="758">
        <f t="shared" si="4"/>
        <v>1161.3784599999999</v>
      </c>
      <c r="DG12" s="757">
        <f t="shared" ref="DG12:DL12" si="5">DG8-DG10</f>
        <v>1175.1995000000002</v>
      </c>
      <c r="DH12" s="757">
        <f t="shared" si="5"/>
        <v>1201.902</v>
      </c>
      <c r="DI12" s="757">
        <f t="shared" si="5"/>
        <v>1248.9539999999997</v>
      </c>
      <c r="DJ12" s="757">
        <f t="shared" si="5"/>
        <v>1186.9169999999999</v>
      </c>
      <c r="DK12" s="757">
        <f t="shared" si="5"/>
        <v>1255.0938951556327</v>
      </c>
      <c r="DL12" s="757">
        <f t="shared" si="5"/>
        <v>1282.4821822370004</v>
      </c>
      <c r="DM12" s="757">
        <f>DM8-DM10</f>
        <v>1308.5714206319421</v>
      </c>
      <c r="DN12" s="757">
        <f>DN8-DN10</f>
        <v>1335.4646743423687</v>
      </c>
      <c r="DO12" s="761">
        <f>DO8-DO10</f>
        <v>1358.3364642684055</v>
      </c>
      <c r="DP12" s="704"/>
    </row>
    <row r="13" spans="1:131">
      <c r="A13" s="765" t="s">
        <v>411</v>
      </c>
      <c r="B13" s="765"/>
      <c r="C13" s="765">
        <f>'qtrP&amp;L'!$AF30</f>
        <v>19.512</v>
      </c>
      <c r="D13" s="765">
        <f>'qtrP&amp;L'!$AF31</f>
        <v>20.497</v>
      </c>
      <c r="E13" s="765">
        <f>'qtrP&amp;L'!$AF32</f>
        <v>22.875</v>
      </c>
      <c r="F13" s="765">
        <f>'qtrP&amp;L'!$AF33</f>
        <v>25.265000000000001</v>
      </c>
      <c r="G13" s="765"/>
      <c r="H13" s="765">
        <f>'qtrP&amp;L'!$AB30</f>
        <v>18.254999999999999</v>
      </c>
      <c r="I13" s="765">
        <f>'qtrP&amp;L'!$AB31</f>
        <v>16.838000000000001</v>
      </c>
      <c r="J13" s="765">
        <f>'qtrP&amp;L'!$AB32</f>
        <v>20.385999999999999</v>
      </c>
      <c r="K13" s="765">
        <f>'qtrP&amp;L'!$AB33</f>
        <v>21.975000000000001</v>
      </c>
      <c r="L13" s="765"/>
      <c r="M13" s="765">
        <f>'qtrP&amp;L'!$AN30</f>
        <v>27.273</v>
      </c>
      <c r="N13" s="765">
        <f>'qtrP&amp;L'!$AN31</f>
        <v>30.146999999999998</v>
      </c>
      <c r="O13" s="765">
        <f>'qtrP&amp;L'!$AN32</f>
        <v>33.332999999999998</v>
      </c>
      <c r="P13" s="765">
        <f>'qtrP&amp;L'!$AN33</f>
        <v>42.014000000000003</v>
      </c>
      <c r="Q13" s="765"/>
      <c r="R13" s="765">
        <f>+'qtrP&amp;L'!$AU$30</f>
        <v>41.497999999999998</v>
      </c>
      <c r="S13" s="765">
        <f>+'qtrP&amp;L'!$AU$31</f>
        <v>42.898000000000003</v>
      </c>
      <c r="T13" s="765">
        <f>+'qtrP&amp;L'!$AU$32</f>
        <v>48.276000000000003</v>
      </c>
      <c r="U13" s="765">
        <f>+'qtrP&amp;L'!$AU$33</f>
        <v>57.712000000000003</v>
      </c>
      <c r="V13" s="765"/>
      <c r="W13" s="765">
        <f>+'qtrP&amp;L'!$AY$30</f>
        <v>52.838999999999999</v>
      </c>
      <c r="X13" s="765">
        <f>+'qtrP&amp;L'!$AY$31</f>
        <v>55.371000000000002</v>
      </c>
      <c r="Y13" s="765">
        <f>+'qtrP&amp;L'!$AY$32</f>
        <v>59.591999999999999</v>
      </c>
      <c r="Z13" s="765">
        <f>+'qtrP&amp;L'!$AY$33</f>
        <v>73.105000000000004</v>
      </c>
      <c r="AA13" s="765"/>
      <c r="AB13" s="765">
        <f>+'qtrP&amp;L'!$BC$30</f>
        <v>65.216999999999999</v>
      </c>
      <c r="AC13" s="765">
        <f>+'qtrP&amp;L'!$BC$31</f>
        <v>66.043000000000006</v>
      </c>
      <c r="AD13" s="765">
        <f>+'qtrP&amp;L'!$BC$32</f>
        <v>72.483999999999995</v>
      </c>
      <c r="AE13" s="765">
        <f>+'qtrP&amp;L'!$BC$33</f>
        <v>84.188000000000002</v>
      </c>
      <c r="AF13" s="765"/>
      <c r="AG13" s="765">
        <f>+'qtrP&amp;L'!$BG$30</f>
        <v>76.599000000000004</v>
      </c>
      <c r="AH13" s="765">
        <f>+'qtrP&amp;L'!$BG$31</f>
        <v>82.756</v>
      </c>
      <c r="AI13" s="765">
        <f>+'qtrP&amp;L'!$BG$32</f>
        <v>88.611000000000004</v>
      </c>
      <c r="AJ13" s="765">
        <f>+'qtrP&amp;L'!$BG$33</f>
        <v>103.861</v>
      </c>
      <c r="AK13" s="765"/>
      <c r="AL13" s="765">
        <f>'qtrP&amp;L'!BK30</f>
        <v>95.738</v>
      </c>
      <c r="AM13" s="765">
        <f>'qtrP&amp;L'!BK31</f>
        <v>103.59</v>
      </c>
      <c r="AN13" s="765">
        <f>'qtrP&amp;L'!BK32</f>
        <v>105.017</v>
      </c>
      <c r="AO13" s="765">
        <f>'qtrP&amp;L'!BK33</f>
        <v>109.69799999999999</v>
      </c>
      <c r="AP13" s="765"/>
      <c r="AQ13" s="765">
        <f>'qtrP&amp;L'!BO30</f>
        <v>97.185000000000002</v>
      </c>
      <c r="AR13" s="765">
        <f>'qtrP&amp;L'!BO31</f>
        <v>108.65</v>
      </c>
      <c r="AS13" s="765">
        <f>'qtrP&amp;L'!BO32</f>
        <v>114.327</v>
      </c>
      <c r="AT13" s="765">
        <f>'qtrP&amp;L'!BO33</f>
        <v>126.999</v>
      </c>
      <c r="AU13" s="765"/>
      <c r="AV13" s="765">
        <f>'qtrP&amp;L'!$BS$30</f>
        <v>118.575</v>
      </c>
      <c r="AW13" s="765">
        <f>'qtrP&amp;L'!$BS$31</f>
        <v>127.91200000000001</v>
      </c>
      <c r="AX13" s="765">
        <f>'qtrP&amp;L'!$BS$32</f>
        <v>131.19300000000001</v>
      </c>
      <c r="AY13" s="765">
        <f>'qtrP&amp;L'!$BS$33</f>
        <v>144.73699999999999</v>
      </c>
      <c r="AZ13" s="765"/>
      <c r="BA13" s="765">
        <f>'qtrP&amp;L'!$BW$30</f>
        <v>133.82900000000001</v>
      </c>
      <c r="BB13" s="765">
        <f>'qtrP&amp;L'!$BW$31</f>
        <v>143.095</v>
      </c>
      <c r="BC13" s="765">
        <f>'qtrP&amp;L'!$BW$32</f>
        <v>142.74199999999999</v>
      </c>
      <c r="BD13" s="765">
        <f>'qtrP&amp;L'!$BW$33</f>
        <v>156.14500000000001</v>
      </c>
      <c r="BE13" s="765"/>
      <c r="BF13" s="765">
        <f>'qtrP&amp;L'!$CA$30</f>
        <v>149.56399999999999</v>
      </c>
      <c r="BG13" s="765">
        <f>'qtrP&amp;L'!$CA$31</f>
        <v>158.57599999999999</v>
      </c>
      <c r="BH13" s="765">
        <f>'qtrP&amp;L'!$CA$32</f>
        <v>167.34100000000001</v>
      </c>
      <c r="BI13" s="765">
        <f>'qtrP&amp;L'!$CA$33</f>
        <v>181.76499999999999</v>
      </c>
      <c r="BJ13" s="765"/>
      <c r="BK13" s="765">
        <f>'qtrP&amp;L'!CE30</f>
        <v>165.84299999999999</v>
      </c>
      <c r="BL13" s="765">
        <f>'qtrP&amp;L'!CE31</f>
        <v>178.92599999999999</v>
      </c>
      <c r="BM13" s="765">
        <f>'qtrP&amp;L'!CE32</f>
        <v>186.82599999999999</v>
      </c>
      <c r="BN13" s="765">
        <f>'qtrP&amp;L'!CE33</f>
        <v>202.916</v>
      </c>
      <c r="BO13" s="765"/>
      <c r="BP13" s="765">
        <f>'qtrP&amp;L'!CI30</f>
        <v>178.69</v>
      </c>
      <c r="BQ13" s="765">
        <f>'qtrP&amp;L'!CI31</f>
        <v>198.14099999999999</v>
      </c>
      <c r="BR13" s="765">
        <f>'qtrP&amp;L'!CI32</f>
        <v>207.059</v>
      </c>
      <c r="BS13" s="765">
        <f>'qtrP&amp;L'!CI33</f>
        <v>225.655</v>
      </c>
      <c r="BT13" s="765"/>
      <c r="BU13" s="765">
        <f>'qtrP&amp;L'!CM30</f>
        <v>193.36699999999999</v>
      </c>
      <c r="BV13" s="765">
        <f>'qtrP&amp;L'!CM31</f>
        <v>214.35400000000001</v>
      </c>
      <c r="BW13" s="765">
        <f>'qtrP&amp;L'!CM32</f>
        <v>207.863</v>
      </c>
      <c r="BX13" s="765">
        <f>'qtrP&amp;L'!CM33</f>
        <v>232.739</v>
      </c>
      <c r="BY13" s="765"/>
      <c r="BZ13" s="765">
        <f t="array" ref="BZ13:CC13">TRANSPOSE('qtrP&amp;L'!CQ30:CQ33)</f>
        <v>211.40799999999999</v>
      </c>
      <c r="CA13" s="765">
        <v>224.29900000000001</v>
      </c>
      <c r="CB13" s="765">
        <v>229.59200000000001</v>
      </c>
      <c r="CC13" s="766">
        <v>240.78700000000001</v>
      </c>
      <c r="CD13" s="765"/>
      <c r="CE13" s="765">
        <f t="array" ref="CE13:CH13">TRANSPOSE('qtrP&amp;L'!CU30:CU33)</f>
        <v>218.744</v>
      </c>
      <c r="CF13" s="765">
        <v>222.16300000000001</v>
      </c>
      <c r="CG13" s="765">
        <v>224.858</v>
      </c>
      <c r="CH13" s="765">
        <v>247.78899999999999</v>
      </c>
      <c r="CI13" s="765"/>
      <c r="CJ13" s="765">
        <f t="array" ref="CJ13:CM13">TRANSPOSE('qtrP&amp;L'!CY30:CY33)</f>
        <v>229.69011322069736</v>
      </c>
      <c r="CK13" s="765">
        <v>233.19633591816907</v>
      </c>
      <c r="CL13" s="765">
        <v>231.8775105448679</v>
      </c>
      <c r="CM13" s="768">
        <v>256.08625981781586</v>
      </c>
      <c r="CN13" s="765"/>
      <c r="CO13" s="766">
        <f>'yrP&amp;L'!D24</f>
        <v>35.731000000000009</v>
      </c>
      <c r="CP13" s="766">
        <f>'yrP&amp;L'!E24</f>
        <v>38.5</v>
      </c>
      <c r="CQ13" s="766">
        <f>'yrP&amp;L'!F24</f>
        <v>53.664000000000001</v>
      </c>
      <c r="CR13" s="766">
        <f>'yrP&amp;L'!G24</f>
        <v>67.088999999999999</v>
      </c>
      <c r="CS13" s="766">
        <f>'yrP&amp;L'!H24</f>
        <v>77.454000000000008</v>
      </c>
      <c r="CT13" s="767">
        <f>'yrP&amp;L'!I24</f>
        <v>88.149000000000001</v>
      </c>
      <c r="CU13" s="767">
        <f>'yrP&amp;L'!J24</f>
        <v>105.39200000000001</v>
      </c>
      <c r="CV13" s="767">
        <f>'yrP&amp;L'!K24</f>
        <v>132.767</v>
      </c>
      <c r="CW13" s="767">
        <f>'yrP&amp;L'!L24</f>
        <v>190.38400000000001</v>
      </c>
      <c r="CX13" s="767">
        <f>'yrP&amp;L'!M24</f>
        <v>240.90700000000004</v>
      </c>
      <c r="CY13" s="767">
        <f>'yrP&amp;L'!N24</f>
        <v>287.93199999999996</v>
      </c>
      <c r="CZ13" s="766">
        <f>'yrP&amp;L'!O24</f>
        <v>351.827</v>
      </c>
      <c r="DA13" s="767">
        <f>'yrP&amp;L'!P24</f>
        <v>414.04300000000001</v>
      </c>
      <c r="DB13" s="768">
        <f>'yrP&amp;L'!Q24</f>
        <v>447.16100000000006</v>
      </c>
      <c r="DC13" s="767">
        <f>'yrP&amp;L'!R24</f>
        <v>522.41700000000003</v>
      </c>
      <c r="DD13" s="766">
        <f>'yrP&amp;L'!S24</f>
        <v>575.81099999999992</v>
      </c>
      <c r="DE13" s="766">
        <f>'yrP&amp;L'!T24</f>
        <v>657.24599999999998</v>
      </c>
      <c r="DF13" s="767">
        <f>'yrP&amp;L'!U24</f>
        <v>734.51099999999997</v>
      </c>
      <c r="DG13" s="766">
        <f>'yrP&amp;L'!V24</f>
        <v>809.54499999999996</v>
      </c>
      <c r="DH13" s="766">
        <f>'yrP&amp;L'!W24</f>
        <v>848.32300000000009</v>
      </c>
      <c r="DI13" s="766">
        <f>'yrP&amp;L'!X24</f>
        <v>906.08600000000001</v>
      </c>
      <c r="DJ13" s="766">
        <f>'yrP&amp;L'!Y24</f>
        <v>913.55400000000009</v>
      </c>
      <c r="DK13" s="766">
        <f>'yrP&amp;L'!Z24</f>
        <v>950.85021950155021</v>
      </c>
      <c r="DL13" s="766">
        <f>'yrP&amp;L'!AA24</f>
        <v>976.65359713794339</v>
      </c>
      <c r="DM13" s="766">
        <f>'yrP&amp;L'!AB24</f>
        <v>996.40996530609414</v>
      </c>
      <c r="DN13" s="766">
        <f>'yrP&amp;L'!AC24</f>
        <v>1017.5348383861607</v>
      </c>
      <c r="DO13" s="768">
        <f>'yrP&amp;L'!AD24</f>
        <v>1034.7303977363256</v>
      </c>
      <c r="DP13" s="704"/>
      <c r="EA13" s="527"/>
    </row>
    <row r="14" spans="1:131" hidden="1" outlineLevel="1">
      <c r="A14" s="765" t="s">
        <v>499</v>
      </c>
      <c r="B14" s="765"/>
      <c r="C14" s="765"/>
      <c r="D14" s="765"/>
      <c r="E14" s="765"/>
      <c r="F14" s="765"/>
      <c r="G14" s="765"/>
      <c r="H14" s="765"/>
      <c r="I14" s="765"/>
      <c r="J14" s="765"/>
      <c r="K14" s="765"/>
      <c r="L14" s="765"/>
      <c r="M14" s="765"/>
      <c r="N14" s="765"/>
      <c r="O14" s="765"/>
      <c r="P14" s="765"/>
      <c r="Q14" s="765"/>
      <c r="R14" s="765"/>
      <c r="S14" s="765"/>
      <c r="T14" s="765"/>
      <c r="U14" s="765"/>
      <c r="V14" s="765"/>
      <c r="W14" s="765"/>
      <c r="X14" s="765"/>
      <c r="Y14" s="765"/>
      <c r="Z14" s="765"/>
      <c r="AA14" s="765"/>
      <c r="AB14" s="769">
        <f>+'qtrP&amp;L'!$BC40</f>
        <v>0.43201120000000004</v>
      </c>
      <c r="AC14" s="769">
        <f>+'qtrP&amp;L'!$BC41</f>
        <v>0.2</v>
      </c>
      <c r="AD14" s="769">
        <f>+'qtrP&amp;L'!$BC42</f>
        <v>0.18399439999999997</v>
      </c>
      <c r="AE14" s="769">
        <f>+'qtrP&amp;L'!$BC43</f>
        <v>0.18399439999999997</v>
      </c>
      <c r="AF14" s="765"/>
      <c r="AG14" s="769">
        <f>+'qtrP&amp;L'!$BG40</f>
        <v>0.50327040000000001</v>
      </c>
      <c r="AH14" s="769">
        <f>+'qtrP&amp;L'!$BG41</f>
        <v>0.2</v>
      </c>
      <c r="AI14" s="769">
        <f>+'qtrP&amp;L'!$BG42</f>
        <v>0.14836479999999999</v>
      </c>
      <c r="AJ14" s="769">
        <f>+'qtrP&amp;L'!$BG43</f>
        <v>0.14836479999999999</v>
      </c>
      <c r="AK14" s="769"/>
      <c r="AL14" s="769">
        <f>'qtrP&amp;L'!BK40</f>
        <v>0.63086719999999996</v>
      </c>
      <c r="AM14" s="769">
        <f>'qtrP&amp;L'!BK41</f>
        <v>0.2</v>
      </c>
      <c r="AN14" s="769">
        <f>'qtrP&amp;L'!BK42</f>
        <v>8.4566400000000014E-2</v>
      </c>
      <c r="AO14" s="769">
        <f>'qtrP&amp;L'!BK43</f>
        <v>8.4566400000000014E-2</v>
      </c>
      <c r="AP14" s="769"/>
      <c r="AQ14" s="769">
        <f>'qtrP&amp;L'!BO40</f>
        <v>0.61567360000000004</v>
      </c>
      <c r="AR14" s="769">
        <f>'qtrP&amp;L'!BO41</f>
        <v>0.2</v>
      </c>
      <c r="AS14" s="769">
        <f>'qtrP&amp;L'!BO42</f>
        <v>9.2163199999999973E-2</v>
      </c>
      <c r="AT14" s="769">
        <f>'qtrP&amp;L'!BO43</f>
        <v>9.2163199999999973E-2</v>
      </c>
      <c r="AU14" s="769"/>
      <c r="AV14" s="769"/>
      <c r="AW14" s="769"/>
      <c r="AX14" s="769"/>
      <c r="AY14" s="769"/>
      <c r="AZ14" s="769"/>
      <c r="BA14" s="769"/>
      <c r="BB14" s="769"/>
      <c r="BC14" s="769"/>
      <c r="BD14" s="769"/>
      <c r="BE14" s="769"/>
      <c r="BF14" s="769"/>
      <c r="BG14" s="769"/>
      <c r="BH14" s="769"/>
      <c r="BI14" s="769"/>
      <c r="BJ14" s="769"/>
      <c r="BK14" s="769"/>
      <c r="BL14" s="769"/>
      <c r="BM14" s="769"/>
      <c r="BN14" s="769"/>
      <c r="BO14" s="769"/>
      <c r="BP14" s="769"/>
      <c r="BQ14" s="769"/>
      <c r="BR14" s="769"/>
      <c r="BS14" s="769"/>
      <c r="BT14" s="769"/>
      <c r="BU14" s="769"/>
      <c r="BV14" s="769"/>
      <c r="BW14" s="769"/>
      <c r="BX14" s="769"/>
      <c r="BY14" s="769"/>
      <c r="BZ14" s="769"/>
      <c r="CA14" s="769"/>
      <c r="CB14" s="769"/>
      <c r="CC14" s="771"/>
      <c r="CD14" s="769"/>
      <c r="CE14" s="769"/>
      <c r="CF14" s="769"/>
      <c r="CG14" s="769"/>
      <c r="CH14" s="769"/>
      <c r="CI14" s="769"/>
      <c r="CJ14" s="769"/>
      <c r="CK14" s="769"/>
      <c r="CL14" s="769"/>
      <c r="CM14" s="772"/>
      <c r="CN14" s="769"/>
      <c r="CO14" s="766"/>
      <c r="CP14" s="766"/>
      <c r="CQ14" s="766"/>
      <c r="CR14" s="766"/>
      <c r="CS14" s="766"/>
      <c r="CT14" s="767"/>
      <c r="CU14" s="767"/>
      <c r="CV14" s="767"/>
      <c r="CW14" s="767"/>
      <c r="CX14" s="767"/>
      <c r="CY14" s="770">
        <f>+'yrP&amp;L'!N30</f>
        <v>1</v>
      </c>
      <c r="CZ14" s="771">
        <f>+'yrP&amp;L'!O30</f>
        <v>1</v>
      </c>
      <c r="DA14" s="770">
        <f>+'yrP&amp;L'!P30</f>
        <v>1</v>
      </c>
      <c r="DB14" s="772">
        <f>+'yrP&amp;L'!Q30</f>
        <v>1</v>
      </c>
      <c r="DC14" s="770">
        <f>+'yrP&amp;L'!R30</f>
        <v>1</v>
      </c>
      <c r="DD14" s="771">
        <f>+'yrP&amp;L'!S30</f>
        <v>1</v>
      </c>
      <c r="DE14" s="771">
        <f>+'yrP&amp;L'!T30</f>
        <v>1</v>
      </c>
      <c r="DF14" s="770">
        <f>+'yrP&amp;L'!U30</f>
        <v>1</v>
      </c>
      <c r="DG14" s="771">
        <f>+'yrP&amp;L'!V30</f>
        <v>1</v>
      </c>
      <c r="DH14" s="771">
        <f>+'yrP&amp;L'!W30</f>
        <v>1</v>
      </c>
      <c r="DI14" s="771">
        <f>+'yrP&amp;L'!X30</f>
        <v>1</v>
      </c>
      <c r="DJ14" s="771">
        <f>+'yrP&amp;L'!Y30</f>
        <v>1</v>
      </c>
      <c r="DK14" s="771">
        <f>+'yrP&amp;L'!AF30</f>
        <v>0</v>
      </c>
      <c r="DL14" s="771">
        <f>+'yrP&amp;L'!AG30</f>
        <v>0</v>
      </c>
      <c r="DM14" s="771" t="str">
        <f>+'yrP&amp;L'!AH30</f>
        <v>%</v>
      </c>
      <c r="DN14" s="771">
        <f>+'yrP&amp;L'!AI30</f>
        <v>0</v>
      </c>
      <c r="DO14" s="772" t="str">
        <f>+'yrP&amp;L'!AJ30</f>
        <v>%</v>
      </c>
      <c r="DP14" s="704"/>
    </row>
    <row r="15" spans="1:131" s="779" customFormat="1" collapsed="1">
      <c r="A15" s="773" t="s">
        <v>84</v>
      </c>
      <c r="B15" s="774"/>
      <c r="C15" s="774">
        <v>3.095081</v>
      </c>
      <c r="D15" s="774">
        <f>6.486908-C15</f>
        <v>3.3918269999999997</v>
      </c>
      <c r="E15" s="774">
        <f>10.234678-D15-C15</f>
        <v>3.7477700000000014</v>
      </c>
      <c r="F15" s="774">
        <f>CT15-E15-D15-C15</f>
        <v>5.2273219999999991</v>
      </c>
      <c r="G15" s="774"/>
      <c r="H15" s="774">
        <f>$CU$15/4</f>
        <v>4.9874999999999998</v>
      </c>
      <c r="I15" s="774">
        <f>$CU$15/4</f>
        <v>4.9874999999999998</v>
      </c>
      <c r="J15" s="774">
        <f>$CU$15/4</f>
        <v>4.9874999999999998</v>
      </c>
      <c r="K15" s="774">
        <f>$CU$15/4</f>
        <v>4.9874999999999998</v>
      </c>
      <c r="L15" s="774"/>
      <c r="M15" s="774">
        <f>'qtrP&amp;L'!$AN265</f>
        <v>4.9480000000000004</v>
      </c>
      <c r="N15" s="774">
        <f>'qtrP&amp;L'!$AN266</f>
        <v>5.5619999999999994</v>
      </c>
      <c r="O15" s="774">
        <f>'qtrP&amp;L'!$AN267</f>
        <v>5.5449999999999999</v>
      </c>
      <c r="P15" s="774">
        <f>'qtrP&amp;L'!$AN268</f>
        <v>8.9550000000000018</v>
      </c>
      <c r="Q15" s="774"/>
      <c r="R15" s="774">
        <f>'qtrP&amp;L'!$AU265</f>
        <v>7.2409999999999997</v>
      </c>
      <c r="S15" s="774">
        <f>'qtrP&amp;L'!$AU266</f>
        <v>8.0329999999999995</v>
      </c>
      <c r="T15" s="774">
        <f>'qtrP&amp;L'!$AU267</f>
        <v>5.0730000000000022</v>
      </c>
      <c r="U15" s="774">
        <f>'qtrP&amp;L'!$AU268</f>
        <v>11.510999999999999</v>
      </c>
      <c r="V15" s="774"/>
      <c r="W15" s="774">
        <f>'qtrP&amp;L'!$AY265</f>
        <v>8.7989999999999995</v>
      </c>
      <c r="X15" s="774">
        <f>'qtrP&amp;L'!$AY266</f>
        <v>9.772000000000002</v>
      </c>
      <c r="Y15" s="774">
        <f>'qtrP&amp;L'!$AY267</f>
        <v>9.911999999999999</v>
      </c>
      <c r="Z15" s="774">
        <f>'qtrP&amp;L'!$AY268</f>
        <v>10.857000000000003</v>
      </c>
      <c r="AA15" s="774"/>
      <c r="AB15" s="774">
        <f>'qtrP&amp;L'!$AY265</f>
        <v>8.7989999999999995</v>
      </c>
      <c r="AC15" s="774">
        <f>'qtrP&amp;L'!$AY266</f>
        <v>9.772000000000002</v>
      </c>
      <c r="AD15" s="774">
        <f>'qtrP&amp;L'!$AY267</f>
        <v>9.911999999999999</v>
      </c>
      <c r="AE15" s="774">
        <f>'qtrP&amp;L'!$AY268</f>
        <v>10.857000000000003</v>
      </c>
      <c r="AF15" s="774"/>
      <c r="AG15" s="774">
        <f>'qtrP&amp;L'!$BG265</f>
        <v>16.54</v>
      </c>
      <c r="AH15" s="774">
        <f>'qtrP&amp;L'!$BG266</f>
        <v>17.108000000000004</v>
      </c>
      <c r="AI15" s="774">
        <f>'qtrP&amp;L'!$BG267</f>
        <v>17.642999999999994</v>
      </c>
      <c r="AJ15" s="774">
        <f>'qtrP&amp;L'!$BG268</f>
        <v>18.725999999999999</v>
      </c>
      <c r="AK15" s="774"/>
      <c r="AL15" s="774">
        <f>'qtrP&amp;L'!BK265</f>
        <v>19.343</v>
      </c>
      <c r="AM15" s="774">
        <f>'qtrP&amp;L'!BK266</f>
        <v>20.471</v>
      </c>
      <c r="AN15" s="774">
        <f>'qtrP&amp;L'!BK267</f>
        <v>21.078999999999997</v>
      </c>
      <c r="AO15" s="774">
        <f>'qtrP&amp;L'!BK268</f>
        <v>21.056000000000001</v>
      </c>
      <c r="AP15" s="774"/>
      <c r="AQ15" s="774">
        <f>'qtrP&amp;L'!BO265</f>
        <v>22.09</v>
      </c>
      <c r="AR15" s="774">
        <f>'qtrP&amp;L'!BO266</f>
        <v>23.003000000000004</v>
      </c>
      <c r="AS15" s="774">
        <f>'qtrP&amp;L'!BO267</f>
        <v>23.628000000000004</v>
      </c>
      <c r="AT15" s="774">
        <f>'qtrP&amp;L'!BO268</f>
        <v>23.628999999999994</v>
      </c>
      <c r="AU15" s="774"/>
      <c r="AV15" s="774">
        <f>'qtrP&amp;L'!$BS$265</f>
        <v>24.347000000000001</v>
      </c>
      <c r="AW15" s="774">
        <f>'qtrP&amp;L'!$BS$266</f>
        <v>24.704000000000001</v>
      </c>
      <c r="AX15" s="774">
        <f>'qtrP&amp;L'!$BS$267</f>
        <v>25.804999999999993</v>
      </c>
      <c r="AY15" s="774">
        <f>'qtrP&amp;L'!$BS$268</f>
        <v>26.249000000000009</v>
      </c>
      <c r="AZ15" s="774"/>
      <c r="BA15" s="774">
        <f>'qtrP&amp;L'!$BW$265</f>
        <v>26.550999999999998</v>
      </c>
      <c r="BB15" s="774">
        <f>'qtrP&amp;L'!$BW$266</f>
        <v>26.753000000000004</v>
      </c>
      <c r="BC15" s="774">
        <f>'qtrP&amp;L'!$BW$267</f>
        <v>27.404</v>
      </c>
      <c r="BD15" s="774">
        <f>'qtrP&amp;L'!$BW$268</f>
        <v>27.404</v>
      </c>
      <c r="BE15" s="774"/>
      <c r="BF15" s="774">
        <f>'qtrP&amp;L'!$CA$265</f>
        <v>28.8</v>
      </c>
      <c r="BG15" s="774">
        <f>'qtrP&amp;L'!$CA$266</f>
        <v>28.8</v>
      </c>
      <c r="BH15" s="774">
        <f>'qtrP&amp;L'!$CA$267</f>
        <v>30.8</v>
      </c>
      <c r="BI15" s="774">
        <f>'qtrP&amp;L'!$CA$268</f>
        <v>30.264000000000006</v>
      </c>
      <c r="BJ15" s="774"/>
      <c r="BK15" s="774">
        <f>'qtrP&amp;L'!CE265</f>
        <v>32.078000000000003</v>
      </c>
      <c r="BL15" s="774">
        <f>'qtrP&amp;L'!CE266</f>
        <v>32.489999999999995</v>
      </c>
      <c r="BM15" s="774">
        <f>'qtrP&amp;L'!CE267</f>
        <v>33.218000000000004</v>
      </c>
      <c r="BN15" s="774">
        <f>'qtrP&amp;L'!CE268</f>
        <v>34.877999999999986</v>
      </c>
      <c r="BO15" s="774"/>
      <c r="BP15" s="774">
        <f>'qtrP&amp;L'!CI265</f>
        <v>34.478000000000002</v>
      </c>
      <c r="BQ15" s="774">
        <f>'qtrP&amp;L'!CI266</f>
        <v>29.424999999999997</v>
      </c>
      <c r="BR15" s="774">
        <f>'qtrP&amp;L'!CI267</f>
        <v>39.473999999999997</v>
      </c>
      <c r="BS15" s="774">
        <f>'qtrP&amp;L'!CI268</f>
        <v>34.733000000000025</v>
      </c>
      <c r="BT15" s="774"/>
      <c r="BU15" s="774">
        <f>'qtrP&amp;L'!CM265</f>
        <v>35.5</v>
      </c>
      <c r="BV15" s="774">
        <f>'qtrP&amp;L'!CM266</f>
        <v>36.5</v>
      </c>
      <c r="BW15" s="774">
        <f>'qtrP&amp;L'!CM267</f>
        <v>37</v>
      </c>
      <c r="BX15" s="774">
        <f>'qtrP&amp;L'!CM268</f>
        <v>33.722000000000008</v>
      </c>
      <c r="BY15" s="774"/>
      <c r="BZ15" s="774">
        <f t="array" ref="BZ15:CC15">TRANSPOSE('qtrP&amp;L'!CQ265:CQ268)</f>
        <v>34.844000000000001</v>
      </c>
      <c r="CA15" s="774">
        <v>33.548999999999999</v>
      </c>
      <c r="CB15" s="774">
        <v>32.787999999999997</v>
      </c>
      <c r="CC15" s="775">
        <v>34.149000000000022</v>
      </c>
      <c r="CD15" s="774"/>
      <c r="CE15" s="774">
        <f t="array" ref="CE15:CH15">TRANSPOSE('qtrP&amp;L'!CU265:CU268)</f>
        <v>32.136000000000003</v>
      </c>
      <c r="CF15" s="774">
        <v>32.582999999999991</v>
      </c>
      <c r="CG15" s="774">
        <v>32.582999999999991</v>
      </c>
      <c r="CH15" s="774">
        <v>34.367999999999988</v>
      </c>
      <c r="CI15" s="774"/>
      <c r="CJ15" s="774">
        <f t="array" ref="CJ15:CM15">TRANSPOSE('qtrP&amp;L'!CY265:CY268)</f>
        <v>34</v>
      </c>
      <c r="CK15" s="774">
        <v>34</v>
      </c>
      <c r="CL15" s="774">
        <v>34</v>
      </c>
      <c r="CM15" s="777">
        <v>30.990000000000009</v>
      </c>
      <c r="CN15" s="774"/>
      <c r="CO15" s="775">
        <f>+flow!F11</f>
        <v>3.4609999999999999</v>
      </c>
      <c r="CP15" s="775">
        <f>+flow!H11</f>
        <v>4.5880000000000001</v>
      </c>
      <c r="CQ15" s="775">
        <f>+flow!J11</f>
        <v>5.6210000000000004</v>
      </c>
      <c r="CR15" s="775">
        <f>+flow!L11</f>
        <v>8.6669999999999998</v>
      </c>
      <c r="CS15" s="775">
        <f>+flow!N11</f>
        <v>11.997</v>
      </c>
      <c r="CT15" s="776">
        <f>+flow!P11</f>
        <v>15.462</v>
      </c>
      <c r="CU15" s="776">
        <f>+flow!R11</f>
        <v>19.95</v>
      </c>
      <c r="CV15" s="776">
        <f>+flow!T11</f>
        <v>25.01</v>
      </c>
      <c r="CW15" s="776">
        <f>+flow!V11</f>
        <v>31.858000000000001</v>
      </c>
      <c r="CX15" s="776">
        <f>+flow!X11</f>
        <v>39.340000000000003</v>
      </c>
      <c r="CY15" s="776">
        <f>+flow!Z11</f>
        <v>55.713000000000001</v>
      </c>
      <c r="CZ15" s="775">
        <f>+flow!AB11</f>
        <v>70.016999999999996</v>
      </c>
      <c r="DA15" s="776">
        <f>+flow!AD11</f>
        <v>81.948999999999998</v>
      </c>
      <c r="DB15" s="777">
        <f>+flow!AF11</f>
        <v>92.35</v>
      </c>
      <c r="DC15" s="776">
        <f>flow!$AH$11</f>
        <v>101.105</v>
      </c>
      <c r="DD15" s="775">
        <f>flow!$AE$11</f>
        <v>0</v>
      </c>
      <c r="DE15" s="775">
        <f>flow!$AL$11</f>
        <v>118.664</v>
      </c>
      <c r="DF15" s="776">
        <f>flow!AN11</f>
        <v>132.66399999999999</v>
      </c>
      <c r="DG15" s="775">
        <f>flow!$AP$11</f>
        <v>138.11000000000001</v>
      </c>
      <c r="DH15" s="775">
        <f>flow!$AR$11</f>
        <v>142.72200000000001</v>
      </c>
      <c r="DI15" s="775">
        <f>flow!$AT$11</f>
        <v>135.33000000000001</v>
      </c>
      <c r="DJ15" s="775">
        <f>flow!$AV$11</f>
        <v>131.66999999999999</v>
      </c>
      <c r="DK15" s="775">
        <f>flow!$AX$11</f>
        <v>132.99</v>
      </c>
      <c r="DL15" s="775">
        <f>flow!$AZ$11</f>
        <v>134.64000000000001</v>
      </c>
      <c r="DM15" s="775">
        <f>flow!$BB$11</f>
        <v>137.28</v>
      </c>
      <c r="DN15" s="775">
        <f>flow!$BD$11</f>
        <v>139.26</v>
      </c>
      <c r="DO15" s="777">
        <f>flow!$BD$11</f>
        <v>139.26</v>
      </c>
      <c r="DP15" s="778"/>
      <c r="DQ15"/>
      <c r="DR15"/>
      <c r="DS15"/>
      <c r="DT15"/>
      <c r="DU15"/>
      <c r="DV15"/>
    </row>
    <row r="16" spans="1:131">
      <c r="A16" s="755" t="s">
        <v>412</v>
      </c>
      <c r="B16" s="756"/>
      <c r="C16" s="756">
        <f>C12-C13</f>
        <v>2.0480000000000018</v>
      </c>
      <c r="D16" s="756">
        <f>D12-D13</f>
        <v>5.4469999999999956</v>
      </c>
      <c r="E16" s="756">
        <f>E12-E13</f>
        <v>8.3689999999999927</v>
      </c>
      <c r="F16" s="756">
        <f>F12-F13</f>
        <v>9.6340000000000003</v>
      </c>
      <c r="G16" s="756"/>
      <c r="H16" s="756">
        <f>H12-H13</f>
        <v>5.0110000000000063</v>
      </c>
      <c r="I16" s="756">
        <f>I12-I13</f>
        <v>3.0099999999999909</v>
      </c>
      <c r="J16" s="756">
        <f>J12-J13</f>
        <v>4.1479999999999926</v>
      </c>
      <c r="K16" s="756">
        <f>K12-K13</f>
        <v>5.708999999999989</v>
      </c>
      <c r="L16" s="756"/>
      <c r="M16" s="756">
        <f>M12-M13</f>
        <v>10.660000000000007</v>
      </c>
      <c r="N16" s="756">
        <f>N12-N13</f>
        <v>15.501000000000012</v>
      </c>
      <c r="O16" s="756">
        <f>O12-O13</f>
        <v>23.477999999999994</v>
      </c>
      <c r="P16" s="756">
        <f>P12-P13</f>
        <v>31.066999999999986</v>
      </c>
      <c r="Q16" s="756"/>
      <c r="R16" s="756">
        <f>R12-R13</f>
        <v>28.395999999999994</v>
      </c>
      <c r="S16" s="756">
        <f>S12-S13</f>
        <v>34.120000000000012</v>
      </c>
      <c r="T16" s="756">
        <f>T12-T13</f>
        <v>43.182000000000009</v>
      </c>
      <c r="U16" s="756">
        <f>U12-U13</f>
        <v>42.667999999999878</v>
      </c>
      <c r="V16" s="756"/>
      <c r="W16" s="756">
        <f>W12-W13</f>
        <v>44.777999999999992</v>
      </c>
      <c r="X16" s="756">
        <f>X12-X13</f>
        <v>49.464999999999982</v>
      </c>
      <c r="Y16" s="756">
        <f>Y12-Y13</f>
        <v>60.658999999999978</v>
      </c>
      <c r="Z16" s="756">
        <f>Z12-Z13</f>
        <v>52.796999999999983</v>
      </c>
      <c r="AA16" s="756"/>
      <c r="AB16" s="756">
        <f>AB12-AB13</f>
        <v>31.551000000000002</v>
      </c>
      <c r="AC16" s="756">
        <f>AC12-AC13</f>
        <v>38.709000000000032</v>
      </c>
      <c r="AD16" s="756">
        <f>AD12-AD13</f>
        <v>45.464000000000013</v>
      </c>
      <c r="AE16" s="756">
        <f>AE12-AE13</f>
        <v>48.265000000000001</v>
      </c>
      <c r="AF16" s="756"/>
      <c r="AG16" s="756">
        <f>AG12-AG13</f>
        <v>36.015999999999977</v>
      </c>
      <c r="AH16" s="756">
        <f>AH12-AH13</f>
        <v>47.271000000000015</v>
      </c>
      <c r="AI16" s="756">
        <f>AI12-AI13</f>
        <v>61.326999999999984</v>
      </c>
      <c r="AJ16" s="756">
        <f>AE12-AE13</f>
        <v>48.265000000000001</v>
      </c>
      <c r="AK16" s="756"/>
      <c r="AL16" s="756">
        <f>AL12-AL13</f>
        <v>62.941999999999979</v>
      </c>
      <c r="AM16" s="756">
        <f>AM12-AM13</f>
        <v>82.919999999999987</v>
      </c>
      <c r="AN16" s="756">
        <f>AN12-AN13</f>
        <v>90.378999999999962</v>
      </c>
      <c r="AO16" s="756">
        <f>AO12-AO13</f>
        <v>63.194000000000003</v>
      </c>
      <c r="AP16" s="756"/>
      <c r="AQ16" s="756">
        <f>AQ12-AQ13</f>
        <v>46.119999999999976</v>
      </c>
      <c r="AR16" s="756">
        <f>AR12-AR13</f>
        <v>78.440999999999946</v>
      </c>
      <c r="AS16" s="756">
        <f>AS12-AS13</f>
        <v>95.760999999999967</v>
      </c>
      <c r="AT16" s="756">
        <f>AT12-AT13</f>
        <v>118.66200000000006</v>
      </c>
      <c r="AU16" s="756"/>
      <c r="AV16" s="756">
        <f>AV12-AV13</f>
        <v>82.210999999999999</v>
      </c>
      <c r="AW16" s="756">
        <f>AW12-AW13</f>
        <v>106.869</v>
      </c>
      <c r="AX16" s="756">
        <f>AX12-AX13</f>
        <v>104.79999999999998</v>
      </c>
      <c r="AY16" s="756">
        <f>AY12-AY13</f>
        <v>120.32300000000001</v>
      </c>
      <c r="AZ16" s="756"/>
      <c r="BA16" s="756">
        <f>BA12-BA13</f>
        <v>61.636000000000024</v>
      </c>
      <c r="BB16" s="756">
        <f>BB12-BB13</f>
        <v>87.995000000000033</v>
      </c>
      <c r="BC16" s="756">
        <f>BC12-BC13</f>
        <v>73.360999999999962</v>
      </c>
      <c r="BD16" s="756">
        <f>BD12-BD13</f>
        <v>61.733000000000033</v>
      </c>
      <c r="BE16" s="756"/>
      <c r="BF16" s="756">
        <f>BF12-BF13</f>
        <v>52.914999999999935</v>
      </c>
      <c r="BG16" s="756">
        <f>BG12-BG13</f>
        <v>95.938000000000017</v>
      </c>
      <c r="BH16" s="756">
        <f>BH12-BH13</f>
        <v>93.480000000000018</v>
      </c>
      <c r="BI16" s="756">
        <f>BI12-BI13</f>
        <v>131.95200000000023</v>
      </c>
      <c r="BJ16" s="756"/>
      <c r="BK16" s="756">
        <f>BK12-BK13</f>
        <v>72.966000000000037</v>
      </c>
      <c r="BL16" s="756">
        <f>BL12-BL13</f>
        <v>119.31700000000001</v>
      </c>
      <c r="BM16" s="756">
        <f>BM12-BM13</f>
        <v>105.45899999999997</v>
      </c>
      <c r="BN16" s="756">
        <f>BN12-BN13</f>
        <v>129.089</v>
      </c>
      <c r="BO16" s="756"/>
      <c r="BP16" s="756">
        <f>BP12-BP13</f>
        <v>59.82099999999997</v>
      </c>
      <c r="BQ16" s="756">
        <f>BQ12-BQ13</f>
        <v>105.11700000000005</v>
      </c>
      <c r="BR16" s="756">
        <f>BR12-BR13</f>
        <v>76.465000000000003</v>
      </c>
      <c r="BS16" s="756">
        <f>BS12-BS13</f>
        <v>123.98199999999994</v>
      </c>
      <c r="BT16" s="756"/>
      <c r="BU16" s="756">
        <f>BU12-BU13</f>
        <v>53.054000000000002</v>
      </c>
      <c r="BV16" s="756">
        <f>BV12-BV13</f>
        <v>103.751</v>
      </c>
      <c r="BW16" s="814">
        <f>BW12-BW13</f>
        <v>80.324999999999989</v>
      </c>
      <c r="BX16" s="814">
        <f>BX12-BX13</f>
        <v>116.44899999999998</v>
      </c>
      <c r="BY16" s="756"/>
      <c r="BZ16" s="756">
        <f>BZ12-BZ13</f>
        <v>50.483000000000033</v>
      </c>
      <c r="CA16" s="756">
        <f>CA12-CA13</f>
        <v>118.21199999999996</v>
      </c>
      <c r="CB16" s="814">
        <f>CB12-CB13</f>
        <v>70.304999999999922</v>
      </c>
      <c r="CC16" s="760">
        <f>CC12-CC13</f>
        <v>103.86799999999985</v>
      </c>
      <c r="CD16" s="756"/>
      <c r="CE16" s="756">
        <f>CE12-CE13</f>
        <v>21.036000000000087</v>
      </c>
      <c r="CF16" s="756">
        <f>CF12-CF13</f>
        <v>75.180000000000064</v>
      </c>
      <c r="CG16" s="814">
        <f>CG12-CG13</f>
        <v>72.887999999999977</v>
      </c>
      <c r="CH16" s="756">
        <f>CH12-CH13</f>
        <v>104.2589999999999</v>
      </c>
      <c r="CI16" s="756"/>
      <c r="CJ16" s="756">
        <f>CJ12-CJ13</f>
        <v>43.92613844074657</v>
      </c>
      <c r="CK16" s="756">
        <f>CK12-CK13</f>
        <v>96.239757680514259</v>
      </c>
      <c r="CL16" s="756">
        <f>CL12-CL13</f>
        <v>71.206479616140598</v>
      </c>
      <c r="CM16" s="761">
        <f>CM12-CM13</f>
        <v>92.871299916680982</v>
      </c>
      <c r="CN16" s="756"/>
      <c r="CO16" s="757">
        <f>CO12-CO13</f>
        <v>21.35599999999998</v>
      </c>
      <c r="CP16" s="757">
        <f>CP12-CP13</f>
        <v>22.061999999999983</v>
      </c>
      <c r="CQ16" s="757">
        <f>CQ12-CQ13</f>
        <v>25.116000000000028</v>
      </c>
      <c r="CR16" s="757">
        <f>CR12-CR13</f>
        <v>37.565000000000026</v>
      </c>
      <c r="CS16" s="757">
        <f>CS12-CS13</f>
        <v>17.877999999999986</v>
      </c>
      <c r="CT16" s="758">
        <f>CT12-CT13-CT14</f>
        <v>25.497999999999962</v>
      </c>
      <c r="CU16" s="759">
        <f t="shared" ref="CU16:CZ16" si="6">CU12-CU13</f>
        <v>45.398999999999987</v>
      </c>
      <c r="CV16" s="759">
        <f t="shared" si="6"/>
        <v>29.562000000000012</v>
      </c>
      <c r="CW16" s="759">
        <f t="shared" si="6"/>
        <v>148.36599999999987</v>
      </c>
      <c r="CX16" s="759">
        <f t="shared" si="6"/>
        <v>207.69899999999996</v>
      </c>
      <c r="CY16" s="759">
        <f t="shared" si="6"/>
        <v>163.9890000000002</v>
      </c>
      <c r="CZ16" s="760">
        <f t="shared" si="6"/>
        <v>224.94499999999994</v>
      </c>
      <c r="DA16" s="758">
        <f t="shared" ref="DA16:DF16" si="7">DA12-DA13</f>
        <v>299.43499999999983</v>
      </c>
      <c r="DB16" s="761">
        <f t="shared" si="7"/>
        <v>338.98399999999992</v>
      </c>
      <c r="DC16" s="758">
        <f t="shared" si="7"/>
        <v>414.20299999999986</v>
      </c>
      <c r="DD16" s="757">
        <f t="shared" si="7"/>
        <v>284.72500000000059</v>
      </c>
      <c r="DE16" s="757">
        <f t="shared" si="7"/>
        <v>374.2850000000002</v>
      </c>
      <c r="DF16" s="758">
        <f t="shared" si="7"/>
        <v>426.86745999999994</v>
      </c>
      <c r="DG16" s="757">
        <f t="shared" ref="DG16:DL16" si="8">DG12-DG13</f>
        <v>365.65450000000021</v>
      </c>
      <c r="DH16" s="757">
        <f t="shared" si="8"/>
        <v>353.57899999999995</v>
      </c>
      <c r="DI16" s="757">
        <f t="shared" si="8"/>
        <v>342.86799999999971</v>
      </c>
      <c r="DJ16" s="757">
        <f t="shared" si="8"/>
        <v>273.36299999999983</v>
      </c>
      <c r="DK16" s="757">
        <f t="shared" si="8"/>
        <v>304.24367565408249</v>
      </c>
      <c r="DL16" s="757">
        <f t="shared" si="8"/>
        <v>305.82858509905702</v>
      </c>
      <c r="DM16" s="757">
        <f>DM12-DM13</f>
        <v>312.16145532584801</v>
      </c>
      <c r="DN16" s="757">
        <f>DN12-DN13</f>
        <v>317.92983595620797</v>
      </c>
      <c r="DO16" s="761">
        <f>DO12-DO13</f>
        <v>323.60606653207992</v>
      </c>
      <c r="DP16" s="704"/>
      <c r="DW16" s="449"/>
      <c r="DX16" s="449"/>
    </row>
    <row r="17" spans="1:135">
      <c r="A17" s="711"/>
      <c r="B17" s="756"/>
      <c r="C17" s="756"/>
      <c r="D17" s="756"/>
      <c r="E17" s="756"/>
      <c r="F17" s="756"/>
      <c r="G17" s="756"/>
      <c r="H17" s="756"/>
      <c r="I17" s="756"/>
      <c r="J17" s="756"/>
      <c r="K17" s="756"/>
      <c r="L17" s="756"/>
      <c r="M17" s="756"/>
      <c r="N17" s="756"/>
      <c r="O17" s="756"/>
      <c r="P17" s="756"/>
      <c r="Q17" s="756"/>
      <c r="R17" s="756"/>
      <c r="S17" s="756"/>
      <c r="T17" s="756"/>
      <c r="U17" s="756"/>
      <c r="V17" s="756"/>
      <c r="W17" s="756"/>
      <c r="X17" s="756"/>
      <c r="Y17" s="756"/>
      <c r="Z17" s="756"/>
      <c r="AA17" s="756"/>
      <c r="AB17" s="756"/>
      <c r="AC17" s="756"/>
      <c r="AD17" s="756"/>
      <c r="AE17" s="756"/>
      <c r="AF17" s="756"/>
      <c r="AG17" s="756"/>
      <c r="AH17" s="756"/>
      <c r="AI17" s="756"/>
      <c r="AJ17" s="756"/>
      <c r="AK17" s="756"/>
      <c r="AL17" s="756"/>
      <c r="AM17" s="756"/>
      <c r="AN17" s="756"/>
      <c r="AO17" s="756"/>
      <c r="AP17" s="756"/>
      <c r="AQ17" s="756"/>
      <c r="AR17" s="756"/>
      <c r="AS17" s="756"/>
      <c r="AT17" s="756"/>
      <c r="AU17" s="756"/>
      <c r="AV17" s="756"/>
      <c r="AW17" s="756"/>
      <c r="AX17" s="756"/>
      <c r="AY17" s="756"/>
      <c r="AZ17" s="756"/>
      <c r="BA17" s="756"/>
      <c r="BB17" s="756"/>
      <c r="BC17" s="756"/>
      <c r="BD17" s="756"/>
      <c r="BE17" s="756"/>
      <c r="BF17" s="756"/>
      <c r="BG17" s="756"/>
      <c r="BH17" s="756"/>
      <c r="BI17" s="756"/>
      <c r="BJ17" s="756"/>
      <c r="BK17" s="756"/>
      <c r="BL17" s="756"/>
      <c r="BM17" s="756"/>
      <c r="BN17" s="756"/>
      <c r="BO17" s="756"/>
      <c r="BP17" s="756"/>
      <c r="BQ17" s="756"/>
      <c r="BR17" s="756"/>
      <c r="BS17" s="756"/>
      <c r="BT17" s="756"/>
      <c r="BU17" s="756"/>
      <c r="BV17" s="756"/>
      <c r="BW17" s="756"/>
      <c r="BX17" s="756"/>
      <c r="BY17" s="756"/>
      <c r="BZ17" s="756"/>
      <c r="CA17" s="756"/>
      <c r="CB17" s="756"/>
      <c r="CC17" s="757"/>
      <c r="CD17" s="756"/>
      <c r="CE17" s="756"/>
      <c r="CF17" s="756"/>
      <c r="CG17" s="756"/>
      <c r="CH17" s="756"/>
      <c r="CI17" s="756"/>
      <c r="CJ17" s="756"/>
      <c r="CK17" s="756"/>
      <c r="CL17" s="756"/>
      <c r="CM17" s="761"/>
      <c r="CN17" s="756"/>
      <c r="CO17" s="757"/>
      <c r="CP17" s="757"/>
      <c r="CQ17" s="757"/>
      <c r="CR17" s="757"/>
      <c r="CS17" s="757"/>
      <c r="CT17" s="758"/>
      <c r="CU17" s="758"/>
      <c r="CV17" s="758"/>
      <c r="CW17" s="758"/>
      <c r="CX17" s="758"/>
      <c r="CY17" s="758"/>
      <c r="CZ17" s="757"/>
      <c r="DA17" s="758"/>
      <c r="DB17" s="761"/>
      <c r="DC17" s="758"/>
      <c r="DD17" s="757"/>
      <c r="DE17" s="757"/>
      <c r="DF17" s="758"/>
      <c r="DG17" s="757"/>
      <c r="DH17" s="757"/>
      <c r="DI17" s="757"/>
      <c r="DJ17" s="757"/>
      <c r="DK17" s="757"/>
      <c r="DL17" s="757"/>
      <c r="DM17" s="757"/>
      <c r="DN17" s="757"/>
      <c r="DO17" s="761"/>
      <c r="DP17" s="704"/>
      <c r="DX17" s="449"/>
    </row>
    <row r="18" spans="1:135">
      <c r="A18" s="765" t="s">
        <v>436</v>
      </c>
      <c r="B18" s="765"/>
      <c r="C18" s="765">
        <f>'qtrP&amp;L'!$AF60</f>
        <v>-0.113</v>
      </c>
      <c r="D18" s="765">
        <f>'qtrP&amp;L'!$AF61</f>
        <v>-0.14099999999999999</v>
      </c>
      <c r="E18" s="765">
        <f>'qtrP&amp;L'!$AF62</f>
        <v>-8.6999999999999994E-2</v>
      </c>
      <c r="F18" s="765">
        <f>'qtrP&amp;L'!$AF63</f>
        <v>6.5000000000000002E-2</v>
      </c>
      <c r="G18" s="765"/>
      <c r="H18" s="765">
        <f>'qtrP&amp;L'!$AB60</f>
        <v>0.1</v>
      </c>
      <c r="I18" s="765">
        <f>'qtrP&amp;L'!$AB61</f>
        <v>-4.1000000000000002E-2</v>
      </c>
      <c r="J18" s="765">
        <f>'qtrP&amp;L'!$AB62</f>
        <v>-0.21299999999999999</v>
      </c>
      <c r="K18" s="765">
        <f>'qtrP&amp;L'!$AB63</f>
        <v>6.3E-2</v>
      </c>
      <c r="L18" s="765"/>
      <c r="M18" s="765">
        <f>'qtrP&amp;L'!$AN60</f>
        <v>8.4000000000000005E-2</v>
      </c>
      <c r="N18" s="765">
        <f>'qtrP&amp;L'!$AN61</f>
        <v>0.41</v>
      </c>
      <c r="O18" s="765">
        <f>'qtrP&amp;L'!$AN62</f>
        <v>0.19800000000000001</v>
      </c>
      <c r="P18" s="765">
        <f>'qtrP&amp;L'!$AN63</f>
        <v>-9.4E-2</v>
      </c>
      <c r="Q18" s="765"/>
      <c r="R18" s="765">
        <f>+'qtrP&amp;L'!$AU$60</f>
        <v>-4.3999999999999997E-2</v>
      </c>
      <c r="S18" s="765">
        <f>+'qtrP&amp;L'!$AU$61</f>
        <v>0.34599999999999997</v>
      </c>
      <c r="T18" s="765">
        <f>+'qtrP&amp;L'!$AU$62</f>
        <v>0.57599999999999996</v>
      </c>
      <c r="U18" s="765">
        <f>+'qtrP&amp;L'!$AU$63</f>
        <v>0.94799999999999995</v>
      </c>
      <c r="V18" s="765"/>
      <c r="W18" s="765">
        <f>+'qtrP&amp;L'!$AY$60</f>
        <v>0.76400000000000001</v>
      </c>
      <c r="X18" s="765">
        <f>+'qtrP&amp;L'!$AY$61</f>
        <v>1.3260000000000001</v>
      </c>
      <c r="Y18" s="765">
        <f>+'qtrP&amp;L'!$AY$62</f>
        <v>1.0209999999999999</v>
      </c>
      <c r="Z18" s="765">
        <f>+'qtrP&amp;L'!$AY$63</f>
        <v>1.587</v>
      </c>
      <c r="AA18" s="765"/>
      <c r="AB18" s="765">
        <f>+'qtrP&amp;L'!$BC$60</f>
        <v>1.4119999999999999</v>
      </c>
      <c r="AC18" s="765">
        <f>+'qtrP&amp;L'!$BC$61</f>
        <v>1.75</v>
      </c>
      <c r="AD18" s="765">
        <f>+'qtrP&amp;L'!$BC$62</f>
        <v>1.365</v>
      </c>
      <c r="AE18" s="765">
        <f>+'qtrP&amp;L'!$BC$63</f>
        <v>1.6419999999999999</v>
      </c>
      <c r="AF18" s="765"/>
      <c r="AG18" s="765">
        <f>+'qtrP&amp;L'!$BG$60</f>
        <v>1.802</v>
      </c>
      <c r="AH18" s="765">
        <f>+'qtrP&amp;L'!$BG$61</f>
        <v>2.0369999999999999</v>
      </c>
      <c r="AI18" s="765">
        <f>+'qtrP&amp;L'!$BG$62</f>
        <v>2.1509999999999998</v>
      </c>
      <c r="AJ18" s="765">
        <f>+'qtrP&amp;L'!$BG$63</f>
        <v>3.4590000000000001</v>
      </c>
      <c r="AK18" s="765"/>
      <c r="AL18" s="765">
        <f>'qtrP&amp;L'!BK60</f>
        <v>3.22</v>
      </c>
      <c r="AM18" s="765">
        <f>'qtrP&amp;L'!BK61</f>
        <v>2.4449999999999998</v>
      </c>
      <c r="AN18" s="765">
        <f>'qtrP&amp;L'!BK62</f>
        <v>1.4370000000000001</v>
      </c>
      <c r="AO18" s="765">
        <f>'qtrP&amp;L'!BK63</f>
        <v>2.9529999999999998</v>
      </c>
      <c r="AP18" s="765"/>
      <c r="AQ18" s="765">
        <f>'qtrP&amp;L'!BO60</f>
        <v>2.0910000000000002</v>
      </c>
      <c r="AR18" s="765">
        <f>'qtrP&amp;L'!BO61</f>
        <v>0.93899999999999995</v>
      </c>
      <c r="AS18" s="765">
        <f>'qtrP&amp;L'!BO62</f>
        <v>1.8169999999999999</v>
      </c>
      <c r="AT18" s="765">
        <f>'qtrP&amp;L'!BO63</f>
        <v>0.57499999999999996</v>
      </c>
      <c r="AU18" s="765"/>
      <c r="AV18" s="765">
        <f>'qtrP&amp;L'!$BS$60</f>
        <v>0.42299999999999999</v>
      </c>
      <c r="AW18" s="765">
        <f>'qtrP&amp;L'!$BS$61</f>
        <v>0.61599999999999999</v>
      </c>
      <c r="AX18" s="765">
        <f>'qtrP&amp;L'!$BS$62</f>
        <v>0.876</v>
      </c>
      <c r="AY18" s="765">
        <f>'qtrP&amp;L'!$BS$63</f>
        <v>1.0900000000000001</v>
      </c>
      <c r="AZ18" s="765"/>
      <c r="BA18" s="765">
        <f>'qtrP&amp;L'!$BW$60</f>
        <v>1.365</v>
      </c>
      <c r="BB18" s="765">
        <f>'qtrP&amp;L'!$BW$61</f>
        <v>0.93500000000000005</v>
      </c>
      <c r="BC18" s="765">
        <f>'qtrP&amp;L'!$BW$62</f>
        <v>2.0179999999999998</v>
      </c>
      <c r="BD18" s="765">
        <f>'qtrP&amp;L'!$BW$63</f>
        <v>-0.21199999999999999</v>
      </c>
      <c r="BE18" s="765"/>
      <c r="BF18" s="765">
        <f>'qtrP&amp;L'!$CA$60</f>
        <v>0.29899999999999999</v>
      </c>
      <c r="BG18" s="765">
        <f>'qtrP&amp;L'!$CA$61</f>
        <v>0.14399999999999999</v>
      </c>
      <c r="BH18" s="765">
        <f>'qtrP&amp;L'!$CA$62</f>
        <v>0.128</v>
      </c>
      <c r="BI18" s="765">
        <f>'qtrP&amp;L'!$CA$63</f>
        <v>0.71599999999999997</v>
      </c>
      <c r="BJ18" s="765"/>
      <c r="BK18" s="765">
        <f>'qtrP&amp;L'!CE60</f>
        <v>-0.129</v>
      </c>
      <c r="BL18" s="765">
        <f>'qtrP&amp;L'!CE61</f>
        <v>0.20699999999999999</v>
      </c>
      <c r="BM18" s="765">
        <f>'qtrP&amp;L'!CE62</f>
        <v>-0.186</v>
      </c>
      <c r="BN18" s="765">
        <f>'qtrP&amp;L'!CE63</f>
        <v>0.79500000000000004</v>
      </c>
      <c r="BO18" s="765"/>
      <c r="BP18" s="765">
        <f>'qtrP&amp;L'!CI60</f>
        <v>-0.34399999999999997</v>
      </c>
      <c r="BQ18" s="765">
        <f>'qtrP&amp;L'!CI61</f>
        <v>-0.52300000000000002</v>
      </c>
      <c r="BR18" s="765">
        <f>'qtrP&amp;L'!CI62</f>
        <v>-0.69299999999999995</v>
      </c>
      <c r="BS18" s="765">
        <f>'qtrP&amp;L'!CI63</f>
        <v>-0.375</v>
      </c>
      <c r="BT18" s="765"/>
      <c r="BU18" s="765">
        <f>'qtrP&amp;L'!CM60</f>
        <v>-2.121</v>
      </c>
      <c r="BV18" s="765">
        <f>'qtrP&amp;L'!CM61</f>
        <v>-0.59599999999999997</v>
      </c>
      <c r="BW18" s="765">
        <f>'qtrP&amp;L'!CM62</f>
        <v>6.3E-2</v>
      </c>
      <c r="BX18" s="765">
        <f>'qtrP&amp;L'!CM63</f>
        <v>-0.89400000000000002</v>
      </c>
      <c r="BY18" s="765"/>
      <c r="BZ18" s="765">
        <f t="array" ref="BZ18:CC18">TRANSPOSE('qtrP&amp;L'!CQ60:CQ63)</f>
        <v>-1.577</v>
      </c>
      <c r="CA18" s="765">
        <v>1.071</v>
      </c>
      <c r="CB18" s="765">
        <v>0.85399999999999998</v>
      </c>
      <c r="CC18" s="766">
        <v>-0.77600000000000002</v>
      </c>
      <c r="CD18" s="765"/>
      <c r="CE18" s="765">
        <f t="array" ref="CE18:CH18">TRANSPOSE('qtrP&amp;L'!CU60:CU63)</f>
        <v>0.31900000000000001</v>
      </c>
      <c r="CF18" s="765">
        <v>1.736</v>
      </c>
      <c r="CG18" s="765">
        <v>-0.88200000000000001</v>
      </c>
      <c r="CH18" s="765">
        <v>0.30099999999999999</v>
      </c>
      <c r="CI18" s="765"/>
      <c r="CJ18" s="765">
        <f t="array" ref="CJ18:CM18">TRANSPOSE('qtrP&amp;L'!CY60:CY63)</f>
        <v>0.31900000000000001</v>
      </c>
      <c r="CK18" s="765">
        <v>1.736</v>
      </c>
      <c r="CL18" s="765">
        <v>-0.88200000000000001</v>
      </c>
      <c r="CM18" s="768">
        <v>-0.8</v>
      </c>
      <c r="CN18" s="765"/>
      <c r="CO18" s="766">
        <f>'yrP&amp;L'!D36</f>
        <v>1.3129999999999999</v>
      </c>
      <c r="CP18" s="766">
        <f>'yrP&amp;L'!E36</f>
        <v>1.5620000000000001</v>
      </c>
      <c r="CQ18" s="766">
        <f>'yrP&amp;L'!F36</f>
        <v>1.5960000000000001</v>
      </c>
      <c r="CR18" s="766">
        <f>'yrP&amp;L'!G36</f>
        <v>-2.7159999999999997</v>
      </c>
      <c r="CS18" s="766">
        <f>'yrP&amp;L'!H36</f>
        <v>-9.0999999999999998E-2</v>
      </c>
      <c r="CT18" s="767">
        <f>'yrP&amp;L'!I36</f>
        <v>-0.27599999999999997</v>
      </c>
      <c r="CU18" s="767">
        <f>'yrP&amp;L'!J36</f>
        <v>0.67400000000000004</v>
      </c>
      <c r="CV18" s="767">
        <f>'yrP&amp;L'!K36</f>
        <v>0.59799999999999998</v>
      </c>
      <c r="CW18" s="767">
        <f>'yrP&amp;L'!L36</f>
        <v>1.8259999999999998</v>
      </c>
      <c r="CX18" s="767">
        <f>'yrP&amp;L'!M36</f>
        <v>4.6979999999999995</v>
      </c>
      <c r="CY18" s="767">
        <f>'yrP&amp;L'!N36</f>
        <v>6.1690000000000005</v>
      </c>
      <c r="CZ18" s="766">
        <f>'yrP&amp;L'!O36</f>
        <v>9.4489999999999998</v>
      </c>
      <c r="DA18" s="767">
        <f>'yrP&amp;L'!P36</f>
        <v>10.055</v>
      </c>
      <c r="DB18" s="768">
        <f>'yrP&amp;L'!Q36</f>
        <v>5.4220000000000006</v>
      </c>
      <c r="DC18" s="767">
        <f>'yrP&amp;L'!R36</f>
        <v>3.0049999999999999</v>
      </c>
      <c r="DD18" s="766">
        <f>'yrP&amp;L'!S36</f>
        <v>4.1059999999999999</v>
      </c>
      <c r="DE18" s="766">
        <f>'yrP&amp;L'!T36</f>
        <v>1.2869999999999999</v>
      </c>
      <c r="DF18" s="767">
        <f>'yrP&amp;L'!U36</f>
        <v>0.68700000000000006</v>
      </c>
      <c r="DG18" s="766">
        <f>'yrP&amp;L'!V36</f>
        <v>-1.9350000000000001</v>
      </c>
      <c r="DH18" s="766">
        <f>'yrP&amp;L'!W36</f>
        <v>-3.548</v>
      </c>
      <c r="DI18" s="766">
        <f>'yrP&amp;L'!X36</f>
        <v>-0.42800000000000005</v>
      </c>
      <c r="DJ18" s="766">
        <f>'yrP&amp;L'!Y36</f>
        <v>1.474</v>
      </c>
      <c r="DK18" s="766">
        <f>'yrP&amp;L'!Z36</f>
        <v>0.373</v>
      </c>
      <c r="DL18" s="766">
        <f>'yrP&amp;L'!AA36</f>
        <v>0.37903772409830372</v>
      </c>
      <c r="DM18" s="766">
        <f>'yrP&amp;L'!AB36</f>
        <v>0.38640112601950016</v>
      </c>
      <c r="DN18" s="766">
        <f>'yrP&amp;L'!AC36</f>
        <v>0.39304820980791683</v>
      </c>
      <c r="DO18" s="768">
        <f>'yrP&amp;L'!AD36</f>
        <v>0.39906541891229674</v>
      </c>
      <c r="DP18" s="704"/>
    </row>
    <row r="19" spans="1:135">
      <c r="A19" s="765" t="s">
        <v>413</v>
      </c>
      <c r="B19" s="756"/>
      <c r="C19" s="756">
        <f>C16+C18</f>
        <v>1.9350000000000018</v>
      </c>
      <c r="D19" s="756">
        <f>D16+D18</f>
        <v>5.3059999999999956</v>
      </c>
      <c r="E19" s="756">
        <f>E16+E18</f>
        <v>8.2819999999999929</v>
      </c>
      <c r="F19" s="756">
        <f>F16+F18</f>
        <v>9.6989999999999998</v>
      </c>
      <c r="G19" s="756"/>
      <c r="H19" s="756">
        <f>H16+H18</f>
        <v>5.111000000000006</v>
      </c>
      <c r="I19" s="756">
        <f>I16+I18</f>
        <v>2.968999999999991</v>
      </c>
      <c r="J19" s="756">
        <f>J16+J18</f>
        <v>3.9349999999999925</v>
      </c>
      <c r="K19" s="756">
        <f>K16+K18</f>
        <v>5.7719999999999887</v>
      </c>
      <c r="L19" s="756"/>
      <c r="M19" s="756">
        <f>M16+M18</f>
        <v>10.744000000000007</v>
      </c>
      <c r="N19" s="756">
        <f>N16+N18</f>
        <v>15.911000000000012</v>
      </c>
      <c r="O19" s="756">
        <f>O16+O18</f>
        <v>23.675999999999995</v>
      </c>
      <c r="P19" s="756">
        <f>P16+P18</f>
        <v>30.972999999999985</v>
      </c>
      <c r="Q19" s="756"/>
      <c r="R19" s="756">
        <f>R16+R18</f>
        <v>28.351999999999993</v>
      </c>
      <c r="S19" s="756">
        <f>S16+S18</f>
        <v>34.466000000000008</v>
      </c>
      <c r="T19" s="756">
        <f>T16+T18</f>
        <v>43.75800000000001</v>
      </c>
      <c r="U19" s="756">
        <f>U16+U18</f>
        <v>43.615999999999879</v>
      </c>
      <c r="V19" s="756"/>
      <c r="W19" s="756">
        <f>W16+W18</f>
        <v>45.541999999999994</v>
      </c>
      <c r="X19" s="756">
        <f>X16+X18</f>
        <v>50.790999999999983</v>
      </c>
      <c r="Y19" s="756">
        <f>Y16+Y18</f>
        <v>61.679999999999978</v>
      </c>
      <c r="Z19" s="756">
        <f>Z16+Z18</f>
        <v>54.383999999999986</v>
      </c>
      <c r="AA19" s="756"/>
      <c r="AB19" s="756">
        <f>AB16+AB18</f>
        <v>32.963000000000001</v>
      </c>
      <c r="AC19" s="756">
        <f>AC16+AC18</f>
        <v>40.459000000000032</v>
      </c>
      <c r="AD19" s="756">
        <f>AD16+AD18</f>
        <v>46.829000000000015</v>
      </c>
      <c r="AE19" s="756">
        <f>AE16+AE18</f>
        <v>49.907000000000004</v>
      </c>
      <c r="AF19" s="756"/>
      <c r="AG19" s="756">
        <f>AG16+AG18</f>
        <v>37.817999999999977</v>
      </c>
      <c r="AH19" s="756">
        <f>AH16+AH18</f>
        <v>49.308000000000014</v>
      </c>
      <c r="AI19" s="756">
        <f>AI16+AI18</f>
        <v>63.47799999999998</v>
      </c>
      <c r="AJ19" s="756">
        <f>AE16+AE18</f>
        <v>49.907000000000004</v>
      </c>
      <c r="AK19" s="756"/>
      <c r="AL19" s="756">
        <f>AL16+AL18</f>
        <v>66.161999999999978</v>
      </c>
      <c r="AM19" s="756">
        <f>AM16+AM18</f>
        <v>85.364999999999981</v>
      </c>
      <c r="AN19" s="756">
        <f>AN16+AN18</f>
        <v>91.81599999999996</v>
      </c>
      <c r="AO19" s="756">
        <f>AO16+AO18</f>
        <v>66.147000000000006</v>
      </c>
      <c r="AP19" s="756"/>
      <c r="AQ19" s="756">
        <f>AQ16+AQ18</f>
        <v>48.210999999999977</v>
      </c>
      <c r="AR19" s="756">
        <f>AR16+AR18</f>
        <v>79.379999999999939</v>
      </c>
      <c r="AS19" s="756">
        <f>AS16+AS18</f>
        <v>97.57799999999996</v>
      </c>
      <c r="AT19" s="756">
        <f>AT16+AT18</f>
        <v>119.23700000000007</v>
      </c>
      <c r="AU19" s="756"/>
      <c r="AV19" s="756">
        <f>AV16+AV18</f>
        <v>82.634</v>
      </c>
      <c r="AW19" s="756">
        <f>AW16+AW18</f>
        <v>107.485</v>
      </c>
      <c r="AX19" s="756">
        <f>AX16+AX18</f>
        <v>105.67599999999999</v>
      </c>
      <c r="AY19" s="756">
        <f>AY16+AY18</f>
        <v>121.41300000000001</v>
      </c>
      <c r="AZ19" s="756"/>
      <c r="BA19" s="756">
        <f>BA16+BA18</f>
        <v>63.001000000000026</v>
      </c>
      <c r="BB19" s="756">
        <f>BB16+BB18</f>
        <v>88.930000000000035</v>
      </c>
      <c r="BC19" s="756">
        <f>BC16+BC18</f>
        <v>75.378999999999962</v>
      </c>
      <c r="BD19" s="756">
        <f>BD16+BD18</f>
        <v>61.521000000000029</v>
      </c>
      <c r="BE19" s="756"/>
      <c r="BF19" s="756">
        <f>BF16+BF18</f>
        <v>53.213999999999935</v>
      </c>
      <c r="BG19" s="756">
        <f>BG16+BG18</f>
        <v>96.082000000000022</v>
      </c>
      <c r="BH19" s="756">
        <f>BH16+BH18</f>
        <v>93.608000000000018</v>
      </c>
      <c r="BI19" s="756">
        <f>BI16+BI18</f>
        <v>132.66800000000023</v>
      </c>
      <c r="BJ19" s="756"/>
      <c r="BK19" s="756">
        <f>BK16+BK18</f>
        <v>72.837000000000032</v>
      </c>
      <c r="BL19" s="756">
        <f>BL16+BL18</f>
        <v>119.524</v>
      </c>
      <c r="BM19" s="756">
        <f>BM16+BM18</f>
        <v>105.27299999999997</v>
      </c>
      <c r="BN19" s="756">
        <f>BN16+BN18</f>
        <v>129.88399999999999</v>
      </c>
      <c r="BO19" s="756"/>
      <c r="BP19" s="756">
        <f>BP16+BP18</f>
        <v>59.476999999999968</v>
      </c>
      <c r="BQ19" s="756">
        <f>BQ16+BQ18</f>
        <v>104.59400000000005</v>
      </c>
      <c r="BR19" s="756">
        <f>BR16+BR18</f>
        <v>75.772000000000006</v>
      </c>
      <c r="BS19" s="756">
        <f>BS16+BS18</f>
        <v>123.60699999999994</v>
      </c>
      <c r="BT19" s="756"/>
      <c r="BU19" s="756">
        <f>BU16+BU18</f>
        <v>50.933</v>
      </c>
      <c r="BV19" s="756">
        <f>BV16+BV18</f>
        <v>103.155</v>
      </c>
      <c r="BW19" s="756">
        <f>BW16+BW18</f>
        <v>80.387999999999991</v>
      </c>
      <c r="BX19" s="756">
        <f>BX16+BX18</f>
        <v>115.55499999999998</v>
      </c>
      <c r="BY19" s="756"/>
      <c r="BZ19" s="756">
        <f>BZ16+BZ18</f>
        <v>48.906000000000034</v>
      </c>
      <c r="CA19" s="756">
        <f>CA16+CA18</f>
        <v>119.28299999999996</v>
      </c>
      <c r="CB19" s="756">
        <f>CB16+CB18</f>
        <v>71.158999999999921</v>
      </c>
      <c r="CC19" s="757">
        <f>CC16+CC18</f>
        <v>103.09199999999986</v>
      </c>
      <c r="CD19" s="756"/>
      <c r="CE19" s="756">
        <f>CE16+CE18</f>
        <v>21.355000000000086</v>
      </c>
      <c r="CF19" s="756">
        <f>CF16+CF18</f>
        <v>76.916000000000068</v>
      </c>
      <c r="CG19" s="756">
        <f>CG16+CG18</f>
        <v>72.005999999999972</v>
      </c>
      <c r="CH19" s="756">
        <f>CH16+CH18</f>
        <v>104.5599999999999</v>
      </c>
      <c r="CI19" s="756"/>
      <c r="CJ19" s="756">
        <f>CJ16+CJ18</f>
        <v>44.245138440746572</v>
      </c>
      <c r="CK19" s="756">
        <f>CK16+CK18</f>
        <v>97.975757680514263</v>
      </c>
      <c r="CL19" s="756">
        <f>CL16+CL18</f>
        <v>70.324479616140593</v>
      </c>
      <c r="CM19" s="761">
        <f>CM16+CM18</f>
        <v>92.071299916680985</v>
      </c>
      <c r="CN19" s="756"/>
      <c r="CO19" s="757">
        <f>CO16+CO18</f>
        <v>22.668999999999979</v>
      </c>
      <c r="CP19" s="757">
        <f>CP16+CP18</f>
        <v>23.623999999999985</v>
      </c>
      <c r="CQ19" s="757">
        <f t="shared" ref="CQ19:CX19" si="9">CQ16+CQ18</f>
        <v>26.712000000000028</v>
      </c>
      <c r="CR19" s="757">
        <f t="shared" si="9"/>
        <v>34.849000000000025</v>
      </c>
      <c r="CS19" s="757">
        <f t="shared" si="9"/>
        <v>17.786999999999985</v>
      </c>
      <c r="CT19" s="758">
        <f t="shared" si="9"/>
        <v>25.221999999999962</v>
      </c>
      <c r="CU19" s="758">
        <f t="shared" si="9"/>
        <v>46.072999999999986</v>
      </c>
      <c r="CV19" s="758">
        <f t="shared" si="9"/>
        <v>30.160000000000011</v>
      </c>
      <c r="CW19" s="758">
        <f t="shared" si="9"/>
        <v>150.19199999999987</v>
      </c>
      <c r="CX19" s="758">
        <f t="shared" si="9"/>
        <v>212.39699999999996</v>
      </c>
      <c r="CY19" s="758">
        <f t="shared" ref="CY19:DG19" si="10">CY16+CY18</f>
        <v>170.15800000000021</v>
      </c>
      <c r="CZ19" s="757">
        <f t="shared" si="10"/>
        <v>234.39399999999995</v>
      </c>
      <c r="DA19" s="758">
        <f t="shared" si="10"/>
        <v>309.48999999999984</v>
      </c>
      <c r="DB19" s="761">
        <f t="shared" si="10"/>
        <v>344.40599999999995</v>
      </c>
      <c r="DC19" s="758">
        <f t="shared" si="10"/>
        <v>417.20799999999986</v>
      </c>
      <c r="DD19" s="757">
        <f t="shared" si="10"/>
        <v>288.83100000000059</v>
      </c>
      <c r="DE19" s="757">
        <f t="shared" si="10"/>
        <v>375.57200000000017</v>
      </c>
      <c r="DF19" s="758">
        <f t="shared" si="10"/>
        <v>427.55445999999995</v>
      </c>
      <c r="DG19" s="757">
        <f t="shared" si="10"/>
        <v>363.71950000000021</v>
      </c>
      <c r="DH19" s="757">
        <f t="shared" ref="DH19:DM19" si="11">DH16+DH18</f>
        <v>350.03099999999995</v>
      </c>
      <c r="DI19" s="757">
        <f t="shared" si="11"/>
        <v>342.43999999999971</v>
      </c>
      <c r="DJ19" s="757">
        <f t="shared" si="11"/>
        <v>274.83699999999982</v>
      </c>
      <c r="DK19" s="757">
        <f t="shared" si="11"/>
        <v>304.61667565408248</v>
      </c>
      <c r="DL19" s="757">
        <f t="shared" si="11"/>
        <v>306.2076228231553</v>
      </c>
      <c r="DM19" s="757">
        <f t="shared" si="11"/>
        <v>312.54785645186752</v>
      </c>
      <c r="DN19" s="757">
        <f>DN16+DN18</f>
        <v>318.32288416601591</v>
      </c>
      <c r="DO19" s="761">
        <f>DO16+DO18</f>
        <v>324.00513195099222</v>
      </c>
      <c r="DP19" s="704"/>
    </row>
    <row r="20" spans="1:135">
      <c r="A20" s="765"/>
      <c r="B20" s="780"/>
      <c r="C20" s="780"/>
      <c r="D20" s="780"/>
      <c r="E20" s="780"/>
      <c r="F20" s="780"/>
      <c r="G20" s="780"/>
      <c r="H20" s="780"/>
      <c r="I20" s="780"/>
      <c r="J20" s="780"/>
      <c r="K20" s="780"/>
      <c r="L20" s="780"/>
      <c r="M20" s="780"/>
      <c r="N20" s="780"/>
      <c r="O20" s="780"/>
      <c r="P20" s="780"/>
      <c r="Q20" s="780"/>
      <c r="R20" s="780"/>
      <c r="S20" s="780"/>
      <c r="T20" s="780"/>
      <c r="U20" s="780"/>
      <c r="V20" s="780"/>
      <c r="W20" s="780"/>
      <c r="X20" s="780"/>
      <c r="Y20" s="780"/>
      <c r="Z20" s="780"/>
      <c r="AA20" s="780"/>
      <c r="AB20" s="780"/>
      <c r="AC20" s="780"/>
      <c r="AD20" s="780"/>
      <c r="AE20" s="780"/>
      <c r="AF20" s="780"/>
      <c r="AG20" s="780"/>
      <c r="AH20" s="780"/>
      <c r="AI20" s="780"/>
      <c r="AJ20" s="780"/>
      <c r="AK20" s="780"/>
      <c r="AL20" s="780"/>
      <c r="AM20" s="780"/>
      <c r="AN20" s="780"/>
      <c r="AO20" s="780"/>
      <c r="AP20" s="780"/>
      <c r="AQ20" s="780"/>
      <c r="AR20" s="780"/>
      <c r="AS20" s="780"/>
      <c r="AT20" s="780"/>
      <c r="AU20" s="780"/>
      <c r="AV20" s="780"/>
      <c r="AW20" s="780"/>
      <c r="AX20" s="780"/>
      <c r="AY20" s="780"/>
      <c r="AZ20" s="780"/>
      <c r="BA20" s="780"/>
      <c r="BB20" s="780"/>
      <c r="BC20" s="780"/>
      <c r="BD20" s="780"/>
      <c r="BE20" s="780"/>
      <c r="BF20" s="780"/>
      <c r="BG20" s="780"/>
      <c r="BH20" s="780"/>
      <c r="BI20" s="780"/>
      <c r="BJ20" s="780"/>
      <c r="BK20" s="780"/>
      <c r="BL20" s="780"/>
      <c r="BM20" s="780"/>
      <c r="BN20" s="780"/>
      <c r="BO20" s="780"/>
      <c r="BP20" s="780"/>
      <c r="BQ20" s="780"/>
      <c r="BR20" s="780"/>
      <c r="BS20" s="780"/>
      <c r="BT20" s="780"/>
      <c r="BU20" s="780"/>
      <c r="BV20" s="780"/>
      <c r="BW20" s="780"/>
      <c r="BX20" s="780"/>
      <c r="BY20" s="780"/>
      <c r="BZ20" s="780"/>
      <c r="CA20" s="780"/>
      <c r="CB20" s="780"/>
      <c r="CC20" s="781"/>
      <c r="CD20" s="780"/>
      <c r="CE20" s="780"/>
      <c r="CF20" s="780"/>
      <c r="CG20" s="780"/>
      <c r="CH20" s="780"/>
      <c r="CI20" s="780"/>
      <c r="CJ20" s="780"/>
      <c r="CK20" s="780"/>
      <c r="CL20" s="780"/>
      <c r="CM20" s="783"/>
      <c r="CN20" s="780"/>
      <c r="CO20" s="781"/>
      <c r="CP20" s="781"/>
      <c r="CQ20" s="781"/>
      <c r="CR20" s="781"/>
      <c r="CS20" s="781"/>
      <c r="CT20" s="782"/>
      <c r="CU20" s="782"/>
      <c r="CV20" s="782"/>
      <c r="CW20" s="782"/>
      <c r="CX20" s="782"/>
      <c r="CY20" s="782"/>
      <c r="CZ20" s="781"/>
      <c r="DA20" s="782"/>
      <c r="DB20" s="783"/>
      <c r="DC20" s="782"/>
      <c r="DD20" s="781"/>
      <c r="DE20" s="781"/>
      <c r="DF20" s="782"/>
      <c r="DG20" s="781"/>
      <c r="DH20" s="781"/>
      <c r="DI20" s="781"/>
      <c r="DJ20" s="781"/>
      <c r="DK20" s="781"/>
      <c r="DL20" s="781"/>
      <c r="DM20" s="781"/>
      <c r="DN20" s="781"/>
      <c r="DO20" s="783"/>
      <c r="DP20" s="704"/>
    </row>
    <row r="21" spans="1:135">
      <c r="A21" s="765" t="s">
        <v>414</v>
      </c>
      <c r="B21" s="765"/>
      <c r="C21" s="765">
        <f>'qtrP&amp;L'!$AF80</f>
        <v>0.78400000000000003</v>
      </c>
      <c r="D21" s="765">
        <f>'qtrP&amp;L'!$AF81</f>
        <v>2.149</v>
      </c>
      <c r="E21" s="765">
        <f>'qtrP&amp;L'!$AF82</f>
        <v>3.3540000000000001</v>
      </c>
      <c r="F21" s="765">
        <f>'qtrP&amp;L'!$AF83</f>
        <v>3.9279999999999999</v>
      </c>
      <c r="G21" s="765"/>
      <c r="H21" s="765">
        <f>'qtrP&amp;L'!$AB$80</f>
        <v>2.121</v>
      </c>
      <c r="I21" s="765">
        <f>'qtrP&amp;L'!$AB81</f>
        <v>1.232</v>
      </c>
      <c r="J21" s="765">
        <f>'qtrP&amp;L'!$AB82</f>
        <v>1.5740000000000001</v>
      </c>
      <c r="K21" s="765">
        <f>'qtrP&amp;L'!$AB83</f>
        <v>2.3650000000000002</v>
      </c>
      <c r="L21" s="765"/>
      <c r="M21" s="765">
        <f>'qtrP&amp;L'!$AN$80</f>
        <v>4.351</v>
      </c>
      <c r="N21" s="765">
        <f>'qtrP&amp;L'!$AN81</f>
        <v>6.444</v>
      </c>
      <c r="O21" s="765">
        <f>'qtrP&amp;L'!$AN82</f>
        <v>9.5890000000000004</v>
      </c>
      <c r="P21" s="765">
        <f>'qtrP&amp;L'!$AN83</f>
        <v>12.544</v>
      </c>
      <c r="Q21" s="765"/>
      <c r="R21" s="765">
        <f>+'qtrP&amp;L'!$AU$80</f>
        <v>11.483000000000001</v>
      </c>
      <c r="S21" s="765">
        <f>+'qtrP&amp;L'!$AU$81</f>
        <v>13.958</v>
      </c>
      <c r="T21" s="765">
        <f>+'qtrP&amp;L'!$AU$82</f>
        <v>17.722000000000001</v>
      </c>
      <c r="U21" s="765">
        <f>'qtrP&amp;L'!$AU83</f>
        <v>16.54</v>
      </c>
      <c r="V21" s="765"/>
      <c r="W21" s="765">
        <f>+'qtrP&amp;L'!$AY$80</f>
        <v>18.102</v>
      </c>
      <c r="X21" s="765">
        <f>+'qtrP&amp;L'!$AY$81</f>
        <v>20.190000000000001</v>
      </c>
      <c r="Y21" s="765">
        <f>+'qtrP&amp;L'!$AY$82</f>
        <v>24.518000000000001</v>
      </c>
      <c r="Z21" s="765">
        <f>'qtrP&amp;L'!$AY83</f>
        <v>18.791</v>
      </c>
      <c r="AA21" s="765"/>
      <c r="AB21" s="765">
        <f>+'qtrP&amp;L'!$BC$80</f>
        <v>12.664</v>
      </c>
      <c r="AC21" s="765">
        <f>+'qtrP&amp;L'!$BC$81</f>
        <v>14.797000000000001</v>
      </c>
      <c r="AD21" s="765">
        <f>+'qtrP&amp;L'!$BC$82</f>
        <v>12.315</v>
      </c>
      <c r="AE21" s="765">
        <f>'qtrP&amp;L'!$BC83</f>
        <v>14.176</v>
      </c>
      <c r="AF21" s="765"/>
      <c r="AG21" s="765">
        <f>+'qtrP&amp;L'!$BG$80</f>
        <v>8.4510000000000005</v>
      </c>
      <c r="AH21" s="765">
        <f>+'qtrP&amp;L'!$BG$81</f>
        <v>17.442</v>
      </c>
      <c r="AI21" s="765">
        <f>+'qtrP&amp;L'!$BG$82</f>
        <v>18.096</v>
      </c>
      <c r="AJ21" s="765">
        <f>'qtrP&amp;L'!$BG83</f>
        <v>30.175000000000001</v>
      </c>
      <c r="AK21" s="765"/>
      <c r="AL21" s="765">
        <f>'qtrP&amp;L'!BK80</f>
        <v>23.605</v>
      </c>
      <c r="AM21" s="765">
        <f>'qtrP&amp;L'!BK81</f>
        <v>28.376999999999999</v>
      </c>
      <c r="AN21" s="765">
        <f>'qtrP&amp;L'!BK82</f>
        <v>32.542000000000002</v>
      </c>
      <c r="AO21" s="765">
        <f>'qtrP&amp;L'!BK83</f>
        <v>25.602</v>
      </c>
      <c r="AP21" s="765"/>
      <c r="AQ21" s="765">
        <f>'qtrP&amp;L'!BO80</f>
        <v>17.405999999999999</v>
      </c>
      <c r="AR21" s="765">
        <f>'qtrP&amp;L'!BO81</f>
        <v>30.359000000000002</v>
      </c>
      <c r="AS21" s="765">
        <f>'qtrP&amp;L'!BO82</f>
        <v>35.186</v>
      </c>
      <c r="AT21" s="765">
        <f>'qtrP&amp;L'!BO83</f>
        <v>41.561999999999998</v>
      </c>
      <c r="AU21" s="765"/>
      <c r="AV21" s="765">
        <f>'qtrP&amp;L'!$BS$80</f>
        <v>29.677</v>
      </c>
      <c r="AW21" s="765">
        <f>'qtrP&amp;L'!$BS$81</f>
        <v>35.828000000000003</v>
      </c>
      <c r="AX21" s="765">
        <f>'qtrP&amp;L'!$BS$82</f>
        <v>32.57</v>
      </c>
      <c r="AY21" s="765">
        <f>'qtrP&amp;L'!$BS$83</f>
        <v>46.174999999999997</v>
      </c>
      <c r="AZ21" s="765"/>
      <c r="BA21" s="765">
        <f>'qtrP&amp;L'!$BW$80</f>
        <v>22.580999999999985</v>
      </c>
      <c r="BB21" s="765">
        <f>'qtrP&amp;L'!$BW$81</f>
        <v>32.237000000000002</v>
      </c>
      <c r="BC21" s="765">
        <f>'qtrP&amp;L'!$BW$82</f>
        <v>24.7</v>
      </c>
      <c r="BD21" s="765">
        <f>'qtrP&amp;L'!$BW$83</f>
        <v>24.062000000000001</v>
      </c>
      <c r="BE21" s="765"/>
      <c r="BF21" s="765">
        <f>'qtrP&amp;L'!$CA$80</f>
        <v>19.257000000000001</v>
      </c>
      <c r="BG21" s="765">
        <f>'qtrP&amp;L'!$CA$81</f>
        <v>34.79</v>
      </c>
      <c r="BH21" s="765">
        <f>'qtrP&amp;L'!$CA$82</f>
        <v>34.119999999999997</v>
      </c>
      <c r="BI21" s="765">
        <f>'qtrP&amp;L'!$CA$83</f>
        <v>50.091000000000008</v>
      </c>
      <c r="BJ21" s="765"/>
      <c r="BK21" s="765">
        <f>'qtrP&amp;L'!CE80</f>
        <v>25.779</v>
      </c>
      <c r="BL21" s="765">
        <f>'qtrP&amp;L'!CE81</f>
        <v>43.161000000000001</v>
      </c>
      <c r="BM21" s="765">
        <f>'qtrP&amp;L'!CE82</f>
        <v>35.015999999999998</v>
      </c>
      <c r="BN21" s="765">
        <f>'qtrP&amp;L'!CE83</f>
        <v>41.201999999999998</v>
      </c>
      <c r="BO21" s="765"/>
      <c r="BP21" s="765">
        <f>'qtrP&amp;L'!CI80</f>
        <v>21.998999999999999</v>
      </c>
      <c r="BQ21" s="765">
        <f>'qtrP&amp;L'!CI81</f>
        <v>37.085000000000001</v>
      </c>
      <c r="BR21" s="765">
        <f>'qtrP&amp;L'!CI82</f>
        <v>28.629000000000001</v>
      </c>
      <c r="BS21" s="765">
        <f>'qtrP&amp;L'!CI83</f>
        <v>43.308999999999997</v>
      </c>
      <c r="BT21" s="765"/>
      <c r="BU21" s="765">
        <f>'qtrP&amp;L'!CM80</f>
        <v>18.157</v>
      </c>
      <c r="BV21" s="765">
        <f>'qtrP&amp;L'!CM81</f>
        <v>36.314</v>
      </c>
      <c r="BW21" s="765">
        <f>'qtrP&amp;L'!CM82</f>
        <v>28.393999999999998</v>
      </c>
      <c r="BX21" s="765">
        <f>'qtrP&amp;L'!CM83</f>
        <v>42.677</v>
      </c>
      <c r="BY21" s="765"/>
      <c r="BZ21" s="765">
        <f t="array" ref="BZ21:CC21">TRANSPOSE('qtrP&amp;L'!CQ80:CQ83)</f>
        <v>19.344000000000001</v>
      </c>
      <c r="CA21" s="765">
        <v>42.368000000000002</v>
      </c>
      <c r="CB21" s="765">
        <v>23.803999999999998</v>
      </c>
      <c r="CC21" s="766">
        <v>36.157000000000004</v>
      </c>
      <c r="CD21" s="765"/>
      <c r="CE21" s="765">
        <f t="array" ref="CE21:CH21">TRANSPOSE('qtrP&amp;L'!CU80:CU83)</f>
        <v>9.4169999999999998</v>
      </c>
      <c r="CF21" s="765">
        <v>27.001000000000001</v>
      </c>
      <c r="CG21" s="765">
        <v>26.914000000000001</v>
      </c>
      <c r="CH21" s="765">
        <v>29.516000000000002</v>
      </c>
      <c r="CI21" s="765"/>
      <c r="CJ21" s="765">
        <f t="array" ref="CJ21:CM21">TRANSPOSE('qtrP&amp;L'!CY80:CY83)</f>
        <v>11.061284610186641</v>
      </c>
      <c r="CK21" s="765">
        <v>24.493939420128569</v>
      </c>
      <c r="CL21" s="765">
        <v>19.339231894438662</v>
      </c>
      <c r="CM21" s="768">
        <v>22.097111980003437</v>
      </c>
      <c r="CN21" s="765"/>
      <c r="CO21" s="766">
        <f>'yrP&amp;L'!D42</f>
        <v>9.4090000000000007</v>
      </c>
      <c r="CP21" s="766">
        <f>'yrP&amp;L'!E42</f>
        <v>9.7449999999999992</v>
      </c>
      <c r="CQ21" s="766">
        <f>'yrP&amp;L'!F42</f>
        <v>10.950000000000001</v>
      </c>
      <c r="CR21" s="766">
        <f>'yrP&amp;L'!G42</f>
        <v>16.169</v>
      </c>
      <c r="CS21" s="766">
        <f>'yrP&amp;L'!H42</f>
        <v>7.2919999999999998</v>
      </c>
      <c r="CT21" s="767">
        <f>'yrP&amp;L'!I42</f>
        <v>10.215</v>
      </c>
      <c r="CU21" s="767">
        <f>'yrP&amp;L'!J42</f>
        <v>18.66</v>
      </c>
      <c r="CV21" s="767">
        <f>'yrP&amp;L'!K42</f>
        <v>32.927999999999997</v>
      </c>
      <c r="CW21" s="767">
        <f>'yrP&amp;L'!L42</f>
        <v>59.703000000000003</v>
      </c>
      <c r="CX21" s="767">
        <f>'yrP&amp;L'!M42</f>
        <v>81.600999999999999</v>
      </c>
      <c r="CY21" s="767">
        <f>'yrP&amp;L'!N42</f>
        <v>53.951999999999998</v>
      </c>
      <c r="CZ21" s="766">
        <f>'yrP&amp;L'!O42</f>
        <v>74.164000000000001</v>
      </c>
      <c r="DA21" s="767">
        <f>'yrP&amp;L'!P42</f>
        <v>110.126</v>
      </c>
      <c r="DB21" s="768">
        <f>'yrP&amp;L'!Q42</f>
        <v>124.51299999999999</v>
      </c>
      <c r="DC21" s="767">
        <f>'yrP&amp;L'!R42</f>
        <v>144.25</v>
      </c>
      <c r="DD21" s="766">
        <f>'yrP&amp;L'!S42</f>
        <v>103.57999999999998</v>
      </c>
      <c r="DE21" s="766">
        <f>'yrP&amp;L'!T42</f>
        <v>138.25800000000001</v>
      </c>
      <c r="DF21" s="767">
        <f>'yrP&amp;L'!U42</f>
        <v>145.15799999999999</v>
      </c>
      <c r="DG21" s="766">
        <f>'yrP&amp;L'!V42</f>
        <v>131.02199999999999</v>
      </c>
      <c r="DH21" s="766">
        <f>'yrP&amp;L'!W42</f>
        <v>125.542</v>
      </c>
      <c r="DI21" s="766">
        <f>'yrP&amp;L'!X42</f>
        <v>121.673</v>
      </c>
      <c r="DJ21" s="766">
        <f>'yrP&amp;L'!Y42</f>
        <v>92.847999999999999</v>
      </c>
      <c r="DK21" s="766">
        <f>'yrP&amp;L'!Z42</f>
        <v>76.991567904757304</v>
      </c>
      <c r="DL21" s="766">
        <f>'yrP&amp;L'!AA42</f>
        <v>77.393678251269165</v>
      </c>
      <c r="DM21" s="766">
        <f>'yrP&amp;L'!AB42</f>
        <v>78.996166121996737</v>
      </c>
      <c r="DN21" s="766">
        <f>'yrP&amp;L'!AC42</f>
        <v>80.455798748644597</v>
      </c>
      <c r="DO21" s="768">
        <f>'yrP&amp;L'!AD42</f>
        <v>81.891981338613718</v>
      </c>
      <c r="DP21" s="704"/>
    </row>
    <row r="22" spans="1:135">
      <c r="A22" s="711"/>
      <c r="B22" s="780"/>
      <c r="C22" s="780"/>
      <c r="D22" s="780"/>
      <c r="E22" s="780"/>
      <c r="F22" s="780"/>
      <c r="G22" s="780"/>
      <c r="H22" s="780"/>
      <c r="I22" s="780"/>
      <c r="J22" s="780"/>
      <c r="K22" s="780"/>
      <c r="L22" s="780"/>
      <c r="M22" s="780"/>
      <c r="N22" s="780"/>
      <c r="O22" s="780"/>
      <c r="P22" s="780"/>
      <c r="Q22" s="780"/>
      <c r="R22" s="780"/>
      <c r="S22" s="780"/>
      <c r="T22" s="780"/>
      <c r="U22" s="780"/>
      <c r="V22" s="780"/>
      <c r="W22" s="780"/>
      <c r="X22" s="780"/>
      <c r="Y22" s="780"/>
      <c r="Z22" s="780"/>
      <c r="AA22" s="780"/>
      <c r="AB22" s="780"/>
      <c r="AC22" s="780"/>
      <c r="AD22" s="780"/>
      <c r="AE22" s="780"/>
      <c r="AF22" s="780"/>
      <c r="AG22" s="780"/>
      <c r="AH22" s="780"/>
      <c r="AI22" s="780"/>
      <c r="AJ22" s="780"/>
      <c r="AK22" s="780"/>
      <c r="AL22" s="780"/>
      <c r="AM22" s="780"/>
      <c r="AN22" s="780"/>
      <c r="AO22" s="780"/>
      <c r="AP22" s="780"/>
      <c r="AQ22" s="780"/>
      <c r="AR22" s="780"/>
      <c r="AS22" s="780"/>
      <c r="AT22" s="780"/>
      <c r="AU22" s="780"/>
      <c r="AV22" s="780"/>
      <c r="AW22" s="780"/>
      <c r="AX22" s="780"/>
      <c r="AY22" s="780"/>
      <c r="AZ22" s="780"/>
      <c r="BA22" s="780"/>
      <c r="BB22" s="780"/>
      <c r="BC22" s="780"/>
      <c r="BD22" s="780"/>
      <c r="BE22" s="780"/>
      <c r="BF22" s="780"/>
      <c r="BG22" s="780"/>
      <c r="BH22" s="780"/>
      <c r="BI22" s="780"/>
      <c r="BJ22" s="780"/>
      <c r="BK22" s="780"/>
      <c r="BL22" s="780"/>
      <c r="BM22" s="780"/>
      <c r="BN22" s="780"/>
      <c r="BO22" s="780"/>
      <c r="BP22" s="780"/>
      <c r="BQ22" s="780"/>
      <c r="BR22" s="780"/>
      <c r="BS22" s="780"/>
      <c r="BT22" s="780"/>
      <c r="BU22" s="780"/>
      <c r="BV22" s="780"/>
      <c r="BW22" s="780"/>
      <c r="BX22" s="780"/>
      <c r="BY22" s="780"/>
      <c r="BZ22" s="780"/>
      <c r="CA22" s="780"/>
      <c r="CB22" s="780"/>
      <c r="CC22" s="781"/>
      <c r="CD22" s="780"/>
      <c r="CE22" s="780"/>
      <c r="CF22" s="780"/>
      <c r="CG22" s="780"/>
      <c r="CH22" s="780"/>
      <c r="CI22" s="780"/>
      <c r="CJ22" s="780"/>
      <c r="CK22" s="780"/>
      <c r="CL22" s="780"/>
      <c r="CM22" s="783"/>
      <c r="CN22" s="780"/>
      <c r="CO22" s="781"/>
      <c r="CP22" s="781"/>
      <c r="CQ22" s="781"/>
      <c r="CR22" s="781"/>
      <c r="CS22" s="781"/>
      <c r="CT22" s="782"/>
      <c r="CU22" s="782"/>
      <c r="CV22" s="782"/>
      <c r="CW22" s="782"/>
      <c r="CX22" s="782"/>
      <c r="CY22" s="782"/>
      <c r="CZ22" s="781"/>
      <c r="DA22" s="782"/>
      <c r="DB22" s="783"/>
      <c r="DC22" s="782"/>
      <c r="DD22" s="781"/>
      <c r="DE22" s="781"/>
      <c r="DF22" s="782"/>
      <c r="DG22" s="781"/>
      <c r="DH22" s="781"/>
      <c r="DI22" s="781"/>
      <c r="DJ22" s="781"/>
      <c r="DK22" s="781"/>
      <c r="DL22" s="781"/>
      <c r="DM22" s="781"/>
      <c r="DN22" s="781"/>
      <c r="DO22" s="783"/>
      <c r="DP22" s="704"/>
    </row>
    <row r="23" spans="1:135">
      <c r="A23" s="755" t="s">
        <v>415</v>
      </c>
      <c r="B23" s="756"/>
      <c r="C23" s="756">
        <f>C19-C21</f>
        <v>1.1510000000000018</v>
      </c>
      <c r="D23" s="756">
        <f>D19-D21</f>
        <v>3.1569999999999956</v>
      </c>
      <c r="E23" s="756">
        <f>E19-E21</f>
        <v>4.9279999999999928</v>
      </c>
      <c r="F23" s="756">
        <f>F19-F21</f>
        <v>5.7709999999999999</v>
      </c>
      <c r="G23" s="756"/>
      <c r="H23" s="756">
        <f>H19-H21</f>
        <v>2.990000000000006</v>
      </c>
      <c r="I23" s="756">
        <f>I19-I21</f>
        <v>1.736999999999991</v>
      </c>
      <c r="J23" s="756">
        <f>J19-J21</f>
        <v>2.3609999999999927</v>
      </c>
      <c r="K23" s="756">
        <f>K19-K21</f>
        <v>3.4069999999999885</v>
      </c>
      <c r="L23" s="756"/>
      <c r="M23" s="756">
        <f>M19-M21</f>
        <v>6.3930000000000069</v>
      </c>
      <c r="N23" s="756">
        <f>N19-N21</f>
        <v>9.467000000000013</v>
      </c>
      <c r="O23" s="756">
        <f>O19-O21</f>
        <v>14.086999999999994</v>
      </c>
      <c r="P23" s="756">
        <f>P19-P21</f>
        <v>18.428999999999984</v>
      </c>
      <c r="Q23" s="756"/>
      <c r="R23" s="756">
        <f>R19-R21</f>
        <v>16.868999999999993</v>
      </c>
      <c r="S23" s="756">
        <f>S19-S21</f>
        <v>20.50800000000001</v>
      </c>
      <c r="T23" s="756">
        <f>T19-T21</f>
        <v>26.036000000000008</v>
      </c>
      <c r="U23" s="756">
        <f>U19-U21</f>
        <v>27.07599999999988</v>
      </c>
      <c r="V23" s="756"/>
      <c r="W23" s="756">
        <f>W19-W21</f>
        <v>27.439999999999994</v>
      </c>
      <c r="X23" s="756">
        <f>X19-X21</f>
        <v>30.600999999999981</v>
      </c>
      <c r="Y23" s="756">
        <f>Y19-Y21</f>
        <v>37.161999999999978</v>
      </c>
      <c r="Z23" s="756">
        <f>Z19-Z21</f>
        <v>35.592999999999989</v>
      </c>
      <c r="AA23" s="756"/>
      <c r="AB23" s="756">
        <f>AB19-AB21</f>
        <v>20.298999999999999</v>
      </c>
      <c r="AC23" s="756">
        <f>AC19-AC21</f>
        <v>25.662000000000031</v>
      </c>
      <c r="AD23" s="756">
        <f>AD19-AD21</f>
        <v>34.514000000000017</v>
      </c>
      <c r="AE23" s="756">
        <f>AE19-AE21</f>
        <v>35.731000000000002</v>
      </c>
      <c r="AF23" s="756"/>
      <c r="AG23" s="756">
        <f>AG19-AG21</f>
        <v>29.366999999999976</v>
      </c>
      <c r="AH23" s="756">
        <f>AH19-AH21</f>
        <v>31.866000000000014</v>
      </c>
      <c r="AI23" s="756">
        <f>AI19-AI21</f>
        <v>45.381999999999977</v>
      </c>
      <c r="AJ23" s="756">
        <f>AE19-AE21</f>
        <v>35.731000000000002</v>
      </c>
      <c r="AK23" s="756"/>
      <c r="AL23" s="756">
        <f>AL19-AL21</f>
        <v>42.556999999999974</v>
      </c>
      <c r="AM23" s="756">
        <f>AM19-AM21</f>
        <v>56.987999999999985</v>
      </c>
      <c r="AN23" s="756">
        <f>AN19-AN21</f>
        <v>59.273999999999958</v>
      </c>
      <c r="AO23" s="756">
        <f>AO19-AO21</f>
        <v>40.545000000000002</v>
      </c>
      <c r="AP23" s="756"/>
      <c r="AQ23" s="756">
        <f>AQ19-AQ21</f>
        <v>30.804999999999978</v>
      </c>
      <c r="AR23" s="756">
        <f>AR19-AR21</f>
        <v>49.020999999999937</v>
      </c>
      <c r="AS23" s="756">
        <f>AS19-AS21</f>
        <v>62.39199999999996</v>
      </c>
      <c r="AT23" s="756">
        <f>AT19-AT21</f>
        <v>77.675000000000068</v>
      </c>
      <c r="AU23" s="756"/>
      <c r="AV23" s="756">
        <f>AV19-AV21</f>
        <v>52.957000000000001</v>
      </c>
      <c r="AW23" s="756">
        <f>AW19-AW21</f>
        <v>71.656999999999996</v>
      </c>
      <c r="AX23" s="756">
        <f>AX19-AX21</f>
        <v>73.105999999999995</v>
      </c>
      <c r="AY23" s="756">
        <f>AY19-AY21</f>
        <v>75.238000000000014</v>
      </c>
      <c r="AZ23" s="756"/>
      <c r="BA23" s="756">
        <f>BA19-BA21</f>
        <v>40.420000000000044</v>
      </c>
      <c r="BB23" s="756">
        <f>BB19-BB21</f>
        <v>56.693000000000033</v>
      </c>
      <c r="BC23" s="756">
        <f>BC19-BC21</f>
        <v>50.678999999999959</v>
      </c>
      <c r="BD23" s="756">
        <f>BD19-BD21</f>
        <v>37.459000000000032</v>
      </c>
      <c r="BE23" s="756"/>
      <c r="BF23" s="756">
        <f>BF19-BF21</f>
        <v>33.956999999999937</v>
      </c>
      <c r="BG23" s="756">
        <f>BG19-BG21</f>
        <v>61.292000000000023</v>
      </c>
      <c r="BH23" s="756">
        <f>BH19-BH21</f>
        <v>59.488000000000021</v>
      </c>
      <c r="BI23" s="756">
        <f>BI19-BI21</f>
        <v>82.577000000000226</v>
      </c>
      <c r="BJ23" s="756"/>
      <c r="BK23" s="756">
        <f>BK19-BK21</f>
        <v>47.058000000000035</v>
      </c>
      <c r="BL23" s="756">
        <f>BL19-BL21</f>
        <v>76.363</v>
      </c>
      <c r="BM23" s="756">
        <f>BM19-BM21</f>
        <v>70.256999999999977</v>
      </c>
      <c r="BN23" s="756">
        <f>BN19-BN21</f>
        <v>88.681999999999988</v>
      </c>
      <c r="BO23" s="756"/>
      <c r="BP23" s="756">
        <f>BP19-BP21</f>
        <v>37.477999999999966</v>
      </c>
      <c r="BQ23" s="756">
        <f>BQ19-BQ21</f>
        <v>67.509000000000043</v>
      </c>
      <c r="BR23" s="756">
        <f>BR19-BR21</f>
        <v>47.143000000000001</v>
      </c>
      <c r="BS23" s="756">
        <f>BS19-BS21</f>
        <v>80.297999999999945</v>
      </c>
      <c r="BT23" s="756"/>
      <c r="BU23" s="756">
        <f>BU19-BU21</f>
        <v>32.775999999999996</v>
      </c>
      <c r="BV23" s="756">
        <f>BV19-BV21</f>
        <v>66.841000000000008</v>
      </c>
      <c r="BW23" s="756">
        <f>BW19-BW21</f>
        <v>51.993999999999993</v>
      </c>
      <c r="BX23" s="756">
        <f>BX19-BX21</f>
        <v>72.877999999999986</v>
      </c>
      <c r="BY23" s="756"/>
      <c r="BZ23" s="756">
        <f>BZ19-BZ21</f>
        <v>29.562000000000033</v>
      </c>
      <c r="CA23" s="756">
        <f>CA19-CA21</f>
        <v>76.914999999999964</v>
      </c>
      <c r="CB23" s="756">
        <f>CB19-CB21</f>
        <v>47.354999999999919</v>
      </c>
      <c r="CC23" s="757">
        <f>CC19-CC21</f>
        <v>66.93499999999986</v>
      </c>
      <c r="CD23" s="756"/>
      <c r="CE23" s="756">
        <f>CE19-CE21</f>
        <v>11.938000000000086</v>
      </c>
      <c r="CF23" s="756">
        <f>CF19-CF21</f>
        <v>49.915000000000063</v>
      </c>
      <c r="CG23" s="756">
        <f>CG19-CG21</f>
        <v>45.09199999999997</v>
      </c>
      <c r="CH23" s="756">
        <f>CH19-CH21</f>
        <v>75.043999999999897</v>
      </c>
      <c r="CI23" s="756"/>
      <c r="CJ23" s="756">
        <f>CJ19-CJ21</f>
        <v>33.183853830559933</v>
      </c>
      <c r="CK23" s="756">
        <f>CK19-CK21</f>
        <v>73.481818260385694</v>
      </c>
      <c r="CL23" s="756">
        <f>CL19-CL21</f>
        <v>50.985247721701931</v>
      </c>
      <c r="CM23" s="761">
        <f>CM19-CM21</f>
        <v>69.974187936677552</v>
      </c>
      <c r="CN23" s="756"/>
      <c r="CO23" s="757">
        <f>CO19-CO21</f>
        <v>13.259999999999978</v>
      </c>
      <c r="CP23" s="757">
        <f>CP19-CP21</f>
        <v>13.878999999999985</v>
      </c>
      <c r="CQ23" s="757">
        <f>CQ19-CQ21</f>
        <v>15.762000000000027</v>
      </c>
      <c r="CR23" s="757">
        <f>CR19-CR21</f>
        <v>18.680000000000025</v>
      </c>
      <c r="CS23" s="757">
        <f t="shared" ref="CS23:CZ23" si="12">CS19-CS21</f>
        <v>10.494999999999985</v>
      </c>
      <c r="CT23" s="758">
        <f t="shared" si="12"/>
        <v>15.006999999999962</v>
      </c>
      <c r="CU23" s="759">
        <f t="shared" si="12"/>
        <v>27.412999999999986</v>
      </c>
      <c r="CV23" s="759">
        <f t="shared" si="12"/>
        <v>-2.7679999999999865</v>
      </c>
      <c r="CW23" s="759">
        <f t="shared" si="12"/>
        <v>90.488999999999862</v>
      </c>
      <c r="CX23" s="759">
        <f t="shared" si="12"/>
        <v>130.79599999999996</v>
      </c>
      <c r="CY23" s="759">
        <f t="shared" si="12"/>
        <v>116.20600000000022</v>
      </c>
      <c r="CZ23" s="760">
        <f t="shared" si="12"/>
        <v>160.22999999999996</v>
      </c>
      <c r="DA23" s="758">
        <f t="shared" ref="DA23:DF23" si="13">DA19-DA21</f>
        <v>199.36399999999983</v>
      </c>
      <c r="DB23" s="761">
        <f t="shared" si="13"/>
        <v>219.89299999999997</v>
      </c>
      <c r="DC23" s="758">
        <f t="shared" si="13"/>
        <v>272.95799999999986</v>
      </c>
      <c r="DD23" s="757">
        <f t="shared" si="13"/>
        <v>185.2510000000006</v>
      </c>
      <c r="DE23" s="757">
        <f t="shared" si="13"/>
        <v>237.31400000000016</v>
      </c>
      <c r="DF23" s="758">
        <f t="shared" si="13"/>
        <v>282.39645999999993</v>
      </c>
      <c r="DG23" s="757">
        <f t="shared" ref="DG23:DL23" si="14">DG19-DG21</f>
        <v>232.69750000000022</v>
      </c>
      <c r="DH23" s="757">
        <f t="shared" si="14"/>
        <v>224.48899999999995</v>
      </c>
      <c r="DI23" s="757">
        <f t="shared" si="14"/>
        <v>220.76699999999971</v>
      </c>
      <c r="DJ23" s="757">
        <f t="shared" si="14"/>
        <v>181.98899999999981</v>
      </c>
      <c r="DK23" s="757">
        <f t="shared" si="14"/>
        <v>227.6251077493252</v>
      </c>
      <c r="DL23" s="757">
        <f t="shared" si="14"/>
        <v>228.81394457188614</v>
      </c>
      <c r="DM23" s="757">
        <f>DM19-DM21</f>
        <v>233.55169032987078</v>
      </c>
      <c r="DN23" s="757">
        <f>DN19-DN21</f>
        <v>237.8670854173713</v>
      </c>
      <c r="DO23" s="761">
        <f>DO19-DO21</f>
        <v>242.11315061237849</v>
      </c>
      <c r="DP23" s="704"/>
    </row>
    <row r="24" spans="1:135">
      <c r="A24" s="711"/>
      <c r="B24" s="784"/>
      <c r="C24" s="784"/>
      <c r="D24" s="784"/>
      <c r="E24" s="784"/>
      <c r="F24" s="784"/>
      <c r="G24" s="784"/>
      <c r="H24" s="784"/>
      <c r="I24" s="784"/>
      <c r="J24" s="784"/>
      <c r="K24" s="784"/>
      <c r="L24" s="784"/>
      <c r="M24" s="784"/>
      <c r="N24" s="784"/>
      <c r="O24" s="784"/>
      <c r="P24" s="784"/>
      <c r="Q24" s="784"/>
      <c r="R24" s="784"/>
      <c r="S24" s="784"/>
      <c r="T24" s="784"/>
      <c r="U24" s="784"/>
      <c r="V24" s="784"/>
      <c r="W24" s="784"/>
      <c r="X24" s="784"/>
      <c r="Y24" s="784"/>
      <c r="Z24" s="784"/>
      <c r="AA24" s="784"/>
      <c r="AB24" s="784"/>
      <c r="AC24" s="784"/>
      <c r="AD24" s="784"/>
      <c r="AE24" s="784"/>
      <c r="AF24" s="784"/>
      <c r="AG24" s="784"/>
      <c r="AH24" s="784"/>
      <c r="AI24" s="784"/>
      <c r="AJ24" s="784"/>
      <c r="AK24" s="784"/>
      <c r="AL24" s="784"/>
      <c r="AM24" s="784"/>
      <c r="AN24" s="784"/>
      <c r="AO24" s="784"/>
      <c r="AP24" s="784"/>
      <c r="AQ24" s="784"/>
      <c r="AR24" s="784"/>
      <c r="AS24" s="784"/>
      <c r="AT24" s="784"/>
      <c r="AU24" s="784"/>
      <c r="AV24" s="784"/>
      <c r="AW24" s="784"/>
      <c r="AX24" s="784"/>
      <c r="AY24" s="784"/>
      <c r="AZ24" s="784"/>
      <c r="BA24" s="784"/>
      <c r="BB24" s="784"/>
      <c r="BC24" s="784"/>
      <c r="BD24" s="784"/>
      <c r="BE24" s="784"/>
      <c r="BF24" s="784"/>
      <c r="BG24" s="784"/>
      <c r="BH24" s="784"/>
      <c r="BI24" s="784"/>
      <c r="BJ24" s="784"/>
      <c r="BK24" s="784"/>
      <c r="BL24" s="784"/>
      <c r="BM24" s="784"/>
      <c r="BN24" s="784"/>
      <c r="BO24" s="784"/>
      <c r="BP24" s="784"/>
      <c r="BQ24" s="784"/>
      <c r="BR24" s="784"/>
      <c r="BS24" s="784"/>
      <c r="BT24" s="784"/>
      <c r="BU24" s="784"/>
      <c r="BV24" s="784"/>
      <c r="BW24" s="784"/>
      <c r="BX24" s="784"/>
      <c r="BY24" s="784"/>
      <c r="BZ24" s="784"/>
      <c r="CA24" s="784"/>
      <c r="CB24" s="784"/>
      <c r="CC24" s="785"/>
      <c r="CD24" s="784"/>
      <c r="CE24" s="784"/>
      <c r="CF24" s="784"/>
      <c r="CG24" s="784"/>
      <c r="CH24" s="784"/>
      <c r="CI24" s="784"/>
      <c r="CJ24" s="784"/>
      <c r="CK24" s="784"/>
      <c r="CL24" s="784"/>
      <c r="CM24" s="787"/>
      <c r="CN24" s="784"/>
      <c r="CO24" s="785"/>
      <c r="CP24" s="785"/>
      <c r="CQ24" s="785"/>
      <c r="CR24" s="785"/>
      <c r="CS24" s="785"/>
      <c r="CT24" s="786"/>
      <c r="CU24" s="786"/>
      <c r="CV24" s="786"/>
      <c r="CW24" s="786"/>
      <c r="CX24" s="786"/>
      <c r="CY24" s="786"/>
      <c r="CZ24" s="785"/>
      <c r="DA24" s="786"/>
      <c r="DB24" s="787"/>
      <c r="DC24" s="786"/>
      <c r="DD24" s="785"/>
      <c r="DE24" s="785"/>
      <c r="DF24" s="786"/>
      <c r="DG24" s="785"/>
      <c r="DH24" s="785"/>
      <c r="DI24" s="785"/>
      <c r="DJ24" s="785"/>
      <c r="DK24" s="785"/>
      <c r="DL24" s="785"/>
      <c r="DM24" s="785"/>
      <c r="DN24" s="785"/>
      <c r="DO24" s="787"/>
      <c r="DP24" s="704"/>
    </row>
    <row r="25" spans="1:135">
      <c r="A25" s="788" t="s">
        <v>416</v>
      </c>
      <c r="B25" s="789"/>
      <c r="C25" s="790">
        <f>C23/C26</f>
        <v>8.3201473575443431E-3</v>
      </c>
      <c r="D25" s="790">
        <f>D23/D26</f>
        <v>2.2759623939785024E-2</v>
      </c>
      <c r="E25" s="790">
        <f>E23/E26</f>
        <v>3.5481442859785814E-2</v>
      </c>
      <c r="F25" s="790">
        <f>F23/F26</f>
        <v>4.0670471504030824E-2</v>
      </c>
      <c r="G25" s="790"/>
      <c r="H25" s="790">
        <f>H23/H26</f>
        <v>2.1588862907803555E-2</v>
      </c>
      <c r="I25" s="790">
        <f>I23/I26</f>
        <v>1.258345576787066E-2</v>
      </c>
      <c r="J25" s="790">
        <f>J23/J26</f>
        <v>1.7083303426095885E-2</v>
      </c>
      <c r="K25" s="790">
        <f>K23/K26</f>
        <v>2.4678798948699017E-2</v>
      </c>
      <c r="L25" s="790"/>
      <c r="M25" s="790">
        <f>M23/M26</f>
        <v>4.0428822506275899E-2</v>
      </c>
      <c r="N25" s="790">
        <f>N23/N26</f>
        <v>5.8871147518621325E-2</v>
      </c>
      <c r="O25" s="790">
        <f>O23/O26</f>
        <v>8.6415014921389241E-2</v>
      </c>
      <c r="P25" s="790">
        <f>P23/P26</f>
        <v>0.11194146529816995</v>
      </c>
      <c r="Q25" s="790"/>
      <c r="R25" s="790">
        <f>R23/R26</f>
        <v>0.10168827737972386</v>
      </c>
      <c r="S25" s="790">
        <f>S23/S26</f>
        <v>0.12293284830925738</v>
      </c>
      <c r="T25" s="790">
        <f>T23/T26</f>
        <v>0.15483562921736196</v>
      </c>
      <c r="U25" s="790">
        <f>U23/U26</f>
        <v>0.16005744570259756</v>
      </c>
      <c r="V25" s="790"/>
      <c r="W25" s="790">
        <f>W23/W26</f>
        <v>0.16231125933331145</v>
      </c>
      <c r="X25" s="790">
        <f>X23/X26</f>
        <v>0.18018288554050144</v>
      </c>
      <c r="Y25" s="790">
        <f>Y23/Y26</f>
        <v>0.21817794247068831</v>
      </c>
      <c r="Z25" s="790">
        <f>Z23/Z26</f>
        <v>0.20877979790059245</v>
      </c>
      <c r="AA25" s="790"/>
      <c r="AB25" s="790">
        <f>AB23/AB26</f>
        <v>0.12081236642024708</v>
      </c>
      <c r="AC25" s="790">
        <f>AC23/AC26</f>
        <v>0.15221057839438534</v>
      </c>
      <c r="AD25" s="790">
        <f>AD23/AD26</f>
        <v>0.20506578316511415</v>
      </c>
      <c r="AE25" s="790">
        <f>AE23/AE26</f>
        <v>0.21194597032111046</v>
      </c>
      <c r="AF25" s="790"/>
      <c r="AG25" s="790">
        <f>AG23/AG26</f>
        <v>0.17397535038183537</v>
      </c>
      <c r="AH25" s="790">
        <f>AH23/AH26</f>
        <v>0.18776682683413878</v>
      </c>
      <c r="AI25" s="790">
        <f>AI23/AI26</f>
        <v>0.26705738732065154</v>
      </c>
      <c r="AJ25" s="790">
        <f>AE23/AE26</f>
        <v>0.21194597032111046</v>
      </c>
      <c r="AK25" s="790"/>
      <c r="AL25" s="790">
        <f>AL23/AL26</f>
        <v>0.24944986448688997</v>
      </c>
      <c r="AM25" s="790">
        <f>AM23/AM26</f>
        <v>0.33192859143584852</v>
      </c>
      <c r="AN25" s="790">
        <f>AN23/AN26</f>
        <v>0.34650006292348517</v>
      </c>
      <c r="AO25" s="790">
        <f>AO23/AO26</f>
        <v>0.23847487176248308</v>
      </c>
      <c r="AP25" s="790"/>
      <c r="AQ25" s="790">
        <f>AQ23/AQ26</f>
        <v>0.1808689256722833</v>
      </c>
      <c r="AR25" s="790">
        <f>AR23/AR26</f>
        <v>0.28714391088612484</v>
      </c>
      <c r="AS25" s="790">
        <f>AS23/AS26</f>
        <v>0.36392078850375187</v>
      </c>
      <c r="AT25" s="790">
        <f>AT23/AT26</f>
        <v>0.45049458331518782</v>
      </c>
      <c r="AU25" s="790"/>
      <c r="AV25" s="790">
        <f>AV23/AV26</f>
        <v>0.30643036160420217</v>
      </c>
      <c r="AW25" s="790">
        <f>AW23/AW26</f>
        <v>0.41582234638585808</v>
      </c>
      <c r="AX25" s="790">
        <f>AX23/AX26</f>
        <v>0.43366883436424442</v>
      </c>
      <c r="AY25" s="790">
        <f>AY23/AY26</f>
        <v>0.44870711632680416</v>
      </c>
      <c r="AZ25" s="790"/>
      <c r="BA25" s="790">
        <f>BA23/BA26</f>
        <v>0.24453458250777729</v>
      </c>
      <c r="BB25" s="790">
        <f>BB23/BB26</f>
        <v>0.35269179964286407</v>
      </c>
      <c r="BC25" s="790">
        <f>BC23/BC26</f>
        <v>0.33029662349569394</v>
      </c>
      <c r="BD25" s="790">
        <f>BD23/BD26</f>
        <v>0.25724171056459844</v>
      </c>
      <c r="BE25" s="790"/>
      <c r="BF25" s="790">
        <f>BF23/BF26</f>
        <v>0.2332713536492021</v>
      </c>
      <c r="BG25" s="790">
        <f>BG23/BG26</f>
        <v>0.42091873542035296</v>
      </c>
      <c r="BH25" s="790">
        <f>BH23/BH26</f>
        <v>0.40444095861590268</v>
      </c>
      <c r="BI25" s="790">
        <f>BI23/BI26</f>
        <v>0.55655153907727672</v>
      </c>
      <c r="BJ25" s="790"/>
      <c r="BK25" s="790">
        <f>BK23/BK26</f>
        <v>0.31625200632993283</v>
      </c>
      <c r="BL25" s="790">
        <f>BL23/BL26</f>
        <v>0.51126420225577829</v>
      </c>
      <c r="BM25" s="790">
        <f>BM23/BM26</f>
        <v>0.46989259679956691</v>
      </c>
      <c r="BN25" s="790">
        <f>BN23/BN26</f>
        <v>0.59437291673405257</v>
      </c>
      <c r="BO25" s="790"/>
      <c r="BP25" s="790">
        <f>BP23/BP26</f>
        <v>0.2568630506387703</v>
      </c>
      <c r="BQ25" s="790">
        <f>BQ23/BQ26</f>
        <v>0.4885686203742432</v>
      </c>
      <c r="BR25" s="790">
        <f>BR23/BR26</f>
        <v>0.34677113724294356</v>
      </c>
      <c r="BS25" s="790">
        <f>BS23/BS26</f>
        <v>0.60383086307845257</v>
      </c>
      <c r="BT25" s="790"/>
      <c r="BU25" s="790">
        <f>BU23/BU26</f>
        <v>0.24674007399672787</v>
      </c>
      <c r="BV25" s="790">
        <f>BV23/BV26</f>
        <v>0.51782377140284941</v>
      </c>
      <c r="BW25" s="790">
        <f>BW23/BW26</f>
        <v>0.42023645861885256</v>
      </c>
      <c r="BX25" s="790">
        <f>BX23/BX26</f>
        <v>0.61445457035133844</v>
      </c>
      <c r="BY25" s="790"/>
      <c r="BZ25" s="790">
        <f>BZ23/BZ26</f>
        <v>0.25140532318497899</v>
      </c>
      <c r="CA25" s="790">
        <f>CA23/CA26</f>
        <v>0.65524746775371412</v>
      </c>
      <c r="CB25" s="790">
        <f>CB23/CB26</f>
        <v>0.4033861780158402</v>
      </c>
      <c r="CC25" s="790">
        <f>CC23/CC26</f>
        <v>0.57302440302345825</v>
      </c>
      <c r="CD25" s="790"/>
      <c r="CE25" s="790">
        <f>CE23/CE26</f>
        <v>0.10243754242399238</v>
      </c>
      <c r="CF25" s="790">
        <f>CF23/CF26</f>
        <v>0.43877211774296659</v>
      </c>
      <c r="CG25" s="790">
        <f>CG23/CG26</f>
        <v>0.40955400520692686</v>
      </c>
      <c r="CH25" s="790">
        <f>CH23/CH26</f>
        <v>0.68712429928777197</v>
      </c>
      <c r="CI25" s="790"/>
      <c r="CJ25" s="790">
        <f>CJ23/CJ26</f>
        <v>0.30384084418462998</v>
      </c>
      <c r="CK25" s="790">
        <f>CK23/CK26</f>
        <v>0.68029529066207739</v>
      </c>
      <c r="CL25" s="790">
        <f>CL23/CL26</f>
        <v>0.47643266931019962</v>
      </c>
      <c r="CM25" s="792">
        <f>CM23/CM26</f>
        <v>0.65387520177320824</v>
      </c>
      <c r="CN25" s="790"/>
      <c r="CO25" s="790">
        <f>CO23/CO26</f>
        <v>9.3524499102249289E-2</v>
      </c>
      <c r="CP25" s="790">
        <f>CP23/CP26</f>
        <v>9.7225249249420137E-2</v>
      </c>
      <c r="CQ25" s="790">
        <f>CQ23/CQ26</f>
        <v>0.10989112732819034</v>
      </c>
      <c r="CR25" s="790">
        <f>CR23/CR26</f>
        <v>0.13085369962356741</v>
      </c>
      <c r="CS25" s="790">
        <f t="shared" ref="CS25:CZ25" si="15">CS23/CS26</f>
        <v>7.6021131484178661E-2</v>
      </c>
      <c r="CT25" s="791">
        <f t="shared" si="15"/>
        <v>0.1075711572417213</v>
      </c>
      <c r="CU25" s="791">
        <f t="shared" si="15"/>
        <v>0.17673535772737287</v>
      </c>
      <c r="CV25" s="791">
        <f t="shared" si="15"/>
        <v>-1.7122114499983822E-2</v>
      </c>
      <c r="CW25" s="791">
        <f t="shared" si="15"/>
        <v>0.54086978668520869</v>
      </c>
      <c r="CX25" s="791">
        <f t="shared" si="15"/>
        <v>0.76967781072409458</v>
      </c>
      <c r="CY25" s="791">
        <f t="shared" si="15"/>
        <v>0.68902827452303461</v>
      </c>
      <c r="CZ25" s="790">
        <f t="shared" si="15"/>
        <v>0.94455228159954896</v>
      </c>
      <c r="DA25" s="791">
        <f t="shared" ref="DA25:DF25" si="16">DA23/DA26</f>
        <v>1.1669397312408092</v>
      </c>
      <c r="DB25" s="792">
        <f t="shared" si="16"/>
        <v>1.2841948570475967</v>
      </c>
      <c r="DC25" s="791">
        <f t="shared" si="16"/>
        <v>1.6016631036697118</v>
      </c>
      <c r="DD25" s="790">
        <f t="shared" si="16"/>
        <v>1.1860520595357951</v>
      </c>
      <c r="DE25" s="790">
        <f t="shared" si="16"/>
        <v>1.6181151190203222</v>
      </c>
      <c r="DF25" s="791">
        <f t="shared" si="16"/>
        <v>1.8924841102053414</v>
      </c>
      <c r="DG25" s="790">
        <f t="shared" ref="DG25:DL25" si="17">DG23/DG26</f>
        <v>1.7025450024000583</v>
      </c>
      <c r="DH25" s="790">
        <f>DH23/DH26</f>
        <v>1.7814690743955239</v>
      </c>
      <c r="DI25" s="790">
        <f t="shared" si="17"/>
        <v>1.8822141492607638</v>
      </c>
      <c r="DJ25" s="790">
        <f t="shared" si="17"/>
        <v>1.6371602326812424</v>
      </c>
      <c r="DK25" s="790">
        <f t="shared" si="17"/>
        <v>2.1143326517144296</v>
      </c>
      <c r="DL25" s="790">
        <f t="shared" si="17"/>
        <v>2.19982542999242</v>
      </c>
      <c r="DM25" s="790">
        <f>DM23/DM26</f>
        <v>2.3006711225305501</v>
      </c>
      <c r="DN25" s="790">
        <f>DN23/DN26</f>
        <v>2.4003886789252227</v>
      </c>
      <c r="DO25" s="792">
        <f>DO23/DO26</f>
        <v>2.5005874242573998</v>
      </c>
      <c r="DP25" s="793"/>
      <c r="DX25" s="410">
        <f>0.35/0.44</f>
        <v>0.79545454545454541</v>
      </c>
      <c r="ED25" s="531"/>
      <c r="EE25" s="531"/>
    </row>
    <row r="26" spans="1:135">
      <c r="A26" s="794" t="s">
        <v>568</v>
      </c>
      <c r="B26" s="795"/>
      <c r="C26" s="795">
        <f>'qtrP&amp;L'!$AF110</f>
        <v>138.33889600000001</v>
      </c>
      <c r="D26" s="795">
        <f>'qtrP&amp;L'!$AF111</f>
        <v>138.71055200000001</v>
      </c>
      <c r="E26" s="795">
        <f>'qtrP&amp;L'!$AF112</f>
        <v>138.88950399999999</v>
      </c>
      <c r="F26" s="795">
        <f>'qtrP&amp;L'!$AF113</f>
        <v>141.89655999999999</v>
      </c>
      <c r="G26" s="795"/>
      <c r="H26" s="795">
        <f>'qtrP&amp;L'!$AB110</f>
        <v>138.49733599999999</v>
      </c>
      <c r="I26" s="795">
        <f>'qtrP&amp;L'!$AB111</f>
        <v>138.03839199999999</v>
      </c>
      <c r="J26" s="795">
        <f>'qtrP&amp;L'!$AB112</f>
        <v>138.20511999999999</v>
      </c>
      <c r="K26" s="795">
        <f>'qtrP&amp;L'!$AB113</f>
        <v>138.05372</v>
      </c>
      <c r="L26" s="795"/>
      <c r="M26" s="795">
        <f>'qtrP&amp;L'!$AN110</f>
        <v>158.12976</v>
      </c>
      <c r="N26" s="795">
        <f>'qtrP&amp;L'!$AN111</f>
        <v>160.80882399999999</v>
      </c>
      <c r="O26" s="795">
        <f>'qtrP&amp;L'!$AN112</f>
        <v>163.01565199999999</v>
      </c>
      <c r="P26" s="795">
        <f>'qtrP&amp;L'!$AN113</f>
        <v>164.630684</v>
      </c>
      <c r="Q26" s="795"/>
      <c r="R26" s="795">
        <f>+'qtrP&amp;L'!$AU$110</f>
        <v>165.88932800000001</v>
      </c>
      <c r="S26" s="795">
        <f>+'qtrP&amp;L'!$AU$111</f>
        <v>166.82278400000001</v>
      </c>
      <c r="T26" s="795">
        <f>+'qtrP&amp;L'!$AU$112</f>
        <v>168.152512</v>
      </c>
      <c r="U26" s="795">
        <f>+'qtrP&amp;L'!$AU$113</f>
        <v>169.164264</v>
      </c>
      <c r="V26" s="795"/>
      <c r="W26" s="795">
        <f>+'qtrP&amp;L'!$AY$110</f>
        <v>169.057896</v>
      </c>
      <c r="X26" s="795">
        <f>+'qtrP&amp;L'!$AY$111</f>
        <v>169.833</v>
      </c>
      <c r="Y26" s="795">
        <f>+'qtrP&amp;L'!$AY$112</f>
        <v>170.32885899999999</v>
      </c>
      <c r="Z26" s="795">
        <f>+'qtrP&amp;L'!$AY$113</f>
        <v>170.481054</v>
      </c>
      <c r="AA26" s="795"/>
      <c r="AB26" s="795">
        <f>+'qtrP&amp;L'!$BC$110</f>
        <v>168.02087900000001</v>
      </c>
      <c r="AC26" s="795">
        <f>+'qtrP&amp;L'!$BC$111</f>
        <v>168.59537800000001</v>
      </c>
      <c r="AD26" s="795">
        <f>+'qtrP&amp;L'!$BC$112</f>
        <v>168.30696699999999</v>
      </c>
      <c r="AE26" s="795">
        <f>+'qtrP&amp;L'!$BC$113</f>
        <v>168.585418</v>
      </c>
      <c r="AF26" s="795"/>
      <c r="AG26" s="795">
        <f>+'qtrP&amp;L'!$BG$110</f>
        <v>168.79977500000001</v>
      </c>
      <c r="AH26" s="795">
        <f>+'qtrP&amp;L'!$BG$111</f>
        <v>169.710489</v>
      </c>
      <c r="AI26" s="795">
        <f>+'qtrP&amp;L'!$BG$112</f>
        <v>169.933513</v>
      </c>
      <c r="AJ26" s="795">
        <f>+'qtrP&amp;L'!$BG$113</f>
        <v>170.09992299999999</v>
      </c>
      <c r="AK26" s="795"/>
      <c r="AL26" s="795">
        <f>'qtrP&amp;L'!BK110</f>
        <v>170.60342</v>
      </c>
      <c r="AM26" s="795">
        <f>'qtrP&amp;L'!BK111</f>
        <v>171.68753000000001</v>
      </c>
      <c r="AN26" s="795">
        <f>'qtrP&amp;L'!BK112</f>
        <v>171.06490400000001</v>
      </c>
      <c r="AO26" s="795">
        <f>'qtrP&amp;L'!BK113</f>
        <v>170.01791299999999</v>
      </c>
      <c r="AP26" s="795"/>
      <c r="AQ26" s="795">
        <f>'qtrP&amp;L'!BO110</f>
        <v>170.31670800000001</v>
      </c>
      <c r="AR26" s="795">
        <f>'qtrP&amp;L'!BO111</f>
        <v>170.71927400000001</v>
      </c>
      <c r="AS26" s="795">
        <f>'qtrP&amp;L'!BO112</f>
        <v>171.44390200000001</v>
      </c>
      <c r="AT26" s="795">
        <f>'qtrP&amp;L'!BO113</f>
        <v>172.42160699999999</v>
      </c>
      <c r="AU26" s="795"/>
      <c r="AV26" s="795">
        <f>'qtrP&amp;L'!$BS$110</f>
        <v>172.81903700000001</v>
      </c>
      <c r="AW26" s="795">
        <f>'qtrP&amp;L'!$BS$111</f>
        <v>172.325996</v>
      </c>
      <c r="AX26" s="795">
        <f>'qtrP&amp;L'!$BS$112</f>
        <v>168.575637</v>
      </c>
      <c r="AY26" s="795">
        <f>'qtrP&amp;L'!$BS$113</f>
        <v>167.67730499999999</v>
      </c>
      <c r="AZ26" s="795"/>
      <c r="BA26" s="795">
        <f>'qtrP&amp;L'!$BW$110</f>
        <v>165.29359400000001</v>
      </c>
      <c r="BB26" s="795">
        <f>'qtrP&amp;L'!$BW$111</f>
        <v>160.74374299999999</v>
      </c>
      <c r="BC26" s="795">
        <f>'qtrP&amp;L'!$BW$112</f>
        <v>153.434811</v>
      </c>
      <c r="BD26" s="795">
        <f>'qtrP&amp;L'!$BW$113</f>
        <v>145.617909</v>
      </c>
      <c r="BE26" s="795"/>
      <c r="BF26" s="795">
        <f>'qtrP&amp;L'!$CA$110</f>
        <v>145.568667</v>
      </c>
      <c r="BG26" s="795">
        <f>'qtrP&amp;L'!$CA$111</f>
        <v>145.61480599999999</v>
      </c>
      <c r="BH26" s="795">
        <f>'qtrP&amp;L'!$CA$112</f>
        <v>147.08698200000001</v>
      </c>
      <c r="BI26" s="795">
        <f>'qtrP&amp;L'!$CA$113</f>
        <v>148.372602</v>
      </c>
      <c r="BJ26" s="795"/>
      <c r="BK26" s="795">
        <f>'qtrP&amp;L'!CE110</f>
        <v>148.79905600000001</v>
      </c>
      <c r="BL26" s="795">
        <f>'qtrP&amp;L'!CE111</f>
        <v>149.361132</v>
      </c>
      <c r="BM26" s="795">
        <f>'qtrP&amp;L'!CE112</f>
        <v>149.517146</v>
      </c>
      <c r="BN26" s="795">
        <f>'qtrP&amp;L'!CE113</f>
        <v>149.20262600000001</v>
      </c>
      <c r="BO26" s="795"/>
      <c r="BP26" s="795">
        <f>'qtrP&amp;L'!CI110</f>
        <v>145.906544</v>
      </c>
      <c r="BQ26" s="795">
        <f>'qtrP&amp;L'!CI111</f>
        <v>138.17711</v>
      </c>
      <c r="BR26" s="795">
        <f>'qtrP&amp;L'!CI112</f>
        <v>135.948454</v>
      </c>
      <c r="BS26" s="795">
        <f>'qtrP&amp;L'!CI113</f>
        <v>132.98094699999999</v>
      </c>
      <c r="BT26" s="795"/>
      <c r="BU26" s="795">
        <f>'qtrP&amp;L'!CM110</f>
        <v>132.83614399999999</v>
      </c>
      <c r="BV26" s="795">
        <f>'qtrP&amp;L'!CM111</f>
        <v>129.08059399999999</v>
      </c>
      <c r="BW26" s="795">
        <f>'qtrP&amp;L'!CM112</f>
        <v>123.72558100000001</v>
      </c>
      <c r="BX26" s="795">
        <f>'qtrP&amp;L'!CM113</f>
        <v>118.606002</v>
      </c>
      <c r="BY26" s="795"/>
      <c r="BZ26" s="795">
        <f t="array" ref="BZ26:CC26">TRANSPOSE('qtrP&amp;L'!CQ110:CQ113)</f>
        <v>117.58700899999999</v>
      </c>
      <c r="CA26" s="795">
        <v>117.383132</v>
      </c>
      <c r="CB26" s="795">
        <v>117.39371</v>
      </c>
      <c r="CC26" s="1621">
        <v>116.810034</v>
      </c>
      <c r="CD26" s="795"/>
      <c r="CE26" s="795">
        <f t="array" ref="CE26:CH26">TRANSPOSE('qtrP&amp;L'!CU110:CU113)</f>
        <v>116.539305</v>
      </c>
      <c r="CF26" s="795">
        <v>113.76064700000001</v>
      </c>
      <c r="CG26" s="795">
        <v>110.10025400000001</v>
      </c>
      <c r="CH26" s="795">
        <v>109.214592</v>
      </c>
      <c r="CI26" s="795"/>
      <c r="CJ26" s="795">
        <f t="array" ref="CJ26:CM26">TRANSPOSE('qtrP&amp;L'!CY110:CY113)</f>
        <v>109.214592</v>
      </c>
      <c r="CK26" s="795">
        <v>108.01459199999999</v>
      </c>
      <c r="CL26" s="795">
        <v>107.01459199999999</v>
      </c>
      <c r="CM26" s="798">
        <v>107.01459199999999</v>
      </c>
      <c r="CN26" s="795"/>
      <c r="CO26" s="796">
        <f>'yrP&amp;L'!D54</f>
        <v>141.78103200000001</v>
      </c>
      <c r="CP26" s="796">
        <f>'yrP&amp;L'!E54</f>
        <v>142.75098399999999</v>
      </c>
      <c r="CQ26" s="796">
        <f>'yrP&amp;L'!F54</f>
        <v>143.432872</v>
      </c>
      <c r="CR26" s="796">
        <f>'yrP&amp;L'!G54</f>
        <v>142.75484800000001</v>
      </c>
      <c r="CS26" s="796">
        <f>'yrP&amp;L'!H54</f>
        <v>138.05372</v>
      </c>
      <c r="CT26" s="797">
        <f>'yrP&amp;L'!I54</f>
        <v>139.507656</v>
      </c>
      <c r="CU26" s="797">
        <f>'yrP&amp;L'!J54</f>
        <v>155.10761600000001</v>
      </c>
      <c r="CV26" s="797">
        <f>'yrP&amp;L'!K54</f>
        <v>161.66227599999999</v>
      </c>
      <c r="CW26" s="797">
        <f>'yrP&amp;L'!L54</f>
        <v>167.30274499999999</v>
      </c>
      <c r="CX26" s="797">
        <f>'yrP&amp;L'!M54</f>
        <v>169.93604099999999</v>
      </c>
      <c r="CY26" s="797">
        <f>'yrP&amp;L'!N54</f>
        <v>168.652005</v>
      </c>
      <c r="CZ26" s="796">
        <f>'yrP&amp;L'!O54</f>
        <v>169.63592499999999</v>
      </c>
      <c r="DA26" s="797">
        <f>'yrP&amp;L'!P54</f>
        <v>170.84344175000001</v>
      </c>
      <c r="DB26" s="798">
        <f>'yrP&amp;L'!Q54</f>
        <v>171.230245</v>
      </c>
      <c r="DC26" s="797">
        <f>'yrP&amp;L'!R54</f>
        <v>170.42160699999999</v>
      </c>
      <c r="DD26" s="796">
        <f>'yrP&amp;L'!S54</f>
        <v>156.19128900000001</v>
      </c>
      <c r="DE26" s="796">
        <f>'yrP&amp;L'!T54</f>
        <v>146.66076425</v>
      </c>
      <c r="DF26" s="797">
        <f>'yrP&amp;L'!U54</f>
        <v>149.21999</v>
      </c>
      <c r="DG26" s="796">
        <f>'yrP&amp;L'!V54</f>
        <v>136.67626974439395</v>
      </c>
      <c r="DH26" s="796">
        <f>'yrP&amp;L'!W54</f>
        <v>126.013414</v>
      </c>
      <c r="DI26" s="796">
        <f>'yrP&amp;L'!X54</f>
        <v>117.291117</v>
      </c>
      <c r="DJ26" s="796">
        <f>'yrP&amp;L'!Y54</f>
        <v>111.16138565248997</v>
      </c>
      <c r="DK26" s="796">
        <f>'yrP&amp;L'!Z54</f>
        <v>107.65813391036312</v>
      </c>
      <c r="DL26" s="796">
        <f>'yrP&amp;L'!AA54</f>
        <v>104.01459199999999</v>
      </c>
      <c r="DM26" s="796">
        <f>'yrP&amp;L'!AB54</f>
        <v>101.51459199999999</v>
      </c>
      <c r="DN26" s="796">
        <f>'yrP&amp;L'!AC54</f>
        <v>99.095237161290314</v>
      </c>
      <c r="DO26" s="798">
        <f>'yrP&amp;L'!AD54</f>
        <v>96.822509888563047</v>
      </c>
      <c r="DP26" s="704"/>
    </row>
    <row r="27" spans="1:135">
      <c r="A27" s="794" t="s">
        <v>569</v>
      </c>
      <c r="B27" s="795"/>
      <c r="C27" s="795">
        <f>'qtrP&amp;L'!$AF255</f>
        <v>138.024</v>
      </c>
      <c r="D27" s="795">
        <f>'qtrP&amp;L'!$AF256</f>
        <v>138.08799999999999</v>
      </c>
      <c r="E27" s="795">
        <f>'qtrP&amp;L'!$AF257</f>
        <v>138.11199999999999</v>
      </c>
      <c r="F27" s="795">
        <f>'qtrP&amp;L'!$AF258</f>
        <v>138.36799999999999</v>
      </c>
      <c r="G27" s="795"/>
      <c r="H27" s="795">
        <f>'qtrP&amp;L'!$AB255</f>
        <v>138.14400000000001</v>
      </c>
      <c r="I27" s="795">
        <f>'qtrP&amp;L'!$AB256</f>
        <v>138.024</v>
      </c>
      <c r="J27" s="795">
        <f>'qtrP&amp;L'!$AB257</f>
        <v>138.072</v>
      </c>
      <c r="K27" s="795">
        <f>'qtrP&amp;L'!$AB258</f>
        <v>138.024</v>
      </c>
      <c r="L27" s="795"/>
      <c r="M27" s="795">
        <f>'qtrP&amp;L'!$AN255</f>
        <v>155.28</v>
      </c>
      <c r="N27" s="795">
        <f>'qtrP&amp;L'!$AN256</f>
        <v>156.392</v>
      </c>
      <c r="O27" s="795">
        <f>'qtrP&amp;L'!$AN257</f>
        <v>157.77600000000001</v>
      </c>
      <c r="P27" s="795">
        <f>'qtrP&amp;L'!$AN258</f>
        <v>158.768</v>
      </c>
      <c r="Q27" s="795"/>
      <c r="R27" s="795">
        <f>'qtrP&amp;L'!$AU255</f>
        <v>160.59200000000001</v>
      </c>
      <c r="S27" s="795">
        <f>'qtrP&amp;L'!$AU256</f>
        <v>161.10804999999999</v>
      </c>
      <c r="T27" s="795">
        <f>'qtrP&amp;L'!$AU257</f>
        <v>162.09522999999999</v>
      </c>
      <c r="U27" s="795">
        <f>'qtrP&amp;L'!$AU258</f>
        <v>163.14013411225335</v>
      </c>
      <c r="V27" s="795"/>
      <c r="W27" s="795">
        <f>'qtrP&amp;L'!$AY255</f>
        <v>163.16950080091559</v>
      </c>
      <c r="X27" s="795">
        <f>'qtrP&amp;L'!$AY256</f>
        <v>162.92087583917581</v>
      </c>
      <c r="Y27" s="795">
        <f>'qtrP&amp;L'!$AY257</f>
        <v>164.12414627262132</v>
      </c>
      <c r="Z27" s="795">
        <f>'qtrP&amp;L'!$AY258</f>
        <v>164.4911445758498</v>
      </c>
      <c r="AA27" s="795"/>
      <c r="AB27" s="795">
        <f>'qtrP&amp;L'!$BC255</f>
        <v>164.57615699999999</v>
      </c>
      <c r="AC27" s="795">
        <f>'qtrP&amp;L'!$BC256</f>
        <v>164.99432899999999</v>
      </c>
      <c r="AD27" s="795">
        <f>'qtrP&amp;L'!$BC257</f>
        <v>164.70797999999999</v>
      </c>
      <c r="AE27" s="795">
        <f>'qtrP&amp;L'!$BC258</f>
        <v>164.44061099999999</v>
      </c>
      <c r="AF27" s="795"/>
      <c r="AG27" s="795">
        <f>'qtrP&amp;L'!$BG255</f>
        <v>164.82605799999999</v>
      </c>
      <c r="AH27" s="795">
        <f>'qtrP&amp;L'!$BG256</f>
        <v>165.31565599999999</v>
      </c>
      <c r="AI27" s="795">
        <f>'qtrP&amp;L'!$BG257</f>
        <v>165.430768</v>
      </c>
      <c r="AJ27" s="795">
        <f>'qtrP&amp;L'!$BG258</f>
        <v>165.629648</v>
      </c>
      <c r="AK27" s="795"/>
      <c r="AL27" s="795">
        <f>'qtrP&amp;L'!$BK255</f>
        <v>166.11909900000001</v>
      </c>
      <c r="AM27" s="795">
        <f>'qtrP&amp;L'!$BK256</f>
        <v>166.69896299999999</v>
      </c>
      <c r="AN27" s="795">
        <f>'qtrP&amp;L'!$BK257</f>
        <v>167.030294</v>
      </c>
      <c r="AO27" s="795">
        <f>'qtrP&amp;L'!$BK258</f>
        <v>167.30923899999999</v>
      </c>
      <c r="AP27" s="795"/>
      <c r="AQ27" s="795">
        <f>'qtrP&amp;L'!$BO255</f>
        <v>167.455872</v>
      </c>
      <c r="AR27" s="795">
        <f>'qtrP&amp;L'!$BO256</f>
        <v>167.919873</v>
      </c>
      <c r="AS27" s="795">
        <f>'qtrP&amp;L'!$BO257</f>
        <v>168.319514</v>
      </c>
      <c r="AT27" s="795">
        <f>'qtrP&amp;L'!$BO258</f>
        <v>168.49925999999999</v>
      </c>
      <c r="AU27" s="795"/>
      <c r="AV27" s="795">
        <f>'qtrP&amp;L'!$BS255</f>
        <v>168.85207199999999</v>
      </c>
      <c r="AW27" s="795">
        <f>'qtrP&amp;L'!$BS256</f>
        <v>168.90859800000001</v>
      </c>
      <c r="AX27" s="795">
        <f>'qtrP&amp;L'!$BS257</f>
        <v>165.69954000000001</v>
      </c>
      <c r="AY27" s="795">
        <f>'qtrP&amp;L'!$BS258</f>
        <v>164.188852</v>
      </c>
      <c r="AZ27" s="795"/>
      <c r="BA27" s="795">
        <f>'qtrP&amp;L'!$BW255</f>
        <v>162.40733</v>
      </c>
      <c r="BB27" s="795">
        <f>'qtrP&amp;L'!$BW256</f>
        <v>158.58161799999999</v>
      </c>
      <c r="BC27" s="795">
        <f>'qtrP&amp;L'!$BW257</f>
        <v>151.170175</v>
      </c>
      <c r="BD27" s="795">
        <f>'qtrP&amp;L'!$BW258</f>
        <v>144.268135</v>
      </c>
      <c r="BE27" s="795"/>
      <c r="BF27" s="795">
        <f>'qtrP&amp;L'!$CA$255</f>
        <v>144.70919900000001</v>
      </c>
      <c r="BG27" s="795">
        <f>'qtrP&amp;L'!$CA$256</f>
        <v>144.81775200000001</v>
      </c>
      <c r="BH27" s="795">
        <f>'qtrP&amp;L'!$CA$257</f>
        <v>145.539816</v>
      </c>
      <c r="BI27" s="795">
        <f>'qtrP&amp;L'!$CA$258</f>
        <v>145.93613099999999</v>
      </c>
      <c r="BJ27" s="795"/>
      <c r="BK27" s="795">
        <f>'qtrP&amp;L'!CE255</f>
        <v>146.289751</v>
      </c>
      <c r="BL27" s="795">
        <f>'qtrP&amp;L'!CE256</f>
        <v>147.038073</v>
      </c>
      <c r="BM27" s="795">
        <f>'qtrP&amp;L'!CE257</f>
        <v>147.40576899999999</v>
      </c>
      <c r="BN27" s="795">
        <f>'qtrP&amp;L'!CE258</f>
        <v>147.30222000000001</v>
      </c>
      <c r="BO27" s="795"/>
      <c r="BP27" s="795">
        <f>'qtrP&amp;L'!CI255</f>
        <v>144.07566600000001</v>
      </c>
      <c r="BQ27" s="795">
        <f>'qtrP&amp;L'!CI256</f>
        <v>136.45366300000001</v>
      </c>
      <c r="BR27" s="795">
        <f>'qtrP&amp;L'!CI257</f>
        <v>134.267</v>
      </c>
      <c r="BS27" s="795">
        <f>'qtrP&amp;L'!CI258</f>
        <v>132.05312599999999</v>
      </c>
      <c r="BT27" s="795"/>
      <c r="BU27" s="795">
        <f>'qtrP&amp;L'!CM255</f>
        <v>131.20274000000001</v>
      </c>
      <c r="BV27" s="795">
        <f>'qtrP&amp;L'!CM256</f>
        <v>127.910026</v>
      </c>
      <c r="BW27" s="795">
        <f>'qtrP&amp;L'!CM257</f>
        <v>123.442931</v>
      </c>
      <c r="BX27" s="795">
        <f>'qtrP&amp;L'!CM258</f>
        <v>118.568962</v>
      </c>
      <c r="BY27" s="795"/>
      <c r="BZ27" s="795">
        <f t="array" ref="BZ27:CC27">TRANSPOSE('qtrP&amp;L'!CQ255:CQ258)</f>
        <v>117.30473600000001</v>
      </c>
      <c r="CA27" s="795">
        <v>117.133169</v>
      </c>
      <c r="CB27" s="795">
        <v>116.82991199999999</v>
      </c>
      <c r="CC27" s="796">
        <v>116.233694</v>
      </c>
      <c r="CD27" s="795"/>
      <c r="CE27" s="795">
        <f t="array" ref="CE27:CH27">TRANSPOSE('qtrP&amp;L'!CU255:CU258)</f>
        <v>115.962965</v>
      </c>
      <c r="CF27" s="795">
        <v>113.184307</v>
      </c>
      <c r="CG27" s="795">
        <v>109.523914</v>
      </c>
      <c r="CH27" s="795">
        <v>108.63825199999999</v>
      </c>
      <c r="CI27" s="795"/>
      <c r="CJ27" s="795">
        <f t="array" ref="CJ27:CM27">TRANSPOSE('qtrP&amp;L'!CY255:CY258)</f>
        <v>108.63825199999999</v>
      </c>
      <c r="CK27" s="795">
        <v>107.43825199999999</v>
      </c>
      <c r="CL27" s="795">
        <v>106.43825199999999</v>
      </c>
      <c r="CM27" s="798">
        <v>106.43825199999999</v>
      </c>
      <c r="CN27" s="795"/>
      <c r="CO27" s="796"/>
      <c r="CP27" s="796"/>
      <c r="CQ27" s="796"/>
      <c r="CR27" s="796">
        <f>'yrP&amp;L'!G56</f>
        <v>138.86539999999999</v>
      </c>
      <c r="CS27" s="796">
        <f>'yrP&amp;L'!H56</f>
        <v>138.024</v>
      </c>
      <c r="CT27" s="797">
        <f>'yrP&amp;L'!I56</f>
        <v>138.26600000000002</v>
      </c>
      <c r="CU27" s="797">
        <f>'yrP&amp;L'!J56</f>
        <v>153.92400000000001</v>
      </c>
      <c r="CV27" s="797">
        <f>'yrP&amp;L'!K56</f>
        <v>157.67515</v>
      </c>
      <c r="CW27" s="797">
        <f>'yrP&amp;L'!L56</f>
        <v>162.21981100000002</v>
      </c>
      <c r="CX27" s="797">
        <f>'yrP&amp;L'!M56</f>
        <v>164.16786200000001</v>
      </c>
      <c r="CY27" s="797">
        <f>'yrP&amp;L'!N56</f>
        <v>165.084463</v>
      </c>
      <c r="CZ27" s="796">
        <f>'yrP&amp;L'!O56</f>
        <v>166.56671399999999</v>
      </c>
      <c r="DA27" s="797">
        <f>'yrP&amp;L'!P56</f>
        <v>167.72968800000001</v>
      </c>
      <c r="DB27" s="798">
        <f>'yrP&amp;L'!Q56</f>
        <v>168.888271</v>
      </c>
      <c r="DC27" s="797">
        <f>'yrP&amp;L'!R56</f>
        <v>162.255448</v>
      </c>
      <c r="DD27" s="796">
        <f>'yrP&amp;L'!S56</f>
        <v>144.706907</v>
      </c>
      <c r="DE27" s="796">
        <f>'yrP&amp;L'!T56</f>
        <v>146.22846699999999</v>
      </c>
      <c r="DF27" s="797">
        <f>'yrP&amp;L'!U56</f>
        <v>144.56095300000001</v>
      </c>
      <c r="DG27" s="796">
        <f>'yrP&amp;L'!V56</f>
        <v>130.44359800000001</v>
      </c>
      <c r="DH27" s="796">
        <f>'yrP&amp;L'!W56</f>
        <v>120.26698672099072</v>
      </c>
      <c r="DI27" s="796">
        <f>'yrP&amp;L'!X56</f>
        <v>111.94244138746346</v>
      </c>
      <c r="DJ27" s="796">
        <f>'yrP&amp;L'!Y56</f>
        <v>106.09223627696443</v>
      </c>
      <c r="DK27" s="796">
        <f>'yrP&amp;L'!Z56</f>
        <v>102.74873880811037</v>
      </c>
      <c r="DL27" s="796">
        <f>'yrP&amp;L'!AA56</f>
        <v>99.27134864271882</v>
      </c>
      <c r="DM27" s="796">
        <f>'yrP&amp;L'!AB56</f>
        <v>96.885352920053322</v>
      </c>
      <c r="DN27" s="796">
        <f>'yrP&amp;L'!AC56</f>
        <v>94.576324801344768</v>
      </c>
      <c r="DO27" s="798">
        <f>'yrP&amp;L'!AD56</f>
        <v>92.407237780739777</v>
      </c>
      <c r="DP27" s="704"/>
    </row>
    <row r="28" spans="1:135" hidden="1" outlineLevel="1">
      <c r="A28" s="794" t="s">
        <v>570</v>
      </c>
      <c r="B28" s="795"/>
      <c r="C28" s="795">
        <f>'qtrP&amp;L'!$AF120</f>
        <v>138.024</v>
      </c>
      <c r="D28" s="795">
        <f>'qtrP&amp;L'!$AF121</f>
        <v>138.10400000000001</v>
      </c>
      <c r="E28" s="795">
        <f>'qtrP&amp;L'!$AF122</f>
        <v>138.11199999999999</v>
      </c>
      <c r="F28" s="795">
        <f>'qtrP&amp;L'!$AF123</f>
        <v>138.82400000000001</v>
      </c>
      <c r="G28" s="795"/>
      <c r="H28" s="795">
        <f>'qtrP&amp;L'!$AB120</f>
        <v>138.024</v>
      </c>
      <c r="I28" s="795">
        <f>'qtrP&amp;L'!$AB121</f>
        <v>138.024</v>
      </c>
      <c r="J28" s="795">
        <f>'qtrP&amp;L'!$AB122</f>
        <v>138.024</v>
      </c>
      <c r="K28" s="795">
        <f>'qtrP&amp;L'!$AB123</f>
        <v>138.024</v>
      </c>
      <c r="L28" s="795"/>
      <c r="M28" s="795">
        <f>'qtrP&amp;L'!$AN120</f>
        <v>155.66399999999999</v>
      </c>
      <c r="N28" s="795">
        <f>'qtrP&amp;L'!$AN121</f>
        <v>157.4846</v>
      </c>
      <c r="O28" s="795">
        <f>'qtrP&amp;L'!$AN122</f>
        <v>158</v>
      </c>
      <c r="P28" s="795">
        <f>'qtrP&amp;L'!$AN123</f>
        <v>159.55199999999999</v>
      </c>
      <c r="Q28" s="795"/>
      <c r="R28" s="795">
        <f>'qtrP&amp;L'!$AU120</f>
        <v>160.77600000000001</v>
      </c>
      <c r="S28" s="795">
        <f>'qtrP&amp;L'!$AU121</f>
        <v>161.791484</v>
      </c>
      <c r="T28" s="795">
        <f>'qtrP&amp;L'!$AU122</f>
        <v>162.66028800000001</v>
      </c>
      <c r="U28" s="795">
        <f>'qtrP&amp;L'!$AU123</f>
        <v>163.65147200000001</v>
      </c>
      <c r="V28" s="795"/>
      <c r="W28" s="795">
        <f>'qtrP&amp;L'!$AY120</f>
        <v>163.35645400000001</v>
      </c>
      <c r="X28" s="795">
        <f>'qtrP&amp;L'!$AY121</f>
        <v>163.61199999999999</v>
      </c>
      <c r="Y28" s="795">
        <f>'qtrP&amp;L'!$AY122</f>
        <v>164.69627700000001</v>
      </c>
      <c r="Z28" s="795">
        <f>'qtrP&amp;L'!$AY123</f>
        <v>165.00671700000001</v>
      </c>
      <c r="AA28" s="795"/>
      <c r="AB28" s="795">
        <f>'qtrP&amp;L'!$BC120</f>
        <v>165.25818200000001</v>
      </c>
      <c r="AC28" s="795">
        <f>'qtrP&amp;L'!$BC121</f>
        <v>165.32981699999999</v>
      </c>
      <c r="AD28" s="795">
        <f>'qtrP&amp;L'!$BC122</f>
        <v>164.689887</v>
      </c>
      <c r="AE28" s="795">
        <f>'qtrP&amp;L'!$BC123</f>
        <v>165.084463</v>
      </c>
      <c r="AF28" s="795"/>
      <c r="AG28" s="795">
        <f>'qtrP&amp;L'!$BG120</f>
        <v>165.68393499999999</v>
      </c>
      <c r="AH28" s="795">
        <f>'qtrP&amp;L'!$BG121</f>
        <v>165.815865</v>
      </c>
      <c r="AI28" s="795">
        <f>'qtrP&amp;L'!$BG122</f>
        <v>166.01801499999999</v>
      </c>
      <c r="AJ28" s="795">
        <f>'qtrP&amp;L'!$BG123</f>
        <v>166.56671399999999</v>
      </c>
      <c r="AK28" s="795"/>
      <c r="AL28" s="795">
        <f>'qtrP&amp;L'!$BK120</f>
        <v>167.10261399999999</v>
      </c>
      <c r="AM28" s="795">
        <f>'qtrP&amp;L'!$BK121</f>
        <v>167.30113800000001</v>
      </c>
      <c r="AN28" s="795">
        <f>'qtrP&amp;L'!$BK122</f>
        <v>167.70948799999999</v>
      </c>
      <c r="AO28" s="795">
        <f>'qtrP&amp;L'!$BK123</f>
        <v>167.72968800000001</v>
      </c>
      <c r="AP28" s="795"/>
      <c r="AQ28" s="795">
        <f>'qtrP&amp;L'!$BO120</f>
        <v>168.14848799999999</v>
      </c>
      <c r="AR28" s="795">
        <f>'qtrP&amp;L'!$BO121</f>
        <v>168.308888</v>
      </c>
      <c r="AS28" s="795">
        <f>'qtrP&amp;L'!$BO122</f>
        <v>168.499638</v>
      </c>
      <c r="AT28" s="795">
        <f>'qtrP&amp;L'!$BO123</f>
        <v>168.888271</v>
      </c>
      <c r="AU28" s="795"/>
      <c r="AV28" s="795">
        <f>'qtrP&amp;L'!$BS120</f>
        <v>169.152038</v>
      </c>
      <c r="AW28" s="795">
        <f>'qtrP&amp;L'!$BS121</f>
        <v>165.08242799999999</v>
      </c>
      <c r="AX28" s="795">
        <f>'qtrP&amp;L'!$BS122</f>
        <v>164.04383799999999</v>
      </c>
      <c r="AY28" s="795">
        <f>'qtrP&amp;L'!$BS123</f>
        <v>162.255448</v>
      </c>
      <c r="AZ28" s="795"/>
      <c r="BA28" s="795">
        <f>'qtrP&amp;L'!$BW120</f>
        <v>159.69047499999999</v>
      </c>
      <c r="BB28" s="795">
        <f>'qtrP&amp;L'!$BW121</f>
        <v>153.91866099999999</v>
      </c>
      <c r="BC28" s="795">
        <f>'qtrP&amp;L'!$BW122</f>
        <v>144.20166399999999</v>
      </c>
      <c r="BD28" s="795">
        <f>'qtrP&amp;L'!$BW123</f>
        <v>144.706907</v>
      </c>
      <c r="BE28" s="795"/>
      <c r="BF28" s="795">
        <f>'qtrP&amp;L'!$CA$120</f>
        <v>144.80920699999999</v>
      </c>
      <c r="BG28" s="795">
        <f>'qtrP&amp;L'!$CA$121</f>
        <v>145.53100699999999</v>
      </c>
      <c r="BH28" s="795">
        <f>'qtrP&amp;L'!$CA$122</f>
        <v>145.91056699999999</v>
      </c>
      <c r="BI28" s="795">
        <f>'qtrP&amp;L'!$CA$123</f>
        <v>146.22846699999999</v>
      </c>
      <c r="BJ28" s="795"/>
      <c r="BK28" s="795">
        <f>'qtrP&amp;L'!CE120</f>
        <v>146.934867</v>
      </c>
      <c r="BL28" s="795">
        <f>'qtrP&amp;L'!CE121</f>
        <v>147.37186399999999</v>
      </c>
      <c r="BM28" s="795">
        <f>'qtrP&amp;L'!CE122</f>
        <v>147.309575</v>
      </c>
      <c r="BN28" s="795">
        <f>'qtrP&amp;L'!CE123</f>
        <v>144.56095300000001</v>
      </c>
      <c r="BO28" s="795"/>
      <c r="BP28" s="795">
        <f>'qtrP&amp;L'!CI120</f>
        <v>137.751372</v>
      </c>
      <c r="BQ28" s="795">
        <f>'qtrP&amp;L'!CI121</f>
        <v>134.33607000000001</v>
      </c>
      <c r="BR28" s="795">
        <f>'qtrP&amp;L'!CI122</f>
        <v>131.643598</v>
      </c>
      <c r="BS28" s="795">
        <f>'qtrP&amp;L'!CI123</f>
        <v>130.44359800000001</v>
      </c>
      <c r="BT28" s="795"/>
      <c r="BU28" s="795">
        <f>'qtrP&amp;L'!CM120</f>
        <v>133</v>
      </c>
      <c r="BV28" s="795">
        <f>'qtrP&amp;L'!CM121</f>
        <v>126.3</v>
      </c>
      <c r="BW28" s="795">
        <f>'qtrP&amp;L'!CM122</f>
        <v>123.5</v>
      </c>
      <c r="BX28" s="795">
        <f>'qtrP&amp;L'!CM123</f>
        <v>117.8</v>
      </c>
      <c r="BY28" s="795"/>
      <c r="BZ28" s="795">
        <f t="array" ref="BZ28:CC28">TRANSPOSE('qtrP&amp;L'!CQ120:CQ123)</f>
        <v>117.5</v>
      </c>
      <c r="CA28" s="795">
        <v>117.2</v>
      </c>
      <c r="CB28" s="795">
        <v>117</v>
      </c>
      <c r="CC28" s="796">
        <v>116.23378099999999</v>
      </c>
      <c r="CD28" s="795"/>
      <c r="CE28" s="795">
        <f t="array" ref="CE28:CH28">TRANSPOSE('qtrP&amp;L'!CV120:CV123)</f>
        <v>116.45307125296469</v>
      </c>
      <c r="CF28" s="795">
        <v>113.58316651833758</v>
      </c>
      <c r="CG28" s="795">
        <v>109.73100448056374</v>
      </c>
      <c r="CH28" s="795">
        <v>108.67580920772912</v>
      </c>
      <c r="CI28" s="795"/>
      <c r="CJ28" s="795">
        <f t="array" ref="CJ28:CM28">TRANSPOSE('qtrP&amp;L'!CZ120:CZ123)</f>
        <v>108.96810704688077</v>
      </c>
      <c r="CK28" s="795">
        <v>106.15297736131896</v>
      </c>
      <c r="CL28" s="795">
        <v>106.59369806842233</v>
      </c>
      <c r="CM28" s="798">
        <v>106.06790200009611</v>
      </c>
      <c r="CN28" s="795"/>
      <c r="CO28" s="796">
        <f>'yrP&amp;L'!D57</f>
        <v>0</v>
      </c>
      <c r="CP28" s="796">
        <f>'yrP&amp;L'!E57</f>
        <v>0</v>
      </c>
      <c r="CQ28" s="796">
        <f>'yrP&amp;L'!F57</f>
        <v>0</v>
      </c>
      <c r="CR28" s="796">
        <f>'yrP&amp;L'!G57</f>
        <v>140.624</v>
      </c>
      <c r="CS28" s="796">
        <f>'yrP&amp;L'!H57</f>
        <v>138.066</v>
      </c>
      <c r="CT28" s="797">
        <f>'yrP&amp;L'!I57</f>
        <v>138.14799999999997</v>
      </c>
      <c r="CU28" s="797">
        <f>'yrP&amp;L'!J57</f>
        <v>151.10582400000001</v>
      </c>
      <c r="CV28" s="797">
        <f>'yrP&amp;L'!K57</f>
        <v>157.069852</v>
      </c>
      <c r="CW28" s="797">
        <f>'yrP&amp;L'!L57</f>
        <v>161.41989799999999</v>
      </c>
      <c r="CX28" s="797">
        <f>'yrP&amp;L'!M57</f>
        <v>163.67641687214063</v>
      </c>
      <c r="CY28" s="797">
        <f>'yrP&amp;L'!N57</f>
        <v>164.67976924999999</v>
      </c>
      <c r="CZ28" s="796">
        <f>'yrP&amp;L'!O57</f>
        <v>165.3005325</v>
      </c>
      <c r="DA28" s="797">
        <f>'yrP&amp;L'!P57</f>
        <v>166.78939874999998</v>
      </c>
      <c r="DB28" s="798">
        <f>'yrP&amp;L'!Q57</f>
        <v>168.04862974999998</v>
      </c>
      <c r="DC28" s="797">
        <f>'yrP&amp;L'!R57</f>
        <v>166.91226549999999</v>
      </c>
      <c r="DD28" s="796">
        <f>'yrP&amp;L'!S57</f>
        <v>154.025589</v>
      </c>
      <c r="DE28" s="796">
        <f>'yrP&amp;L'!T57</f>
        <v>145.25072449999999</v>
      </c>
      <c r="DF28" s="797">
        <f>'yrP&amp;L'!U57</f>
        <v>147.00895324999999</v>
      </c>
      <c r="DG28" s="796">
        <f>'yrP&amp;L'!V57</f>
        <v>136.71236375000001</v>
      </c>
      <c r="DH28" s="796">
        <f>'yrP&amp;L'!W57</f>
        <v>126.04669211682204</v>
      </c>
      <c r="DI28" s="796">
        <f>'yrP&amp;L'!X57</f>
        <v>117.32209169840563</v>
      </c>
      <c r="DJ28" s="796">
        <f>'yrP&amp;L'!Y57</f>
        <v>111.19074158738944</v>
      </c>
      <c r="DK28" s="796">
        <f>'yrP&amp;L'!Z57</f>
        <v>107.68656469279642</v>
      </c>
      <c r="DL28" s="796">
        <f>'yrP&amp;L'!AA57</f>
        <v>104.04206058158904</v>
      </c>
      <c r="DM28" s="796">
        <f>'yrP&amp;L'!AB57</f>
        <v>101.54140037177952</v>
      </c>
      <c r="DN28" s="796">
        <f>'yrP&amp;L'!AC57</f>
        <v>99.121406620350939</v>
      </c>
      <c r="DO28" s="798">
        <f>'yrP&amp;L'!AD57</f>
        <v>96.848079156887735</v>
      </c>
      <c r="DP28" s="704"/>
    </row>
    <row r="29" spans="1:135" hidden="1" outlineLevel="1">
      <c r="A29" s="794"/>
      <c r="B29" s="795"/>
      <c r="C29" s="795"/>
      <c r="D29" s="795"/>
      <c r="E29" s="795"/>
      <c r="F29" s="795"/>
      <c r="G29" s="795"/>
      <c r="H29" s="795"/>
      <c r="I29" s="795"/>
      <c r="J29" s="795"/>
      <c r="K29" s="795"/>
      <c r="L29" s="795"/>
      <c r="M29" s="795"/>
      <c r="N29" s="795"/>
      <c r="O29" s="795"/>
      <c r="P29" s="795"/>
      <c r="Q29" s="795"/>
      <c r="R29" s="795"/>
      <c r="S29" s="795"/>
      <c r="T29" s="795"/>
      <c r="U29" s="795"/>
      <c r="V29" s="795"/>
      <c r="W29" s="795"/>
      <c r="X29" s="795"/>
      <c r="Y29" s="795"/>
      <c r="Z29" s="795"/>
      <c r="AA29" s="795"/>
      <c r="AB29" s="795"/>
      <c r="AC29" s="795"/>
      <c r="AD29" s="795"/>
      <c r="AE29" s="795"/>
      <c r="AF29" s="795"/>
      <c r="AG29" s="795"/>
      <c r="AH29" s="795"/>
      <c r="AI29" s="795"/>
      <c r="AJ29" s="795"/>
      <c r="AK29" s="795"/>
      <c r="AL29" s="795"/>
      <c r="AM29" s="795"/>
      <c r="AN29" s="795"/>
      <c r="AO29" s="795"/>
      <c r="AP29" s="795"/>
      <c r="AQ29" s="795"/>
      <c r="AR29" s="795"/>
      <c r="AS29" s="795"/>
      <c r="AT29" s="795"/>
      <c r="AU29" s="795"/>
      <c r="AV29" s="795"/>
      <c r="AW29" s="795"/>
      <c r="AX29" s="795"/>
      <c r="AY29" s="795"/>
      <c r="AZ29" s="795"/>
      <c r="BA29" s="795"/>
      <c r="BB29" s="795"/>
      <c r="BC29" s="795"/>
      <c r="BD29" s="795"/>
      <c r="BE29" s="795"/>
      <c r="BF29" s="795"/>
      <c r="BG29" s="795"/>
      <c r="BH29" s="795"/>
      <c r="BI29" s="795"/>
      <c r="BJ29" s="795"/>
      <c r="BK29" s="795"/>
      <c r="BL29" s="795"/>
      <c r="BM29" s="795"/>
      <c r="BN29" s="795"/>
      <c r="BO29" s="795"/>
      <c r="BP29" s="795"/>
      <c r="BQ29" s="795"/>
      <c r="BR29" s="795"/>
      <c r="BS29" s="795"/>
      <c r="BT29" s="795"/>
      <c r="BU29" s="795"/>
      <c r="BV29" s="795"/>
      <c r="BW29" s="795"/>
      <c r="BX29" s="795"/>
      <c r="BY29" s="795"/>
      <c r="BZ29" s="795"/>
      <c r="CA29" s="795"/>
      <c r="CB29" s="795"/>
      <c r="CC29" s="796"/>
      <c r="CD29" s="795"/>
      <c r="CE29" s="795"/>
      <c r="CF29" s="795"/>
      <c r="CG29" s="795"/>
      <c r="CH29" s="795"/>
      <c r="CI29" s="795"/>
      <c r="CJ29" s="795"/>
      <c r="CK29" s="795"/>
      <c r="CL29" s="795"/>
      <c r="CM29" s="798"/>
      <c r="CN29" s="795"/>
      <c r="CO29" s="796"/>
      <c r="CP29" s="796"/>
      <c r="CQ29" s="796"/>
      <c r="CR29" s="796"/>
      <c r="CS29" s="796"/>
      <c r="CT29" s="797"/>
      <c r="CU29" s="797"/>
      <c r="CV29" s="797"/>
      <c r="CW29" s="797"/>
      <c r="CX29" s="797"/>
      <c r="CY29" s="797"/>
      <c r="CZ29" s="796"/>
      <c r="DA29" s="797"/>
      <c r="DB29" s="798"/>
      <c r="DC29" s="797"/>
      <c r="DD29" s="796"/>
      <c r="DE29" s="796"/>
      <c r="DF29" s="797"/>
      <c r="DG29" s="796"/>
      <c r="DH29" s="796"/>
      <c r="DI29" s="796"/>
      <c r="DJ29" s="796"/>
      <c r="DK29" s="796"/>
      <c r="DL29" s="796"/>
      <c r="DM29" s="796"/>
      <c r="DN29" s="796"/>
      <c r="DO29" s="798"/>
      <c r="DP29" s="704"/>
    </row>
    <row r="30" spans="1:135" hidden="1" outlineLevel="1">
      <c r="A30" s="799" t="s">
        <v>647</v>
      </c>
      <c r="B30" s="795"/>
      <c r="C30" s="795"/>
      <c r="D30" s="795"/>
      <c r="E30" s="795"/>
      <c r="F30" s="795"/>
      <c r="G30" s="795"/>
      <c r="H30" s="795"/>
      <c r="I30" s="795"/>
      <c r="J30" s="795"/>
      <c r="K30" s="795"/>
      <c r="L30" s="795"/>
      <c r="M30" s="795"/>
      <c r="N30" s="795"/>
      <c r="O30" s="795"/>
      <c r="P30" s="795"/>
      <c r="Q30" s="795"/>
      <c r="R30" s="795"/>
      <c r="S30" s="795"/>
      <c r="T30" s="795"/>
      <c r="U30" s="795"/>
      <c r="V30" s="795"/>
      <c r="W30" s="795"/>
      <c r="X30" s="795"/>
      <c r="Y30" s="795"/>
      <c r="Z30" s="795"/>
      <c r="AA30" s="795"/>
      <c r="AB30" s="795"/>
      <c r="AC30" s="795"/>
      <c r="AD30" s="795"/>
      <c r="AE30" s="795"/>
      <c r="AF30" s="795"/>
      <c r="AG30" s="795"/>
      <c r="AH30" s="795"/>
      <c r="AI30" s="795"/>
      <c r="AJ30" s="795"/>
      <c r="AK30" s="795"/>
      <c r="AL30" s="795"/>
      <c r="AM30" s="795"/>
      <c r="AN30" s="795"/>
      <c r="AO30" s="795"/>
      <c r="AP30" s="795"/>
      <c r="AQ30" s="795"/>
      <c r="AR30" s="795"/>
      <c r="AS30" s="795"/>
      <c r="AT30" s="795"/>
      <c r="AU30" s="795"/>
      <c r="AV30" s="795"/>
      <c r="AW30" s="795"/>
      <c r="AX30" s="795"/>
      <c r="AY30" s="795"/>
      <c r="AZ30" s="795"/>
      <c r="BA30" s="795"/>
      <c r="BB30" s="795"/>
      <c r="BC30" s="795"/>
      <c r="BD30" s="795"/>
      <c r="BE30" s="795"/>
      <c r="BF30" s="795"/>
      <c r="BG30" s="795"/>
      <c r="BH30" s="795"/>
      <c r="BI30" s="795"/>
      <c r="BJ30" s="795"/>
      <c r="BK30" s="795"/>
      <c r="BL30" s="795"/>
      <c r="BM30" s="795"/>
      <c r="BN30" s="795"/>
      <c r="BO30" s="795"/>
      <c r="BP30" s="795"/>
      <c r="BQ30" s="795"/>
      <c r="BR30" s="795"/>
      <c r="BS30" s="795"/>
      <c r="BT30" s="795"/>
      <c r="BU30" s="795"/>
      <c r="BV30" s="795"/>
      <c r="BW30" s="795"/>
      <c r="BX30" s="795"/>
      <c r="BY30" s="795"/>
      <c r="BZ30" s="795"/>
      <c r="CA30" s="795"/>
      <c r="CB30" s="795"/>
      <c r="CC30" s="796"/>
      <c r="CD30" s="795"/>
      <c r="CE30" s="795"/>
      <c r="CF30" s="795"/>
      <c r="CG30" s="795"/>
      <c r="CH30" s="795"/>
      <c r="CI30" s="795"/>
      <c r="CJ30" s="795"/>
      <c r="CK30" s="795"/>
      <c r="CL30" s="795"/>
      <c r="CM30" s="798"/>
      <c r="CN30" s="795"/>
      <c r="CO30" s="796"/>
      <c r="CP30" s="796"/>
      <c r="CQ30" s="796"/>
      <c r="CR30" s="796"/>
      <c r="CS30" s="796"/>
      <c r="CT30" s="797"/>
      <c r="CU30" s="797"/>
      <c r="CV30" s="797"/>
      <c r="CW30" s="797"/>
      <c r="CX30" s="797"/>
      <c r="CY30" s="797"/>
      <c r="CZ30" s="796"/>
      <c r="DA30" s="797"/>
      <c r="DB30" s="798"/>
      <c r="DC30" s="797"/>
      <c r="DD30" s="796"/>
      <c r="DE30" s="796"/>
      <c r="DF30" s="797"/>
      <c r="DG30" s="796"/>
      <c r="DH30" s="796"/>
      <c r="DI30" s="796"/>
      <c r="DJ30" s="796"/>
      <c r="DK30" s="796"/>
      <c r="DL30" s="796"/>
      <c r="DM30" s="796"/>
      <c r="DN30" s="796"/>
      <c r="DO30" s="798"/>
      <c r="DP30" s="704"/>
    </row>
    <row r="31" spans="1:135" hidden="1" outlineLevel="1">
      <c r="A31" s="800" t="s">
        <v>648</v>
      </c>
      <c r="B31" s="795"/>
      <c r="C31" s="795"/>
      <c r="D31" s="795"/>
      <c r="E31" s="795"/>
      <c r="F31" s="795"/>
      <c r="G31" s="795"/>
      <c r="H31" s="795"/>
      <c r="I31" s="795"/>
      <c r="J31" s="795"/>
      <c r="K31" s="795"/>
      <c r="L31" s="795"/>
      <c r="M31" s="795"/>
      <c r="N31" s="795"/>
      <c r="O31" s="795"/>
      <c r="P31" s="795"/>
      <c r="Q31" s="795"/>
      <c r="R31" s="795"/>
      <c r="S31" s="795"/>
      <c r="T31" s="795"/>
      <c r="U31" s="795"/>
      <c r="V31" s="795"/>
      <c r="W31" s="795"/>
      <c r="X31" s="795"/>
      <c r="Y31" s="795"/>
      <c r="Z31" s="795"/>
      <c r="AA31" s="795"/>
      <c r="AB31" s="795"/>
      <c r="AC31" s="795"/>
      <c r="AD31" s="795"/>
      <c r="AE31" s="795"/>
      <c r="AF31" s="795"/>
      <c r="AG31" s="795"/>
      <c r="AH31" s="795"/>
      <c r="AI31" s="795"/>
      <c r="AJ31" s="795"/>
      <c r="AK31" s="795"/>
      <c r="AL31" s="795"/>
      <c r="AM31" s="795"/>
      <c r="AN31" s="795"/>
      <c r="AO31" s="795"/>
      <c r="AP31" s="795"/>
      <c r="AQ31" s="795"/>
      <c r="AR31" s="795"/>
      <c r="AS31" s="795"/>
      <c r="AT31" s="795"/>
      <c r="AU31" s="795"/>
      <c r="AV31" s="795"/>
      <c r="AW31" s="795"/>
      <c r="AX31" s="795"/>
      <c r="AY31" s="795"/>
      <c r="AZ31" s="795"/>
      <c r="BA31" s="795"/>
      <c r="BB31" s="795"/>
      <c r="BC31" s="795"/>
      <c r="BD31" s="795"/>
      <c r="BE31" s="795"/>
      <c r="BF31" s="795"/>
      <c r="BG31" s="795"/>
      <c r="BH31" s="795"/>
      <c r="BI31" s="795"/>
      <c r="BJ31" s="795"/>
      <c r="BK31" s="795"/>
      <c r="BL31" s="795"/>
      <c r="BM31" s="795"/>
      <c r="BN31" s="795"/>
      <c r="BO31" s="795"/>
      <c r="BP31" s="795"/>
      <c r="BQ31" s="795"/>
      <c r="BR31" s="795"/>
      <c r="BS31" s="795"/>
      <c r="BT31" s="795"/>
      <c r="BU31" s="795"/>
      <c r="BV31" s="795"/>
      <c r="BW31" s="795"/>
      <c r="BX31" s="795"/>
      <c r="BY31" s="795"/>
      <c r="BZ31" s="795"/>
      <c r="CA31" s="795"/>
      <c r="CB31" s="795"/>
      <c r="CC31" s="796"/>
      <c r="CD31" s="795"/>
      <c r="CE31" s="795"/>
      <c r="CF31" s="795"/>
      <c r="CG31" s="795"/>
      <c r="CH31" s="795"/>
      <c r="CI31" s="795"/>
      <c r="CJ31" s="795"/>
      <c r="CK31" s="795"/>
      <c r="CL31" s="795"/>
      <c r="CM31" s="798"/>
      <c r="CN31" s="795"/>
      <c r="CO31" s="796"/>
      <c r="CP31" s="796"/>
      <c r="CQ31" s="796"/>
      <c r="CR31" s="796"/>
      <c r="CS31" s="796"/>
      <c r="CT31" s="797"/>
      <c r="CU31" s="797"/>
      <c r="CV31" s="797"/>
      <c r="CW31" s="797"/>
      <c r="CX31" s="797"/>
      <c r="CY31" s="797"/>
      <c r="CZ31" s="796"/>
      <c r="DA31" s="797"/>
      <c r="DB31" s="798"/>
      <c r="DC31" s="797"/>
      <c r="DD31" s="796"/>
      <c r="DE31" s="796"/>
      <c r="DF31" s="797"/>
      <c r="DG31" s="796"/>
      <c r="DH31" s="796"/>
      <c r="DI31" s="796"/>
      <c r="DJ31" s="796"/>
      <c r="DK31" s="796"/>
      <c r="DL31" s="796"/>
      <c r="DM31" s="796"/>
      <c r="DN31" s="796"/>
      <c r="DO31" s="798"/>
      <c r="DP31" s="704"/>
    </row>
    <row r="32" spans="1:135" hidden="1" outlineLevel="1">
      <c r="A32" s="801" t="s">
        <v>649</v>
      </c>
      <c r="B32" s="795"/>
      <c r="C32" s="795"/>
      <c r="D32" s="795">
        <f>C35</f>
        <v>138.024</v>
      </c>
      <c r="E32" s="795">
        <f>D35</f>
        <v>138.10400000000001</v>
      </c>
      <c r="F32" s="795">
        <f>E35</f>
        <v>138.11199999999999</v>
      </c>
      <c r="G32" s="795"/>
      <c r="H32" s="795">
        <f>F35</f>
        <v>138.82400000000001</v>
      </c>
      <c r="I32" s="795">
        <f>H35</f>
        <v>138.024</v>
      </c>
      <c r="J32" s="795">
        <f>I35</f>
        <v>138.024</v>
      </c>
      <c r="K32" s="795">
        <f>J35</f>
        <v>138.024</v>
      </c>
      <c r="L32" s="795"/>
      <c r="M32" s="795">
        <f>K35</f>
        <v>138.024</v>
      </c>
      <c r="N32" s="795">
        <f>M35</f>
        <v>155.66399999999999</v>
      </c>
      <c r="O32" s="795">
        <f>N35</f>
        <v>157.4846</v>
      </c>
      <c r="P32" s="795">
        <f>O35</f>
        <v>158</v>
      </c>
      <c r="Q32" s="795"/>
      <c r="R32" s="795">
        <f>P35</f>
        <v>159.55199999999999</v>
      </c>
      <c r="S32" s="795">
        <f>R35</f>
        <v>160.77600000000001</v>
      </c>
      <c r="T32" s="795">
        <f>S35</f>
        <v>161.791484</v>
      </c>
      <c r="U32" s="795">
        <f>T35</f>
        <v>162.66028800000001</v>
      </c>
      <c r="V32" s="795"/>
      <c r="W32" s="795">
        <f>U35</f>
        <v>163.65147200000001</v>
      </c>
      <c r="X32" s="795">
        <f>W35</f>
        <v>163.35645400000001</v>
      </c>
      <c r="Y32" s="795">
        <f>X35</f>
        <v>163.61199999999999</v>
      </c>
      <c r="Z32" s="795">
        <f>Y35</f>
        <v>164.69627700000001</v>
      </c>
      <c r="AA32" s="795"/>
      <c r="AB32" s="795">
        <f>Z35</f>
        <v>165.00671700000001</v>
      </c>
      <c r="AC32" s="795">
        <f>AB35</f>
        <v>165.25818200000001</v>
      </c>
      <c r="AD32" s="795">
        <f>AC35</f>
        <v>165.32981699999999</v>
      </c>
      <c r="AE32" s="795">
        <f>AD35</f>
        <v>164.689887</v>
      </c>
      <c r="AF32" s="795"/>
      <c r="AG32" s="795">
        <f>AE35</f>
        <v>165.084463</v>
      </c>
      <c r="AH32" s="795">
        <f>AG35</f>
        <v>165.68393499999999</v>
      </c>
      <c r="AI32" s="795">
        <f>AH35</f>
        <v>165.815865</v>
      </c>
      <c r="AJ32" s="795">
        <f>AI35</f>
        <v>166.01801499999999</v>
      </c>
      <c r="AK32" s="795"/>
      <c r="AL32" s="795">
        <f>AE35</f>
        <v>165.084463</v>
      </c>
      <c r="AM32" s="795">
        <f>AL35</f>
        <v>167.10261399999999</v>
      </c>
      <c r="AN32" s="795">
        <f>AM35</f>
        <v>167.30113800000001</v>
      </c>
      <c r="AO32" s="795">
        <f>AN35</f>
        <v>167.70948799999999</v>
      </c>
      <c r="AP32" s="795"/>
      <c r="AQ32" s="795">
        <f>AO35</f>
        <v>167.72968800000001</v>
      </c>
      <c r="AR32" s="795">
        <f>AQ35</f>
        <v>168.14848799999999</v>
      </c>
      <c r="AS32" s="795">
        <f>AR35</f>
        <v>168.308888</v>
      </c>
      <c r="AT32" s="795">
        <f>AS35</f>
        <v>168.499638</v>
      </c>
      <c r="AU32" s="795"/>
      <c r="AV32" s="795">
        <f>AT35</f>
        <v>168.888271</v>
      </c>
      <c r="AW32" s="795">
        <f>AV35</f>
        <v>169.152038</v>
      </c>
      <c r="AX32" s="795">
        <f>AW35</f>
        <v>165.08242799999999</v>
      </c>
      <c r="AY32" s="795">
        <f>AX35</f>
        <v>164.04383799999999</v>
      </c>
      <c r="AZ32" s="795"/>
      <c r="BA32" s="795">
        <f>AY35</f>
        <v>162.255448</v>
      </c>
      <c r="BB32" s="795">
        <f>BA35</f>
        <v>159.69047499999999</v>
      </c>
      <c r="BC32" s="795">
        <f>BB35</f>
        <v>153.91866099999999</v>
      </c>
      <c r="BD32" s="795">
        <f>BC35</f>
        <v>144.20166399999999</v>
      </c>
      <c r="BE32" s="795"/>
      <c r="BF32" s="795">
        <f>BD35</f>
        <v>144.706907</v>
      </c>
      <c r="BG32" s="795">
        <f>BF35</f>
        <v>144.80920699999999</v>
      </c>
      <c r="BH32" s="795">
        <f>BG35</f>
        <v>145.53100699999999</v>
      </c>
      <c r="BI32" s="795">
        <f>BH35</f>
        <v>145.91056699999999</v>
      </c>
      <c r="BJ32" s="795"/>
      <c r="BK32" s="795">
        <f>BI35</f>
        <v>146.22846699999999</v>
      </c>
      <c r="BL32" s="795">
        <f>BK35</f>
        <v>146.934867</v>
      </c>
      <c r="BM32" s="795">
        <f>BL35</f>
        <v>147.37186399999999</v>
      </c>
      <c r="BN32" s="795">
        <f>BM35</f>
        <v>147.309575</v>
      </c>
      <c r="BO32" s="795"/>
      <c r="BP32" s="795">
        <f>BN35</f>
        <v>144.56095300000001</v>
      </c>
      <c r="BQ32" s="795">
        <f>BP35</f>
        <v>137.751372</v>
      </c>
      <c r="BR32" s="795">
        <f>BQ35</f>
        <v>134.33607000000001</v>
      </c>
      <c r="BS32" s="795">
        <f>BR35</f>
        <v>131.643598</v>
      </c>
      <c r="BT32" s="795"/>
      <c r="BU32" s="795">
        <f>BS35</f>
        <v>130.44359800000001</v>
      </c>
      <c r="BV32" s="795">
        <f>BU35</f>
        <v>133</v>
      </c>
      <c r="BW32" s="795">
        <f>BV35</f>
        <v>126.3</v>
      </c>
      <c r="BX32" s="795">
        <f>BW35</f>
        <v>123.5</v>
      </c>
      <c r="BY32" s="795"/>
      <c r="BZ32" s="795">
        <f>DA35</f>
        <v>167.72968800000001</v>
      </c>
      <c r="CA32" s="795">
        <f>BZ35</f>
        <v>0</v>
      </c>
      <c r="CB32" s="795">
        <f>CA35</f>
        <v>0</v>
      </c>
      <c r="CC32" s="796">
        <f>CB35</f>
        <v>0</v>
      </c>
      <c r="CD32" s="795"/>
      <c r="CE32" s="795">
        <f>DF35</f>
        <v>144.56095300000001</v>
      </c>
      <c r="CF32" s="795">
        <f>CE35</f>
        <v>0</v>
      </c>
      <c r="CG32" s="795">
        <f>CF35</f>
        <v>0</v>
      </c>
      <c r="CH32" s="795">
        <f>CG35</f>
        <v>0</v>
      </c>
      <c r="CI32" s="795"/>
      <c r="CJ32" s="795">
        <f>DK35</f>
        <v>0</v>
      </c>
      <c r="CK32" s="795">
        <f>CJ35</f>
        <v>0</v>
      </c>
      <c r="CL32" s="795">
        <f>CK35</f>
        <v>0</v>
      </c>
      <c r="CM32" s="798">
        <f>CL35</f>
        <v>0</v>
      </c>
      <c r="CN32" s="795"/>
      <c r="CO32" s="796"/>
      <c r="CP32" s="796"/>
      <c r="CQ32" s="796"/>
      <c r="CR32" s="796"/>
      <c r="CS32" s="796"/>
      <c r="CT32" s="796">
        <f>'qtrP&amp;L'!AB123</f>
        <v>138.024</v>
      </c>
      <c r="CU32" s="796">
        <f>'qtrP&amp;L'!AE186</f>
        <v>0</v>
      </c>
      <c r="CV32" s="796">
        <f>'qtrP&amp;L'!AN186</f>
        <v>155.05600000000001</v>
      </c>
      <c r="CW32" s="796">
        <f>'qtrP&amp;L'!AU186</f>
        <v>159.55199999999999</v>
      </c>
      <c r="CX32" s="796">
        <f>'qtrP&amp;L'!AY186</f>
        <v>163.65147200000001</v>
      </c>
      <c r="CY32" s="796">
        <f>'qtrP&amp;L'!BC186</f>
        <v>165.00671700000001</v>
      </c>
      <c r="CZ32" s="796">
        <f>'qtrP&amp;L'!BG186</f>
        <v>165.084463</v>
      </c>
      <c r="DA32" s="797">
        <f>'qtrP&amp;L'!BK186</f>
        <v>166.56671399999999</v>
      </c>
      <c r="DB32" s="798">
        <f>'qtrP&amp;L'!BO186</f>
        <v>167.72968800000001</v>
      </c>
      <c r="DC32" s="797">
        <f>'qtrP&amp;L'!BS186</f>
        <v>168.888271</v>
      </c>
      <c r="DD32" s="796">
        <f>'qtrP&amp;L'!BW186</f>
        <v>162.255448</v>
      </c>
      <c r="DE32" s="796">
        <f>'qtrP&amp;L'!CA186</f>
        <v>144.706907</v>
      </c>
      <c r="DF32" s="797">
        <f>'qtrP&amp;L'!CE186</f>
        <v>146.22846699999999</v>
      </c>
      <c r="DG32" s="796">
        <f>'qtrP&amp;L'!CI186</f>
        <v>144.56095300000001</v>
      </c>
      <c r="DH32" s="796">
        <f>'qtrP&amp;L'!CM186</f>
        <v>130.44359800000001</v>
      </c>
      <c r="DI32" s="796"/>
      <c r="DJ32" s="796"/>
      <c r="DK32" s="796"/>
      <c r="DL32" s="796"/>
      <c r="DM32" s="796"/>
      <c r="DN32" s="796"/>
      <c r="DO32" s="798"/>
      <c r="DP32" s="704"/>
    </row>
    <row r="33" spans="1:120" hidden="1" outlineLevel="1">
      <c r="A33" s="801" t="s">
        <v>650</v>
      </c>
      <c r="B33" s="795"/>
      <c r="C33" s="795"/>
      <c r="D33" s="795" t="str">
        <f>IFERROR(D43, "NM")</f>
        <v>NM</v>
      </c>
      <c r="E33" s="795" t="str">
        <f>IFERROR(E43, "NM")</f>
        <v>NM</v>
      </c>
      <c r="F33" s="795" t="str">
        <f>IFERROR(F43, "NM")</f>
        <v>NM</v>
      </c>
      <c r="G33" s="795"/>
      <c r="H33" s="795">
        <f>IFERROR(H43, "NM")</f>
        <v>-0.1056095736724009</v>
      </c>
      <c r="I33" s="795" t="str">
        <f>IFERROR(I43, "NM")</f>
        <v>NM</v>
      </c>
      <c r="J33" s="795" t="str">
        <f>IFERROR(J43, "NM")</f>
        <v>NM</v>
      </c>
      <c r="K33" s="795" t="str">
        <f>IFERROR(K43, "NM")</f>
        <v>NM</v>
      </c>
      <c r="L33" s="795"/>
      <c r="M33" s="795">
        <f>IFERROR(M43, "NM")</f>
        <v>0</v>
      </c>
      <c r="N33" s="795">
        <f>IFERROR(N43, "NM")</f>
        <v>0</v>
      </c>
      <c r="O33" s="795">
        <f>IFERROR(O43, "NM")</f>
        <v>0</v>
      </c>
      <c r="P33" s="795">
        <f>IFERROR(P43, "NM")</f>
        <v>0</v>
      </c>
      <c r="Q33" s="795"/>
      <c r="R33" s="795">
        <f>IFERROR(R43, "NM")</f>
        <v>0</v>
      </c>
      <c r="S33" s="795">
        <f>IFERROR(S43, "NM")</f>
        <v>0</v>
      </c>
      <c r="T33" s="795">
        <f>IFERROR(T43, "NM")</f>
        <v>0</v>
      </c>
      <c r="U33" s="795">
        <f>IFERROR(U43, "NM")</f>
        <v>0</v>
      </c>
      <c r="V33" s="795"/>
      <c r="W33" s="795">
        <f>IFERROR(W43, "NM")</f>
        <v>0</v>
      </c>
      <c r="X33" s="795">
        <f>IFERROR(X43, "NM")</f>
        <v>0</v>
      </c>
      <c r="Y33" s="795">
        <f>IFERROR(Y43, "NM")</f>
        <v>0</v>
      </c>
      <c r="Z33" s="795">
        <f>IFERROR(Z43, "NM")</f>
        <v>0</v>
      </c>
      <c r="AA33" s="795"/>
      <c r="AB33" s="795">
        <f>IFERROR(AB43, "NM")</f>
        <v>0</v>
      </c>
      <c r="AC33" s="795">
        <f>IFERROR(AC43, "NM")</f>
        <v>-0.17003484320557491</v>
      </c>
      <c r="AD33" s="795">
        <f>IFERROR(AD43, "NM")</f>
        <v>-1.0488849765258215</v>
      </c>
      <c r="AE33" s="795">
        <f>IFERROR(AE43, "NM")</f>
        <v>-3.8802027946707089E-17</v>
      </c>
      <c r="AF33" s="795"/>
      <c r="AG33" s="795">
        <f>IFERROR(AG43, "NM")</f>
        <v>0</v>
      </c>
      <c r="AH33" s="795">
        <f>IFERROR(AH43, "NM")</f>
        <v>0</v>
      </c>
      <c r="AI33" s="795">
        <f>IFERROR(AI43, "NM")</f>
        <v>0</v>
      </c>
      <c r="AJ33" s="795">
        <f>IFERROR(AE43, "NM")</f>
        <v>-3.8802027946707089E-17</v>
      </c>
      <c r="AK33" s="795"/>
      <c r="AL33" s="795">
        <f>IFERROR(AL43, "NM")</f>
        <v>0</v>
      </c>
      <c r="AM33" s="795">
        <f>IFERROR(AM43, "NM")</f>
        <v>0</v>
      </c>
      <c r="AN33" s="795">
        <f>IFERROR(AN43, "NM")</f>
        <v>0</v>
      </c>
      <c r="AO33" s="795">
        <f>IFERROR(AO43, "NM")</f>
        <v>0</v>
      </c>
      <c r="AP33" s="795"/>
      <c r="AQ33" s="795">
        <f>IFERROR(AQ43, "NM")</f>
        <v>0</v>
      </c>
      <c r="AR33" s="795">
        <f>IFERROR(AR43, "NM")</f>
        <v>0</v>
      </c>
      <c r="AS33" s="795">
        <f>IFERROR(AS43, "NM")</f>
        <v>0</v>
      </c>
      <c r="AT33" s="795">
        <f>IFERROR(AT43, "NM")</f>
        <v>0</v>
      </c>
      <c r="AU33" s="795"/>
      <c r="AV33" s="795">
        <f>IFERROR(AV43, "NM")</f>
        <v>0</v>
      </c>
      <c r="AW33" s="795">
        <f>IFERROR(AW43, "NM")</f>
        <v>-2.133609958506224</v>
      </c>
      <c r="AX33" s="795">
        <f>IFERROR(AX43, "NM")</f>
        <v>-4.2735028976175151</v>
      </c>
      <c r="AY33" s="795">
        <f>IFERROR(AY43, "NM")</f>
        <v>1.5664160401077299E-4</v>
      </c>
      <c r="AZ33" s="795"/>
      <c r="BA33" s="795">
        <f>IFERROR(BA43, "NM")</f>
        <v>-4.8255111976630971</v>
      </c>
      <c r="BB33" s="795">
        <f>IFERROR(BB43, "NM")</f>
        <v>-2.3407162726008339</v>
      </c>
      <c r="BC33" s="795">
        <f>IFERROR(BC43, "NM")</f>
        <v>-13.324431583298887</v>
      </c>
      <c r="BD33" s="795">
        <f>IFERROR(BD43, "NM")</f>
        <v>-0.27282070803197028</v>
      </c>
      <c r="BE33" s="795"/>
      <c r="BF33" s="795">
        <f>IFERROR(BF43, "NM")</f>
        <v>0</v>
      </c>
      <c r="BG33" s="795">
        <f>IFERROR(BG43, "NM")</f>
        <v>0</v>
      </c>
      <c r="BH33" s="795">
        <f>IFERROR(BH43, "NM")</f>
        <v>0</v>
      </c>
      <c r="BI33" s="795">
        <f>IFERROR(BI43, "NM")</f>
        <v>0</v>
      </c>
      <c r="BJ33" s="795"/>
      <c r="BK33" s="795">
        <f>IFERROR(BK43, "NM")</f>
        <v>0</v>
      </c>
      <c r="BL33" s="795">
        <f>IFERROR(BL43, "NM")</f>
        <v>0</v>
      </c>
      <c r="BM33" s="795">
        <f>IFERROR(BM43, "NM")</f>
        <v>-0.30030890199382199</v>
      </c>
      <c r="BN33" s="795">
        <f>IFERROR(BN43, "NM")</f>
        <v>-2.7480076944200212E-5</v>
      </c>
      <c r="BO33" s="795"/>
      <c r="BP33" s="795">
        <f>IFERROR(BP43, "NM")</f>
        <v>-9.6984628053801814</v>
      </c>
      <c r="BQ33" s="795">
        <f>IFERROR(BQ43, "NM")</f>
        <v>-3.7360797144556823</v>
      </c>
      <c r="BR33" s="795">
        <f>IFERROR(BR43, "NM")</f>
        <v>-0.18663232104121424</v>
      </c>
      <c r="BS33" s="795">
        <f>IFERROR(BS43, "NM")</f>
        <v>-1.0526315789473684</v>
      </c>
      <c r="BT33" s="795"/>
      <c r="BU33" s="795">
        <f>IFERROR(BU43, "NM")</f>
        <v>0</v>
      </c>
      <c r="BV33" s="795">
        <f>IFERROR(BV43, "NM")</f>
        <v>0</v>
      </c>
      <c r="BW33" s="795">
        <f>IFERROR(BW43, "NM")</f>
        <v>0</v>
      </c>
      <c r="BX33" s="795">
        <f>IFERROR(BX43, "NM")</f>
        <v>0</v>
      </c>
      <c r="BY33" s="795"/>
      <c r="BZ33" s="795" t="str">
        <f>IFERROR(BZ43, "NM")</f>
        <v>NM</v>
      </c>
      <c r="CA33" s="795" t="str">
        <f>IFERROR(CA43, "NM")</f>
        <v>NM</v>
      </c>
      <c r="CB33" s="795" t="str">
        <f>IFERROR(CB43, "NM")</f>
        <v>NM</v>
      </c>
      <c r="CC33" s="796" t="str">
        <f>IFERROR(CC43, "NM")</f>
        <v>NM</v>
      </c>
      <c r="CD33" s="795"/>
      <c r="CE33" s="795" t="str">
        <f>IFERROR(CE43, "NM")</f>
        <v>NM</v>
      </c>
      <c r="CF33" s="795" t="str">
        <f>IFERROR(CF43, "NM")</f>
        <v>NM</v>
      </c>
      <c r="CG33" s="795" t="str">
        <f>IFERROR(CG43, "NM")</f>
        <v>NM</v>
      </c>
      <c r="CH33" s="795" t="str">
        <f>IFERROR(CH43, "NM")</f>
        <v>NM</v>
      </c>
      <c r="CI33" s="795"/>
      <c r="CJ33" s="795" t="str">
        <f>IFERROR(CJ43, "NM")</f>
        <v>NM</v>
      </c>
      <c r="CK33" s="795" t="str">
        <f>IFERROR(CK43, "NM")</f>
        <v>NM</v>
      </c>
      <c r="CL33" s="795" t="str">
        <f>IFERROR(CL43, "NM")</f>
        <v>NM</v>
      </c>
      <c r="CM33" s="798" t="str">
        <f>IFERROR(CM43, "NM")</f>
        <v>NM</v>
      </c>
      <c r="CN33" s="795"/>
      <c r="CO33" s="796"/>
      <c r="CP33" s="796"/>
      <c r="CQ33" s="796"/>
      <c r="CR33" s="796"/>
      <c r="CS33" s="796"/>
      <c r="CT33" s="796">
        <f t="shared" ref="CT33:DH33" si="18">IFERROR(CT43, "NM")</f>
        <v>0</v>
      </c>
      <c r="CU33" s="796">
        <f t="shared" si="18"/>
        <v>0</v>
      </c>
      <c r="CV33" s="796">
        <f t="shared" si="18"/>
        <v>0</v>
      </c>
      <c r="CW33" s="796">
        <f t="shared" si="18"/>
        <v>0</v>
      </c>
      <c r="CX33" s="796">
        <f t="shared" si="18"/>
        <v>0</v>
      </c>
      <c r="CY33" s="796">
        <f t="shared" si="18"/>
        <v>-1.2189198197313964</v>
      </c>
      <c r="CZ33" s="796">
        <f t="shared" si="18"/>
        <v>0</v>
      </c>
      <c r="DA33" s="797">
        <f t="shared" si="18"/>
        <v>0</v>
      </c>
      <c r="DB33" s="798">
        <f t="shared" si="18"/>
        <v>0</v>
      </c>
      <c r="DC33" s="797">
        <f t="shared" si="18"/>
        <v>-6.4069562145197283</v>
      </c>
      <c r="DD33" s="796">
        <f t="shared" si="18"/>
        <v>-20.763479761594791</v>
      </c>
      <c r="DE33" s="796">
        <f t="shared" si="18"/>
        <v>0</v>
      </c>
      <c r="DF33" s="797">
        <f t="shared" si="18"/>
        <v>-0.30033638207076618</v>
      </c>
      <c r="DG33" s="796">
        <f t="shared" si="18"/>
        <v>-14.673806419824446</v>
      </c>
      <c r="DH33" s="796">
        <f t="shared" si="18"/>
        <v>0</v>
      </c>
      <c r="DI33" s="796"/>
      <c r="DJ33" s="796"/>
      <c r="DK33" s="796"/>
      <c r="DL33" s="796"/>
      <c r="DM33" s="796"/>
      <c r="DN33" s="796"/>
      <c r="DO33" s="798"/>
      <c r="DP33" s="704"/>
    </row>
    <row r="34" spans="1:120" hidden="1" outlineLevel="1">
      <c r="A34" s="801" t="s">
        <v>651</v>
      </c>
      <c r="B34" s="795"/>
      <c r="C34" s="802"/>
      <c r="D34" s="802" t="str">
        <f>IFERROR(D35-D32-D33,"NM")</f>
        <v>NM</v>
      </c>
      <c r="E34" s="802" t="str">
        <f>IFERROR(E35-E32-E33,"NM")</f>
        <v>NM</v>
      </c>
      <c r="F34" s="802" t="str">
        <f>IFERROR(F35-F32-F33,"NM")</f>
        <v>NM</v>
      </c>
      <c r="G34" s="795"/>
      <c r="H34" s="802">
        <f>H35-H32-H33</f>
        <v>-0.6943904263276105</v>
      </c>
      <c r="I34" s="802" t="e">
        <f>I35-I32-I33</f>
        <v>#VALUE!</v>
      </c>
      <c r="J34" s="802" t="e">
        <f>J35-J32-J33</f>
        <v>#VALUE!</v>
      </c>
      <c r="K34" s="802" t="e">
        <f>K35-K32-K33</f>
        <v>#VALUE!</v>
      </c>
      <c r="L34" s="795"/>
      <c r="M34" s="802">
        <f>M35-M32-M33</f>
        <v>17.639999999999986</v>
      </c>
      <c r="N34" s="802">
        <f>N35-N32-N33</f>
        <v>1.8206000000000131</v>
      </c>
      <c r="O34" s="802">
        <f>O35-O32-O33</f>
        <v>0.51539999999999964</v>
      </c>
      <c r="P34" s="802">
        <f>P35-P32-P33</f>
        <v>1.5519999999999925</v>
      </c>
      <c r="Q34" s="795"/>
      <c r="R34" s="802">
        <f>R35-R32-R33</f>
        <v>1.224000000000018</v>
      </c>
      <c r="S34" s="802">
        <f>S35-S32-S33</f>
        <v>1.0154839999999865</v>
      </c>
      <c r="T34" s="802">
        <f>T35-T32-T33</f>
        <v>0.86880400000001146</v>
      </c>
      <c r="U34" s="802">
        <f>U35-U32-U33</f>
        <v>0.99118400000000406</v>
      </c>
      <c r="V34" s="795"/>
      <c r="W34" s="802">
        <f>W35-W32-W33</f>
        <v>-0.29501799999999889</v>
      </c>
      <c r="X34" s="802">
        <f>X35-X32-X33</f>
        <v>0.25554599999998118</v>
      </c>
      <c r="Y34" s="802">
        <f>Y35-Y32-Y33</f>
        <v>1.0842770000000144</v>
      </c>
      <c r="Z34" s="802">
        <f>Z35-Z32-Z33</f>
        <v>0.31043999999999983</v>
      </c>
      <c r="AA34" s="795"/>
      <c r="AB34" s="802">
        <f>AB35-AB32-AB33</f>
        <v>0.25146499999999605</v>
      </c>
      <c r="AC34" s="802">
        <f>AC35-AC32-AC33</f>
        <v>0.24166984320556126</v>
      </c>
      <c r="AD34" s="802">
        <f>AD35-AD32-AD33</f>
        <v>0.40895497652582891</v>
      </c>
      <c r="AE34" s="802">
        <f>AE35-AE32-AE33</f>
        <v>0.39457600000000076</v>
      </c>
      <c r="AF34" s="795"/>
      <c r="AG34" s="802">
        <f>AG35-AG32-AG33</f>
        <v>0.59947199999999157</v>
      </c>
      <c r="AH34" s="802">
        <f>AH35-AH32-AH33</f>
        <v>0.1319300000000112</v>
      </c>
      <c r="AI34" s="802">
        <f>AI35-AI32-AI33</f>
        <v>0.20214999999998895</v>
      </c>
      <c r="AJ34" s="802">
        <f>AE35-AE32-AE33</f>
        <v>0.39457600000000076</v>
      </c>
      <c r="AK34" s="795"/>
      <c r="AL34" s="802">
        <f>AL35-AL32-AL33</f>
        <v>2.0181509999999889</v>
      </c>
      <c r="AM34" s="802">
        <f>AM35-AM32-AM33</f>
        <v>0.19852400000002035</v>
      </c>
      <c r="AN34" s="802">
        <f>AN35-AN32-AN33</f>
        <v>0.40834999999998445</v>
      </c>
      <c r="AO34" s="802">
        <f>AO35-AO32-AO33</f>
        <v>2.0200000000016871E-2</v>
      </c>
      <c r="AP34" s="795"/>
      <c r="AQ34" s="802">
        <f>AQ35-AQ32-AQ33</f>
        <v>0.41879999999997608</v>
      </c>
      <c r="AR34" s="802">
        <f>AR35-AR32-AR33</f>
        <v>0.16040000000000987</v>
      </c>
      <c r="AS34" s="802">
        <f>AS35-AS32-AS33</f>
        <v>0.19075000000000841</v>
      </c>
      <c r="AT34" s="802">
        <f>AT35-AT32-AT33</f>
        <v>0.38863299999999867</v>
      </c>
      <c r="AU34" s="795"/>
      <c r="AV34" s="802">
        <f>AV35-AV32-AV33</f>
        <v>0.26376700000000142</v>
      </c>
      <c r="AW34" s="802">
        <f>AW35-AW32-AW33</f>
        <v>-1.9360000414937875</v>
      </c>
      <c r="AX34" s="802">
        <f>AX35-AX32-AX33</f>
        <v>3.2349128976175159</v>
      </c>
      <c r="AY34" s="802">
        <f>AY35-AY32-AY33</f>
        <v>-1.7885466416040035</v>
      </c>
      <c r="AZ34" s="795"/>
      <c r="BA34" s="802">
        <f>BA35-BA32-BA33</f>
        <v>2.2605381976630881</v>
      </c>
      <c r="BB34" s="802">
        <f>BB35-BB32-BB33</f>
        <v>-3.4310977273991723</v>
      </c>
      <c r="BC34" s="802">
        <f>BC35-BC32-BC33</f>
        <v>3.607434583298895</v>
      </c>
      <c r="BD34" s="802">
        <f>BD35-BD32-BD33</f>
        <v>0.77806370803197744</v>
      </c>
      <c r="BE34" s="795"/>
      <c r="BF34" s="802">
        <f>BF35-BF32-BF33</f>
        <v>0.1022999999999854</v>
      </c>
      <c r="BG34" s="802">
        <f>BG35-BG32-BG33</f>
        <v>0.72180000000000177</v>
      </c>
      <c r="BH34" s="802">
        <f>BH35-BH32-BH33</f>
        <v>0.3795599999999979</v>
      </c>
      <c r="BI34" s="802">
        <f>BI35-BI32-BI33</f>
        <v>0.31790000000000873</v>
      </c>
      <c r="BJ34" s="795"/>
      <c r="BK34" s="802">
        <f>BK35-BK32-BK33</f>
        <v>0.70640000000000214</v>
      </c>
      <c r="BL34" s="802">
        <f>BL35-BL32-BL33</f>
        <v>0.43699699999999098</v>
      </c>
      <c r="BM34" s="802">
        <f>BM35-BM32-BM33</f>
        <v>0.23801990199382927</v>
      </c>
      <c r="BN34" s="802">
        <f>BN35-BN32-BN33</f>
        <v>-2.748594519923039</v>
      </c>
      <c r="BO34" s="795"/>
      <c r="BP34" s="802">
        <f>BP35-BP32-BP33</f>
        <v>2.8888818053801728</v>
      </c>
      <c r="BQ34" s="802">
        <f>BQ35-BQ32-BQ33</f>
        <v>0.32077771445568537</v>
      </c>
      <c r="BR34" s="802">
        <f>BR35-BR32-BR33</f>
        <v>-2.5058396789587949</v>
      </c>
      <c r="BS34" s="802">
        <f>BS35-BS32-BS33</f>
        <v>-0.14736842105262027</v>
      </c>
      <c r="BT34" s="795"/>
      <c r="BU34" s="802">
        <f>BU35-BU32-BU33</f>
        <v>2.5564019999999914</v>
      </c>
      <c r="BV34" s="802">
        <f>BV35-BV32-BV33</f>
        <v>-6.7000000000000028</v>
      </c>
      <c r="BW34" s="802">
        <f>BW35-BW32-BW33</f>
        <v>-2.7999999999999972</v>
      </c>
      <c r="BX34" s="802">
        <f>BX35-BX32-BX33</f>
        <v>-5.7000000000000028</v>
      </c>
      <c r="BY34" s="795"/>
      <c r="BZ34" s="802" t="e">
        <f>BZ35-BZ32-BZ33</f>
        <v>#VALUE!</v>
      </c>
      <c r="CA34" s="802" t="e">
        <f>CA35-CA32-CA33</f>
        <v>#VALUE!</v>
      </c>
      <c r="CB34" s="802" t="e">
        <f>CB35-CB32-CB33</f>
        <v>#VALUE!</v>
      </c>
      <c r="CC34" s="802" t="e">
        <f>CC35-CC32-CC33</f>
        <v>#VALUE!</v>
      </c>
      <c r="CD34" s="795"/>
      <c r="CE34" s="802" t="e">
        <f>CE35-CE32-CE33</f>
        <v>#VALUE!</v>
      </c>
      <c r="CF34" s="802" t="e">
        <f>CF35-CF32-CF33</f>
        <v>#VALUE!</v>
      </c>
      <c r="CG34" s="802" t="e">
        <f>CG35-CG32-CG33</f>
        <v>#VALUE!</v>
      </c>
      <c r="CH34" s="802" t="e">
        <f>CH35-CH32-CH33</f>
        <v>#VALUE!</v>
      </c>
      <c r="CI34" s="795"/>
      <c r="CJ34" s="802" t="e">
        <f>CJ35-CJ32-CJ33</f>
        <v>#VALUE!</v>
      </c>
      <c r="CK34" s="802" t="e">
        <f>CK35-CK32-CK33</f>
        <v>#VALUE!</v>
      </c>
      <c r="CL34" s="802" t="e">
        <f>CL35-CL32-CL33</f>
        <v>#VALUE!</v>
      </c>
      <c r="CM34" s="1610" t="e">
        <f>CM35-CM32-CM33</f>
        <v>#VALUE!</v>
      </c>
      <c r="CN34" s="795"/>
      <c r="CO34" s="796"/>
      <c r="CP34" s="796"/>
      <c r="CQ34" s="796"/>
      <c r="CR34" s="796"/>
      <c r="CS34" s="796"/>
      <c r="CT34" s="796">
        <f>CT35-CT32-CT33</f>
        <v>0.80000000000001137</v>
      </c>
      <c r="CU34" s="796">
        <f>CU35-CU32-CU33</f>
        <v>0</v>
      </c>
      <c r="CV34" s="796">
        <f t="shared" ref="CV34:DH34" si="19">CV35-CV32-CV33</f>
        <v>4.4959999999999809</v>
      </c>
      <c r="CW34" s="796">
        <f t="shared" si="19"/>
        <v>4.09947200000002</v>
      </c>
      <c r="CX34" s="796">
        <f t="shared" si="19"/>
        <v>1.3552449999999965</v>
      </c>
      <c r="CY34" s="802">
        <f t="shared" si="19"/>
        <v>1.2966658197313869</v>
      </c>
      <c r="CZ34" s="802">
        <f t="shared" si="19"/>
        <v>1.4822509999999909</v>
      </c>
      <c r="DA34" s="803">
        <f t="shared" si="19"/>
        <v>1.1629740000000197</v>
      </c>
      <c r="DB34" s="1610">
        <f t="shared" si="19"/>
        <v>1.158582999999993</v>
      </c>
      <c r="DC34" s="803">
        <f t="shared" si="19"/>
        <v>-0.22586678548027361</v>
      </c>
      <c r="DD34" s="802">
        <f t="shared" si="19"/>
        <v>3.2149387615947909</v>
      </c>
      <c r="DE34" s="802">
        <f t="shared" si="19"/>
        <v>1.5215599999999938</v>
      </c>
      <c r="DF34" s="803">
        <f t="shared" si="19"/>
        <v>-1.3671776179292165</v>
      </c>
      <c r="DG34" s="802">
        <f t="shared" si="19"/>
        <v>0.55645141982444279</v>
      </c>
      <c r="DH34" s="802">
        <f t="shared" si="19"/>
        <v>-12.643598000000011</v>
      </c>
      <c r="DI34" s="802"/>
      <c r="DJ34" s="796"/>
      <c r="DK34" s="796"/>
      <c r="DL34" s="796"/>
      <c r="DM34" s="796"/>
      <c r="DN34" s="796"/>
      <c r="DO34" s="798"/>
      <c r="DP34" s="704"/>
    </row>
    <row r="35" spans="1:120" ht="11.25" hidden="1" customHeight="1" outlineLevel="1">
      <c r="A35" s="804" t="s">
        <v>652</v>
      </c>
      <c r="B35" s="795"/>
      <c r="C35" s="795">
        <f>'qtrP&amp;L'!AF120</f>
        <v>138.024</v>
      </c>
      <c r="D35" s="795">
        <f>'qtrP&amp;L'!AF121</f>
        <v>138.10400000000001</v>
      </c>
      <c r="E35" s="795">
        <f>'qtrP&amp;L'!AF122</f>
        <v>138.11199999999999</v>
      </c>
      <c r="F35" s="795">
        <f>'qtrP&amp;L'!AF123</f>
        <v>138.82400000000001</v>
      </c>
      <c r="G35" s="795"/>
      <c r="H35" s="795">
        <f>'qtrP&amp;L'!AB120</f>
        <v>138.024</v>
      </c>
      <c r="I35" s="795">
        <f>'qtrP&amp;L'!AB121</f>
        <v>138.024</v>
      </c>
      <c r="J35" s="795">
        <f>'qtrP&amp;L'!AB122</f>
        <v>138.024</v>
      </c>
      <c r="K35" s="795">
        <f>'qtrP&amp;L'!AB123</f>
        <v>138.024</v>
      </c>
      <c r="L35" s="795"/>
      <c r="M35" s="795">
        <f>'qtrP&amp;L'!AN120</f>
        <v>155.66399999999999</v>
      </c>
      <c r="N35" s="795">
        <f>'qtrP&amp;L'!AN121</f>
        <v>157.4846</v>
      </c>
      <c r="O35" s="795">
        <f>'qtrP&amp;L'!AN122</f>
        <v>158</v>
      </c>
      <c r="P35" s="795">
        <f>'qtrP&amp;L'!AN123</f>
        <v>159.55199999999999</v>
      </c>
      <c r="Q35" s="795"/>
      <c r="R35" s="795">
        <f>'qtrP&amp;L'!AU120</f>
        <v>160.77600000000001</v>
      </c>
      <c r="S35" s="795">
        <f>'qtrP&amp;L'!AU121</f>
        <v>161.791484</v>
      </c>
      <c r="T35" s="795">
        <f>'qtrP&amp;L'!AU122</f>
        <v>162.66028800000001</v>
      </c>
      <c r="U35" s="795">
        <f>'qtrP&amp;L'!AU123</f>
        <v>163.65147200000001</v>
      </c>
      <c r="V35" s="795"/>
      <c r="W35" s="795">
        <f>'qtrP&amp;L'!AY120</f>
        <v>163.35645400000001</v>
      </c>
      <c r="X35" s="795">
        <f>'qtrP&amp;L'!AY121</f>
        <v>163.61199999999999</v>
      </c>
      <c r="Y35" s="795">
        <f>'qtrP&amp;L'!AY122</f>
        <v>164.69627700000001</v>
      </c>
      <c r="Z35" s="795">
        <f>'qtrP&amp;L'!AY123</f>
        <v>165.00671700000001</v>
      </c>
      <c r="AA35" s="795"/>
      <c r="AB35" s="795">
        <f>'qtrP&amp;L'!BC120</f>
        <v>165.25818200000001</v>
      </c>
      <c r="AC35" s="795">
        <f>'qtrP&amp;L'!BC121</f>
        <v>165.32981699999999</v>
      </c>
      <c r="AD35" s="795">
        <f>'qtrP&amp;L'!BC122</f>
        <v>164.689887</v>
      </c>
      <c r="AE35" s="795">
        <f>'qtrP&amp;L'!BC123</f>
        <v>165.084463</v>
      </c>
      <c r="AF35" s="795"/>
      <c r="AG35" s="795">
        <f>'qtrP&amp;L'!BG120</f>
        <v>165.68393499999999</v>
      </c>
      <c r="AH35" s="795">
        <f>'qtrP&amp;L'!BG121</f>
        <v>165.815865</v>
      </c>
      <c r="AI35" s="795">
        <f>'qtrP&amp;L'!BG122</f>
        <v>166.01801499999999</v>
      </c>
      <c r="AJ35" s="795">
        <f>'qtrP&amp;L'!BG123</f>
        <v>166.56671399999999</v>
      </c>
      <c r="AK35" s="795"/>
      <c r="AL35" s="795">
        <f>'qtrP&amp;L'!BK120</f>
        <v>167.10261399999999</v>
      </c>
      <c r="AM35" s="795">
        <f>'qtrP&amp;L'!BK121</f>
        <v>167.30113800000001</v>
      </c>
      <c r="AN35" s="795">
        <f>'qtrP&amp;L'!BK122</f>
        <v>167.70948799999999</v>
      </c>
      <c r="AO35" s="795">
        <f>'qtrP&amp;L'!BK123</f>
        <v>167.72968800000001</v>
      </c>
      <c r="AP35" s="795"/>
      <c r="AQ35" s="795">
        <f>'qtrP&amp;L'!BO120</f>
        <v>168.14848799999999</v>
      </c>
      <c r="AR35" s="795">
        <f>'qtrP&amp;L'!BO121</f>
        <v>168.308888</v>
      </c>
      <c r="AS35" s="795">
        <f>'qtrP&amp;L'!BO122</f>
        <v>168.499638</v>
      </c>
      <c r="AT35" s="795">
        <f>'qtrP&amp;L'!BO123</f>
        <v>168.888271</v>
      </c>
      <c r="AU35" s="795"/>
      <c r="AV35" s="795">
        <f>'qtrP&amp;L'!BS120</f>
        <v>169.152038</v>
      </c>
      <c r="AW35" s="795">
        <f>'qtrP&amp;L'!BS121</f>
        <v>165.08242799999999</v>
      </c>
      <c r="AX35" s="795">
        <f>'qtrP&amp;L'!BS122</f>
        <v>164.04383799999999</v>
      </c>
      <c r="AY35" s="795">
        <f>'qtrP&amp;L'!BS123</f>
        <v>162.255448</v>
      </c>
      <c r="AZ35" s="795"/>
      <c r="BA35" s="795">
        <f>'qtrP&amp;L'!BW120</f>
        <v>159.69047499999999</v>
      </c>
      <c r="BB35" s="795">
        <f>'qtrP&amp;L'!BW121</f>
        <v>153.91866099999999</v>
      </c>
      <c r="BC35" s="795">
        <f>'qtrP&amp;L'!BW122</f>
        <v>144.20166399999999</v>
      </c>
      <c r="BD35" s="795">
        <f>'qtrP&amp;L'!BW123</f>
        <v>144.706907</v>
      </c>
      <c r="BE35" s="795"/>
      <c r="BF35" s="795">
        <f>'qtrP&amp;L'!CA120</f>
        <v>144.80920699999999</v>
      </c>
      <c r="BG35" s="795">
        <f>'qtrP&amp;L'!CA121</f>
        <v>145.53100699999999</v>
      </c>
      <c r="BH35" s="795">
        <f>'qtrP&amp;L'!CA122</f>
        <v>145.91056699999999</v>
      </c>
      <c r="BI35" s="795">
        <f>'qtrP&amp;L'!CA123</f>
        <v>146.22846699999999</v>
      </c>
      <c r="BJ35" s="795"/>
      <c r="BK35" s="795">
        <f>'qtrP&amp;L'!CE120</f>
        <v>146.934867</v>
      </c>
      <c r="BL35" s="795">
        <f>'qtrP&amp;L'!CE121</f>
        <v>147.37186399999999</v>
      </c>
      <c r="BM35" s="795">
        <f>'qtrP&amp;L'!CE122</f>
        <v>147.309575</v>
      </c>
      <c r="BN35" s="795">
        <f>'qtrP&amp;L'!CE123</f>
        <v>144.56095300000001</v>
      </c>
      <c r="BO35" s="795"/>
      <c r="BP35" s="795">
        <f>'qtrP&amp;L'!CI120</f>
        <v>137.751372</v>
      </c>
      <c r="BQ35" s="795">
        <f>'qtrP&amp;L'!CI121</f>
        <v>134.33607000000001</v>
      </c>
      <c r="BR35" s="795">
        <f>'qtrP&amp;L'!CI122</f>
        <v>131.643598</v>
      </c>
      <c r="BS35" s="795">
        <f>'qtrP&amp;L'!CI123</f>
        <v>130.44359800000001</v>
      </c>
      <c r="BT35" s="795"/>
      <c r="BU35" s="795">
        <f>'qtrP&amp;L'!CM120</f>
        <v>133</v>
      </c>
      <c r="BV35" s="795">
        <f>'qtrP&amp;L'!CM121</f>
        <v>126.3</v>
      </c>
      <c r="BW35" s="795">
        <f>'qtrP&amp;L'!CM122</f>
        <v>123.5</v>
      </c>
      <c r="BX35" s="795">
        <f>'qtrP&amp;L'!CM123</f>
        <v>117.8</v>
      </c>
      <c r="BY35" s="795"/>
      <c r="BZ35" s="795">
        <f>'qtrP&amp;L'!DM120</f>
        <v>0</v>
      </c>
      <c r="CA35" s="795">
        <f>'qtrP&amp;L'!DM121</f>
        <v>0</v>
      </c>
      <c r="CB35" s="795">
        <f>'qtrP&amp;L'!DM122</f>
        <v>0</v>
      </c>
      <c r="CC35" s="796">
        <f>'qtrP&amp;L'!DM123</f>
        <v>0</v>
      </c>
      <c r="CD35" s="795"/>
      <c r="CE35" s="795">
        <f>'qtrP&amp;L'!DR120</f>
        <v>0</v>
      </c>
      <c r="CF35" s="795">
        <f>'qtrP&amp;L'!DR121</f>
        <v>0</v>
      </c>
      <c r="CG35" s="795">
        <f>'qtrP&amp;L'!DR122</f>
        <v>0</v>
      </c>
      <c r="CH35" s="795">
        <f>'qtrP&amp;L'!DR123</f>
        <v>0</v>
      </c>
      <c r="CI35" s="795"/>
      <c r="CJ35" s="795">
        <f>'qtrP&amp;L'!DW120</f>
        <v>0</v>
      </c>
      <c r="CK35" s="795">
        <f>'qtrP&amp;L'!DW121</f>
        <v>0</v>
      </c>
      <c r="CL35" s="795">
        <f>'qtrP&amp;L'!DW122</f>
        <v>0</v>
      </c>
      <c r="CM35" s="798">
        <f>'qtrP&amp;L'!DW123</f>
        <v>0</v>
      </c>
      <c r="CN35" s="795"/>
      <c r="CO35" s="796"/>
      <c r="CP35" s="796"/>
      <c r="CQ35" s="796"/>
      <c r="CR35" s="796"/>
      <c r="CS35" s="796"/>
      <c r="CT35" s="796">
        <f>'qtrP&amp;L'!AF123</f>
        <v>138.82400000000001</v>
      </c>
      <c r="CU35" s="796">
        <f>'qtrP&amp;L'!AE123</f>
        <v>0</v>
      </c>
      <c r="CV35" s="796">
        <f>'qtrP&amp;L'!AN123</f>
        <v>159.55199999999999</v>
      </c>
      <c r="CW35" s="796">
        <f>'qtrP&amp;L'!AU123</f>
        <v>163.65147200000001</v>
      </c>
      <c r="CX35" s="796">
        <f>'qtrP&amp;L'!AY123</f>
        <v>165.00671700000001</v>
      </c>
      <c r="CY35" s="796">
        <f>'qtrP&amp;L'!BC123</f>
        <v>165.084463</v>
      </c>
      <c r="CZ35" s="796">
        <f>'qtrP&amp;L'!BG123</f>
        <v>166.56671399999999</v>
      </c>
      <c r="DA35" s="797">
        <f>'qtrP&amp;L'!BK123</f>
        <v>167.72968800000001</v>
      </c>
      <c r="DB35" s="798">
        <f>'qtrP&amp;L'!BO123</f>
        <v>168.888271</v>
      </c>
      <c r="DC35" s="797">
        <f>'qtrP&amp;L'!BS123</f>
        <v>162.255448</v>
      </c>
      <c r="DD35" s="796">
        <f>'qtrP&amp;L'!BW123</f>
        <v>144.706907</v>
      </c>
      <c r="DE35" s="796">
        <f>'qtrP&amp;L'!CA123</f>
        <v>146.22846699999999</v>
      </c>
      <c r="DF35" s="797">
        <f>'qtrP&amp;L'!CE123</f>
        <v>144.56095300000001</v>
      </c>
      <c r="DG35" s="796">
        <f>'qtrP&amp;L'!CI123</f>
        <v>130.44359800000001</v>
      </c>
      <c r="DH35" s="796">
        <f>'qtrP&amp;L'!CM123</f>
        <v>117.8</v>
      </c>
      <c r="DI35" s="796"/>
      <c r="DJ35" s="796"/>
      <c r="DK35" s="796"/>
      <c r="DL35" s="796"/>
      <c r="DM35" s="796"/>
      <c r="DN35" s="796"/>
      <c r="DO35" s="798"/>
      <c r="DP35" s="704"/>
    </row>
    <row r="36" spans="1:120" hidden="1" outlineLevel="1">
      <c r="A36" s="805" t="s">
        <v>661</v>
      </c>
      <c r="B36" s="795"/>
      <c r="C36" s="795"/>
      <c r="D36" s="795">
        <f>AVERAGE(C35:D35)</f>
        <v>138.06400000000002</v>
      </c>
      <c r="E36" s="795">
        <f>AVERAGE(D35:E35)</f>
        <v>138.108</v>
      </c>
      <c r="F36" s="795">
        <f>AVERAGE(E35:F35)</f>
        <v>138.46800000000002</v>
      </c>
      <c r="G36" s="795"/>
      <c r="H36" s="795">
        <f>AVERAGE(H35,F35)</f>
        <v>138.42400000000001</v>
      </c>
      <c r="I36" s="795">
        <f>AVERAGE(H35:I35)</f>
        <v>138.024</v>
      </c>
      <c r="J36" s="795">
        <f>AVERAGE(I35:J35)</f>
        <v>138.024</v>
      </c>
      <c r="K36" s="795">
        <f>AVERAGE(J35:K35)</f>
        <v>138.024</v>
      </c>
      <c r="L36" s="795"/>
      <c r="M36" s="795">
        <f>AVERAGE(M35,K35)</f>
        <v>146.84399999999999</v>
      </c>
      <c r="N36" s="795">
        <f>AVERAGE(M35:N35)</f>
        <v>156.57429999999999</v>
      </c>
      <c r="O36" s="795">
        <f>AVERAGE(N35:O35)</f>
        <v>157.7423</v>
      </c>
      <c r="P36" s="795">
        <f>AVERAGE(O35:P35)</f>
        <v>158.77600000000001</v>
      </c>
      <c r="Q36" s="795"/>
      <c r="R36" s="795">
        <f>AVERAGE(R35,P35)</f>
        <v>160.16399999999999</v>
      </c>
      <c r="S36" s="795">
        <f>AVERAGE(R35:S35)</f>
        <v>161.28374200000002</v>
      </c>
      <c r="T36" s="795">
        <f>AVERAGE(S35:T35)</f>
        <v>162.225886</v>
      </c>
      <c r="U36" s="795">
        <f>AVERAGE(T35:U35)</f>
        <v>163.15588000000002</v>
      </c>
      <c r="V36" s="795"/>
      <c r="W36" s="795">
        <f>AVERAGE(W35,U35)</f>
        <v>163.503963</v>
      </c>
      <c r="X36" s="795">
        <f>AVERAGE(W35:X35)</f>
        <v>163.484227</v>
      </c>
      <c r="Y36" s="795">
        <f>AVERAGE(X35:Y35)</f>
        <v>164.15413849999999</v>
      </c>
      <c r="Z36" s="795">
        <f>AVERAGE(Y35:Z35)</f>
        <v>164.85149699999999</v>
      </c>
      <c r="AA36" s="795"/>
      <c r="AB36" s="795">
        <f>AVERAGE(AB35,Z35)</f>
        <v>165.13244950000001</v>
      </c>
      <c r="AC36" s="795">
        <f>AVERAGE(AB35:AC35)</f>
        <v>165.29399949999998</v>
      </c>
      <c r="AD36" s="795">
        <f>AVERAGE(AC35:AD35)</f>
        <v>165.009852</v>
      </c>
      <c r="AE36" s="795">
        <f>AVERAGE(AD35:AE35)</f>
        <v>164.88717500000001</v>
      </c>
      <c r="AF36" s="795"/>
      <c r="AG36" s="795">
        <f>AVERAGE(AG35,AE35)</f>
        <v>165.384199</v>
      </c>
      <c r="AH36" s="795">
        <f>AVERAGE(AG35:AH35)</f>
        <v>165.7499</v>
      </c>
      <c r="AI36" s="795">
        <f>AVERAGE(AH35:AI35)</f>
        <v>165.91694000000001</v>
      </c>
      <c r="AJ36" s="795">
        <f>AVERAGE(AE35:AI35)</f>
        <v>165.65056949999999</v>
      </c>
      <c r="AK36" s="795"/>
      <c r="AL36" s="795">
        <f>AVERAGE(AL35,AE35)</f>
        <v>166.09353849999999</v>
      </c>
      <c r="AM36" s="795">
        <f>AVERAGE(AL35:AM35)</f>
        <v>167.201876</v>
      </c>
      <c r="AN36" s="795">
        <f>AVERAGE(AM35:AN35)</f>
        <v>167.505313</v>
      </c>
      <c r="AO36" s="795">
        <f>AVERAGE(AN35:AO35)</f>
        <v>167.71958799999999</v>
      </c>
      <c r="AP36" s="795"/>
      <c r="AQ36" s="795">
        <f>AVERAGE(AQ35,AO35)</f>
        <v>167.939088</v>
      </c>
      <c r="AR36" s="795">
        <f>AVERAGE(AQ35:AR35)</f>
        <v>168.22868799999998</v>
      </c>
      <c r="AS36" s="795">
        <f>AVERAGE(AR35:AS35)</f>
        <v>168.40426300000001</v>
      </c>
      <c r="AT36" s="795">
        <f>AVERAGE(AS35:AT35)</f>
        <v>168.69395450000002</v>
      </c>
      <c r="AU36" s="795"/>
      <c r="AV36" s="795">
        <f>AVERAGE(AV35,AT35)</f>
        <v>169.02015449999999</v>
      </c>
      <c r="AW36" s="795">
        <f>AVERAGE(AV35:AW35)</f>
        <v>167.117233</v>
      </c>
      <c r="AX36" s="795">
        <f>AVERAGE(AW35:AX35)</f>
        <v>164.56313299999999</v>
      </c>
      <c r="AY36" s="795">
        <f>AVERAGE(AX35:AY35)</f>
        <v>163.149643</v>
      </c>
      <c r="AZ36" s="795"/>
      <c r="BA36" s="795">
        <f>AVERAGE(BA35,AY35)</f>
        <v>160.9729615</v>
      </c>
      <c r="BB36" s="795">
        <f>AVERAGE(BA35:BB35)</f>
        <v>156.80456799999999</v>
      </c>
      <c r="BC36" s="795">
        <f>AVERAGE(BB35:BC35)</f>
        <v>149.06016249999999</v>
      </c>
      <c r="BD36" s="795">
        <f>AVERAGE(BC35:BD35)</f>
        <v>144.4542855</v>
      </c>
      <c r="BE36" s="795"/>
      <c r="BF36" s="795">
        <f>AVERAGE(BF35,BD35)</f>
        <v>144.75805700000001</v>
      </c>
      <c r="BG36" s="795">
        <f>AVERAGE(BF35:BG35)</f>
        <v>145.17010699999997</v>
      </c>
      <c r="BH36" s="795">
        <f>AVERAGE(BG35:BH35)</f>
        <v>145.72078699999997</v>
      </c>
      <c r="BI36" s="795">
        <f>AVERAGE(BH35:BI35)</f>
        <v>146.06951699999999</v>
      </c>
      <c r="BJ36" s="795"/>
      <c r="BK36" s="795">
        <f>AVERAGE(BK35,BI35)</f>
        <v>146.58166699999998</v>
      </c>
      <c r="BL36" s="795">
        <f>AVERAGE(BK35:BL35)</f>
        <v>147.15336550000001</v>
      </c>
      <c r="BM36" s="795">
        <f>AVERAGE(BL35:BM35)</f>
        <v>147.34071949999998</v>
      </c>
      <c r="BN36" s="795">
        <f>AVERAGE(BM35:BN35)</f>
        <v>145.93526400000002</v>
      </c>
      <c r="BO36" s="795"/>
      <c r="BP36" s="795">
        <f>AVERAGE(BP35,BN35)</f>
        <v>141.15616249999999</v>
      </c>
      <c r="BQ36" s="795">
        <f>AVERAGE(BP35:BQ35)</f>
        <v>136.04372100000001</v>
      </c>
      <c r="BR36" s="795">
        <f>AVERAGE(BQ35:BR35)</f>
        <v>132.989834</v>
      </c>
      <c r="BS36" s="795">
        <f>AVERAGE(BR35:BS35)</f>
        <v>131.043598</v>
      </c>
      <c r="BT36" s="795"/>
      <c r="BU36" s="795">
        <f>AVERAGE(BU35,BS35)</f>
        <v>131.721799</v>
      </c>
      <c r="BV36" s="795">
        <f>AVERAGE(BU35:BV35)</f>
        <v>129.65</v>
      </c>
      <c r="BW36" s="795">
        <f>AVERAGE(BV35:BW35)</f>
        <v>124.9</v>
      </c>
      <c r="BX36" s="795">
        <f>AVERAGE(BW35:BX35)</f>
        <v>120.65</v>
      </c>
      <c r="BY36" s="795"/>
      <c r="BZ36" s="795">
        <f>AVERAGE(BZ35,DA35)</f>
        <v>83.864844000000005</v>
      </c>
      <c r="CA36" s="795">
        <f>AVERAGE(BZ35:CA35)</f>
        <v>0</v>
      </c>
      <c r="CB36" s="795">
        <f>AVERAGE(CA35:CB35)</f>
        <v>0</v>
      </c>
      <c r="CC36" s="796">
        <f>AVERAGE(CB35:CC35)</f>
        <v>0</v>
      </c>
      <c r="CD36" s="795"/>
      <c r="CE36" s="795">
        <f>AVERAGE(CE35,DF35)</f>
        <v>72.280476500000006</v>
      </c>
      <c r="CF36" s="795">
        <f>AVERAGE(CE35:CF35)</f>
        <v>0</v>
      </c>
      <c r="CG36" s="795">
        <f>AVERAGE(CF35:CG35)</f>
        <v>0</v>
      </c>
      <c r="CH36" s="795">
        <f>AVERAGE(CG35:CH35)</f>
        <v>0</v>
      </c>
      <c r="CI36" s="795"/>
      <c r="CJ36" s="795">
        <f>AVERAGE(CJ35,DK35)</f>
        <v>0</v>
      </c>
      <c r="CK36" s="795">
        <f>AVERAGE(CJ35:CK35)</f>
        <v>0</v>
      </c>
      <c r="CL36" s="795">
        <f>AVERAGE(CK35:CL35)</f>
        <v>0</v>
      </c>
      <c r="CM36" s="798">
        <f>AVERAGE(CL35:CM35)</f>
        <v>0</v>
      </c>
      <c r="CN36" s="795"/>
      <c r="CO36" s="796"/>
      <c r="CP36" s="796"/>
      <c r="CQ36" s="796"/>
      <c r="CR36" s="796"/>
      <c r="CS36" s="796"/>
      <c r="CT36" s="796"/>
      <c r="CU36" s="796"/>
      <c r="CV36" s="796"/>
      <c r="CW36" s="796"/>
      <c r="CX36" s="796"/>
      <c r="CY36" s="796"/>
      <c r="CZ36" s="796"/>
      <c r="DA36" s="797"/>
      <c r="DB36" s="798"/>
      <c r="DC36" s="797"/>
      <c r="DD36" s="796"/>
      <c r="DE36" s="796"/>
      <c r="DF36" s="797"/>
      <c r="DG36" s="796"/>
      <c r="DH36" s="796"/>
      <c r="DI36" s="796"/>
      <c r="DJ36" s="796"/>
      <c r="DK36" s="796"/>
      <c r="DL36" s="796"/>
      <c r="DM36" s="796"/>
      <c r="DN36" s="796"/>
      <c r="DO36" s="798"/>
      <c r="DP36" s="704"/>
    </row>
    <row r="37" spans="1:120" hidden="1" outlineLevel="1">
      <c r="A37" s="805" t="s">
        <v>660</v>
      </c>
      <c r="B37" s="795"/>
      <c r="C37" s="795"/>
      <c r="D37" s="795">
        <f>'qtrP&amp;L'!AF256</f>
        <v>138.08799999999999</v>
      </c>
      <c r="E37" s="795">
        <f>'qtrP&amp;L'!AF257</f>
        <v>138.11199999999999</v>
      </c>
      <c r="F37" s="795">
        <f>'qtrP&amp;L'!AF258</f>
        <v>138.36799999999999</v>
      </c>
      <c r="G37" s="795"/>
      <c r="H37" s="795">
        <f>'qtrP&amp;L'!AB255</f>
        <v>138.14400000000001</v>
      </c>
      <c r="I37" s="795">
        <f>'qtrP&amp;L'!AB256</f>
        <v>138.024</v>
      </c>
      <c r="J37" s="795">
        <f>'qtrP&amp;L'!AB257</f>
        <v>138.072</v>
      </c>
      <c r="K37" s="795">
        <f>'qtrP&amp;L'!AB258</f>
        <v>138.024</v>
      </c>
      <c r="L37" s="795"/>
      <c r="M37" s="795">
        <f>'qtrP&amp;L'!AN255</f>
        <v>155.28</v>
      </c>
      <c r="N37" s="795">
        <f>'qtrP&amp;L'!AN256</f>
        <v>156.392</v>
      </c>
      <c r="O37" s="795">
        <f>'qtrP&amp;L'!AN257</f>
        <v>157.77600000000001</v>
      </c>
      <c r="P37" s="795">
        <f>'qtrP&amp;L'!AN258</f>
        <v>158.768</v>
      </c>
      <c r="Q37" s="795"/>
      <c r="R37" s="795">
        <f>'qtrP&amp;L'!AU255</f>
        <v>160.59200000000001</v>
      </c>
      <c r="S37" s="795">
        <f>'qtrP&amp;L'!AU256</f>
        <v>161.10804999999999</v>
      </c>
      <c r="T37" s="795">
        <f>'qtrP&amp;L'!AU257</f>
        <v>162.09522999999999</v>
      </c>
      <c r="U37" s="795">
        <f>'qtrP&amp;L'!AU258</f>
        <v>163.14013411225335</v>
      </c>
      <c r="V37" s="795"/>
      <c r="W37" s="795">
        <f>'qtrP&amp;L'!AY255</f>
        <v>163.16950080091559</v>
      </c>
      <c r="X37" s="795">
        <f>'qtrP&amp;L'!AY256</f>
        <v>162.92087583917581</v>
      </c>
      <c r="Y37" s="795">
        <f>'qtrP&amp;L'!AY257</f>
        <v>164.12414627262132</v>
      </c>
      <c r="Z37" s="795">
        <f>'qtrP&amp;L'!AY258</f>
        <v>164.4911445758498</v>
      </c>
      <c r="AA37" s="795"/>
      <c r="AB37" s="795">
        <f>'qtrP&amp;L'!BC255</f>
        <v>164.57615699999999</v>
      </c>
      <c r="AC37" s="795">
        <f>'qtrP&amp;L'!BC256</f>
        <v>164.99432899999999</v>
      </c>
      <c r="AD37" s="795">
        <f>'qtrP&amp;L'!BC257</f>
        <v>164.70797999999999</v>
      </c>
      <c r="AE37" s="795">
        <f>'qtrP&amp;L'!BC258</f>
        <v>164.44061099999999</v>
      </c>
      <c r="AF37" s="795"/>
      <c r="AG37" s="795">
        <f>'qtrP&amp;L'!BG255</f>
        <v>164.82605799999999</v>
      </c>
      <c r="AH37" s="795">
        <f>'qtrP&amp;L'!BG256</f>
        <v>165.31565599999999</v>
      </c>
      <c r="AI37" s="795">
        <f>'qtrP&amp;L'!BG257</f>
        <v>165.430768</v>
      </c>
      <c r="AJ37" s="795">
        <f>'qtrP&amp;L'!BG258</f>
        <v>165.629648</v>
      </c>
      <c r="AK37" s="795"/>
      <c r="AL37" s="795">
        <f>'qtrP&amp;L'!BK255</f>
        <v>166.11909900000001</v>
      </c>
      <c r="AM37" s="795">
        <f>'qtrP&amp;L'!BK256</f>
        <v>166.69896299999999</v>
      </c>
      <c r="AN37" s="795">
        <f>'qtrP&amp;L'!BK257</f>
        <v>167.030294</v>
      </c>
      <c r="AO37" s="795">
        <f>'qtrP&amp;L'!BK258</f>
        <v>167.30923899999999</v>
      </c>
      <c r="AP37" s="795"/>
      <c r="AQ37" s="795">
        <f>'qtrP&amp;L'!BO255</f>
        <v>167.455872</v>
      </c>
      <c r="AR37" s="795">
        <f>'qtrP&amp;L'!BO256</f>
        <v>167.919873</v>
      </c>
      <c r="AS37" s="795">
        <f>'qtrP&amp;L'!BO257</f>
        <v>168.319514</v>
      </c>
      <c r="AT37" s="795">
        <f>'qtrP&amp;L'!BO258</f>
        <v>168.49925999999999</v>
      </c>
      <c r="AU37" s="795"/>
      <c r="AV37" s="795">
        <f>'qtrP&amp;L'!BS255</f>
        <v>168.85207199999999</v>
      </c>
      <c r="AW37" s="795">
        <f>'qtrP&amp;L'!BS256</f>
        <v>168.90859800000001</v>
      </c>
      <c r="AX37" s="795">
        <f>'qtrP&amp;L'!BS257</f>
        <v>165.69954000000001</v>
      </c>
      <c r="AY37" s="795">
        <f>'qtrP&amp;L'!BS258</f>
        <v>164.188852</v>
      </c>
      <c r="AZ37" s="795"/>
      <c r="BA37" s="795">
        <f>'qtrP&amp;L'!BW255</f>
        <v>162.40733</v>
      </c>
      <c r="BB37" s="795">
        <f>'qtrP&amp;L'!BW256</f>
        <v>158.58161799999999</v>
      </c>
      <c r="BC37" s="795">
        <f>'qtrP&amp;L'!BW257</f>
        <v>151.170175</v>
      </c>
      <c r="BD37" s="795">
        <f>'qtrP&amp;L'!BW258</f>
        <v>144.268135</v>
      </c>
      <c r="BE37" s="795"/>
      <c r="BF37" s="795">
        <f>'qtrP&amp;L'!CA255</f>
        <v>144.70919900000001</v>
      </c>
      <c r="BG37" s="795">
        <f>'qtrP&amp;L'!CA256</f>
        <v>144.81775200000001</v>
      </c>
      <c r="BH37" s="795">
        <f>'qtrP&amp;L'!CA257</f>
        <v>145.539816</v>
      </c>
      <c r="BI37" s="795">
        <f>'qtrP&amp;L'!CA258</f>
        <v>145.93613099999999</v>
      </c>
      <c r="BJ37" s="795"/>
      <c r="BK37" s="795">
        <f>'qtrP&amp;L'!CE255</f>
        <v>146.289751</v>
      </c>
      <c r="BL37" s="795">
        <f>'qtrP&amp;L'!CE256</f>
        <v>147.038073</v>
      </c>
      <c r="BM37" s="795">
        <f>'qtrP&amp;L'!CE257</f>
        <v>147.40576899999999</v>
      </c>
      <c r="BN37" s="795">
        <f>'qtrP&amp;L'!CE258</f>
        <v>147.30222000000001</v>
      </c>
      <c r="BO37" s="795"/>
      <c r="BP37" s="795">
        <f>'qtrP&amp;L'!CI255</f>
        <v>144.07566600000001</v>
      </c>
      <c r="BQ37" s="795">
        <f>'qtrP&amp;L'!CI256</f>
        <v>136.45366300000001</v>
      </c>
      <c r="BR37" s="795">
        <f>'qtrP&amp;L'!CI257</f>
        <v>134.267</v>
      </c>
      <c r="BS37" s="795">
        <f>'qtrP&amp;L'!CI258</f>
        <v>132.05312599999999</v>
      </c>
      <c r="BT37" s="795"/>
      <c r="BU37" s="795">
        <f>'qtrP&amp;L'!CM255</f>
        <v>131.20274000000001</v>
      </c>
      <c r="BV37" s="795">
        <f>'qtrP&amp;L'!CM256</f>
        <v>127.910026</v>
      </c>
      <c r="BW37" s="795">
        <f>'qtrP&amp;L'!CM257</f>
        <v>123.442931</v>
      </c>
      <c r="BX37" s="795">
        <f>'qtrP&amp;L'!CM258</f>
        <v>118.568962</v>
      </c>
      <c r="BY37" s="795"/>
      <c r="BZ37" s="795">
        <f>'qtrP&amp;L'!DM255</f>
        <v>0</v>
      </c>
      <c r="CA37" s="795">
        <f>'qtrP&amp;L'!DM256</f>
        <v>0</v>
      </c>
      <c r="CB37" s="795">
        <f>'qtrP&amp;L'!DM257</f>
        <v>0</v>
      </c>
      <c r="CC37" s="796">
        <f>'qtrP&amp;L'!DM258</f>
        <v>0</v>
      </c>
      <c r="CD37" s="795"/>
      <c r="CE37" s="795">
        <f>'qtrP&amp;L'!DR255</f>
        <v>0</v>
      </c>
      <c r="CF37" s="795">
        <f>'qtrP&amp;L'!DR256</f>
        <v>0</v>
      </c>
      <c r="CG37" s="795">
        <f>'qtrP&amp;L'!DR257</f>
        <v>0</v>
      </c>
      <c r="CH37" s="795">
        <f>'qtrP&amp;L'!DR258</f>
        <v>0</v>
      </c>
      <c r="CI37" s="795"/>
      <c r="CJ37" s="795">
        <f>'qtrP&amp;L'!DW255</f>
        <v>0</v>
      </c>
      <c r="CK37" s="795">
        <f>'qtrP&amp;L'!DW256</f>
        <v>0</v>
      </c>
      <c r="CL37" s="795">
        <f>'qtrP&amp;L'!DW257</f>
        <v>0</v>
      </c>
      <c r="CM37" s="798">
        <f>'qtrP&amp;L'!DW258</f>
        <v>0</v>
      </c>
      <c r="CN37" s="795"/>
      <c r="CO37" s="796"/>
      <c r="CP37" s="796"/>
      <c r="CQ37" s="796"/>
      <c r="CR37" s="796"/>
      <c r="CS37" s="796"/>
      <c r="CT37" s="796">
        <f>'qtrP&amp;L'!AF259</f>
        <v>138.14799999999997</v>
      </c>
      <c r="CU37" s="796">
        <f>'qtrP&amp;L'!AE259</f>
        <v>0</v>
      </c>
      <c r="CV37" s="796">
        <f>'qtrP&amp;L'!AN259</f>
        <v>157.069852</v>
      </c>
      <c r="CW37" s="796">
        <f>'qtrP&amp;L'!AU259</f>
        <v>161.41989799999999</v>
      </c>
      <c r="CX37" s="796">
        <f>'qtrP&amp;L'!AY259</f>
        <v>163.67641687214063</v>
      </c>
      <c r="CY37" s="796">
        <f>'qtrP&amp;L'!BC259</f>
        <v>164.67976924999999</v>
      </c>
      <c r="CZ37" s="796">
        <f>'qtrP&amp;L'!BG259</f>
        <v>165.3005325</v>
      </c>
      <c r="DA37" s="797">
        <f>'qtrP&amp;L'!BK259</f>
        <v>166.78939874999998</v>
      </c>
      <c r="DB37" s="798">
        <f>'qtrP&amp;L'!BO259</f>
        <v>168.04862974999998</v>
      </c>
      <c r="DC37" s="797">
        <f>'qtrP&amp;L'!BS259</f>
        <v>166.91226549999999</v>
      </c>
      <c r="DD37" s="796">
        <f>'qtrP&amp;L'!BW259</f>
        <v>154.025589</v>
      </c>
      <c r="DE37" s="796">
        <f>'qtrP&amp;L'!CA259</f>
        <v>145.25072449999999</v>
      </c>
      <c r="DF37" s="797">
        <f>'qtrP&amp;L'!CE259</f>
        <v>147.00895324999999</v>
      </c>
      <c r="DG37" s="796">
        <f>'qtrP&amp;L'!CI259</f>
        <v>136.71236375000001</v>
      </c>
      <c r="DH37" s="796">
        <f>'qtrP&amp;L'!CM259</f>
        <v>125.232499</v>
      </c>
      <c r="DI37" s="796"/>
      <c r="DJ37" s="796"/>
      <c r="DK37" s="796"/>
      <c r="DL37" s="796"/>
      <c r="DM37" s="796"/>
      <c r="DN37" s="796"/>
      <c r="DO37" s="798"/>
      <c r="DP37" s="704"/>
    </row>
    <row r="38" spans="1:120" hidden="1" outlineLevel="1">
      <c r="B38" s="795"/>
      <c r="C38" s="795"/>
      <c r="D38" s="795"/>
      <c r="E38" s="795"/>
      <c r="F38" s="795"/>
      <c r="G38" s="795"/>
      <c r="H38" s="795"/>
      <c r="I38" s="795"/>
      <c r="J38" s="795"/>
      <c r="K38" s="795"/>
      <c r="L38" s="795"/>
      <c r="M38" s="795"/>
      <c r="N38" s="795"/>
      <c r="O38" s="795"/>
      <c r="P38" s="795"/>
      <c r="Q38" s="795"/>
      <c r="R38" s="795"/>
      <c r="S38" s="795"/>
      <c r="T38" s="795"/>
      <c r="U38" s="795"/>
      <c r="V38" s="795"/>
      <c r="W38" s="795"/>
      <c r="X38" s="795"/>
      <c r="Y38" s="795"/>
      <c r="Z38" s="795"/>
      <c r="AA38" s="795"/>
      <c r="AB38" s="795"/>
      <c r="AC38" s="795"/>
      <c r="AD38" s="795"/>
      <c r="AE38" s="795"/>
      <c r="AF38" s="795"/>
      <c r="AG38" s="795"/>
      <c r="AH38" s="795"/>
      <c r="AI38" s="795"/>
      <c r="AJ38" s="795"/>
      <c r="AK38" s="795"/>
      <c r="AL38" s="795"/>
      <c r="AM38" s="795"/>
      <c r="AN38" s="795"/>
      <c r="AO38" s="795"/>
      <c r="AP38" s="795"/>
      <c r="AQ38" s="795"/>
      <c r="AR38" s="795"/>
      <c r="AS38" s="795"/>
      <c r="AT38" s="795"/>
      <c r="AU38" s="795"/>
      <c r="AV38" s="795"/>
      <c r="AW38" s="795"/>
      <c r="AX38" s="795"/>
      <c r="AY38" s="795"/>
      <c r="AZ38" s="795"/>
      <c r="BA38" s="795"/>
      <c r="BB38" s="795"/>
      <c r="BC38" s="795"/>
      <c r="BD38" s="795"/>
      <c r="BE38" s="795"/>
      <c r="BF38" s="795"/>
      <c r="BG38" s="795"/>
      <c r="BH38" s="795"/>
      <c r="BI38" s="795"/>
      <c r="BJ38" s="795"/>
      <c r="BK38" s="795"/>
      <c r="BL38" s="795"/>
      <c r="BM38" s="795"/>
      <c r="BN38" s="795"/>
      <c r="BO38" s="795"/>
      <c r="BP38" s="795"/>
      <c r="BQ38" s="795"/>
      <c r="BR38" s="795"/>
      <c r="BS38" s="795"/>
      <c r="BT38" s="795"/>
      <c r="BU38" s="795"/>
      <c r="BV38" s="795"/>
      <c r="BW38" s="795"/>
      <c r="BX38" s="795"/>
      <c r="BY38" s="795"/>
      <c r="BZ38" s="795"/>
      <c r="CA38" s="795"/>
      <c r="CB38" s="795"/>
      <c r="CC38" s="796"/>
      <c r="CD38" s="795"/>
      <c r="CE38" s="795"/>
      <c r="CF38" s="795"/>
      <c r="CG38" s="795"/>
      <c r="CH38" s="795"/>
      <c r="CI38" s="795"/>
      <c r="CJ38" s="795"/>
      <c r="CK38" s="795"/>
      <c r="CL38" s="795"/>
      <c r="CM38" s="798"/>
      <c r="CN38" s="795"/>
      <c r="CO38" s="796"/>
      <c r="CP38" s="796"/>
      <c r="CQ38" s="796"/>
      <c r="CR38" s="796"/>
      <c r="CS38" s="796"/>
      <c r="CT38" s="796"/>
      <c r="CU38" s="796"/>
      <c r="CV38" s="796"/>
      <c r="CW38" s="796"/>
      <c r="CX38" s="796"/>
      <c r="CY38" s="796"/>
      <c r="CZ38" s="796"/>
      <c r="DA38" s="797"/>
      <c r="DB38" s="798"/>
      <c r="DC38" s="797"/>
      <c r="DD38" s="796"/>
      <c r="DE38" s="796"/>
      <c r="DF38" s="797"/>
      <c r="DG38" s="796"/>
      <c r="DH38" s="796"/>
      <c r="DI38" s="796"/>
      <c r="DJ38" s="796"/>
      <c r="DK38" s="796"/>
      <c r="DL38" s="796"/>
      <c r="DM38" s="796"/>
      <c r="DN38" s="796"/>
      <c r="DO38" s="798"/>
      <c r="DP38" s="704"/>
    </row>
    <row r="39" spans="1:120" hidden="1" outlineLevel="1">
      <c r="A39" s="806" t="s">
        <v>653</v>
      </c>
      <c r="B39" s="795"/>
      <c r="C39" s="795"/>
      <c r="D39" s="795">
        <f>D41-D37</f>
        <v>0.62255200000001309</v>
      </c>
      <c r="E39" s="795">
        <f>E41-E37</f>
        <v>0.77750399999999331</v>
      </c>
      <c r="F39" s="795">
        <f>F41-F37</f>
        <v>3.5285599999999988</v>
      </c>
      <c r="G39" s="795"/>
      <c r="H39" s="795">
        <f>H41-H37</f>
        <v>0.35333599999998455</v>
      </c>
      <c r="I39" s="795">
        <f>I41-I37</f>
        <v>1.4391999999986638E-2</v>
      </c>
      <c r="J39" s="795">
        <f>J41-J37</f>
        <v>0.13311999999999102</v>
      </c>
      <c r="K39" s="795">
        <f>K41-K37</f>
        <v>2.9719999999997526E-2</v>
      </c>
      <c r="L39" s="795"/>
      <c r="M39" s="795">
        <f>M41-M37</f>
        <v>2.8497600000000034</v>
      </c>
      <c r="N39" s="795">
        <f>N41-N37</f>
        <v>4.4168239999999912</v>
      </c>
      <c r="O39" s="795">
        <f>O41-O37</f>
        <v>5.2396519999999782</v>
      </c>
      <c r="P39" s="795">
        <f>P41-P37</f>
        <v>5.8626840000000016</v>
      </c>
      <c r="Q39" s="795"/>
      <c r="R39" s="795">
        <f>R41-R37</f>
        <v>5.2973279999999932</v>
      </c>
      <c r="S39" s="795">
        <f>S41-S37</f>
        <v>5.7147340000000213</v>
      </c>
      <c r="T39" s="795">
        <f>T41-T37</f>
        <v>6.0572820000000149</v>
      </c>
      <c r="U39" s="795">
        <f>U41-U37</f>
        <v>6.0241298877466534</v>
      </c>
      <c r="V39" s="795"/>
      <c r="W39" s="795">
        <f>W41-W37</f>
        <v>5.8883951990844139</v>
      </c>
      <c r="X39" s="795">
        <f>X41-X37</f>
        <v>6.9121241608241917</v>
      </c>
      <c r="Y39" s="795">
        <f>Y41-Y37</f>
        <v>6.2047127273786771</v>
      </c>
      <c r="Z39" s="795">
        <f>Z41-Z37</f>
        <v>5.9899094241501984</v>
      </c>
      <c r="AA39" s="795"/>
      <c r="AB39" s="795">
        <f>AB41-AB37</f>
        <v>3.4447220000000129</v>
      </c>
      <c r="AC39" s="795">
        <f>AC41-AC37</f>
        <v>3.6010490000000175</v>
      </c>
      <c r="AD39" s="795">
        <f>AD41-AD37</f>
        <v>3.5989869999999939</v>
      </c>
      <c r="AE39" s="795">
        <f>AE41-AE37</f>
        <v>4.1448070000000143</v>
      </c>
      <c r="AF39" s="795"/>
      <c r="AG39" s="795">
        <f>AG41-AG37</f>
        <v>3.9737170000000219</v>
      </c>
      <c r="AH39" s="795">
        <f>AH41-AH37</f>
        <v>4.3948330000000055</v>
      </c>
      <c r="AI39" s="795">
        <f>AI41-AI37</f>
        <v>4.5027450000000044</v>
      </c>
      <c r="AJ39" s="795">
        <f>AE41-AE37</f>
        <v>4.1448070000000143</v>
      </c>
      <c r="AK39" s="795"/>
      <c r="AL39" s="795">
        <f>AL41-AL37</f>
        <v>4.4843209999999942</v>
      </c>
      <c r="AM39" s="795">
        <f>AM41-AM37</f>
        <v>4.9885670000000175</v>
      </c>
      <c r="AN39" s="795">
        <f>AN41-AN37</f>
        <v>4.0346100000000149</v>
      </c>
      <c r="AO39" s="795">
        <f>AO41-AO37</f>
        <v>2.708674000000002</v>
      </c>
      <c r="AP39" s="795"/>
      <c r="AQ39" s="795">
        <f>AQ41-AQ37</f>
        <v>2.8608360000000062</v>
      </c>
      <c r="AR39" s="795">
        <f>AR41-AR37</f>
        <v>2.7994010000000173</v>
      </c>
      <c r="AS39" s="795">
        <f>AS41-AS37</f>
        <v>3.1243880000000104</v>
      </c>
      <c r="AT39" s="795">
        <f>AT41-AT37</f>
        <v>3.922347000000002</v>
      </c>
      <c r="AU39" s="795"/>
      <c r="AV39" s="795">
        <f>AV41-AV37</f>
        <v>3.9669650000000161</v>
      </c>
      <c r="AW39" s="795">
        <f>AW41-AW37</f>
        <v>3.4173979999999915</v>
      </c>
      <c r="AX39" s="795">
        <f>AX41-AX37</f>
        <v>2.8760969999999872</v>
      </c>
      <c r="AY39" s="795">
        <f>AY41-AY37</f>
        <v>3.4884529999999927</v>
      </c>
      <c r="AZ39" s="795"/>
      <c r="BA39" s="795">
        <f>BA41-BA37</f>
        <v>2.8862640000000113</v>
      </c>
      <c r="BB39" s="795">
        <f>BB41-BB37</f>
        <v>2.1621250000000032</v>
      </c>
      <c r="BC39" s="795">
        <f>BC41-BC37</f>
        <v>2.2646359999999959</v>
      </c>
      <c r="BD39" s="795">
        <f>BD41-BD37</f>
        <v>1.3497739999999965</v>
      </c>
      <c r="BE39" s="795"/>
      <c r="BF39" s="795">
        <f>BF41-BF37</f>
        <v>0.85946799999999257</v>
      </c>
      <c r="BG39" s="795">
        <f>BG41-BG37</f>
        <v>0.79705399999997439</v>
      </c>
      <c r="BH39" s="795">
        <f>BH41-BH37</f>
        <v>1.5471660000000043</v>
      </c>
      <c r="BI39" s="795">
        <f>BI41-BI37</f>
        <v>2.4364710000000116</v>
      </c>
      <c r="BJ39" s="795"/>
      <c r="BK39" s="795">
        <f>BK41-BK37</f>
        <v>2.5093050000000119</v>
      </c>
      <c r="BL39" s="795">
        <f>BL41-BL37</f>
        <v>2.3230590000000007</v>
      </c>
      <c r="BM39" s="795">
        <f>BM41-BM37</f>
        <v>2.1113770000000045</v>
      </c>
      <c r="BN39" s="795">
        <f>BN41-BN37</f>
        <v>1.9004060000000038</v>
      </c>
      <c r="BO39" s="795"/>
      <c r="BP39" s="795">
        <f>BP41-BP37</f>
        <v>1.8308779999999842</v>
      </c>
      <c r="BQ39" s="795">
        <f>BQ41-BQ37</f>
        <v>1.7234469999999931</v>
      </c>
      <c r="BR39" s="795">
        <f>BR41-BR37</f>
        <v>1.6814540000000022</v>
      </c>
      <c r="BS39" s="795">
        <f>BS41-BS37</f>
        <v>0.92782099999999446</v>
      </c>
      <c r="BT39" s="795"/>
      <c r="BU39" s="795">
        <f>BU41-BU37</f>
        <v>1.6334039999999845</v>
      </c>
      <c r="BV39" s="795">
        <f>BV41-BV37</f>
        <v>1.1705679999999887</v>
      </c>
      <c r="BW39" s="795">
        <f>BW41-BW37</f>
        <v>0.28265000000000384</v>
      </c>
      <c r="BX39" s="795">
        <f>BX41-BX37</f>
        <v>3.7040000000004625E-2</v>
      </c>
      <c r="BY39" s="795"/>
      <c r="BZ39" s="795">
        <f>BZ41-BZ37</f>
        <v>0</v>
      </c>
      <c r="CA39" s="795">
        <f>CA41-CA37</f>
        <v>0</v>
      </c>
      <c r="CB39" s="795">
        <f>CB41-CB37</f>
        <v>0</v>
      </c>
      <c r="CC39" s="796">
        <f>CC41-CC37</f>
        <v>0</v>
      </c>
      <c r="CD39" s="795"/>
      <c r="CE39" s="795">
        <f>CE41-CE37</f>
        <v>0</v>
      </c>
      <c r="CF39" s="795">
        <f>CF41-CF37</f>
        <v>0</v>
      </c>
      <c r="CG39" s="795">
        <f>CG41-CG37</f>
        <v>0</v>
      </c>
      <c r="CH39" s="795">
        <f>CH41-CH37</f>
        <v>0</v>
      </c>
      <c r="CI39" s="795"/>
      <c r="CJ39" s="795">
        <f>CJ41-CJ37</f>
        <v>0</v>
      </c>
      <c r="CK39" s="795">
        <f>CK41-CK37</f>
        <v>0</v>
      </c>
      <c r="CL39" s="795">
        <f>CL41-CL37</f>
        <v>0</v>
      </c>
      <c r="CM39" s="798">
        <f>CM41-CM37</f>
        <v>0</v>
      </c>
      <c r="CN39" s="795"/>
      <c r="CO39" s="796"/>
      <c r="CP39" s="796"/>
      <c r="CQ39" s="796"/>
      <c r="CR39" s="796"/>
      <c r="CS39" s="796"/>
      <c r="CT39" s="796">
        <f t="shared" ref="CT39:DH39" si="20">CT41-CT37</f>
        <v>1.3596560000000295</v>
      </c>
      <c r="CU39" s="796">
        <f t="shared" si="20"/>
        <v>0</v>
      </c>
      <c r="CV39" s="796">
        <f t="shared" si="20"/>
        <v>4.5924239999999941</v>
      </c>
      <c r="CW39" s="796">
        <f t="shared" si="20"/>
        <v>5.8828469999999982</v>
      </c>
      <c r="CX39" s="796">
        <f t="shared" si="20"/>
        <v>6.2596241278593538</v>
      </c>
      <c r="CY39" s="796">
        <f t="shared" si="20"/>
        <v>3.9722357500000101</v>
      </c>
      <c r="CZ39" s="796">
        <f t="shared" si="20"/>
        <v>4.3353924999999833</v>
      </c>
      <c r="DA39" s="797">
        <f t="shared" si="20"/>
        <v>4.0540430000000356</v>
      </c>
      <c r="DB39" s="798">
        <f t="shared" si="20"/>
        <v>3.1816152500000214</v>
      </c>
      <c r="DC39" s="797">
        <f t="shared" si="20"/>
        <v>3.509341500000005</v>
      </c>
      <c r="DD39" s="796">
        <f t="shared" si="20"/>
        <v>2.1657000000000153</v>
      </c>
      <c r="DE39" s="796">
        <f t="shared" si="20"/>
        <v>1.4100397500000099</v>
      </c>
      <c r="DF39" s="797">
        <f t="shared" si="20"/>
        <v>2.2110367500000052</v>
      </c>
      <c r="DG39" s="796">
        <f t="shared" si="20"/>
        <v>-3.6094005606059909E-2</v>
      </c>
      <c r="DH39" s="796">
        <f t="shared" si="20"/>
        <v>0.78091499999999314</v>
      </c>
      <c r="DI39" s="796"/>
      <c r="DJ39" s="796"/>
      <c r="DK39" s="796"/>
      <c r="DL39" s="796"/>
      <c r="DM39" s="796"/>
      <c r="DN39" s="796"/>
      <c r="DO39" s="798"/>
      <c r="DP39" s="704"/>
    </row>
    <row r="40" spans="1:120" hidden="1" outlineLevel="1">
      <c r="A40" s="805" t="s">
        <v>654</v>
      </c>
      <c r="B40" s="795"/>
      <c r="C40" s="795">
        <f>C35+C39</f>
        <v>138.024</v>
      </c>
      <c r="D40" s="795">
        <f>D35+D39</f>
        <v>138.72655200000003</v>
      </c>
      <c r="E40" s="795">
        <f>E35+E39</f>
        <v>138.88950399999999</v>
      </c>
      <c r="F40" s="795">
        <f>F35+F39</f>
        <v>142.35256000000001</v>
      </c>
      <c r="G40" s="795"/>
      <c r="H40" s="795">
        <f>H35+H39</f>
        <v>138.37733599999999</v>
      </c>
      <c r="I40" s="795">
        <f>I35+I39</f>
        <v>138.03839199999999</v>
      </c>
      <c r="J40" s="795">
        <f>J35+J39</f>
        <v>138.15711999999999</v>
      </c>
      <c r="K40" s="795">
        <f>K35+K39</f>
        <v>138.05372</v>
      </c>
      <c r="L40" s="795"/>
      <c r="M40" s="795">
        <f>M35+M39</f>
        <v>158.51375999999999</v>
      </c>
      <c r="N40" s="795">
        <f>N35+N39</f>
        <v>161.90142399999999</v>
      </c>
      <c r="O40" s="795">
        <f>O35+O39</f>
        <v>163.23965199999998</v>
      </c>
      <c r="P40" s="795">
        <f>P35+P39</f>
        <v>165.41468399999999</v>
      </c>
      <c r="Q40" s="795"/>
      <c r="R40" s="795">
        <f>R35+R39</f>
        <v>166.073328</v>
      </c>
      <c r="S40" s="795">
        <f>S35+S39</f>
        <v>167.50621800000002</v>
      </c>
      <c r="T40" s="795">
        <f>T35+T39</f>
        <v>168.71757000000002</v>
      </c>
      <c r="U40" s="795">
        <f>U35+U39</f>
        <v>169.67560188774667</v>
      </c>
      <c r="V40" s="795"/>
      <c r="W40" s="795">
        <f>W35+W39</f>
        <v>169.24484919908443</v>
      </c>
      <c r="X40" s="795">
        <f>X35+X39</f>
        <v>170.52412416082419</v>
      </c>
      <c r="Y40" s="795">
        <f>Y35+Y39</f>
        <v>170.90098972737869</v>
      </c>
      <c r="Z40" s="795">
        <f>Z35+Z39</f>
        <v>170.99662642415021</v>
      </c>
      <c r="AA40" s="795"/>
      <c r="AB40" s="795">
        <f>AB35+AB39</f>
        <v>168.70290400000002</v>
      </c>
      <c r="AC40" s="795">
        <f>AC35+AC39</f>
        <v>168.93086600000001</v>
      </c>
      <c r="AD40" s="795">
        <f>AD35+AD39</f>
        <v>168.28887399999999</v>
      </c>
      <c r="AE40" s="795">
        <f>AE35+AE39</f>
        <v>169.22927000000001</v>
      </c>
      <c r="AF40" s="795"/>
      <c r="AG40" s="795">
        <f>AG35+AG39</f>
        <v>169.65765200000001</v>
      </c>
      <c r="AH40" s="795">
        <f>AH35+AH39</f>
        <v>170.21069800000001</v>
      </c>
      <c r="AI40" s="795">
        <f>AI35+AI39</f>
        <v>170.52076</v>
      </c>
      <c r="AJ40" s="795">
        <f>AE35+AE39</f>
        <v>169.22927000000001</v>
      </c>
      <c r="AK40" s="795"/>
      <c r="AL40" s="795">
        <f>AL35+AL39</f>
        <v>171.58693499999998</v>
      </c>
      <c r="AM40" s="795">
        <f>AM35+AM39</f>
        <v>172.28970500000003</v>
      </c>
      <c r="AN40" s="795">
        <f>AN35+AN39</f>
        <v>171.74409800000001</v>
      </c>
      <c r="AO40" s="795">
        <f>AO35+AO39</f>
        <v>170.43836200000001</v>
      </c>
      <c r="AP40" s="795"/>
      <c r="AQ40" s="795">
        <f>AQ35+AQ39</f>
        <v>171.00932399999999</v>
      </c>
      <c r="AR40" s="795">
        <f>AR35+AR39</f>
        <v>171.10828900000001</v>
      </c>
      <c r="AS40" s="795">
        <f>AS35+AS39</f>
        <v>171.62402600000001</v>
      </c>
      <c r="AT40" s="795">
        <f>AT35+AT39</f>
        <v>172.81061800000001</v>
      </c>
      <c r="AU40" s="795"/>
      <c r="AV40" s="795">
        <f>AV35+AV39</f>
        <v>173.11900300000002</v>
      </c>
      <c r="AW40" s="795">
        <f>AW35+AW39</f>
        <v>168.49982599999998</v>
      </c>
      <c r="AX40" s="795">
        <f>AX35+AX39</f>
        <v>166.91993499999998</v>
      </c>
      <c r="AY40" s="795">
        <f>AY35+AY39</f>
        <v>165.74390099999999</v>
      </c>
      <c r="AZ40" s="795"/>
      <c r="BA40" s="795">
        <f>BA35+BA39</f>
        <v>162.576739</v>
      </c>
      <c r="BB40" s="795">
        <f>BB35+BB39</f>
        <v>156.08078599999999</v>
      </c>
      <c r="BC40" s="795">
        <f>BC35+BC39</f>
        <v>146.46629999999999</v>
      </c>
      <c r="BD40" s="795">
        <f>BD35+BD39</f>
        <v>146.056681</v>
      </c>
      <c r="BE40" s="795"/>
      <c r="BF40" s="795">
        <f>BF35+BF39</f>
        <v>145.66867499999998</v>
      </c>
      <c r="BG40" s="795">
        <f>BG35+BG39</f>
        <v>146.32806099999996</v>
      </c>
      <c r="BH40" s="795">
        <f>BH35+BH39</f>
        <v>147.45773299999999</v>
      </c>
      <c r="BI40" s="795">
        <f>BI35+BI39</f>
        <v>148.66493800000001</v>
      </c>
      <c r="BJ40" s="795"/>
      <c r="BK40" s="795">
        <f>BK35+BK39</f>
        <v>149.44417200000001</v>
      </c>
      <c r="BL40" s="795">
        <f>BL35+BL39</f>
        <v>149.69492299999999</v>
      </c>
      <c r="BM40" s="795">
        <f>BM35+BM39</f>
        <v>149.420952</v>
      </c>
      <c r="BN40" s="795">
        <f>BN35+BN39</f>
        <v>146.46135900000002</v>
      </c>
      <c r="BO40" s="795"/>
      <c r="BP40" s="795">
        <f>BP35+BP39</f>
        <v>139.58224999999999</v>
      </c>
      <c r="BQ40" s="795">
        <f>BQ35+BQ39</f>
        <v>136.059517</v>
      </c>
      <c r="BR40" s="795">
        <f>BR35+BR39</f>
        <v>133.325052</v>
      </c>
      <c r="BS40" s="795">
        <f>BS35+BS39</f>
        <v>131.371419</v>
      </c>
      <c r="BT40" s="795"/>
      <c r="BU40" s="795">
        <f>BU35+BU39</f>
        <v>134.63340399999998</v>
      </c>
      <c r="BV40" s="795">
        <f>BV35+BV39</f>
        <v>127.47056799999999</v>
      </c>
      <c r="BW40" s="795">
        <f>BW35+BW39</f>
        <v>123.78265</v>
      </c>
      <c r="BX40" s="795">
        <f>BX35+BX39</f>
        <v>117.83704</v>
      </c>
      <c r="BY40" s="795"/>
      <c r="BZ40" s="795">
        <f>BZ35+BZ39</f>
        <v>0</v>
      </c>
      <c r="CA40" s="795">
        <f>CA35+CA39</f>
        <v>0</v>
      </c>
      <c r="CB40" s="795">
        <f>CB35+CB39</f>
        <v>0</v>
      </c>
      <c r="CC40" s="796">
        <f>CC35+CC39</f>
        <v>0</v>
      </c>
      <c r="CD40" s="795"/>
      <c r="CE40" s="795">
        <f>CE35+CE39</f>
        <v>0</v>
      </c>
      <c r="CF40" s="795">
        <f>CF35+CF39</f>
        <v>0</v>
      </c>
      <c r="CG40" s="795">
        <f>CG35+CG39</f>
        <v>0</v>
      </c>
      <c r="CH40" s="795">
        <f>CH35+CH39</f>
        <v>0</v>
      </c>
      <c r="CI40" s="795"/>
      <c r="CJ40" s="795">
        <f>CJ35+CJ39</f>
        <v>0</v>
      </c>
      <c r="CK40" s="795">
        <f>CK35+CK39</f>
        <v>0</v>
      </c>
      <c r="CL40" s="795">
        <f>CL35+CL39</f>
        <v>0</v>
      </c>
      <c r="CM40" s="798">
        <f>CM35+CM39</f>
        <v>0</v>
      </c>
      <c r="CN40" s="795"/>
      <c r="CO40" s="796"/>
      <c r="CP40" s="796"/>
      <c r="CQ40" s="796"/>
      <c r="CR40" s="796"/>
      <c r="CS40" s="796"/>
      <c r="CT40" s="796">
        <f>CT35+CT39</f>
        <v>140.18365600000004</v>
      </c>
      <c r="CU40" s="796">
        <f>CU35+CU39</f>
        <v>0</v>
      </c>
      <c r="CV40" s="796">
        <f t="shared" ref="CV40:DH40" si="21">CV35+CV39</f>
        <v>164.14442399999999</v>
      </c>
      <c r="CW40" s="796">
        <f t="shared" si="21"/>
        <v>169.53431900000001</v>
      </c>
      <c r="CX40" s="796">
        <f t="shared" si="21"/>
        <v>171.26634112785936</v>
      </c>
      <c r="CY40" s="796">
        <f t="shared" si="21"/>
        <v>169.05669875000001</v>
      </c>
      <c r="CZ40" s="796">
        <f t="shared" si="21"/>
        <v>170.90210649999997</v>
      </c>
      <c r="DA40" s="797">
        <f t="shared" si="21"/>
        <v>171.78373100000005</v>
      </c>
      <c r="DB40" s="798">
        <f t="shared" si="21"/>
        <v>172.06988625000002</v>
      </c>
      <c r="DC40" s="797">
        <f t="shared" si="21"/>
        <v>165.76478950000001</v>
      </c>
      <c r="DD40" s="796">
        <f t="shared" si="21"/>
        <v>146.87260700000002</v>
      </c>
      <c r="DE40" s="796">
        <f t="shared" si="21"/>
        <v>147.63850675</v>
      </c>
      <c r="DF40" s="797">
        <f t="shared" si="21"/>
        <v>146.77198975000002</v>
      </c>
      <c r="DG40" s="796">
        <f t="shared" si="21"/>
        <v>130.40750399439395</v>
      </c>
      <c r="DH40" s="796">
        <f t="shared" si="21"/>
        <v>118.58091499999999</v>
      </c>
      <c r="DI40" s="796"/>
      <c r="DJ40" s="796"/>
      <c r="DK40" s="796"/>
      <c r="DL40" s="796"/>
      <c r="DM40" s="796"/>
      <c r="DN40" s="796"/>
      <c r="DO40" s="798"/>
      <c r="DP40" s="704"/>
    </row>
    <row r="41" spans="1:120" hidden="1" outlineLevel="1">
      <c r="A41" s="804" t="s">
        <v>655</v>
      </c>
      <c r="B41" s="795"/>
      <c r="C41" s="795">
        <f>'qtrP&amp;L'!AF110</f>
        <v>138.33889600000001</v>
      </c>
      <c r="D41" s="795">
        <f>'qtrP&amp;L'!AF111</f>
        <v>138.71055200000001</v>
      </c>
      <c r="E41" s="795">
        <f>'qtrP&amp;L'!AF112</f>
        <v>138.88950399999999</v>
      </c>
      <c r="F41" s="795">
        <f>'qtrP&amp;L'!AF113</f>
        <v>141.89655999999999</v>
      </c>
      <c r="G41" s="795"/>
      <c r="H41" s="795">
        <f>'qtrP&amp;L'!AB110</f>
        <v>138.49733599999999</v>
      </c>
      <c r="I41" s="795">
        <f>'qtrP&amp;L'!AB111</f>
        <v>138.03839199999999</v>
      </c>
      <c r="J41" s="795">
        <f>'qtrP&amp;L'!AB112</f>
        <v>138.20511999999999</v>
      </c>
      <c r="K41" s="795">
        <f>'qtrP&amp;L'!AB113</f>
        <v>138.05372</v>
      </c>
      <c r="L41" s="795"/>
      <c r="M41" s="795">
        <f>'qtrP&amp;L'!AN110</f>
        <v>158.12976</v>
      </c>
      <c r="N41" s="795">
        <f>'qtrP&amp;L'!AN111</f>
        <v>160.80882399999999</v>
      </c>
      <c r="O41" s="795">
        <f>'qtrP&amp;L'!AN112</f>
        <v>163.01565199999999</v>
      </c>
      <c r="P41" s="795">
        <f>'qtrP&amp;L'!AN113</f>
        <v>164.630684</v>
      </c>
      <c r="Q41" s="795"/>
      <c r="R41" s="795">
        <f>'qtrP&amp;L'!AU110</f>
        <v>165.88932800000001</v>
      </c>
      <c r="S41" s="795">
        <f>'qtrP&amp;L'!AU111</f>
        <v>166.82278400000001</v>
      </c>
      <c r="T41" s="795">
        <f>'qtrP&amp;L'!AU112</f>
        <v>168.152512</v>
      </c>
      <c r="U41" s="795">
        <f>'qtrP&amp;L'!AU113</f>
        <v>169.164264</v>
      </c>
      <c r="V41" s="795"/>
      <c r="W41" s="795">
        <f>'qtrP&amp;L'!AY110</f>
        <v>169.057896</v>
      </c>
      <c r="X41" s="795">
        <f>'qtrP&amp;L'!AY111</f>
        <v>169.833</v>
      </c>
      <c r="Y41" s="795">
        <f>'qtrP&amp;L'!AY112</f>
        <v>170.32885899999999</v>
      </c>
      <c r="Z41" s="795">
        <f>'qtrP&amp;L'!AY113</f>
        <v>170.481054</v>
      </c>
      <c r="AA41" s="795"/>
      <c r="AB41" s="795">
        <f>'qtrP&amp;L'!BC110</f>
        <v>168.02087900000001</v>
      </c>
      <c r="AC41" s="795">
        <f>'qtrP&amp;L'!BC111</f>
        <v>168.59537800000001</v>
      </c>
      <c r="AD41" s="795">
        <f>'qtrP&amp;L'!BC112</f>
        <v>168.30696699999999</v>
      </c>
      <c r="AE41" s="795">
        <f>'qtrP&amp;L'!BC113</f>
        <v>168.585418</v>
      </c>
      <c r="AF41" s="795"/>
      <c r="AG41" s="795">
        <f>'qtrP&amp;L'!BG110</f>
        <v>168.79977500000001</v>
      </c>
      <c r="AH41" s="795">
        <f>'qtrP&amp;L'!BG111</f>
        <v>169.710489</v>
      </c>
      <c r="AI41" s="795">
        <f>'qtrP&amp;L'!BG112</f>
        <v>169.933513</v>
      </c>
      <c r="AJ41" s="795">
        <f>'qtrP&amp;L'!BG113</f>
        <v>170.09992299999999</v>
      </c>
      <c r="AK41" s="795"/>
      <c r="AL41" s="795">
        <f>'qtrP&amp;L'!BK110</f>
        <v>170.60342</v>
      </c>
      <c r="AM41" s="795">
        <f>'qtrP&amp;L'!BK111</f>
        <v>171.68753000000001</v>
      </c>
      <c r="AN41" s="795">
        <f>'qtrP&amp;L'!BK112</f>
        <v>171.06490400000001</v>
      </c>
      <c r="AO41" s="795">
        <f>'qtrP&amp;L'!BK113</f>
        <v>170.01791299999999</v>
      </c>
      <c r="AP41" s="795"/>
      <c r="AQ41" s="795">
        <f>'qtrP&amp;L'!BO110</f>
        <v>170.31670800000001</v>
      </c>
      <c r="AR41" s="795">
        <f>'qtrP&amp;L'!BO111</f>
        <v>170.71927400000001</v>
      </c>
      <c r="AS41" s="795">
        <f>'qtrP&amp;L'!BO112</f>
        <v>171.44390200000001</v>
      </c>
      <c r="AT41" s="795">
        <f>'qtrP&amp;L'!BO113</f>
        <v>172.42160699999999</v>
      </c>
      <c r="AU41" s="795"/>
      <c r="AV41" s="795">
        <f>'qtrP&amp;L'!BS110</f>
        <v>172.81903700000001</v>
      </c>
      <c r="AW41" s="795">
        <f>'qtrP&amp;L'!BS111</f>
        <v>172.325996</v>
      </c>
      <c r="AX41" s="795">
        <f>'qtrP&amp;L'!BS112</f>
        <v>168.575637</v>
      </c>
      <c r="AY41" s="795">
        <f>'qtrP&amp;L'!BS113</f>
        <v>167.67730499999999</v>
      </c>
      <c r="AZ41" s="795"/>
      <c r="BA41" s="795">
        <f>'qtrP&amp;L'!BW110</f>
        <v>165.29359400000001</v>
      </c>
      <c r="BB41" s="795">
        <f>'qtrP&amp;L'!BW111</f>
        <v>160.74374299999999</v>
      </c>
      <c r="BC41" s="795">
        <f>'qtrP&amp;L'!BW112</f>
        <v>153.434811</v>
      </c>
      <c r="BD41" s="795">
        <f>'qtrP&amp;L'!BW113</f>
        <v>145.617909</v>
      </c>
      <c r="BE41" s="795"/>
      <c r="BF41" s="795">
        <f>'qtrP&amp;L'!CA110</f>
        <v>145.568667</v>
      </c>
      <c r="BG41" s="795">
        <f>'qtrP&amp;L'!CA111</f>
        <v>145.61480599999999</v>
      </c>
      <c r="BH41" s="795">
        <f>'qtrP&amp;L'!CA112</f>
        <v>147.08698200000001</v>
      </c>
      <c r="BI41" s="795">
        <f>'qtrP&amp;L'!CA113</f>
        <v>148.372602</v>
      </c>
      <c r="BJ41" s="795"/>
      <c r="BK41" s="795">
        <f>'qtrP&amp;L'!CE110</f>
        <v>148.79905600000001</v>
      </c>
      <c r="BL41" s="795">
        <f>'qtrP&amp;L'!CE111</f>
        <v>149.361132</v>
      </c>
      <c r="BM41" s="795">
        <f>'qtrP&amp;L'!CE112</f>
        <v>149.517146</v>
      </c>
      <c r="BN41" s="795">
        <f>'qtrP&amp;L'!CE113</f>
        <v>149.20262600000001</v>
      </c>
      <c r="BO41" s="795"/>
      <c r="BP41" s="795">
        <f>'qtrP&amp;L'!CI110</f>
        <v>145.906544</v>
      </c>
      <c r="BQ41" s="795">
        <f>'qtrP&amp;L'!CI111</f>
        <v>138.17711</v>
      </c>
      <c r="BR41" s="795">
        <f>'qtrP&amp;L'!CI112</f>
        <v>135.948454</v>
      </c>
      <c r="BS41" s="795">
        <f>'qtrP&amp;L'!CI113</f>
        <v>132.98094699999999</v>
      </c>
      <c r="BT41" s="795"/>
      <c r="BU41" s="795">
        <f>'qtrP&amp;L'!CM110</f>
        <v>132.83614399999999</v>
      </c>
      <c r="BV41" s="795">
        <f>'qtrP&amp;L'!CM111</f>
        <v>129.08059399999999</v>
      </c>
      <c r="BW41" s="795">
        <f>'qtrP&amp;L'!CM112</f>
        <v>123.72558100000001</v>
      </c>
      <c r="BX41" s="795">
        <f>'qtrP&amp;L'!CM113</f>
        <v>118.606002</v>
      </c>
      <c r="BY41" s="795"/>
      <c r="BZ41" s="795">
        <f>'qtrP&amp;L'!DM110</f>
        <v>0</v>
      </c>
      <c r="CA41" s="795">
        <f>'qtrP&amp;L'!DM111</f>
        <v>0</v>
      </c>
      <c r="CB41" s="795">
        <f>'qtrP&amp;L'!DM112</f>
        <v>0</v>
      </c>
      <c r="CC41" s="796">
        <f>'qtrP&amp;L'!DM113</f>
        <v>0</v>
      </c>
      <c r="CD41" s="795"/>
      <c r="CE41" s="795">
        <f>'qtrP&amp;L'!DR110</f>
        <v>0</v>
      </c>
      <c r="CF41" s="795">
        <f>'qtrP&amp;L'!DR111</f>
        <v>0</v>
      </c>
      <c r="CG41" s="795">
        <f>'qtrP&amp;L'!DR112</f>
        <v>0</v>
      </c>
      <c r="CH41" s="795">
        <f>'qtrP&amp;L'!DR113</f>
        <v>0</v>
      </c>
      <c r="CI41" s="795"/>
      <c r="CJ41" s="795">
        <f>'qtrP&amp;L'!DW110</f>
        <v>0</v>
      </c>
      <c r="CK41" s="795">
        <f>'qtrP&amp;L'!DW111</f>
        <v>0</v>
      </c>
      <c r="CL41" s="795">
        <f>'qtrP&amp;L'!DW112</f>
        <v>0</v>
      </c>
      <c r="CM41" s="798">
        <f>'qtrP&amp;L'!DW113</f>
        <v>0</v>
      </c>
      <c r="CN41" s="795"/>
      <c r="CO41" s="796"/>
      <c r="CP41" s="796"/>
      <c r="CQ41" s="796"/>
      <c r="CR41" s="796"/>
      <c r="CS41" s="796"/>
      <c r="CT41" s="796">
        <f>'qtrP&amp;L'!AF114</f>
        <v>139.507656</v>
      </c>
      <c r="CU41" s="796">
        <f>'qtrP&amp;L'!AE114</f>
        <v>0</v>
      </c>
      <c r="CV41" s="796">
        <f>'qtrP&amp;L'!AN114</f>
        <v>161.66227599999999</v>
      </c>
      <c r="CW41" s="796">
        <f>'qtrP&amp;L'!AU114</f>
        <v>167.30274499999999</v>
      </c>
      <c r="CX41" s="796">
        <f>'qtrP&amp;L'!AY114</f>
        <v>169.93604099999999</v>
      </c>
      <c r="CY41" s="796">
        <f>'qtrP&amp;L'!BC114</f>
        <v>168.652005</v>
      </c>
      <c r="CZ41" s="796">
        <f>'qtrP&amp;L'!BG114</f>
        <v>169.63592499999999</v>
      </c>
      <c r="DA41" s="797">
        <f>'qtrP&amp;L'!BK114</f>
        <v>170.84344175000001</v>
      </c>
      <c r="DB41" s="798">
        <f>'qtrP&amp;L'!BO114</f>
        <v>171.230245</v>
      </c>
      <c r="DC41" s="797">
        <f>'qtrP&amp;L'!BS114</f>
        <v>170.42160699999999</v>
      </c>
      <c r="DD41" s="796">
        <f>'qtrP&amp;L'!BW114</f>
        <v>156.19128900000001</v>
      </c>
      <c r="DE41" s="796">
        <f>'qtrP&amp;L'!CA114</f>
        <v>146.66076425</v>
      </c>
      <c r="DF41" s="797">
        <f>'qtrP&amp;L'!CE114</f>
        <v>149.21999</v>
      </c>
      <c r="DG41" s="796">
        <f>'qtrP&amp;L'!CI114</f>
        <v>136.67626974439395</v>
      </c>
      <c r="DH41" s="796">
        <f>'qtrP&amp;L'!CM114</f>
        <v>126.013414</v>
      </c>
      <c r="DI41" s="796"/>
      <c r="DJ41" s="796"/>
      <c r="DK41" s="796"/>
      <c r="DL41" s="796"/>
      <c r="DM41" s="796"/>
      <c r="DN41" s="796"/>
      <c r="DO41" s="798"/>
      <c r="DP41" s="704"/>
    </row>
    <row r="42" spans="1:120" hidden="1" outlineLevel="1">
      <c r="A42" s="794"/>
      <c r="B42" s="795"/>
      <c r="C42" s="795"/>
      <c r="D42" s="795"/>
      <c r="E42" s="795"/>
      <c r="F42" s="795"/>
      <c r="G42" s="795"/>
      <c r="H42" s="795"/>
      <c r="I42" s="795"/>
      <c r="J42" s="795"/>
      <c r="K42" s="795"/>
      <c r="L42" s="795"/>
      <c r="M42" s="795"/>
      <c r="N42" s="795"/>
      <c r="O42" s="795"/>
      <c r="P42" s="795"/>
      <c r="Q42" s="795"/>
      <c r="R42" s="795"/>
      <c r="S42" s="795"/>
      <c r="T42" s="795"/>
      <c r="U42" s="795"/>
      <c r="V42" s="795"/>
      <c r="W42" s="795"/>
      <c r="X42" s="795"/>
      <c r="Y42" s="795"/>
      <c r="Z42" s="795"/>
      <c r="AA42" s="795"/>
      <c r="AB42" s="795"/>
      <c r="AC42" s="795"/>
      <c r="AD42" s="795"/>
      <c r="AE42" s="795"/>
      <c r="AF42" s="795"/>
      <c r="AG42" s="795"/>
      <c r="AH42" s="795"/>
      <c r="AI42" s="795"/>
      <c r="AJ42" s="795"/>
      <c r="AK42" s="795"/>
      <c r="AL42" s="795"/>
      <c r="AM42" s="795"/>
      <c r="AN42" s="795"/>
      <c r="AO42" s="795"/>
      <c r="AP42" s="795"/>
      <c r="AQ42" s="795"/>
      <c r="AR42" s="795"/>
      <c r="AS42" s="795"/>
      <c r="AT42" s="795"/>
      <c r="AU42" s="795"/>
      <c r="AV42" s="795"/>
      <c r="AW42" s="795"/>
      <c r="AX42" s="795"/>
      <c r="AY42" s="795"/>
      <c r="AZ42" s="795"/>
      <c r="BA42" s="795"/>
      <c r="BB42" s="795"/>
      <c r="BC42" s="795"/>
      <c r="BD42" s="795"/>
      <c r="BE42" s="795"/>
      <c r="BF42" s="795"/>
      <c r="BG42" s="795"/>
      <c r="BH42" s="795"/>
      <c r="BI42" s="795"/>
      <c r="BJ42" s="795"/>
      <c r="BK42" s="795"/>
      <c r="BL42" s="795"/>
      <c r="BM42" s="795"/>
      <c r="BN42" s="795"/>
      <c r="BO42" s="795"/>
      <c r="BP42" s="795"/>
      <c r="BQ42" s="795"/>
      <c r="BR42" s="795"/>
      <c r="BS42" s="795"/>
      <c r="BT42" s="795"/>
      <c r="BU42" s="795"/>
      <c r="BV42" s="795"/>
      <c r="BW42" s="795"/>
      <c r="BX42" s="795"/>
      <c r="BY42" s="795"/>
      <c r="BZ42" s="795"/>
      <c r="CA42" s="795"/>
      <c r="CB42" s="795"/>
      <c r="CC42" s="796"/>
      <c r="CD42" s="795"/>
      <c r="CE42" s="795"/>
      <c r="CF42" s="795"/>
      <c r="CG42" s="795"/>
      <c r="CH42" s="795"/>
      <c r="CI42" s="795"/>
      <c r="CJ42" s="795"/>
      <c r="CK42" s="795"/>
      <c r="CL42" s="795"/>
      <c r="CM42" s="798"/>
      <c r="CN42" s="795"/>
      <c r="CO42" s="796"/>
      <c r="CP42" s="796"/>
      <c r="CQ42" s="796"/>
      <c r="CR42" s="796"/>
      <c r="CS42" s="796"/>
      <c r="CT42" s="796"/>
      <c r="CU42" s="796"/>
      <c r="CV42" s="796"/>
      <c r="CW42" s="796"/>
      <c r="CX42" s="796"/>
      <c r="CY42" s="796"/>
      <c r="CZ42" s="796"/>
      <c r="DA42" s="797"/>
      <c r="DB42" s="798"/>
      <c r="DC42" s="797"/>
      <c r="DD42" s="796"/>
      <c r="DE42" s="796"/>
      <c r="DF42" s="797"/>
      <c r="DG42" s="796"/>
      <c r="DH42" s="796"/>
      <c r="DI42" s="796"/>
      <c r="DJ42" s="796"/>
      <c r="DK42" s="796"/>
      <c r="DL42" s="796"/>
      <c r="DM42" s="796"/>
      <c r="DN42" s="796"/>
      <c r="DO42" s="798"/>
      <c r="DP42" s="704"/>
    </row>
    <row r="43" spans="1:120" hidden="1" outlineLevel="1">
      <c r="A43" s="807" t="s">
        <v>659</v>
      </c>
      <c r="B43" s="795"/>
      <c r="C43" s="795" t="str">
        <f>IFERROR(C45/C46,"NM")</f>
        <v>NM</v>
      </c>
      <c r="D43" s="795" t="str">
        <f>IFERROR(D45/D46,"NM")</f>
        <v>NM</v>
      </c>
      <c r="E43" s="795" t="str">
        <f>IFERROR(E45/E46,"NM")</f>
        <v>NM</v>
      </c>
      <c r="F43" s="795" t="str">
        <f>IFERROR(F45/F46,"NM")</f>
        <v>NM</v>
      </c>
      <c r="G43" s="795"/>
      <c r="H43" s="795">
        <f>IFERROR(H45/H46,"NM")</f>
        <v>-0.1056095736724009</v>
      </c>
      <c r="I43" s="795" t="str">
        <f>IFERROR(I45/I46,"NM")</f>
        <v>NM</v>
      </c>
      <c r="J43" s="795" t="str">
        <f>IFERROR(J45/J46,"NM")</f>
        <v>NM</v>
      </c>
      <c r="K43" s="795" t="str">
        <f>IFERROR(K45/K46,"NM")</f>
        <v>NM</v>
      </c>
      <c r="L43" s="795"/>
      <c r="M43" s="795">
        <f>IFERROR(M45/M46,"NM")</f>
        <v>0</v>
      </c>
      <c r="N43" s="795">
        <f>IFERROR(N45/N46,"NM")</f>
        <v>0</v>
      </c>
      <c r="O43" s="795">
        <f>IFERROR(O45/O46,"NM")</f>
        <v>0</v>
      </c>
      <c r="P43" s="795">
        <f>IFERROR(P45/P46,"NM")</f>
        <v>0</v>
      </c>
      <c r="Q43" s="795"/>
      <c r="R43" s="795">
        <f>IFERROR(R45/R46,"NM")</f>
        <v>0</v>
      </c>
      <c r="S43" s="795">
        <f>IFERROR(S45/S46,"NM")</f>
        <v>0</v>
      </c>
      <c r="T43" s="795">
        <f>IFERROR(T45/T46,"NM")</f>
        <v>0</v>
      </c>
      <c r="U43" s="795">
        <f>IFERROR(U45/U46,"NM")</f>
        <v>0</v>
      </c>
      <c r="V43" s="795"/>
      <c r="W43" s="795">
        <f>IFERROR(W45/W46,"NM")</f>
        <v>0</v>
      </c>
      <c r="X43" s="795">
        <f>IFERROR(X45/X46,"NM")</f>
        <v>0</v>
      </c>
      <c r="Y43" s="795">
        <f>IFERROR(Y45/Y46,"NM")</f>
        <v>0</v>
      </c>
      <c r="Z43" s="795">
        <f>IFERROR(Z45/Z46,"NM")</f>
        <v>0</v>
      </c>
      <c r="AA43" s="795"/>
      <c r="AB43" s="795">
        <f>IFERROR(AB45/AB46,"NM")</f>
        <v>0</v>
      </c>
      <c r="AC43" s="795">
        <f>IFERROR(AC45/AC46,"NM")</f>
        <v>-0.17003484320557491</v>
      </c>
      <c r="AD43" s="795">
        <f>IFERROR(AD45/AD46,"NM")</f>
        <v>-1.0488849765258215</v>
      </c>
      <c r="AE43" s="795">
        <f>IFERROR(AE45/AE46,"NM")</f>
        <v>-3.8802027946707089E-17</v>
      </c>
      <c r="AF43" s="795"/>
      <c r="AG43" s="795">
        <f>IFERROR(AG45/AG46,"NM")</f>
        <v>0</v>
      </c>
      <c r="AH43" s="795">
        <f>IFERROR(AH45/AH46,"NM")</f>
        <v>0</v>
      </c>
      <c r="AI43" s="795">
        <f>IFERROR(AI45/AI46,"NM")</f>
        <v>0</v>
      </c>
      <c r="AJ43" s="795">
        <f>IFERROR(AE45/AE46,"NM")</f>
        <v>-3.8802027946707089E-17</v>
      </c>
      <c r="AK43" s="795"/>
      <c r="AL43" s="795">
        <f>IFERROR(AL45/AL46,"NM")</f>
        <v>0</v>
      </c>
      <c r="AM43" s="795">
        <f>IFERROR(AM45/AM46,"NM")</f>
        <v>0</v>
      </c>
      <c r="AN43" s="795">
        <f>IFERROR(AN45/AN46,"NM")</f>
        <v>0</v>
      </c>
      <c r="AO43" s="795">
        <f>IFERROR(AO45/AO46,"NM")</f>
        <v>0</v>
      </c>
      <c r="AP43" s="795"/>
      <c r="AQ43" s="795">
        <f>IFERROR(AQ45/AQ46,"NM")</f>
        <v>0</v>
      </c>
      <c r="AR43" s="795">
        <f>IFERROR(AR45/AR46,"NM")</f>
        <v>0</v>
      </c>
      <c r="AS43" s="795">
        <f>IFERROR(AS45/AS46,"NM")</f>
        <v>0</v>
      </c>
      <c r="AT43" s="795">
        <f>IFERROR(AT45/AT46,"NM")</f>
        <v>0</v>
      </c>
      <c r="AU43" s="795"/>
      <c r="AV43" s="795">
        <f>IFERROR(AV45/AV46,"NM")</f>
        <v>0</v>
      </c>
      <c r="AW43" s="795">
        <f>IFERROR(AW45/AW46,"NM")</f>
        <v>-2.133609958506224</v>
      </c>
      <c r="AX43" s="795">
        <f>IFERROR(AX45/AX46,"NM")</f>
        <v>-4.2735028976175151</v>
      </c>
      <c r="AY43" s="795">
        <f>IFERROR(AY45/AY46,"NM")</f>
        <v>1.5664160401077299E-4</v>
      </c>
      <c r="AZ43" s="795"/>
      <c r="BA43" s="795">
        <f>IFERROR(BA45/BA46,"NM")</f>
        <v>-4.8255111976630971</v>
      </c>
      <c r="BB43" s="795">
        <f>IFERROR(BB45/BB46,"NM")</f>
        <v>-2.3407162726008339</v>
      </c>
      <c r="BC43" s="795">
        <f>IFERROR(BC45/BC46,"NM")</f>
        <v>-13.324431583298887</v>
      </c>
      <c r="BD43" s="795">
        <f>IFERROR(BD45/BD46,"NM")</f>
        <v>-0.27282070803197028</v>
      </c>
      <c r="BE43" s="795"/>
      <c r="BF43" s="795">
        <f>IFERROR(BF45/BF46,"NM")</f>
        <v>0</v>
      </c>
      <c r="BG43" s="795">
        <f>IFERROR(BG45/BG46,"NM")</f>
        <v>0</v>
      </c>
      <c r="BH43" s="795">
        <f>IFERROR(BH45/BH46,"NM")</f>
        <v>0</v>
      </c>
      <c r="BI43" s="795">
        <f>IFERROR(BI45/BI46,"NM")</f>
        <v>0</v>
      </c>
      <c r="BJ43" s="795"/>
      <c r="BK43" s="795">
        <f>IFERROR(BK45/BK46,"NM")</f>
        <v>0</v>
      </c>
      <c r="BL43" s="795">
        <f>IFERROR(BL45/BL46,"NM")</f>
        <v>0</v>
      </c>
      <c r="BM43" s="795">
        <f>IFERROR(BM45/BM46,"NM")</f>
        <v>-0.30030890199382199</v>
      </c>
      <c r="BN43" s="795">
        <f>IFERROR(BN45/BN46,"NM")</f>
        <v>-2.7480076944200212E-5</v>
      </c>
      <c r="BO43" s="795"/>
      <c r="BP43" s="795">
        <f>IFERROR(BP45/BP46,"NM")</f>
        <v>-9.6984628053801814</v>
      </c>
      <c r="BQ43" s="795">
        <f>IFERROR(BQ45/BQ46,"NM")</f>
        <v>-3.7360797144556823</v>
      </c>
      <c r="BR43" s="795">
        <f>IFERROR(BR45/BR46,"NM")</f>
        <v>-0.18663232104121424</v>
      </c>
      <c r="BS43" s="795">
        <f>IFERROR(BS45/BS46,"NM")</f>
        <v>-1.0526315789473684</v>
      </c>
      <c r="BT43" s="795"/>
      <c r="BU43" s="795">
        <f>IFERROR(BU45/BU46,"NM")</f>
        <v>0</v>
      </c>
      <c r="BV43" s="795">
        <f>IFERROR(BV45/BV46,"NM")</f>
        <v>0</v>
      </c>
      <c r="BW43" s="795">
        <f>IFERROR(BW45/BW46,"NM")</f>
        <v>0</v>
      </c>
      <c r="BX43" s="795">
        <f>IFERROR(BX45/BX46,"NM")</f>
        <v>0</v>
      </c>
      <c r="BY43" s="795"/>
      <c r="BZ43" s="795" t="str">
        <f>IFERROR(BZ45/BZ46,"NM")</f>
        <v>NM</v>
      </c>
      <c r="CA43" s="795" t="str">
        <f>IFERROR(CA45/CA46,"NM")</f>
        <v>NM</v>
      </c>
      <c r="CB43" s="795" t="str">
        <f>IFERROR(CB45/CB46,"NM")</f>
        <v>NM</v>
      </c>
      <c r="CC43" s="796" t="str">
        <f>IFERROR(CC45/CC46,"NM")</f>
        <v>NM</v>
      </c>
      <c r="CD43" s="795"/>
      <c r="CE43" s="795" t="str">
        <f>IFERROR(CE45/CE46,"NM")</f>
        <v>NM</v>
      </c>
      <c r="CF43" s="795" t="str">
        <f>IFERROR(CF45/CF46,"NM")</f>
        <v>NM</v>
      </c>
      <c r="CG43" s="795" t="str">
        <f>IFERROR(CG45/CG46,"NM")</f>
        <v>NM</v>
      </c>
      <c r="CH43" s="795" t="str">
        <f>IFERROR(CH45/CH46,"NM")</f>
        <v>NM</v>
      </c>
      <c r="CI43" s="795"/>
      <c r="CJ43" s="795" t="str">
        <f>IFERROR(CJ45/CJ46,"NM")</f>
        <v>NM</v>
      </c>
      <c r="CK43" s="795" t="str">
        <f>IFERROR(CK45/CK46,"NM")</f>
        <v>NM</v>
      </c>
      <c r="CL43" s="795" t="str">
        <f>IFERROR(CL45/CL46,"NM")</f>
        <v>NM</v>
      </c>
      <c r="CM43" s="798" t="str">
        <f>IFERROR(CM45/CM46,"NM")</f>
        <v>NM</v>
      </c>
      <c r="CN43" s="795"/>
      <c r="CO43" s="796"/>
      <c r="CP43" s="796"/>
      <c r="CQ43" s="796"/>
      <c r="CR43" s="796"/>
      <c r="CS43" s="796"/>
      <c r="CT43" s="796">
        <f>'qtrP&amp;L'!AF201</f>
        <v>0</v>
      </c>
      <c r="CU43" s="796">
        <f>'qtrP&amp;L'!AE201</f>
        <v>0</v>
      </c>
      <c r="CV43" s="796">
        <f>'qtrP&amp;L'!AN201</f>
        <v>0</v>
      </c>
      <c r="CW43" s="796">
        <f>'qtrP&amp;L'!AU201</f>
        <v>0</v>
      </c>
      <c r="CX43" s="796">
        <f>'qtrP&amp;L'!AY201</f>
        <v>0</v>
      </c>
      <c r="CY43" s="796">
        <f>'qtrP&amp;L'!BC201</f>
        <v>-1.2189198197313964</v>
      </c>
      <c r="CZ43" s="796">
        <f>'qtrP&amp;L'!BG201</f>
        <v>0</v>
      </c>
      <c r="DA43" s="797">
        <f>'qtrP&amp;L'!BK201</f>
        <v>0</v>
      </c>
      <c r="DB43" s="798">
        <f>'qtrP&amp;L'!BO201</f>
        <v>0</v>
      </c>
      <c r="DC43" s="797">
        <f>'qtrP&amp;L'!BS201</f>
        <v>-6.4069562145197283</v>
      </c>
      <c r="DD43" s="796">
        <f>'qtrP&amp;L'!BW201</f>
        <v>-20.763479761594791</v>
      </c>
      <c r="DE43" s="796">
        <f>'qtrP&amp;L'!CA201</f>
        <v>0</v>
      </c>
      <c r="DF43" s="797">
        <f>'qtrP&amp;L'!CE201</f>
        <v>-0.30033638207076618</v>
      </c>
      <c r="DG43" s="796">
        <f>'qtrP&amp;L'!CI201</f>
        <v>-14.673806419824446</v>
      </c>
      <c r="DH43" s="796">
        <f>'qtrP&amp;L'!CM201</f>
        <v>0</v>
      </c>
      <c r="DI43" s="796"/>
      <c r="DJ43" s="796"/>
      <c r="DK43" s="796"/>
      <c r="DL43" s="796"/>
      <c r="DM43" s="796"/>
      <c r="DN43" s="796"/>
      <c r="DO43" s="798"/>
      <c r="DP43" s="704"/>
    </row>
    <row r="44" spans="1:120" hidden="1" outlineLevel="1">
      <c r="A44" s="808" t="s">
        <v>656</v>
      </c>
      <c r="B44" s="795"/>
      <c r="C44" s="795"/>
      <c r="D44" s="795"/>
      <c r="E44" s="795"/>
      <c r="F44" s="795"/>
      <c r="G44" s="795"/>
      <c r="H44" s="809">
        <f>IFERROR(-H43/F41,"NM")</f>
        <v>7.4427155719913787E-4</v>
      </c>
      <c r="I44" s="809" t="str">
        <f>IFERROR(-I43/H41,"NM")</f>
        <v>NM</v>
      </c>
      <c r="J44" s="809" t="str">
        <f>IFERROR(-J43/I41,"NM")</f>
        <v>NM</v>
      </c>
      <c r="K44" s="809" t="str">
        <f>IFERROR(-K43/J41,"NM")</f>
        <v>NM</v>
      </c>
      <c r="L44" s="810"/>
      <c r="M44" s="809">
        <f>IFERROR(-M43/K41,"NM")</f>
        <v>0</v>
      </c>
      <c r="N44" s="809">
        <f>IFERROR(-N43/M41,"NM")</f>
        <v>0</v>
      </c>
      <c r="O44" s="809">
        <f>IFERROR(-O43/N41,"NM")</f>
        <v>0</v>
      </c>
      <c r="P44" s="809">
        <f>IFERROR(-P43/O41,"NM")</f>
        <v>0</v>
      </c>
      <c r="Q44" s="810"/>
      <c r="R44" s="809">
        <f>IFERROR(-R43/P41,"NM")</f>
        <v>0</v>
      </c>
      <c r="S44" s="809">
        <f>IFERROR(-S43/R41,"NM")</f>
        <v>0</v>
      </c>
      <c r="T44" s="809">
        <f>IFERROR(-T43/S41,"NM")</f>
        <v>0</v>
      </c>
      <c r="U44" s="809">
        <f>IFERROR(-U43/T41,"NM")</f>
        <v>0</v>
      </c>
      <c r="V44" s="795"/>
      <c r="W44" s="809">
        <f>IFERROR(-W43/U41,"NM")</f>
        <v>0</v>
      </c>
      <c r="X44" s="809">
        <f>IFERROR(-X43/W41,"NM")</f>
        <v>0</v>
      </c>
      <c r="Y44" s="809">
        <f>IFERROR(-Y43/X41,"NM")</f>
        <v>0</v>
      </c>
      <c r="Z44" s="809">
        <f>IFERROR(-Z43/Y41,"NM")</f>
        <v>0</v>
      </c>
      <c r="AA44" s="795"/>
      <c r="AB44" s="809">
        <f>IFERROR(-AB43/Z41,"NM")</f>
        <v>0</v>
      </c>
      <c r="AC44" s="809">
        <f>IFERROR(-AC43/AB41,"NM")</f>
        <v>1.0119863925100339E-3</v>
      </c>
      <c r="AD44" s="809">
        <f>IFERROR(-AD43/AC41,"NM")</f>
        <v>6.2213151331219855E-3</v>
      </c>
      <c r="AE44" s="809">
        <f>IFERROR(-AE43/AD41,"NM")</f>
        <v>2.3054320708367997E-19</v>
      </c>
      <c r="AF44" s="795"/>
      <c r="AG44" s="809">
        <f>IFERROR(-AG43/AE41,"NM")</f>
        <v>0</v>
      </c>
      <c r="AH44" s="809">
        <f>IFERROR(-AH43/AG41,"NM")</f>
        <v>0</v>
      </c>
      <c r="AI44" s="809">
        <f>IFERROR(-AI43/AH41,"NM")</f>
        <v>0</v>
      </c>
      <c r="AJ44" s="809">
        <f>IFERROR(-AE43/AI41,"NM")</f>
        <v>2.2833652563109838E-19</v>
      </c>
      <c r="AK44" s="795"/>
      <c r="AL44" s="809">
        <f>IFERROR(-AL43/AE41,"NM")</f>
        <v>0</v>
      </c>
      <c r="AM44" s="809">
        <f>IFERROR(-AM43/AL41,"NM")</f>
        <v>0</v>
      </c>
      <c r="AN44" s="809">
        <f>IFERROR(-AN43/AM41,"NM")</f>
        <v>0</v>
      </c>
      <c r="AO44" s="809">
        <f>IFERROR(-AO43/AN41,"NM")</f>
        <v>0</v>
      </c>
      <c r="AP44" s="795"/>
      <c r="AQ44" s="809">
        <f>IFERROR(-AQ43/AO41,"NM")</f>
        <v>0</v>
      </c>
      <c r="AR44" s="809">
        <f>IFERROR(-AR43/AQ41,"NM")</f>
        <v>0</v>
      </c>
      <c r="AS44" s="809">
        <f>IFERROR(-AS43/AR41,"NM")</f>
        <v>0</v>
      </c>
      <c r="AT44" s="809">
        <f>IFERROR(-AT43/AS41,"NM")</f>
        <v>0</v>
      </c>
      <c r="AU44" s="795"/>
      <c r="AV44" s="809">
        <f>IFERROR(-AV43/AT41,"NM")</f>
        <v>0</v>
      </c>
      <c r="AW44" s="809">
        <f>IFERROR(-AW43/AV41,"NM")</f>
        <v>1.2345919729353798E-2</v>
      </c>
      <c r="AX44" s="809">
        <f>IFERROR(-AX43/AW41,"NM")</f>
        <v>2.4798945004313306E-2</v>
      </c>
      <c r="AY44" s="809">
        <f>IFERROR(-AY43/AX41,"NM")</f>
        <v>-9.2920665642077922E-7</v>
      </c>
      <c r="AZ44" s="795"/>
      <c r="BA44" s="809">
        <f>IFERROR(-BA43/AY41,"NM")</f>
        <v>2.8778558897181089E-2</v>
      </c>
      <c r="BB44" s="809">
        <f>IFERROR(-BB43/BA41,"NM")</f>
        <v>1.4160961813201508E-2</v>
      </c>
      <c r="BC44" s="809">
        <f>IFERROR(-BC43/BB41,"NM")</f>
        <v>8.2892380969994503E-2</v>
      </c>
      <c r="BD44" s="809">
        <f>IFERROR(-BD43/BC41,"NM")</f>
        <v>1.7780887287173071E-3</v>
      </c>
      <c r="BE44" s="795"/>
      <c r="BF44" s="809">
        <f>IFERROR(-BF43/BD41,"NM")</f>
        <v>0</v>
      </c>
      <c r="BG44" s="809">
        <f>IFERROR(-BG43/BF41,"NM")</f>
        <v>0</v>
      </c>
      <c r="BH44" s="809">
        <f>IFERROR(-BH43/BG41,"NM")</f>
        <v>0</v>
      </c>
      <c r="BI44" s="809">
        <f>IFERROR(-BI43/BH41,"NM")</f>
        <v>0</v>
      </c>
      <c r="BJ44" s="795"/>
      <c r="BK44" s="809">
        <f>IFERROR(-BK43/BI41,"NM")</f>
        <v>0</v>
      </c>
      <c r="BL44" s="809">
        <f>IFERROR(-BL43/BK41,"NM")</f>
        <v>0</v>
      </c>
      <c r="BM44" s="809">
        <f>IFERROR(-BM43/BL41,"NM")</f>
        <v>2.0106228305354704E-3</v>
      </c>
      <c r="BN44" s="809">
        <f>IFERROR(-BN43/BM41,"NM")</f>
        <v>1.8379214477649414E-7</v>
      </c>
      <c r="BO44" s="795"/>
      <c r="BP44" s="809">
        <f>IFERROR(-BP43/BN41,"NM")</f>
        <v>6.5001957843424149E-2</v>
      </c>
      <c r="BQ44" s="809">
        <f>IFERROR(-BQ43/BP41,"NM")</f>
        <v>2.5605977717186437E-2</v>
      </c>
      <c r="BR44" s="809">
        <f>IFERROR(-BR43/BQ41,"NM")</f>
        <v>1.350674659798676E-3</v>
      </c>
      <c r="BS44" s="809">
        <f>IFERROR(-BS43/BR41,"NM")</f>
        <v>7.7428727431307779E-3</v>
      </c>
      <c r="BT44" s="795"/>
      <c r="BU44" s="809">
        <f>IFERROR(-BU43/BS41,"NM")</f>
        <v>0</v>
      </c>
      <c r="BV44" s="809">
        <f>IFERROR(-BV43/BU41,"NM")</f>
        <v>0</v>
      </c>
      <c r="BW44" s="809">
        <f>IFERROR(-BW43/BV41,"NM")</f>
        <v>0</v>
      </c>
      <c r="BX44" s="809">
        <f>IFERROR(-BX43/BW41,"NM")</f>
        <v>0</v>
      </c>
      <c r="BY44" s="795"/>
      <c r="BZ44" s="809" t="str">
        <f>IFERROR(-BZ43/DA41,"NM")</f>
        <v>NM</v>
      </c>
      <c r="CA44" s="809" t="str">
        <f>IFERROR(-CA43/BZ41,"NM")</f>
        <v>NM</v>
      </c>
      <c r="CB44" s="809" t="str">
        <f>IFERROR(-CB43/CA41,"NM")</f>
        <v>NM</v>
      </c>
      <c r="CC44" s="811" t="str">
        <f>IFERROR(-CC43/CB41,"NM")</f>
        <v>NM</v>
      </c>
      <c r="CD44" s="795"/>
      <c r="CE44" s="809" t="str">
        <f>IFERROR(-CE43/DF41,"NM")</f>
        <v>NM</v>
      </c>
      <c r="CF44" s="809" t="str">
        <f>IFERROR(-CF43/CE41,"NM")</f>
        <v>NM</v>
      </c>
      <c r="CG44" s="809" t="str">
        <f>IFERROR(-CG43/CF41,"NM")</f>
        <v>NM</v>
      </c>
      <c r="CH44" s="809" t="str">
        <f>IFERROR(-CH43/CG41,"NM")</f>
        <v>NM</v>
      </c>
      <c r="CI44" s="795"/>
      <c r="CJ44" s="809" t="str">
        <f>IFERROR(-CJ43/DK41,"NM")</f>
        <v>NM</v>
      </c>
      <c r="CK44" s="809" t="str">
        <f>IFERROR(-CK43/CJ41,"NM")</f>
        <v>NM</v>
      </c>
      <c r="CL44" s="809" t="str">
        <f>IFERROR(-CL43/CK41,"NM")</f>
        <v>NM</v>
      </c>
      <c r="CM44" s="1611" t="str">
        <f>IFERROR(-CM43/CL41,"NM")</f>
        <v>NM</v>
      </c>
      <c r="CN44" s="795"/>
      <c r="CO44" s="796"/>
      <c r="CP44" s="796"/>
      <c r="CQ44" s="796"/>
      <c r="CR44" s="796"/>
      <c r="CS44" s="796"/>
      <c r="CT44" s="811" t="str">
        <f>IFERROR(CT43/CS41,"NM")</f>
        <v>NM</v>
      </c>
      <c r="CU44" s="811">
        <f t="shared" ref="CU44:DH44" si="22">IFERROR(CU43/CT41,"NM")</f>
        <v>0</v>
      </c>
      <c r="CV44" s="811" t="str">
        <f t="shared" si="22"/>
        <v>NM</v>
      </c>
      <c r="CW44" s="811">
        <f t="shared" si="22"/>
        <v>0</v>
      </c>
      <c r="CX44" s="811">
        <f t="shared" si="22"/>
        <v>0</v>
      </c>
      <c r="CY44" s="811">
        <f t="shared" si="22"/>
        <v>-7.1728152107026931E-3</v>
      </c>
      <c r="CZ44" s="811">
        <f t="shared" si="22"/>
        <v>0</v>
      </c>
      <c r="DA44" s="812">
        <f t="shared" si="22"/>
        <v>0</v>
      </c>
      <c r="DB44" s="1611">
        <f t="shared" si="22"/>
        <v>0</v>
      </c>
      <c r="DC44" s="812">
        <f>IFERROR(DC43/DB41,"NM")</f>
        <v>-3.7417199365215696E-2</v>
      </c>
      <c r="DD44" s="811">
        <f t="shared" si="22"/>
        <v>-0.12183595805193172</v>
      </c>
      <c r="DE44" s="811">
        <f t="shared" si="22"/>
        <v>0</v>
      </c>
      <c r="DF44" s="812">
        <f t="shared" si="22"/>
        <v>-2.0478304719509614E-3</v>
      </c>
      <c r="DG44" s="811">
        <f t="shared" si="22"/>
        <v>-9.8336733703201867E-2</v>
      </c>
      <c r="DH44" s="811">
        <f t="shared" si="22"/>
        <v>0</v>
      </c>
      <c r="DI44" s="796"/>
      <c r="DJ44" s="796"/>
      <c r="DK44" s="796"/>
      <c r="DL44" s="796"/>
      <c r="DM44" s="796"/>
      <c r="DN44" s="796"/>
      <c r="DO44" s="798"/>
      <c r="DP44" s="704"/>
    </row>
    <row r="45" spans="1:120" hidden="1" outlineLevel="1">
      <c r="A45" s="807" t="s">
        <v>658</v>
      </c>
      <c r="B45" s="795"/>
      <c r="C45" s="795">
        <f>'qtrP&amp;L'!AF164</f>
        <v>0</v>
      </c>
      <c r="D45" s="795">
        <f>'qtrP&amp;L'!AF165</f>
        <v>0</v>
      </c>
      <c r="E45" s="795">
        <f>'qtrP&amp;L'!AF166</f>
        <v>0</v>
      </c>
      <c r="F45" s="795">
        <f>'qtrP&amp;L'!AF167</f>
        <v>0</v>
      </c>
      <c r="G45" s="795"/>
      <c r="H45" s="795">
        <f>'qtrP&amp;L'!AB164</f>
        <v>-1.4119999999999999</v>
      </c>
      <c r="I45" s="795">
        <f>'qtrP&amp;L'!AB165</f>
        <v>0</v>
      </c>
      <c r="J45" s="795">
        <f>'qtrP&amp;L'!AB166</f>
        <v>0</v>
      </c>
      <c r="K45" s="795">
        <f>'qtrP&amp;L'!AB167</f>
        <v>0</v>
      </c>
      <c r="L45" s="795"/>
      <c r="M45" s="795">
        <f>'qtrP&amp;L'!AN164</f>
        <v>0</v>
      </c>
      <c r="N45" s="795">
        <f>'qtrP&amp;L'!AN165</f>
        <v>0</v>
      </c>
      <c r="O45" s="795">
        <f>'qtrP&amp;L'!AN166</f>
        <v>0</v>
      </c>
      <c r="P45" s="795">
        <f>'qtrP&amp;L'!AN167</f>
        <v>0</v>
      </c>
      <c r="Q45" s="795"/>
      <c r="R45" s="795">
        <f>'qtrP&amp;L'!AU164</f>
        <v>0</v>
      </c>
      <c r="S45" s="795">
        <f>'qtrP&amp;L'!AU165</f>
        <v>0</v>
      </c>
      <c r="T45" s="795">
        <f>'qtrP&amp;L'!AU166</f>
        <v>0</v>
      </c>
      <c r="U45" s="795">
        <f>'qtrP&amp;L'!AU167</f>
        <v>0</v>
      </c>
      <c r="V45" s="795"/>
      <c r="W45" s="795">
        <f>'qtrP&amp;L'!AY164</f>
        <v>0</v>
      </c>
      <c r="X45" s="795">
        <f>'qtrP&amp;L'!AY165</f>
        <v>0</v>
      </c>
      <c r="Y45" s="795">
        <f>'qtrP&amp;L'!AY166</f>
        <v>0</v>
      </c>
      <c r="Z45" s="795">
        <f>'qtrP&amp;L'!AY167</f>
        <v>0</v>
      </c>
      <c r="AA45" s="795"/>
      <c r="AB45" s="795">
        <f>'qtrP&amp;L'!BC164</f>
        <v>0</v>
      </c>
      <c r="AC45" s="795">
        <f>'qtrP&amp;L'!BC165</f>
        <v>-2.9279999999999999</v>
      </c>
      <c r="AD45" s="795">
        <f>'qtrP&amp;L'!BC166</f>
        <v>-17.872999999999998</v>
      </c>
      <c r="AE45" s="795">
        <f>'qtrP&amp;L'!BC167</f>
        <v>-8.8817841970012523E-16</v>
      </c>
      <c r="AF45" s="795"/>
      <c r="AG45" s="795">
        <f>'qtrP&amp;L'!BG164</f>
        <v>0</v>
      </c>
      <c r="AH45" s="795">
        <f>'qtrP&amp;L'!BG165</f>
        <v>0</v>
      </c>
      <c r="AI45" s="795">
        <f>'qtrP&amp;L'!BG166</f>
        <v>0</v>
      </c>
      <c r="AJ45" s="795">
        <f>'qtrP&amp;L'!BG167</f>
        <v>0</v>
      </c>
      <c r="AK45" s="795"/>
      <c r="AL45" s="795">
        <f>'qtrP&amp;L'!BK164</f>
        <v>0</v>
      </c>
      <c r="AM45" s="795">
        <f>'qtrP&amp;L'!BK165</f>
        <v>0</v>
      </c>
      <c r="AN45" s="795">
        <f>'qtrP&amp;L'!BK166</f>
        <v>0</v>
      </c>
      <c r="AO45" s="795">
        <f>'qtrP&amp;L'!BK167</f>
        <v>0</v>
      </c>
      <c r="AP45" s="795"/>
      <c r="AQ45" s="795">
        <f>'qtrP&amp;L'!BO164</f>
        <v>0</v>
      </c>
      <c r="AR45" s="795">
        <f>'qtrP&amp;L'!BO165</f>
        <v>0</v>
      </c>
      <c r="AS45" s="795">
        <f>'qtrP&amp;L'!BO166</f>
        <v>0</v>
      </c>
      <c r="AT45" s="795">
        <f>'qtrP&amp;L'!BO167</f>
        <v>0</v>
      </c>
      <c r="AU45" s="795"/>
      <c r="AV45" s="795">
        <f>'qtrP&amp;L'!BS164</f>
        <v>0</v>
      </c>
      <c r="AW45" s="795">
        <f>'qtrP&amp;L'!BS165</f>
        <v>-71.988</v>
      </c>
      <c r="AX45" s="795">
        <f>'qtrP&amp;L'!BS166</f>
        <v>-132.73500000000001</v>
      </c>
      <c r="AY45" s="795">
        <f>'qtrP&amp;L'!BS167</f>
        <v>5.0000000000238742E-3</v>
      </c>
      <c r="AZ45" s="795"/>
      <c r="BA45" s="795">
        <f>'qtrP&amp;L'!BW164</f>
        <v>-148.67400000000001</v>
      </c>
      <c r="BB45" s="795">
        <f>'qtrP&amp;L'!BW165</f>
        <v>-67.318999999999988</v>
      </c>
      <c r="BC45" s="795">
        <f>'qtrP&amp;L'!BW166</f>
        <v>-322.3180000000001</v>
      </c>
      <c r="BD45" s="795">
        <f>'qtrP&amp;L'!BW167</f>
        <v>-7.1669999999998595</v>
      </c>
      <c r="BE45" s="795"/>
      <c r="BF45" s="795">
        <f>'qtrP&amp;L'!CA164</f>
        <v>0</v>
      </c>
      <c r="BG45" s="795">
        <f>'qtrP&amp;L'!CA165</f>
        <v>0</v>
      </c>
      <c r="BH45" s="795">
        <f>'qtrP&amp;L'!CA166</f>
        <v>0</v>
      </c>
      <c r="BI45" s="795">
        <f>'qtrP&amp;L'!CA167</f>
        <v>0</v>
      </c>
      <c r="BJ45" s="795"/>
      <c r="BK45" s="795">
        <f>'qtrP&amp;L'!CE164</f>
        <v>0</v>
      </c>
      <c r="BL45" s="795">
        <f>'qtrP&amp;L'!CE165</f>
        <v>0</v>
      </c>
      <c r="BM45" s="795">
        <f>'qtrP&amp;L'!CE166</f>
        <v>-10.694000000000001</v>
      </c>
      <c r="BN45" s="795">
        <f>'qtrP&amp;L'!CE167</f>
        <v>-9.9999999999944578E-4</v>
      </c>
      <c r="BO45" s="795"/>
      <c r="BP45" s="795">
        <f>'qtrP&amp;L'!CI164</f>
        <v>-353.315</v>
      </c>
      <c r="BQ45" s="795">
        <f>'qtrP&amp;L'!CI165</f>
        <v>-125.60700000000003</v>
      </c>
      <c r="BR45" s="795">
        <f>'qtrP&amp;L'!CI166</f>
        <v>-6.8829999999999814</v>
      </c>
      <c r="BS45" s="795">
        <f>'qtrP&amp;L'!CI167</f>
        <v>-40</v>
      </c>
      <c r="BT45" s="795"/>
      <c r="BU45" s="795">
        <f>'qtrP&amp;L'!CM164</f>
        <v>0</v>
      </c>
      <c r="BV45" s="795">
        <f>'qtrP&amp;L'!CM165</f>
        <v>0</v>
      </c>
      <c r="BW45" s="795">
        <f>'qtrP&amp;L'!CM166</f>
        <v>0</v>
      </c>
      <c r="BX45" s="795">
        <f>'qtrP&amp;L'!CM167</f>
        <v>0</v>
      </c>
      <c r="BY45" s="795"/>
      <c r="BZ45" s="795">
        <f>'qtrP&amp;L'!DM164</f>
        <v>0</v>
      </c>
      <c r="CA45" s="795">
        <f>'qtrP&amp;L'!DM165</f>
        <v>0</v>
      </c>
      <c r="CB45" s="795">
        <f>'qtrP&amp;L'!DM166</f>
        <v>0</v>
      </c>
      <c r="CC45" s="796">
        <f>'qtrP&amp;L'!DM167</f>
        <v>0</v>
      </c>
      <c r="CD45" s="795"/>
      <c r="CE45" s="795">
        <f>'qtrP&amp;L'!DR164</f>
        <v>0</v>
      </c>
      <c r="CF45" s="795">
        <f>'qtrP&amp;L'!DR165</f>
        <v>0</v>
      </c>
      <c r="CG45" s="795">
        <f>'qtrP&amp;L'!DR166</f>
        <v>0</v>
      </c>
      <c r="CH45" s="795">
        <f>'qtrP&amp;L'!DR167</f>
        <v>0</v>
      </c>
      <c r="CI45" s="795"/>
      <c r="CJ45" s="795">
        <f>'qtrP&amp;L'!DW164</f>
        <v>0</v>
      </c>
      <c r="CK45" s="795">
        <f>'qtrP&amp;L'!DW165</f>
        <v>0</v>
      </c>
      <c r="CL45" s="795">
        <f>'qtrP&amp;L'!DW166</f>
        <v>0</v>
      </c>
      <c r="CM45" s="798">
        <f>'qtrP&amp;L'!DW167</f>
        <v>0</v>
      </c>
      <c r="CN45" s="795"/>
      <c r="CO45" s="796"/>
      <c r="CP45" s="796"/>
      <c r="CQ45" s="796"/>
      <c r="CR45" s="796"/>
      <c r="CS45" s="796"/>
      <c r="CT45" s="796">
        <f>'qtrP&amp;L'!AF168</f>
        <v>0</v>
      </c>
      <c r="CU45" s="796">
        <f>'qtrP&amp;L'!AE168</f>
        <v>0</v>
      </c>
      <c r="CV45" s="796">
        <f>'qtrP&amp;L'!AN168</f>
        <v>0</v>
      </c>
      <c r="CW45" s="796">
        <f>'qtrP&amp;L'!AU168</f>
        <v>0</v>
      </c>
      <c r="CX45" s="796">
        <f>'qtrP&amp;L'!AY168</f>
        <v>0</v>
      </c>
      <c r="CY45" s="796">
        <f>'qtrP&amp;L'!BC168</f>
        <v>-20.800999999999998</v>
      </c>
      <c r="CZ45" s="796">
        <f>'qtrP&amp;L'!BG168</f>
        <v>0</v>
      </c>
      <c r="DA45" s="797">
        <f>'qtrP&amp;L'!BK168</f>
        <v>0</v>
      </c>
      <c r="DB45" s="798">
        <f>'qtrP&amp;L'!BO168</f>
        <v>0</v>
      </c>
      <c r="DC45" s="797">
        <f>'qtrP&amp;L'!BS168</f>
        <v>-204.71799999999999</v>
      </c>
      <c r="DD45" s="796">
        <f>'qtrP&amp;L'!BW168</f>
        <v>-545.47800000000007</v>
      </c>
      <c r="DE45" s="796">
        <f>'qtrP&amp;L'!CA168</f>
        <v>0</v>
      </c>
      <c r="DF45" s="797">
        <f>'qtrP&amp;L'!CE168</f>
        <v>-10.695</v>
      </c>
      <c r="DG45" s="796">
        <f>'qtrP&amp;L'!CI168</f>
        <v>-525.80500000000006</v>
      </c>
      <c r="DH45" s="796">
        <f>'qtrP&amp;L'!CM168</f>
        <v>0</v>
      </c>
      <c r="DI45" s="796"/>
      <c r="DJ45" s="796"/>
      <c r="DK45" s="796"/>
      <c r="DL45" s="796"/>
      <c r="DM45" s="796"/>
      <c r="DN45" s="796"/>
      <c r="DO45" s="798"/>
      <c r="DP45" s="704"/>
    </row>
    <row r="46" spans="1:120" hidden="1" outlineLevel="1">
      <c r="A46" s="813" t="s">
        <v>657</v>
      </c>
      <c r="B46" s="795"/>
      <c r="C46" s="795">
        <f>'qtrP&amp;L'!AF153</f>
        <v>0</v>
      </c>
      <c r="D46" s="795">
        <f>'qtrP&amp;L'!AF154</f>
        <v>0</v>
      </c>
      <c r="E46" s="795">
        <f>'qtrP&amp;L'!AF155</f>
        <v>0</v>
      </c>
      <c r="F46" s="795">
        <f>'qtrP&amp;L'!AF156</f>
        <v>0</v>
      </c>
      <c r="G46" s="795"/>
      <c r="H46" s="795">
        <f>'qtrP&amp;L'!AB153</f>
        <v>13.37</v>
      </c>
      <c r="I46" s="795">
        <f>'qtrP&amp;L'!AB154</f>
        <v>0</v>
      </c>
      <c r="J46" s="795">
        <f>'qtrP&amp;L'!AB155</f>
        <v>0</v>
      </c>
      <c r="K46" s="795">
        <f>'qtrP&amp;L'!AB156</f>
        <v>0</v>
      </c>
      <c r="L46" s="795"/>
      <c r="M46" s="795">
        <f>'qtrP&amp;L'!AN153</f>
        <v>2.8</v>
      </c>
      <c r="N46" s="795">
        <f>'qtrP&amp;L'!AN154</f>
        <v>4.4400000000000004</v>
      </c>
      <c r="O46" s="795">
        <f>'qtrP&amp;L'!AN155</f>
        <v>6.59</v>
      </c>
      <c r="P46" s="795">
        <f>'qtrP&amp;L'!AN156</f>
        <v>9.36</v>
      </c>
      <c r="Q46" s="795"/>
      <c r="R46" s="795">
        <f>'qtrP&amp;L'!AU153</f>
        <v>11.27</v>
      </c>
      <c r="S46" s="795">
        <f>'qtrP&amp;L'!AU154</f>
        <v>13.62</v>
      </c>
      <c r="T46" s="795">
        <f>'qtrP&amp;L'!AU155</f>
        <v>16.579999999999998</v>
      </c>
      <c r="U46" s="795">
        <f>'qtrP&amp;L'!AU156</f>
        <v>21.44</v>
      </c>
      <c r="V46" s="795"/>
      <c r="W46" s="795">
        <f>'qtrP&amp;L'!AY153</f>
        <v>22.7</v>
      </c>
      <c r="X46" s="795">
        <f>'qtrP&amp;L'!AY154</f>
        <v>28.01</v>
      </c>
      <c r="Y46" s="795">
        <f>'qtrP&amp;L'!AY155</f>
        <v>28.52</v>
      </c>
      <c r="Z46" s="795">
        <f>'qtrP&amp;L'!AY156</f>
        <v>28.76</v>
      </c>
      <c r="AA46" s="795"/>
      <c r="AB46" s="795">
        <f>'qtrP&amp;L'!BC153</f>
        <v>24.97</v>
      </c>
      <c r="AC46" s="795">
        <f>'qtrP&amp;L'!BC154</f>
        <v>17.22</v>
      </c>
      <c r="AD46" s="795">
        <f>'qtrP&amp;L'!BC155</f>
        <v>17.04</v>
      </c>
      <c r="AE46" s="795">
        <f>'qtrP&amp;L'!BC156</f>
        <v>22.89</v>
      </c>
      <c r="AF46" s="795"/>
      <c r="AG46" s="795">
        <f>'qtrP&amp;L'!BG153</f>
        <v>25.67</v>
      </c>
      <c r="AH46" s="795">
        <f>'qtrP&amp;L'!BG154</f>
        <v>24</v>
      </c>
      <c r="AI46" s="795">
        <f>'qtrP&amp;L'!BG155</f>
        <v>22.63</v>
      </c>
      <c r="AJ46" s="795">
        <f>'qtrP&amp;L'!BG156</f>
        <v>26.18</v>
      </c>
      <c r="AK46" s="795"/>
      <c r="AL46" s="795">
        <f>'qtrP&amp;L'!BK153</f>
        <v>30.62</v>
      </c>
      <c r="AM46" s="795">
        <f>'qtrP&amp;L'!BK154</f>
        <v>31.84</v>
      </c>
      <c r="AN46" s="795">
        <f>'qtrP&amp;L'!BK155</f>
        <v>30.62</v>
      </c>
      <c r="AO46" s="795">
        <f>'qtrP&amp;L'!BK156</f>
        <v>16.34</v>
      </c>
      <c r="AP46" s="795"/>
      <c r="AQ46" s="795">
        <f>'qtrP&amp;L'!BO153</f>
        <v>16.63</v>
      </c>
      <c r="AR46" s="795">
        <f>'qtrP&amp;L'!BO154</f>
        <v>20.8</v>
      </c>
      <c r="AS46" s="795">
        <f>'qtrP&amp;L'!BO155</f>
        <v>30</v>
      </c>
      <c r="AT46" s="795">
        <f>'qtrP&amp;L'!BO156</f>
        <v>33.049999999999997</v>
      </c>
      <c r="AU46" s="795"/>
      <c r="AV46" s="795">
        <f>'qtrP&amp;L'!BS153</f>
        <v>35.64</v>
      </c>
      <c r="AW46" s="795">
        <f>'qtrP&amp;L'!BS154</f>
        <v>33.74</v>
      </c>
      <c r="AX46" s="795">
        <f>'qtrP&amp;L'!BS155</f>
        <v>31.06</v>
      </c>
      <c r="AY46" s="795">
        <f>'qtrP&amp;L'!BS156</f>
        <v>31.92</v>
      </c>
      <c r="AZ46" s="795"/>
      <c r="BA46" s="795">
        <f>'qtrP&amp;L'!BW153</f>
        <v>30.81</v>
      </c>
      <c r="BB46" s="795">
        <f>'qtrP&amp;L'!BW154</f>
        <v>28.76</v>
      </c>
      <c r="BC46" s="795">
        <f>'qtrP&amp;L'!BW155</f>
        <v>24.19</v>
      </c>
      <c r="BD46" s="795">
        <f>'qtrP&amp;L'!BW156</f>
        <v>26.27</v>
      </c>
      <c r="BE46" s="795"/>
      <c r="BF46" s="795">
        <f>'qtrP&amp;L'!CA153</f>
        <v>27.75</v>
      </c>
      <c r="BG46" s="795">
        <f>'qtrP&amp;L'!CA154</f>
        <v>27.96</v>
      </c>
      <c r="BH46" s="795">
        <f>'qtrP&amp;L'!CA155</f>
        <v>36.22</v>
      </c>
      <c r="BI46" s="795">
        <f>'qtrP&amp;L'!CA156</f>
        <v>39.130000000000003</v>
      </c>
      <c r="BJ46" s="795"/>
      <c r="BK46" s="795">
        <f>'qtrP&amp;L'!CE153</f>
        <v>41.95</v>
      </c>
      <c r="BL46" s="795">
        <f>'qtrP&amp;L'!CE154</f>
        <v>38.93</v>
      </c>
      <c r="BM46" s="795">
        <f>'qtrP&amp;L'!CE155</f>
        <v>35.61</v>
      </c>
      <c r="BN46" s="795">
        <f>'qtrP&amp;L'!CE156</f>
        <v>36.39</v>
      </c>
      <c r="BO46" s="795"/>
      <c r="BP46" s="795">
        <f>'qtrP&amp;L'!CI153</f>
        <v>36.43</v>
      </c>
      <c r="BQ46" s="795">
        <f>'qtrP&amp;L'!CI154</f>
        <v>33.619999999999997</v>
      </c>
      <c r="BR46" s="795">
        <f>'qtrP&amp;L'!CI155</f>
        <v>36.880000000000003</v>
      </c>
      <c r="BS46" s="795">
        <f>'qtrP&amp;L'!CI156</f>
        <v>38</v>
      </c>
      <c r="BT46" s="795"/>
      <c r="BU46" s="795">
        <f>'qtrP&amp;L'!CM153</f>
        <v>38</v>
      </c>
      <c r="BV46" s="795">
        <f>'qtrP&amp;L'!CM154</f>
        <v>38</v>
      </c>
      <c r="BW46" s="795">
        <f>'qtrP&amp;L'!CM155</f>
        <v>38</v>
      </c>
      <c r="BX46" s="795">
        <f>'qtrP&amp;L'!CM156</f>
        <v>38</v>
      </c>
      <c r="BY46" s="795"/>
      <c r="BZ46" s="795">
        <f>'qtrP&amp;L'!DM153</f>
        <v>0</v>
      </c>
      <c r="CA46" s="795">
        <f>'qtrP&amp;L'!DM154</f>
        <v>0</v>
      </c>
      <c r="CB46" s="795">
        <f>'qtrP&amp;L'!DM155</f>
        <v>0</v>
      </c>
      <c r="CC46" s="796">
        <f>'qtrP&amp;L'!DM156</f>
        <v>0</v>
      </c>
      <c r="CD46" s="795"/>
      <c r="CE46" s="795">
        <f>'qtrP&amp;L'!DR153</f>
        <v>0</v>
      </c>
      <c r="CF46" s="795">
        <f>'qtrP&amp;L'!DR154</f>
        <v>0</v>
      </c>
      <c r="CG46" s="795">
        <f>'qtrP&amp;L'!DR155</f>
        <v>0</v>
      </c>
      <c r="CH46" s="795">
        <f>'qtrP&amp;L'!DR156</f>
        <v>0</v>
      </c>
      <c r="CI46" s="795"/>
      <c r="CJ46" s="795">
        <f>'qtrP&amp;L'!DW153</f>
        <v>0</v>
      </c>
      <c r="CK46" s="795">
        <f>'qtrP&amp;L'!DW154</f>
        <v>0</v>
      </c>
      <c r="CL46" s="795">
        <f>'qtrP&amp;L'!DW155</f>
        <v>0</v>
      </c>
      <c r="CM46" s="798">
        <f>'qtrP&amp;L'!DW156</f>
        <v>0</v>
      </c>
      <c r="CN46" s="795"/>
      <c r="CO46" s="796"/>
      <c r="CP46" s="796"/>
      <c r="CQ46" s="796"/>
      <c r="CR46" s="796"/>
      <c r="CS46" s="796"/>
      <c r="CT46" s="796" t="str">
        <f>IFERROR(CT45/CT43,"NM")</f>
        <v>NM</v>
      </c>
      <c r="CU46" s="796" t="str">
        <f>IFERROR(CU45/CU43,"NM")</f>
        <v>NM</v>
      </c>
      <c r="CV46" s="796" t="str">
        <f t="shared" ref="CV46:DH46" si="23">IFERROR(CV45/CV43,"NM")</f>
        <v>NM</v>
      </c>
      <c r="CW46" s="796" t="str">
        <f t="shared" si="23"/>
        <v>NM</v>
      </c>
      <c r="CX46" s="796" t="str">
        <f t="shared" si="23"/>
        <v>NM</v>
      </c>
      <c r="CY46" s="796">
        <f t="shared" si="23"/>
        <v>17.065109339664154</v>
      </c>
      <c r="CZ46" s="796" t="str">
        <f t="shared" si="23"/>
        <v>NM</v>
      </c>
      <c r="DA46" s="797" t="str">
        <f t="shared" si="23"/>
        <v>NM</v>
      </c>
      <c r="DB46" s="798" t="str">
        <f t="shared" si="23"/>
        <v>NM</v>
      </c>
      <c r="DC46" s="797">
        <f t="shared" si="23"/>
        <v>31.952458101096269</v>
      </c>
      <c r="DD46" s="796">
        <f t="shared" si="23"/>
        <v>26.271030013425037</v>
      </c>
      <c r="DE46" s="796" t="str">
        <f t="shared" si="23"/>
        <v>NM</v>
      </c>
      <c r="DF46" s="797">
        <f t="shared" si="23"/>
        <v>35.610071368176804</v>
      </c>
      <c r="DG46" s="796">
        <f t="shared" si="23"/>
        <v>35.832897406199436</v>
      </c>
      <c r="DH46" s="796" t="str">
        <f t="shared" si="23"/>
        <v>NM</v>
      </c>
      <c r="DI46" s="796"/>
      <c r="DJ46" s="796"/>
      <c r="DK46" s="796"/>
      <c r="DL46" s="796"/>
      <c r="DM46" s="796"/>
      <c r="DN46" s="796"/>
      <c r="DO46" s="798"/>
      <c r="DP46" s="704"/>
    </row>
    <row r="47" spans="1:120" hidden="1" outlineLevel="1">
      <c r="A47" s="794"/>
      <c r="B47" s="795"/>
      <c r="C47" s="795"/>
      <c r="D47" s="795"/>
      <c r="E47" s="795"/>
      <c r="F47" s="795"/>
      <c r="G47" s="795"/>
      <c r="H47" s="795"/>
      <c r="I47" s="795"/>
      <c r="J47" s="795"/>
      <c r="K47" s="795"/>
      <c r="L47" s="795"/>
      <c r="M47" s="795"/>
      <c r="N47" s="795"/>
      <c r="O47" s="795"/>
      <c r="P47" s="795"/>
      <c r="Q47" s="795"/>
      <c r="R47" s="795"/>
      <c r="S47" s="795"/>
      <c r="T47" s="795"/>
      <c r="U47" s="795"/>
      <c r="V47" s="795"/>
      <c r="W47" s="795"/>
      <c r="X47" s="795"/>
      <c r="Y47" s="795"/>
      <c r="Z47" s="795"/>
      <c r="AA47" s="795"/>
      <c r="AB47" s="795"/>
      <c r="AC47" s="795"/>
      <c r="AD47" s="795"/>
      <c r="AE47" s="795"/>
      <c r="AF47" s="795"/>
      <c r="AG47" s="795"/>
      <c r="AH47" s="795"/>
      <c r="AI47" s="795"/>
      <c r="AJ47" s="795"/>
      <c r="AK47" s="795"/>
      <c r="AL47" s="795"/>
      <c r="AM47" s="795"/>
      <c r="AN47" s="795"/>
      <c r="AO47" s="795"/>
      <c r="AP47" s="795"/>
      <c r="AQ47" s="795"/>
      <c r="AR47" s="795"/>
      <c r="AS47" s="795"/>
      <c r="AT47" s="795"/>
      <c r="AU47" s="795"/>
      <c r="AV47" s="795"/>
      <c r="AW47" s="795"/>
      <c r="AX47" s="795"/>
      <c r="AY47" s="795"/>
      <c r="AZ47" s="795"/>
      <c r="BA47" s="795"/>
      <c r="BB47" s="795"/>
      <c r="BC47" s="795"/>
      <c r="BD47" s="795"/>
      <c r="BE47" s="795"/>
      <c r="BF47" s="795"/>
      <c r="BG47" s="795"/>
      <c r="BH47" s="795"/>
      <c r="BI47" s="795"/>
      <c r="BJ47" s="795"/>
      <c r="BK47" s="795"/>
      <c r="BL47" s="795"/>
      <c r="BM47" s="795"/>
      <c r="BN47" s="795"/>
      <c r="BO47" s="795"/>
      <c r="BP47" s="795"/>
      <c r="BQ47" s="795"/>
      <c r="BR47" s="795"/>
      <c r="BS47" s="795"/>
      <c r="BT47" s="795"/>
      <c r="BU47" s="795"/>
      <c r="BV47" s="795"/>
      <c r="BW47" s="795"/>
      <c r="BX47" s="795"/>
      <c r="BY47" s="795"/>
      <c r="BZ47" s="795"/>
      <c r="CA47" s="795"/>
      <c r="CB47" s="795"/>
      <c r="CC47" s="796"/>
      <c r="CD47" s="795"/>
      <c r="CE47" s="795"/>
      <c r="CF47" s="795"/>
      <c r="CG47" s="795"/>
      <c r="CH47" s="795"/>
      <c r="CI47" s="795"/>
      <c r="CJ47" s="795"/>
      <c r="CK47" s="795"/>
      <c r="CL47" s="795"/>
      <c r="CM47" s="798"/>
      <c r="CN47" s="795"/>
      <c r="CO47" s="796"/>
      <c r="CP47" s="796"/>
      <c r="CQ47" s="796"/>
      <c r="CR47" s="796"/>
      <c r="CS47" s="796"/>
      <c r="CT47" s="796"/>
      <c r="CU47" s="796"/>
      <c r="CV47" s="796"/>
      <c r="CW47" s="796"/>
      <c r="CX47" s="796"/>
      <c r="CY47" s="796"/>
      <c r="CZ47" s="796"/>
      <c r="DA47" s="797"/>
      <c r="DB47" s="798"/>
      <c r="DC47" s="797"/>
      <c r="DD47" s="796"/>
      <c r="DE47" s="796"/>
      <c r="DF47" s="797"/>
      <c r="DG47" s="796"/>
      <c r="DH47" s="796"/>
      <c r="DI47" s="796"/>
      <c r="DJ47" s="796"/>
      <c r="DK47" s="796"/>
      <c r="DL47" s="796"/>
      <c r="DM47" s="796"/>
      <c r="DN47" s="796"/>
      <c r="DO47" s="798"/>
      <c r="DP47" s="704"/>
    </row>
    <row r="48" spans="1:120" hidden="1" outlineLevel="1">
      <c r="A48" s="794"/>
      <c r="B48" s="795"/>
      <c r="C48" s="795"/>
      <c r="D48" s="795"/>
      <c r="E48" s="795"/>
      <c r="F48" s="795"/>
      <c r="G48" s="795"/>
      <c r="H48" s="795"/>
      <c r="I48" s="795"/>
      <c r="J48" s="795"/>
      <c r="K48" s="795"/>
      <c r="L48" s="795"/>
      <c r="M48" s="795"/>
      <c r="N48" s="795"/>
      <c r="O48" s="795"/>
      <c r="P48" s="795"/>
      <c r="Q48" s="795"/>
      <c r="R48" s="795"/>
      <c r="S48" s="795"/>
      <c r="T48" s="795"/>
      <c r="U48" s="795"/>
      <c r="V48" s="795"/>
      <c r="W48" s="795"/>
      <c r="X48" s="795"/>
      <c r="Y48" s="795"/>
      <c r="Z48" s="795"/>
      <c r="AA48" s="795"/>
      <c r="AB48" s="795"/>
      <c r="AC48" s="795"/>
      <c r="AD48" s="795"/>
      <c r="AE48" s="795"/>
      <c r="AF48" s="795"/>
      <c r="AG48" s="795"/>
      <c r="AH48" s="795"/>
      <c r="AI48" s="795"/>
      <c r="AJ48" s="795"/>
      <c r="AK48" s="795"/>
      <c r="AL48" s="795"/>
      <c r="AM48" s="795"/>
      <c r="AN48" s="795"/>
      <c r="AO48" s="795"/>
      <c r="AP48" s="795"/>
      <c r="AQ48" s="795"/>
      <c r="AR48" s="795"/>
      <c r="AS48" s="795"/>
      <c r="AT48" s="795"/>
      <c r="AU48" s="795"/>
      <c r="AV48" s="795"/>
      <c r="AW48" s="795"/>
      <c r="AX48" s="795"/>
      <c r="AY48" s="795"/>
      <c r="AZ48" s="795"/>
      <c r="BA48" s="795"/>
      <c r="BB48" s="795"/>
      <c r="BC48" s="795"/>
      <c r="BD48" s="795"/>
      <c r="BE48" s="795"/>
      <c r="BF48" s="795"/>
      <c r="BG48" s="795"/>
      <c r="BH48" s="795"/>
      <c r="BI48" s="795"/>
      <c r="BJ48" s="795"/>
      <c r="BK48" s="795"/>
      <c r="BL48" s="795"/>
      <c r="BM48" s="795"/>
      <c r="BN48" s="795"/>
      <c r="BO48" s="795"/>
      <c r="BP48" s="795"/>
      <c r="BQ48" s="795"/>
      <c r="BR48" s="795"/>
      <c r="BS48" s="795"/>
      <c r="BT48" s="795"/>
      <c r="BU48" s="795"/>
      <c r="BV48" s="795"/>
      <c r="BW48" s="795"/>
      <c r="BX48" s="795"/>
      <c r="BY48" s="795"/>
      <c r="BZ48" s="795"/>
      <c r="CA48" s="795"/>
      <c r="CB48" s="795"/>
      <c r="CC48" s="796"/>
      <c r="CD48" s="795"/>
      <c r="CE48" s="795"/>
      <c r="CF48" s="795"/>
      <c r="CG48" s="795"/>
      <c r="CH48" s="795"/>
      <c r="CI48" s="795"/>
      <c r="CJ48" s="795"/>
      <c r="CK48" s="795"/>
      <c r="CL48" s="795"/>
      <c r="CM48" s="798"/>
      <c r="CN48" s="795"/>
      <c r="CO48" s="796"/>
      <c r="CP48" s="796"/>
      <c r="CQ48" s="796"/>
      <c r="CR48" s="796"/>
      <c r="CS48" s="796"/>
      <c r="CT48" s="796"/>
      <c r="CU48" s="796"/>
      <c r="CV48" s="796"/>
      <c r="CW48" s="796"/>
      <c r="CX48" s="796"/>
      <c r="CY48" s="796"/>
      <c r="CZ48" s="796"/>
      <c r="DA48" s="797"/>
      <c r="DB48" s="798"/>
      <c r="DC48" s="797"/>
      <c r="DD48" s="796"/>
      <c r="DE48" s="796"/>
      <c r="DF48" s="797"/>
      <c r="DG48" s="796"/>
      <c r="DH48" s="796"/>
      <c r="DI48" s="796"/>
      <c r="DJ48" s="796"/>
      <c r="DK48" s="796"/>
      <c r="DL48" s="796"/>
      <c r="DM48" s="796"/>
      <c r="DN48" s="796"/>
      <c r="DO48" s="798"/>
      <c r="DP48" s="704"/>
    </row>
    <row r="49" spans="1:129" hidden="1" outlineLevel="1">
      <c r="A49" s="794"/>
      <c r="B49" s="795"/>
      <c r="C49" s="795"/>
      <c r="D49" s="795"/>
      <c r="E49" s="795"/>
      <c r="F49" s="795"/>
      <c r="G49" s="795"/>
      <c r="H49" s="795"/>
      <c r="I49" s="795"/>
      <c r="J49" s="795"/>
      <c r="K49" s="795"/>
      <c r="L49" s="795"/>
      <c r="M49" s="795"/>
      <c r="N49" s="795"/>
      <c r="O49" s="795"/>
      <c r="P49" s="795"/>
      <c r="Q49" s="795"/>
      <c r="R49" s="795"/>
      <c r="S49" s="795"/>
      <c r="T49" s="795"/>
      <c r="U49" s="795"/>
      <c r="V49" s="795"/>
      <c r="W49" s="795"/>
      <c r="X49" s="795"/>
      <c r="Y49" s="795"/>
      <c r="Z49" s="795"/>
      <c r="AA49" s="795"/>
      <c r="AB49" s="795"/>
      <c r="AC49" s="795"/>
      <c r="AD49" s="795"/>
      <c r="AE49" s="795"/>
      <c r="AF49" s="795"/>
      <c r="AG49" s="795"/>
      <c r="AH49" s="795"/>
      <c r="AI49" s="795"/>
      <c r="AJ49" s="795"/>
      <c r="AK49" s="795"/>
      <c r="AL49" s="795"/>
      <c r="AM49" s="795"/>
      <c r="AN49" s="795"/>
      <c r="AO49" s="795"/>
      <c r="AP49" s="795"/>
      <c r="AQ49" s="795"/>
      <c r="AR49" s="795"/>
      <c r="AS49" s="795"/>
      <c r="AT49" s="795"/>
      <c r="AU49" s="795"/>
      <c r="AV49" s="795"/>
      <c r="AW49" s="795"/>
      <c r="AX49" s="795"/>
      <c r="AY49" s="795"/>
      <c r="AZ49" s="795"/>
      <c r="BA49" s="795"/>
      <c r="BB49" s="795"/>
      <c r="BC49" s="795"/>
      <c r="BD49" s="795"/>
      <c r="BE49" s="795"/>
      <c r="BF49" s="795"/>
      <c r="BG49" s="795"/>
      <c r="BH49" s="795"/>
      <c r="BI49" s="795"/>
      <c r="BJ49" s="795"/>
      <c r="BK49" s="795"/>
      <c r="BL49" s="795"/>
      <c r="BM49" s="795"/>
      <c r="BN49" s="795"/>
      <c r="BO49" s="795"/>
      <c r="BP49" s="795"/>
      <c r="BQ49" s="795"/>
      <c r="BR49" s="795"/>
      <c r="BS49" s="795"/>
      <c r="BT49" s="795"/>
      <c r="BU49" s="795"/>
      <c r="BV49" s="795"/>
      <c r="BW49" s="795"/>
      <c r="BX49" s="795"/>
      <c r="BY49" s="795"/>
      <c r="BZ49" s="795"/>
      <c r="CA49" s="795"/>
      <c r="CB49" s="795"/>
      <c r="CC49" s="796"/>
      <c r="CD49" s="795"/>
      <c r="CE49" s="795"/>
      <c r="CF49" s="795"/>
      <c r="CG49" s="795"/>
      <c r="CH49" s="795"/>
      <c r="CI49" s="795"/>
      <c r="CJ49" s="795"/>
      <c r="CK49" s="795"/>
      <c r="CL49" s="795"/>
      <c r="CM49" s="798"/>
      <c r="CN49" s="795"/>
      <c r="CO49" s="796"/>
      <c r="CP49" s="796"/>
      <c r="CQ49" s="796"/>
      <c r="CR49" s="796"/>
      <c r="CS49" s="796"/>
      <c r="CT49" s="796"/>
      <c r="CU49" s="796"/>
      <c r="CV49" s="796"/>
      <c r="CW49" s="796"/>
      <c r="CX49" s="796"/>
      <c r="CY49" s="796"/>
      <c r="CZ49" s="796"/>
      <c r="DA49" s="797"/>
      <c r="DB49" s="798"/>
      <c r="DC49" s="797"/>
      <c r="DD49" s="796"/>
      <c r="DE49" s="796"/>
      <c r="DF49" s="797"/>
      <c r="DG49" s="796"/>
      <c r="DH49" s="796"/>
      <c r="DI49" s="796"/>
      <c r="DJ49" s="796"/>
      <c r="DK49" s="796"/>
      <c r="DL49" s="796"/>
      <c r="DM49" s="796"/>
      <c r="DN49" s="796"/>
      <c r="DO49" s="798"/>
      <c r="DP49" s="704"/>
    </row>
    <row r="50" spans="1:129" hidden="1" outlineLevel="1">
      <c r="A50" s="794"/>
      <c r="B50" s="795"/>
      <c r="C50" s="795"/>
      <c r="D50" s="795"/>
      <c r="E50" s="795"/>
      <c r="F50" s="795"/>
      <c r="G50" s="795"/>
      <c r="H50" s="795"/>
      <c r="I50" s="795"/>
      <c r="J50" s="795"/>
      <c r="K50" s="795"/>
      <c r="L50" s="795"/>
      <c r="M50" s="795"/>
      <c r="N50" s="795"/>
      <c r="O50" s="795"/>
      <c r="P50" s="795"/>
      <c r="Q50" s="795"/>
      <c r="R50" s="795"/>
      <c r="S50" s="795"/>
      <c r="T50" s="795"/>
      <c r="U50" s="795"/>
      <c r="V50" s="795"/>
      <c r="W50" s="795"/>
      <c r="X50" s="795"/>
      <c r="Y50" s="795"/>
      <c r="Z50" s="795"/>
      <c r="AA50" s="795"/>
      <c r="AB50" s="795"/>
      <c r="AC50" s="795"/>
      <c r="AD50" s="795"/>
      <c r="AE50" s="795"/>
      <c r="AF50" s="795"/>
      <c r="AG50" s="795"/>
      <c r="AH50" s="795"/>
      <c r="AI50" s="795"/>
      <c r="AJ50" s="795"/>
      <c r="AK50" s="795"/>
      <c r="AL50" s="795"/>
      <c r="AM50" s="795"/>
      <c r="AN50" s="795"/>
      <c r="AO50" s="795"/>
      <c r="AP50" s="795"/>
      <c r="AQ50" s="795"/>
      <c r="AR50" s="795"/>
      <c r="AS50" s="795"/>
      <c r="AT50" s="795"/>
      <c r="AU50" s="795"/>
      <c r="AV50" s="795"/>
      <c r="AW50" s="795"/>
      <c r="AX50" s="795"/>
      <c r="AY50" s="795"/>
      <c r="AZ50" s="795"/>
      <c r="BA50" s="795"/>
      <c r="BB50" s="795"/>
      <c r="BC50" s="795"/>
      <c r="BD50" s="795"/>
      <c r="BE50" s="795"/>
      <c r="BF50" s="795"/>
      <c r="BG50" s="795"/>
      <c r="BH50" s="795"/>
      <c r="BI50" s="795"/>
      <c r="BJ50" s="795"/>
      <c r="BK50" s="795"/>
      <c r="BL50" s="795"/>
      <c r="BM50" s="795"/>
      <c r="BN50" s="795"/>
      <c r="BO50" s="795"/>
      <c r="BP50" s="795"/>
      <c r="BQ50" s="795"/>
      <c r="BR50" s="795"/>
      <c r="BS50" s="795"/>
      <c r="BT50" s="795"/>
      <c r="BU50" s="795"/>
      <c r="BV50" s="795"/>
      <c r="BW50" s="795"/>
      <c r="BX50" s="795"/>
      <c r="BY50" s="795"/>
      <c r="BZ50" s="795"/>
      <c r="CA50" s="795"/>
      <c r="CB50" s="795"/>
      <c r="CC50" s="796"/>
      <c r="CD50" s="795"/>
      <c r="CE50" s="795"/>
      <c r="CF50" s="795"/>
      <c r="CG50" s="795"/>
      <c r="CH50" s="795"/>
      <c r="CI50" s="795"/>
      <c r="CJ50" s="795"/>
      <c r="CK50" s="795"/>
      <c r="CL50" s="795"/>
      <c r="CM50" s="798"/>
      <c r="CN50" s="795"/>
      <c r="CO50" s="796"/>
      <c r="CP50" s="796"/>
      <c r="CQ50" s="796"/>
      <c r="CR50" s="796"/>
      <c r="CS50" s="796"/>
      <c r="CT50" s="796"/>
      <c r="CU50" s="796"/>
      <c r="CV50" s="796"/>
      <c r="CW50" s="796"/>
      <c r="CX50" s="796"/>
      <c r="CY50" s="796"/>
      <c r="CZ50" s="796"/>
      <c r="DA50" s="797"/>
      <c r="DB50" s="798"/>
      <c r="DC50" s="797"/>
      <c r="DD50" s="796"/>
      <c r="DE50" s="796"/>
      <c r="DF50" s="797"/>
      <c r="DG50" s="796"/>
      <c r="DH50" s="796"/>
      <c r="DI50" s="796"/>
      <c r="DJ50" s="796"/>
      <c r="DK50" s="796"/>
      <c r="DL50" s="796"/>
      <c r="DM50" s="796"/>
      <c r="DN50" s="796"/>
      <c r="DO50" s="798"/>
      <c r="DP50" s="704"/>
    </row>
    <row r="51" spans="1:129" hidden="1" outlineLevel="1">
      <c r="A51" s="794"/>
      <c r="B51" s="795"/>
      <c r="C51" s="795"/>
      <c r="D51" s="795"/>
      <c r="E51" s="795"/>
      <c r="F51" s="795"/>
      <c r="G51" s="795"/>
      <c r="H51" s="795"/>
      <c r="I51" s="795"/>
      <c r="J51" s="795"/>
      <c r="K51" s="795"/>
      <c r="L51" s="795"/>
      <c r="M51" s="795"/>
      <c r="N51" s="795"/>
      <c r="O51" s="795"/>
      <c r="P51" s="795"/>
      <c r="Q51" s="795"/>
      <c r="R51" s="795"/>
      <c r="S51" s="795"/>
      <c r="T51" s="795"/>
      <c r="U51" s="795"/>
      <c r="V51" s="795"/>
      <c r="W51" s="795"/>
      <c r="X51" s="795"/>
      <c r="Y51" s="795"/>
      <c r="Z51" s="795"/>
      <c r="AA51" s="795"/>
      <c r="AB51" s="795"/>
      <c r="AC51" s="795"/>
      <c r="AD51" s="795"/>
      <c r="AE51" s="795"/>
      <c r="AF51" s="795"/>
      <c r="AG51" s="795"/>
      <c r="AH51" s="795"/>
      <c r="AI51" s="795"/>
      <c r="AJ51" s="795"/>
      <c r="AK51" s="795"/>
      <c r="AL51" s="795"/>
      <c r="AM51" s="795"/>
      <c r="AN51" s="795"/>
      <c r="AO51" s="795"/>
      <c r="AP51" s="795"/>
      <c r="AQ51" s="795"/>
      <c r="AR51" s="795"/>
      <c r="AS51" s="795"/>
      <c r="AT51" s="795"/>
      <c r="AU51" s="795"/>
      <c r="AV51" s="795"/>
      <c r="AW51" s="795"/>
      <c r="AX51" s="795"/>
      <c r="AY51" s="795"/>
      <c r="AZ51" s="795"/>
      <c r="BA51" s="795"/>
      <c r="BB51" s="795"/>
      <c r="BC51" s="795"/>
      <c r="BD51" s="795"/>
      <c r="BE51" s="795"/>
      <c r="BF51" s="795"/>
      <c r="BG51" s="795"/>
      <c r="BH51" s="795"/>
      <c r="BI51" s="795"/>
      <c r="BJ51" s="795"/>
      <c r="BK51" s="795"/>
      <c r="BL51" s="795"/>
      <c r="BM51" s="795"/>
      <c r="BN51" s="795"/>
      <c r="BO51" s="795"/>
      <c r="BP51" s="795"/>
      <c r="BQ51" s="795"/>
      <c r="BR51" s="795"/>
      <c r="BS51" s="795"/>
      <c r="BT51" s="795"/>
      <c r="BU51" s="795"/>
      <c r="BV51" s="795"/>
      <c r="BW51" s="795"/>
      <c r="BX51" s="795"/>
      <c r="BY51" s="795"/>
      <c r="BZ51" s="795"/>
      <c r="CA51" s="795"/>
      <c r="CB51" s="795"/>
      <c r="CC51" s="796"/>
      <c r="CD51" s="795"/>
      <c r="CE51" s="795"/>
      <c r="CF51" s="795"/>
      <c r="CG51" s="795"/>
      <c r="CH51" s="795"/>
      <c r="CI51" s="795"/>
      <c r="CJ51" s="795"/>
      <c r="CK51" s="795"/>
      <c r="CL51" s="795"/>
      <c r="CM51" s="798"/>
      <c r="CN51" s="795"/>
      <c r="CO51" s="796"/>
      <c r="CP51" s="796"/>
      <c r="CQ51" s="796"/>
      <c r="CR51" s="796"/>
      <c r="CS51" s="796"/>
      <c r="CT51" s="796"/>
      <c r="CU51" s="796"/>
      <c r="CV51" s="796"/>
      <c r="CW51" s="796"/>
      <c r="CX51" s="796"/>
      <c r="CY51" s="796"/>
      <c r="CZ51" s="796"/>
      <c r="DA51" s="797"/>
      <c r="DB51" s="798"/>
      <c r="DC51" s="797"/>
      <c r="DD51" s="796"/>
      <c r="DE51" s="796"/>
      <c r="DF51" s="797"/>
      <c r="DG51" s="796"/>
      <c r="DH51" s="796"/>
      <c r="DI51" s="796"/>
      <c r="DJ51" s="796"/>
      <c r="DK51" s="796"/>
      <c r="DL51" s="796"/>
      <c r="DM51" s="796"/>
      <c r="DN51" s="796"/>
      <c r="DO51" s="798"/>
      <c r="DP51" s="704"/>
    </row>
    <row r="52" spans="1:129" hidden="1" outlineLevel="1">
      <c r="A52" s="794"/>
      <c r="B52" s="795"/>
      <c r="C52" s="795"/>
      <c r="D52" s="795"/>
      <c r="E52" s="795"/>
      <c r="F52" s="795"/>
      <c r="G52" s="795"/>
      <c r="H52" s="795"/>
      <c r="I52" s="795"/>
      <c r="J52" s="795"/>
      <c r="K52" s="795"/>
      <c r="L52" s="795"/>
      <c r="M52" s="795"/>
      <c r="N52" s="795"/>
      <c r="O52" s="795"/>
      <c r="P52" s="795"/>
      <c r="Q52" s="795"/>
      <c r="R52" s="795"/>
      <c r="S52" s="795"/>
      <c r="T52" s="795"/>
      <c r="U52" s="795"/>
      <c r="V52" s="795"/>
      <c r="W52" s="795"/>
      <c r="X52" s="795"/>
      <c r="Y52" s="795"/>
      <c r="Z52" s="795"/>
      <c r="AA52" s="795"/>
      <c r="AB52" s="795"/>
      <c r="AC52" s="795"/>
      <c r="AD52" s="795"/>
      <c r="AE52" s="795"/>
      <c r="AF52" s="795"/>
      <c r="AG52" s="795"/>
      <c r="AH52" s="795"/>
      <c r="AI52" s="795"/>
      <c r="AJ52" s="795"/>
      <c r="AK52" s="795"/>
      <c r="AL52" s="795"/>
      <c r="AM52" s="795"/>
      <c r="AN52" s="795"/>
      <c r="AO52" s="795"/>
      <c r="AP52" s="795"/>
      <c r="AQ52" s="795"/>
      <c r="AR52" s="795"/>
      <c r="AS52" s="795"/>
      <c r="AT52" s="795"/>
      <c r="AU52" s="795"/>
      <c r="AV52" s="795"/>
      <c r="AW52" s="795"/>
      <c r="AX52" s="795"/>
      <c r="AY52" s="795"/>
      <c r="AZ52" s="795"/>
      <c r="BA52" s="795"/>
      <c r="BB52" s="795"/>
      <c r="BC52" s="795"/>
      <c r="BD52" s="795"/>
      <c r="BE52" s="795"/>
      <c r="BF52" s="795"/>
      <c r="BG52" s="795"/>
      <c r="BH52" s="795"/>
      <c r="BI52" s="795"/>
      <c r="BJ52" s="795"/>
      <c r="BK52" s="795"/>
      <c r="BL52" s="795"/>
      <c r="BM52" s="795"/>
      <c r="BN52" s="795"/>
      <c r="BO52" s="795"/>
      <c r="BP52" s="795"/>
      <c r="BQ52" s="795"/>
      <c r="BR52" s="795"/>
      <c r="BS52" s="795"/>
      <c r="BT52" s="795"/>
      <c r="BU52" s="795"/>
      <c r="BV52" s="795"/>
      <c r="BW52" s="795"/>
      <c r="BX52" s="795"/>
      <c r="BY52" s="795"/>
      <c r="BZ52" s="795"/>
      <c r="CA52" s="795"/>
      <c r="CB52" s="795"/>
      <c r="CC52" s="796"/>
      <c r="CD52" s="795"/>
      <c r="CE52" s="795"/>
      <c r="CF52" s="795"/>
      <c r="CG52" s="795"/>
      <c r="CH52" s="795"/>
      <c r="CI52" s="795"/>
      <c r="CJ52" s="795"/>
      <c r="CK52" s="795"/>
      <c r="CL52" s="795"/>
      <c r="CM52" s="798"/>
      <c r="CN52" s="795"/>
      <c r="CO52" s="796"/>
      <c r="CP52" s="796"/>
      <c r="CQ52" s="796"/>
      <c r="CR52" s="796"/>
      <c r="CS52" s="796"/>
      <c r="CT52" s="796"/>
      <c r="CU52" s="796"/>
      <c r="CV52" s="796"/>
      <c r="CW52" s="796"/>
      <c r="CX52" s="796"/>
      <c r="CY52" s="796"/>
      <c r="CZ52" s="796"/>
      <c r="DA52" s="797"/>
      <c r="DB52" s="798"/>
      <c r="DC52" s="797"/>
      <c r="DD52" s="796"/>
      <c r="DE52" s="796"/>
      <c r="DF52" s="797"/>
      <c r="DG52" s="796"/>
      <c r="DH52" s="796"/>
      <c r="DI52" s="796"/>
      <c r="DJ52" s="796"/>
      <c r="DK52" s="796"/>
      <c r="DL52" s="796"/>
      <c r="DM52" s="796"/>
      <c r="DN52" s="796"/>
      <c r="DO52" s="798"/>
      <c r="DP52" s="704"/>
    </row>
    <row r="53" spans="1:129" hidden="1" outlineLevel="1">
      <c r="A53" s="794"/>
      <c r="B53" s="795"/>
      <c r="C53" s="795"/>
      <c r="D53" s="795"/>
      <c r="E53" s="795"/>
      <c r="F53" s="795"/>
      <c r="G53" s="795"/>
      <c r="H53" s="795"/>
      <c r="I53" s="795"/>
      <c r="J53" s="795"/>
      <c r="K53" s="795"/>
      <c r="L53" s="795"/>
      <c r="M53" s="795"/>
      <c r="N53" s="795"/>
      <c r="O53" s="795"/>
      <c r="P53" s="795"/>
      <c r="Q53" s="795"/>
      <c r="R53" s="795"/>
      <c r="S53" s="795"/>
      <c r="T53" s="795"/>
      <c r="U53" s="795"/>
      <c r="V53" s="795"/>
      <c r="W53" s="795"/>
      <c r="X53" s="795"/>
      <c r="Y53" s="795"/>
      <c r="Z53" s="795"/>
      <c r="AA53" s="795"/>
      <c r="AB53" s="795"/>
      <c r="AC53" s="795"/>
      <c r="AD53" s="795"/>
      <c r="AE53" s="795"/>
      <c r="AF53" s="795"/>
      <c r="AG53" s="795"/>
      <c r="AH53" s="795"/>
      <c r="AI53" s="795"/>
      <c r="AJ53" s="795"/>
      <c r="AK53" s="795"/>
      <c r="AL53" s="795"/>
      <c r="AM53" s="795"/>
      <c r="AN53" s="795"/>
      <c r="AO53" s="795"/>
      <c r="AP53" s="795"/>
      <c r="AQ53" s="795"/>
      <c r="AR53" s="795"/>
      <c r="AS53" s="795"/>
      <c r="AT53" s="795"/>
      <c r="AU53" s="795"/>
      <c r="AV53" s="795"/>
      <c r="AW53" s="795"/>
      <c r="AX53" s="795"/>
      <c r="AY53" s="795"/>
      <c r="AZ53" s="795"/>
      <c r="BA53" s="795"/>
      <c r="BB53" s="795"/>
      <c r="BC53" s="795"/>
      <c r="BD53" s="795"/>
      <c r="BE53" s="795"/>
      <c r="BF53" s="795"/>
      <c r="BG53" s="795"/>
      <c r="BH53" s="795"/>
      <c r="BI53" s="795"/>
      <c r="BJ53" s="795"/>
      <c r="BK53" s="795"/>
      <c r="BL53" s="795"/>
      <c r="BM53" s="795"/>
      <c r="BN53" s="795"/>
      <c r="BO53" s="795"/>
      <c r="BP53" s="795"/>
      <c r="BQ53" s="795"/>
      <c r="BR53" s="795"/>
      <c r="BS53" s="795"/>
      <c r="BT53" s="795"/>
      <c r="BU53" s="795"/>
      <c r="BV53" s="795"/>
      <c r="BW53" s="795"/>
      <c r="BX53" s="795"/>
      <c r="BY53" s="795"/>
      <c r="BZ53" s="795"/>
      <c r="CA53" s="795"/>
      <c r="CB53" s="795"/>
      <c r="CC53" s="796"/>
      <c r="CD53" s="795"/>
      <c r="CE53" s="795"/>
      <c r="CF53" s="795"/>
      <c r="CG53" s="795"/>
      <c r="CH53" s="795"/>
      <c r="CI53" s="795"/>
      <c r="CJ53" s="795"/>
      <c r="CK53" s="795"/>
      <c r="CL53" s="795"/>
      <c r="CM53" s="798"/>
      <c r="CN53" s="795"/>
      <c r="CO53" s="796"/>
      <c r="CP53" s="796"/>
      <c r="CQ53" s="796"/>
      <c r="CR53" s="796"/>
      <c r="CS53" s="796"/>
      <c r="CT53" s="796"/>
      <c r="CU53" s="796"/>
      <c r="CV53" s="796"/>
      <c r="CW53" s="796"/>
      <c r="CX53" s="796"/>
      <c r="CY53" s="796"/>
      <c r="CZ53" s="796"/>
      <c r="DA53" s="797"/>
      <c r="DB53" s="798"/>
      <c r="DC53" s="797"/>
      <c r="DD53" s="796"/>
      <c r="DE53" s="796"/>
      <c r="DF53" s="797"/>
      <c r="DG53" s="796"/>
      <c r="DH53" s="796"/>
      <c r="DI53" s="796"/>
      <c r="DJ53" s="796"/>
      <c r="DK53" s="796"/>
      <c r="DL53" s="796"/>
      <c r="DM53" s="796"/>
      <c r="DN53" s="796"/>
      <c r="DO53" s="798"/>
      <c r="DP53" s="704"/>
    </row>
    <row r="54" spans="1:129" ht="10.5" hidden="1" customHeight="1" outlineLevel="1">
      <c r="A54" s="794"/>
      <c r="B54" s="795"/>
      <c r="C54" s="795"/>
      <c r="D54" s="795"/>
      <c r="E54" s="795"/>
      <c r="F54" s="795"/>
      <c r="G54" s="795"/>
      <c r="H54" s="795"/>
      <c r="I54" s="795"/>
      <c r="J54" s="795"/>
      <c r="K54" s="795"/>
      <c r="L54" s="795"/>
      <c r="M54" s="795"/>
      <c r="N54" s="795"/>
      <c r="O54" s="795"/>
      <c r="P54" s="795"/>
      <c r="Q54" s="795"/>
      <c r="R54" s="795"/>
      <c r="S54" s="795"/>
      <c r="T54" s="795"/>
      <c r="U54" s="795"/>
      <c r="V54" s="795"/>
      <c r="W54" s="795"/>
      <c r="X54" s="795"/>
      <c r="Y54" s="795"/>
      <c r="Z54" s="795"/>
      <c r="AA54" s="795"/>
      <c r="AB54" s="795"/>
      <c r="AC54" s="795"/>
      <c r="AD54" s="795"/>
      <c r="AE54" s="795"/>
      <c r="AF54" s="795"/>
      <c r="AG54" s="795"/>
      <c r="AH54" s="795"/>
      <c r="AI54" s="795"/>
      <c r="AJ54" s="795"/>
      <c r="AK54" s="795"/>
      <c r="AL54" s="795"/>
      <c r="AM54" s="795"/>
      <c r="AN54" s="795"/>
      <c r="AO54" s="795"/>
      <c r="AP54" s="795"/>
      <c r="AQ54" s="795"/>
      <c r="AR54" s="795"/>
      <c r="AS54" s="795"/>
      <c r="AT54" s="795"/>
      <c r="AU54" s="795"/>
      <c r="AV54" s="795"/>
      <c r="AW54" s="795"/>
      <c r="AX54" s="795"/>
      <c r="AY54" s="795"/>
      <c r="AZ54" s="795"/>
      <c r="BA54" s="795"/>
      <c r="BB54" s="795"/>
      <c r="BC54" s="795"/>
      <c r="BD54" s="795"/>
      <c r="BE54" s="795"/>
      <c r="BF54" s="795"/>
      <c r="BG54" s="795"/>
      <c r="BH54" s="795"/>
      <c r="BI54" s="795"/>
      <c r="BJ54" s="795"/>
      <c r="BK54" s="795"/>
      <c r="BL54" s="795"/>
      <c r="BM54" s="795"/>
      <c r="BN54" s="795"/>
      <c r="BO54" s="795"/>
      <c r="BP54" s="795"/>
      <c r="BQ54" s="795"/>
      <c r="BR54" s="795"/>
      <c r="BS54" s="795"/>
      <c r="BT54" s="795"/>
      <c r="BU54" s="795"/>
      <c r="BV54" s="795"/>
      <c r="BW54" s="795"/>
      <c r="BX54" s="795"/>
      <c r="BY54" s="795"/>
      <c r="BZ54" s="795"/>
      <c r="CA54" s="795"/>
      <c r="CB54" s="795"/>
      <c r="CC54" s="796"/>
      <c r="CD54" s="795"/>
      <c r="CE54" s="795"/>
      <c r="CF54" s="795"/>
      <c r="CG54" s="795"/>
      <c r="CH54" s="795"/>
      <c r="CI54" s="795"/>
      <c r="CJ54" s="795"/>
      <c r="CK54" s="795"/>
      <c r="CL54" s="795"/>
      <c r="CM54" s="798"/>
      <c r="CN54" s="795"/>
      <c r="CO54" s="796"/>
      <c r="CP54" s="796"/>
      <c r="CQ54" s="796"/>
      <c r="CR54" s="796"/>
      <c r="CS54" s="796"/>
      <c r="CT54" s="797"/>
      <c r="CU54" s="797"/>
      <c r="CV54" s="797"/>
      <c r="CW54" s="797"/>
      <c r="CX54" s="797"/>
      <c r="CY54" s="797"/>
      <c r="CZ54" s="796"/>
      <c r="DA54" s="797"/>
      <c r="DB54" s="798"/>
      <c r="DC54" s="797"/>
      <c r="DD54" s="796"/>
      <c r="DE54" s="796"/>
      <c r="DF54" s="797"/>
      <c r="DG54" s="796"/>
      <c r="DH54" s="796"/>
      <c r="DI54" s="796"/>
      <c r="DJ54" s="796"/>
      <c r="DK54" s="796"/>
      <c r="DL54" s="796"/>
      <c r="DM54" s="796"/>
      <c r="DN54" s="796"/>
      <c r="DO54" s="798"/>
      <c r="DP54" s="704"/>
    </row>
    <row r="55" spans="1:129" collapsed="1">
      <c r="A55" s="755" t="s">
        <v>417</v>
      </c>
      <c r="B55" s="757"/>
      <c r="C55" s="756">
        <f>C16+C15</f>
        <v>5.1430810000000022</v>
      </c>
      <c r="D55" s="756">
        <f>D16+D15</f>
        <v>8.8388269999999949</v>
      </c>
      <c r="E55" s="756">
        <f>E16+E15</f>
        <v>12.116769999999994</v>
      </c>
      <c r="F55" s="756">
        <f>F16+F15</f>
        <v>14.861321999999999</v>
      </c>
      <c r="G55" s="814"/>
      <c r="H55" s="756">
        <f>H16+H15</f>
        <v>9.998500000000007</v>
      </c>
      <c r="I55" s="756">
        <f>I16+I15</f>
        <v>7.9974999999999907</v>
      </c>
      <c r="J55" s="756">
        <f>J16+J15</f>
        <v>9.1354999999999933</v>
      </c>
      <c r="K55" s="756">
        <f>K16+K15</f>
        <v>10.69649999999999</v>
      </c>
      <c r="L55" s="814"/>
      <c r="M55" s="756">
        <f>M16+M15</f>
        <v>15.608000000000008</v>
      </c>
      <c r="N55" s="756">
        <f>N16+N15</f>
        <v>21.063000000000009</v>
      </c>
      <c r="O55" s="756">
        <f>O16+O15</f>
        <v>29.022999999999996</v>
      </c>
      <c r="P55" s="756">
        <f>P16+P15</f>
        <v>40.021999999999991</v>
      </c>
      <c r="Q55" s="814"/>
      <c r="R55" s="756">
        <f>R16+R15</f>
        <v>35.636999999999993</v>
      </c>
      <c r="S55" s="756">
        <f>S16+S15</f>
        <v>42.153000000000013</v>
      </c>
      <c r="T55" s="756">
        <f>T16+T15</f>
        <v>48.25500000000001</v>
      </c>
      <c r="U55" s="756">
        <f>U16+U15</f>
        <v>54.178999999999874</v>
      </c>
      <c r="V55" s="814"/>
      <c r="W55" s="756">
        <f>W16+W15</f>
        <v>53.576999999999991</v>
      </c>
      <c r="X55" s="756">
        <f>X16+X15</f>
        <v>59.236999999999981</v>
      </c>
      <c r="Y55" s="756">
        <f>Y16+Y15</f>
        <v>70.57099999999997</v>
      </c>
      <c r="Z55" s="756">
        <f>Z16+Z15</f>
        <v>63.653999999999982</v>
      </c>
      <c r="AA55" s="814"/>
      <c r="AB55" s="756">
        <f>AB16+AB15</f>
        <v>40.35</v>
      </c>
      <c r="AC55" s="756">
        <f>AC16+AC15</f>
        <v>48.481000000000037</v>
      </c>
      <c r="AD55" s="756">
        <f>AD16+AD15</f>
        <v>55.376000000000012</v>
      </c>
      <c r="AE55" s="756">
        <f>AE16+AE15</f>
        <v>59.122</v>
      </c>
      <c r="AF55" s="814"/>
      <c r="AG55" s="756">
        <f>AG16+AG15</f>
        <v>52.555999999999976</v>
      </c>
      <c r="AH55" s="756">
        <f>AH16+AH15</f>
        <v>64.379000000000019</v>
      </c>
      <c r="AI55" s="756">
        <f>AI16+AI15</f>
        <v>78.96999999999997</v>
      </c>
      <c r="AJ55" s="756">
        <f>AE16+AE15</f>
        <v>59.122</v>
      </c>
      <c r="AK55" s="756"/>
      <c r="AL55" s="756">
        <f>AL16+AL15</f>
        <v>82.284999999999982</v>
      </c>
      <c r="AM55" s="756">
        <f>AM16+AM15</f>
        <v>103.39099999999999</v>
      </c>
      <c r="AN55" s="756">
        <f>AN16+AN15</f>
        <v>111.45799999999996</v>
      </c>
      <c r="AO55" s="756">
        <f>AO16+AO15</f>
        <v>84.25</v>
      </c>
      <c r="AP55" s="756"/>
      <c r="AQ55" s="756">
        <f>AQ16+AQ15</f>
        <v>68.20999999999998</v>
      </c>
      <c r="AR55" s="756">
        <f>AR16+AR15</f>
        <v>101.44399999999995</v>
      </c>
      <c r="AS55" s="756">
        <f>AS16+AS15</f>
        <v>119.38899999999997</v>
      </c>
      <c r="AT55" s="756">
        <f>AT16+AT15</f>
        <v>142.29100000000005</v>
      </c>
      <c r="AU55" s="756"/>
      <c r="AV55" s="756">
        <f>AV16+AV15</f>
        <v>106.55799999999999</v>
      </c>
      <c r="AW55" s="756">
        <f>AW16+AW15</f>
        <v>131.57300000000001</v>
      </c>
      <c r="AX55" s="756">
        <f>AX16+AX15</f>
        <v>130.60499999999996</v>
      </c>
      <c r="AY55" s="756">
        <f>AY16+AY15</f>
        <v>146.572</v>
      </c>
      <c r="AZ55" s="756"/>
      <c r="BA55" s="756">
        <f>BA16+BA15</f>
        <v>88.187000000000026</v>
      </c>
      <c r="BB55" s="756">
        <f>BB16+BB15</f>
        <v>114.74800000000003</v>
      </c>
      <c r="BC55" s="756">
        <f>BC16+BC15</f>
        <v>100.76499999999996</v>
      </c>
      <c r="BD55" s="756">
        <f>BD16+BD15</f>
        <v>89.137000000000029</v>
      </c>
      <c r="BE55" s="756"/>
      <c r="BF55" s="756">
        <f>BF16+BF15</f>
        <v>81.714999999999932</v>
      </c>
      <c r="BG55" s="756">
        <f>BG16+BG15</f>
        <v>124.73800000000001</v>
      </c>
      <c r="BH55" s="756">
        <f>BH16+BH15</f>
        <v>124.28000000000002</v>
      </c>
      <c r="BI55" s="756">
        <f>BI16+BI15</f>
        <v>162.21600000000024</v>
      </c>
      <c r="BJ55" s="756"/>
      <c r="BK55" s="756">
        <f>BK16+BK15</f>
        <v>105.04400000000004</v>
      </c>
      <c r="BL55" s="756">
        <f>BL16+BL15</f>
        <v>151.80700000000002</v>
      </c>
      <c r="BM55" s="756">
        <f>BM16+BM15</f>
        <v>138.67699999999996</v>
      </c>
      <c r="BN55" s="756">
        <f>BN16+BN15</f>
        <v>163.96699999999998</v>
      </c>
      <c r="BO55" s="756"/>
      <c r="BP55" s="756">
        <f>BP16+BP15</f>
        <v>94.298999999999978</v>
      </c>
      <c r="BQ55" s="756">
        <f>BQ16+BQ15</f>
        <v>134.54200000000003</v>
      </c>
      <c r="BR55" s="756">
        <f>BR16+BR15</f>
        <v>115.93899999999999</v>
      </c>
      <c r="BS55" s="756">
        <f>BS16+BS15</f>
        <v>158.71499999999997</v>
      </c>
      <c r="BT55" s="756"/>
      <c r="BU55" s="756">
        <f>BU16+BU15</f>
        <v>88.554000000000002</v>
      </c>
      <c r="BV55" s="756">
        <f>BV16+BV15</f>
        <v>140.251</v>
      </c>
      <c r="BW55" s="756">
        <f>BW16+BW15</f>
        <v>117.32499999999999</v>
      </c>
      <c r="BX55" s="756">
        <f>BX16+BX15</f>
        <v>150.17099999999999</v>
      </c>
      <c r="BY55" s="756"/>
      <c r="BZ55" s="756">
        <f>BZ16+BZ15</f>
        <v>85.327000000000027</v>
      </c>
      <c r="CA55" s="756">
        <f>CA16+CA15</f>
        <v>151.76099999999997</v>
      </c>
      <c r="CB55" s="756">
        <f>CB16+CB15</f>
        <v>103.09299999999992</v>
      </c>
      <c r="CC55" s="757">
        <f>CC16+CC15</f>
        <v>138.01699999999988</v>
      </c>
      <c r="CD55" s="756"/>
      <c r="CE55" s="756">
        <f>CE16+CE15</f>
        <v>53.172000000000089</v>
      </c>
      <c r="CF55" s="756">
        <f>CF16+CF15</f>
        <v>107.76300000000006</v>
      </c>
      <c r="CG55" s="756">
        <f>CG16+CG15</f>
        <v>105.47099999999998</v>
      </c>
      <c r="CH55" s="756">
        <f>CH16+CH15</f>
        <v>138.6269999999999</v>
      </c>
      <c r="CI55" s="756"/>
      <c r="CJ55" s="756">
        <f>CJ16+CJ15</f>
        <v>77.92613844074657</v>
      </c>
      <c r="CK55" s="756">
        <f>CK16+CK15</f>
        <v>130.23975768051426</v>
      </c>
      <c r="CL55" s="756">
        <f>CL16+CL15</f>
        <v>105.2064796161406</v>
      </c>
      <c r="CM55" s="761">
        <f>CM16+CM15</f>
        <v>123.86129991668099</v>
      </c>
      <c r="CN55" s="756"/>
      <c r="CO55" s="757">
        <f t="shared" ref="CO55:DJ55" si="24">CO16+CO15</f>
        <v>24.816999999999979</v>
      </c>
      <c r="CP55" s="757">
        <f t="shared" si="24"/>
        <v>26.649999999999984</v>
      </c>
      <c r="CQ55" s="757">
        <f t="shared" si="24"/>
        <v>30.73700000000003</v>
      </c>
      <c r="CR55" s="757">
        <f t="shared" si="24"/>
        <v>46.232000000000028</v>
      </c>
      <c r="CS55" s="757">
        <f t="shared" si="24"/>
        <v>29.874999999999986</v>
      </c>
      <c r="CT55" s="758">
        <f t="shared" si="24"/>
        <v>40.959999999999965</v>
      </c>
      <c r="CU55" s="759">
        <f t="shared" si="24"/>
        <v>65.34899999999999</v>
      </c>
      <c r="CV55" s="759">
        <f t="shared" si="24"/>
        <v>54.572000000000017</v>
      </c>
      <c r="CW55" s="759">
        <f t="shared" si="24"/>
        <v>180.22399999999988</v>
      </c>
      <c r="CX55" s="759">
        <f t="shared" si="24"/>
        <v>247.03899999999996</v>
      </c>
      <c r="CY55" s="759">
        <f t="shared" si="24"/>
        <v>219.7020000000002</v>
      </c>
      <c r="CZ55" s="760">
        <f t="shared" si="24"/>
        <v>294.96199999999993</v>
      </c>
      <c r="DA55" s="758">
        <f t="shared" si="24"/>
        <v>381.38399999999984</v>
      </c>
      <c r="DB55" s="761">
        <f t="shared" si="24"/>
        <v>431.33399999999995</v>
      </c>
      <c r="DC55" s="758">
        <f t="shared" si="24"/>
        <v>515.30799999999988</v>
      </c>
      <c r="DD55" s="757">
        <f t="shared" si="24"/>
        <v>284.72500000000059</v>
      </c>
      <c r="DE55" s="757">
        <f t="shared" si="24"/>
        <v>492.94900000000018</v>
      </c>
      <c r="DF55" s="758">
        <f t="shared" si="24"/>
        <v>559.53145999999992</v>
      </c>
      <c r="DG55" s="757">
        <f t="shared" si="24"/>
        <v>503.76450000000023</v>
      </c>
      <c r="DH55" s="757">
        <f t="shared" si="24"/>
        <v>496.30099999999993</v>
      </c>
      <c r="DI55" s="757">
        <f t="shared" si="24"/>
        <v>478.19799999999975</v>
      </c>
      <c r="DJ55" s="757">
        <f t="shared" si="24"/>
        <v>405.03299999999979</v>
      </c>
      <c r="DK55" s="757">
        <f>DK16+DK15</f>
        <v>437.2336756540825</v>
      </c>
      <c r="DL55" s="757">
        <f>DL16+DL15</f>
        <v>440.46858509905701</v>
      </c>
      <c r="DM55" s="757">
        <f>DM16+DM15</f>
        <v>449.44145532584798</v>
      </c>
      <c r="DN55" s="757">
        <f>DN16+DN15</f>
        <v>457.18983595620796</v>
      </c>
      <c r="DO55" s="761">
        <f>DO16+DO15</f>
        <v>462.86606653207991</v>
      </c>
      <c r="DP55" s="704"/>
    </row>
    <row r="56" spans="1:129">
      <c r="A56" s="711"/>
      <c r="B56" s="711"/>
      <c r="C56" s="711"/>
      <c r="D56" s="711"/>
      <c r="E56" s="711"/>
      <c r="F56" s="711"/>
      <c r="G56" s="711"/>
      <c r="H56" s="711"/>
      <c r="I56" s="711"/>
      <c r="J56" s="711"/>
      <c r="K56" s="711"/>
      <c r="L56" s="711"/>
      <c r="M56" s="711"/>
      <c r="N56" s="711"/>
      <c r="O56" s="711"/>
      <c r="P56" s="711"/>
      <c r="Q56" s="711"/>
      <c r="R56" s="711"/>
      <c r="S56" s="711"/>
      <c r="T56" s="711"/>
      <c r="U56" s="711"/>
      <c r="V56" s="711"/>
      <c r="W56" s="711"/>
      <c r="X56" s="711"/>
      <c r="Y56" s="711"/>
      <c r="Z56" s="711"/>
      <c r="AA56" s="711"/>
      <c r="AB56" s="711"/>
      <c r="AC56" s="711"/>
      <c r="AD56" s="711"/>
      <c r="AE56" s="711"/>
      <c r="AF56" s="711"/>
      <c r="AG56" s="711"/>
      <c r="AH56" s="711"/>
      <c r="AI56" s="711"/>
      <c r="AJ56" s="711"/>
      <c r="AK56" s="711"/>
      <c r="AL56" s="711"/>
      <c r="AM56" s="711"/>
      <c r="AN56" s="711"/>
      <c r="AO56" s="711"/>
      <c r="AP56" s="711"/>
      <c r="AQ56" s="711"/>
      <c r="AR56" s="711"/>
      <c r="AS56" s="711"/>
      <c r="AT56" s="711"/>
      <c r="AU56" s="711"/>
      <c r="AV56" s="711"/>
      <c r="AW56" s="711"/>
      <c r="AX56" s="711"/>
      <c r="AY56" s="711"/>
      <c r="AZ56" s="711"/>
      <c r="BA56" s="711"/>
      <c r="BB56" s="711"/>
      <c r="BC56" s="711"/>
      <c r="BD56" s="711"/>
      <c r="BE56" s="711"/>
      <c r="BF56" s="711"/>
      <c r="BG56" s="711"/>
      <c r="BH56" s="711"/>
      <c r="BI56" s="815"/>
      <c r="BJ56" s="711"/>
      <c r="BK56" s="711"/>
      <c r="BL56" s="711"/>
      <c r="BM56" s="711"/>
      <c r="BN56" s="711"/>
      <c r="BO56" s="711"/>
      <c r="BP56" s="711"/>
      <c r="BQ56" s="711"/>
      <c r="BR56" s="711"/>
      <c r="BS56" s="711"/>
      <c r="BT56" s="711"/>
      <c r="BU56" s="711"/>
      <c r="BV56" s="711"/>
      <c r="BW56" s="711"/>
      <c r="BX56" s="711"/>
      <c r="BY56" s="711"/>
      <c r="BZ56" s="711"/>
      <c r="CA56" s="711"/>
      <c r="CB56" s="711"/>
      <c r="CC56" s="712"/>
      <c r="CD56" s="711"/>
      <c r="CE56" s="711"/>
      <c r="CF56" s="711"/>
      <c r="CG56" s="711"/>
      <c r="CH56" s="711"/>
      <c r="CI56" s="711"/>
      <c r="CJ56" s="711"/>
      <c r="CK56" s="711"/>
      <c r="CL56" s="711"/>
      <c r="CM56" s="816"/>
      <c r="CN56" s="711"/>
      <c r="CO56" s="712"/>
      <c r="CP56" s="712"/>
      <c r="CQ56" s="712"/>
      <c r="CR56" s="712"/>
      <c r="CS56" s="712"/>
      <c r="CT56" s="751"/>
      <c r="CU56" s="751"/>
      <c r="CV56" s="751"/>
      <c r="CW56" s="751"/>
      <c r="CX56" s="751"/>
      <c r="CY56" s="751"/>
      <c r="CZ56" s="712"/>
      <c r="DA56" s="751"/>
      <c r="DB56" s="816"/>
      <c r="DC56" s="751"/>
      <c r="DD56" s="712"/>
      <c r="DE56" s="712"/>
      <c r="DF56" s="751"/>
      <c r="DG56" s="712"/>
      <c r="DH56" s="712"/>
      <c r="DI56" s="753" t="s">
        <v>718</v>
      </c>
      <c r="DJ56" s="712"/>
      <c r="DK56" s="712"/>
      <c r="DL56" s="712"/>
      <c r="DM56" s="712"/>
      <c r="DN56" s="712"/>
      <c r="DO56" s="816"/>
      <c r="DP56" s="704"/>
    </row>
    <row r="57" spans="1:129">
      <c r="A57" s="741" t="s">
        <v>418</v>
      </c>
      <c r="B57" s="711"/>
      <c r="C57" s="711"/>
      <c r="D57" s="711"/>
      <c r="E57" s="711"/>
      <c r="F57" s="711"/>
      <c r="G57" s="711"/>
      <c r="H57" s="711"/>
      <c r="I57" s="711"/>
      <c r="J57" s="711"/>
      <c r="K57" s="711"/>
      <c r="L57" s="711"/>
      <c r="M57" s="711"/>
      <c r="N57" s="711"/>
      <c r="O57" s="711"/>
      <c r="P57" s="711"/>
      <c r="Q57" s="711"/>
      <c r="R57" s="711"/>
      <c r="S57" s="711"/>
      <c r="T57" s="711"/>
      <c r="U57" s="711"/>
      <c r="V57" s="711"/>
      <c r="W57" s="711"/>
      <c r="X57" s="711"/>
      <c r="Y57" s="711"/>
      <c r="Z57" s="711"/>
      <c r="AA57" s="711"/>
      <c r="AB57" s="711"/>
      <c r="AC57" s="711"/>
      <c r="AD57" s="711"/>
      <c r="AE57" s="711"/>
      <c r="AF57" s="711"/>
      <c r="AG57" s="711"/>
      <c r="AH57" s="711"/>
      <c r="AI57" s="711"/>
      <c r="AJ57" s="711"/>
      <c r="AK57" s="711"/>
      <c r="AL57" s="711"/>
      <c r="AM57" s="711"/>
      <c r="AN57" s="711"/>
      <c r="AO57" s="711"/>
      <c r="AP57" s="711"/>
      <c r="AQ57" s="711"/>
      <c r="AR57" s="711"/>
      <c r="AS57" s="711"/>
      <c r="AT57" s="711"/>
      <c r="AU57" s="711"/>
      <c r="AV57" s="711"/>
      <c r="AW57" s="711"/>
      <c r="AX57" s="711"/>
      <c r="AY57" s="711"/>
      <c r="AZ57" s="711"/>
      <c r="BA57" s="711"/>
      <c r="BB57" s="711"/>
      <c r="BC57" s="711"/>
      <c r="BD57" s="711"/>
      <c r="BE57" s="711"/>
      <c r="BF57" s="711"/>
      <c r="BG57" s="711"/>
      <c r="BH57" s="817"/>
      <c r="BI57" s="711"/>
      <c r="BJ57" s="711"/>
      <c r="BK57" s="711"/>
      <c r="BL57" s="711"/>
      <c r="BM57" s="817"/>
      <c r="BN57" s="711"/>
      <c r="BO57" s="711"/>
      <c r="BP57" s="711"/>
      <c r="BQ57" s="711"/>
      <c r="BR57" s="817"/>
      <c r="BS57" s="711"/>
      <c r="BT57" s="711"/>
      <c r="BU57" s="817"/>
      <c r="BV57" s="817"/>
      <c r="BW57" s="817"/>
      <c r="BX57" s="817"/>
      <c r="BY57" s="711"/>
      <c r="BZ57" s="711"/>
      <c r="CA57" s="711"/>
      <c r="CB57" s="817"/>
      <c r="CC57" s="1622"/>
      <c r="CD57" s="711"/>
      <c r="CE57" s="815"/>
      <c r="CF57" s="815"/>
      <c r="CG57" s="815">
        <f>CG58-CB58</f>
        <v>-1.4203718815635757E-2</v>
      </c>
      <c r="CH57" s="815">
        <f>CH58-CC58</f>
        <v>-1.1324104865441165E-2</v>
      </c>
      <c r="CI57" s="711"/>
      <c r="CJ57" s="815"/>
      <c r="CK57" s="815"/>
      <c r="CL57" s="815"/>
      <c r="CM57" s="1748"/>
      <c r="CN57" s="711"/>
      <c r="CO57" s="712"/>
      <c r="CP57" s="712"/>
      <c r="CQ57" s="712"/>
      <c r="CR57" s="712"/>
      <c r="CS57" s="712"/>
      <c r="CT57" s="751"/>
      <c r="CU57" s="751"/>
      <c r="CV57" s="751"/>
      <c r="CW57" s="751"/>
      <c r="CX57" s="751"/>
      <c r="CY57" s="751"/>
      <c r="CZ57" s="712"/>
      <c r="DA57" s="751"/>
      <c r="DB57" s="816"/>
      <c r="DC57" s="751"/>
      <c r="DD57" s="712"/>
      <c r="DE57" s="712"/>
      <c r="DF57" s="1760"/>
      <c r="DG57" s="712"/>
      <c r="DH57" s="712"/>
      <c r="DI57" s="712"/>
      <c r="DJ57" s="827"/>
      <c r="DK57" s="712"/>
      <c r="DL57" s="712"/>
      <c r="DM57" s="712"/>
      <c r="DN57" s="712"/>
      <c r="DO57" s="816"/>
      <c r="DP57" s="704"/>
    </row>
    <row r="58" spans="1:129">
      <c r="A58" s="794" t="s">
        <v>419</v>
      </c>
      <c r="B58" s="819"/>
      <c r="C58" s="819">
        <f>C12/C8</f>
        <v>0.30013642564802184</v>
      </c>
      <c r="D58" s="819">
        <f>D12/D8</f>
        <v>0.32270663598482491</v>
      </c>
      <c r="E58" s="819">
        <f>E12/E8</f>
        <v>0.33646711681150987</v>
      </c>
      <c r="F58" s="819">
        <f>F12/F8</f>
        <v>0.33598729180706655</v>
      </c>
      <c r="G58" s="819"/>
      <c r="H58" s="819">
        <f>H12/H8</f>
        <v>0.35278241091736168</v>
      </c>
      <c r="I58" s="819">
        <f>I12/I8</f>
        <v>0.29744634935858999</v>
      </c>
      <c r="J58" s="819">
        <f>J12/J8</f>
        <v>0.31824726621784638</v>
      </c>
      <c r="K58" s="819">
        <f>K12/K8</f>
        <v>0.32354728624187734</v>
      </c>
      <c r="L58" s="819"/>
      <c r="M58" s="819">
        <f>M12/M8</f>
        <v>0.3544212729379228</v>
      </c>
      <c r="N58" s="819">
        <f>N12/N8</f>
        <v>0.37148739817218573</v>
      </c>
      <c r="O58" s="819">
        <f>O12/O8</f>
        <v>0.39914705861688599</v>
      </c>
      <c r="P58" s="819">
        <f>P12/P8</f>
        <v>0.41494296599535546</v>
      </c>
      <c r="Q58" s="819"/>
      <c r="R58" s="819">
        <f>R12/R8</f>
        <v>0.41044101239062775</v>
      </c>
      <c r="S58" s="819">
        <f>S12/S8</f>
        <v>0.40646175930421574</v>
      </c>
      <c r="T58" s="819">
        <f>T12/T8</f>
        <v>0.42272582307617645</v>
      </c>
      <c r="U58" s="819">
        <f>U12/U8</f>
        <v>0.39893014549544314</v>
      </c>
      <c r="V58" s="819"/>
      <c r="W58" s="819">
        <f>W12/W8</f>
        <v>0.42199070571706471</v>
      </c>
      <c r="X58" s="819">
        <f>X12/X8</f>
        <v>0.41373050451474391</v>
      </c>
      <c r="Y58" s="819">
        <f>Y12/Y8</f>
        <v>0.41638013718789058</v>
      </c>
      <c r="Z58" s="819">
        <f>Z12/Z8</f>
        <v>0.39518627447903093</v>
      </c>
      <c r="AA58" s="819"/>
      <c r="AB58" s="819">
        <f>AB12/AB8</f>
        <v>0.35839070838904175</v>
      </c>
      <c r="AC58" s="819">
        <f>AC12/AC8</f>
        <v>0.3668313728511447</v>
      </c>
      <c r="AD58" s="819">
        <f>AD12/AD8</f>
        <v>0.38250717517147442</v>
      </c>
      <c r="AE58" s="819">
        <f>AE12/AE8</f>
        <v>0.36711327176576236</v>
      </c>
      <c r="AF58" s="819"/>
      <c r="AG58" s="819">
        <f>AG12/AG8</f>
        <v>0.35802622208657608</v>
      </c>
      <c r="AH58" s="819">
        <f>AH12/AH8</f>
        <v>0.37315934326113726</v>
      </c>
      <c r="AI58" s="819">
        <f>AI12/AI8</f>
        <v>0.39528102921016556</v>
      </c>
      <c r="AJ58" s="819">
        <f>AE12/AE8</f>
        <v>0.36711327176576236</v>
      </c>
      <c r="AK58" s="819"/>
      <c r="AL58" s="819">
        <f>AL12/AL8</f>
        <v>0.40244285960658593</v>
      </c>
      <c r="AM58" s="819">
        <f>AM12/AM8</f>
        <v>0.41054821206484771</v>
      </c>
      <c r="AN58" s="819">
        <f>AN12/AN8</f>
        <v>0.40881844030689202</v>
      </c>
      <c r="AO58" s="819">
        <f>AO12/AO8</f>
        <v>0.34028633398808844</v>
      </c>
      <c r="AP58" s="819"/>
      <c r="AQ58" s="819">
        <f>AQ12/AQ8</f>
        <v>0.37241811245439138</v>
      </c>
      <c r="AR58" s="819">
        <f>AR12/AR8</f>
        <v>0.40793805846157866</v>
      </c>
      <c r="AS58" s="819">
        <f>AS12/AS8</f>
        <v>0.41527574619490015</v>
      </c>
      <c r="AT58" s="819">
        <f>AT12/AT8</f>
        <v>0.41744081917711856</v>
      </c>
      <c r="AU58" s="819"/>
      <c r="AV58" s="819">
        <f>AV12/AV8</f>
        <v>0.41833815664189383</v>
      </c>
      <c r="AW58" s="819">
        <f>AW12/AW8</f>
        <v>0.42520542090231256</v>
      </c>
      <c r="AX58" s="819">
        <f>AX12/AX8</f>
        <v>0.41143007573327384</v>
      </c>
      <c r="AY58" s="819">
        <f>AY12/AY8</f>
        <v>0.39656487978575383</v>
      </c>
      <c r="AZ58" s="819"/>
      <c r="BA58" s="819">
        <f>BA12/BA8</f>
        <v>0.37301128394199451</v>
      </c>
      <c r="BB58" s="819">
        <f>BB12/BB8</f>
        <v>0.37934538339179985</v>
      </c>
      <c r="BC58" s="819">
        <f>BC12/BC8</f>
        <v>0.3542945112164379</v>
      </c>
      <c r="BD58" s="819">
        <f>BD12/BD8</f>
        <v>0.29819831163569877</v>
      </c>
      <c r="BE58" s="819"/>
      <c r="BF58" s="819">
        <f>BF12/BF8</f>
        <v>0.35589439825637592</v>
      </c>
      <c r="BG58" s="819">
        <f>BG12/BG8</f>
        <v>0.37635023932784145</v>
      </c>
      <c r="BH58" s="819">
        <f>BH12/BH8</f>
        <v>0.37643895483096251</v>
      </c>
      <c r="BI58" s="819">
        <f>BI12/BI8</f>
        <v>0.36612313301325083</v>
      </c>
      <c r="BJ58" s="819"/>
      <c r="BK58" s="819">
        <f>BK12/BK8</f>
        <v>0.36843177095145313</v>
      </c>
      <c r="BL58" s="819">
        <f>BL12/BL8</f>
        <v>0.39318861367603397</v>
      </c>
      <c r="BM58" s="819">
        <f>BM12/BM8</f>
        <v>0.37760529372171525</v>
      </c>
      <c r="BN58" s="819">
        <f>BN12/BN8</f>
        <v>0.36650887887505551</v>
      </c>
      <c r="BO58" s="819"/>
      <c r="BP58" s="819">
        <f>BP12/BP8</f>
        <v>0.347526627908671</v>
      </c>
      <c r="BQ58" s="819">
        <f>BQ12/BQ8</f>
        <v>0.37381433412264736</v>
      </c>
      <c r="BR58" s="819">
        <f>BR12/BR8</f>
        <v>0.34810858595160044</v>
      </c>
      <c r="BS58" s="819">
        <f>BS12/BS8</f>
        <v>0.34581778834551213</v>
      </c>
      <c r="BT58" s="819"/>
      <c r="BU58" s="819">
        <f>BU12/BU8</f>
        <v>0.33344744996684755</v>
      </c>
      <c r="BV58" s="819">
        <f>BV12/BV8</f>
        <v>0.36670855140294656</v>
      </c>
      <c r="BW58" s="819">
        <f>BW12/BW8</f>
        <v>0.34920958051906187</v>
      </c>
      <c r="BX58" s="819">
        <f>BX12/BX8</f>
        <v>0.34456871184895294</v>
      </c>
      <c r="BY58" s="819"/>
      <c r="BZ58" s="819">
        <f>BZ12/BZ8</f>
        <v>0.343428925865847</v>
      </c>
      <c r="CA58" s="819">
        <f>CA12/CA8</f>
        <v>0.3845983686815605</v>
      </c>
      <c r="CB58" s="819">
        <f>CB12/CB8</f>
        <v>0.34771029494800521</v>
      </c>
      <c r="CC58" s="843">
        <f>CC12/CC8</f>
        <v>0.3345651832049063</v>
      </c>
      <c r="CD58" s="819"/>
      <c r="CE58" s="819">
        <f>CE12/CE8</f>
        <v>0.31500676572209313</v>
      </c>
      <c r="CF58" s="819">
        <f>CF12/CF8</f>
        <v>0.34062600595006942</v>
      </c>
      <c r="CG58" s="819">
        <f>CG12/CG8</f>
        <v>0.33350657613236945</v>
      </c>
      <c r="CH58" s="819">
        <f>CH12/CH8</f>
        <v>0.32324107833946514</v>
      </c>
      <c r="CI58" s="819"/>
      <c r="CJ58" s="819">
        <f>CJ12/CJ8</f>
        <v>0.32640000000000002</v>
      </c>
      <c r="CK58" s="819">
        <f>CK12/CK8</f>
        <v>0.35600000000000004</v>
      </c>
      <c r="CL58" s="819">
        <f>CL12/CL8</f>
        <v>0.33200000000000007</v>
      </c>
      <c r="CM58" s="1749">
        <f>CM12/CM8</f>
        <v>0.31600000000000006</v>
      </c>
      <c r="CN58" s="819"/>
      <c r="CO58" s="820">
        <f>CO12/CO8</f>
        <v>0.36477782463673653</v>
      </c>
      <c r="CP58" s="820">
        <f>CP12/CP8</f>
        <v>0.34954403786217236</v>
      </c>
      <c r="CQ58" s="820">
        <f>CQ12/CQ8</f>
        <v>0.37538417554141962</v>
      </c>
      <c r="CR58" s="820">
        <f>CR12/CR8</f>
        <v>0.37630028082110517</v>
      </c>
      <c r="CS58" s="820">
        <f t="shared" ref="CS58:CX58" si="25">CS12/CS8</f>
        <v>0.32279494672115883</v>
      </c>
      <c r="CT58" s="821">
        <f t="shared" si="25"/>
        <v>0.325675296167447</v>
      </c>
      <c r="CU58" s="821">
        <f t="shared" si="25"/>
        <v>0.356687340628356</v>
      </c>
      <c r="CV58" s="821">
        <f t="shared" si="25"/>
        <v>0.32647516074470501</v>
      </c>
      <c r="CW58" s="821">
        <f t="shared" si="25"/>
        <v>0.40924192086982769</v>
      </c>
      <c r="CX58" s="821">
        <f t="shared" si="25"/>
        <v>0.41077110576161496</v>
      </c>
      <c r="CY58" s="821">
        <f t="shared" ref="CY58:DD58" si="26">CY12/CY8</f>
        <v>0.3690003486519744</v>
      </c>
      <c r="CZ58" s="820">
        <f t="shared" si="26"/>
        <v>0.38254481589468625</v>
      </c>
      <c r="DA58" s="821">
        <f t="shared" si="26"/>
        <v>0.38889730723235022</v>
      </c>
      <c r="DB58" s="822">
        <f t="shared" si="26"/>
        <v>0.40568630132391376</v>
      </c>
      <c r="DC58" s="821">
        <f t="shared" si="26"/>
        <v>0.41186367190213979</v>
      </c>
      <c r="DD58" s="820">
        <f t="shared" si="26"/>
        <v>0.34785983189431985</v>
      </c>
      <c r="DE58" s="820">
        <f t="shared" ref="DE58:DJ58" si="27">DE12/DE8</f>
        <v>0.36907287315402026</v>
      </c>
      <c r="DF58" s="821">
        <f t="shared" si="27"/>
        <v>0.3762592274718935</v>
      </c>
      <c r="DG58" s="820">
        <f t="shared" si="27"/>
        <v>0.35361931113713246</v>
      </c>
      <c r="DH58" s="820">
        <f t="shared" si="27"/>
        <v>0.34886944890967958</v>
      </c>
      <c r="DI58" s="820">
        <f t="shared" si="27"/>
        <v>0.35223535264597994</v>
      </c>
      <c r="DJ58" s="820">
        <f t="shared" si="27"/>
        <v>0.32823904995943043</v>
      </c>
      <c r="DK58" s="820">
        <f>DK12/DK8</f>
        <v>0.33195927949177895</v>
      </c>
      <c r="DL58" s="820">
        <f>DL12/DL8</f>
        <v>0.33379999999999999</v>
      </c>
      <c r="DM58" s="820">
        <f>DM12/DM8</f>
        <v>0.33410000000000006</v>
      </c>
      <c r="DN58" s="820">
        <f>DN12/DN8</f>
        <v>0.33519999999999994</v>
      </c>
      <c r="DO58" s="822">
        <f>DO12/DO8</f>
        <v>0.33580000000000004</v>
      </c>
      <c r="DP58" s="823"/>
    </row>
    <row r="59" spans="1:129">
      <c r="A59" s="794" t="s">
        <v>420</v>
      </c>
      <c r="B59" s="795"/>
      <c r="C59" s="824">
        <f>(C13/C8)</f>
        <v>0.27162624940835817</v>
      </c>
      <c r="D59" s="819">
        <f>(D13/D8)</f>
        <v>0.25495366627277816</v>
      </c>
      <c r="E59" s="819">
        <f>(E13/E8)</f>
        <v>0.24634122702161343</v>
      </c>
      <c r="F59" s="819">
        <f>(F13/F8)</f>
        <v>0.24323673823048039</v>
      </c>
      <c r="G59" s="819"/>
      <c r="H59" s="824">
        <f>(H13/H8)</f>
        <v>0.27680060652009097</v>
      </c>
      <c r="I59" s="819">
        <f>(I13/I8)</f>
        <v>0.25233784917875557</v>
      </c>
      <c r="J59" s="819">
        <f>(J13/J8)</f>
        <v>0.26444072589537043</v>
      </c>
      <c r="K59" s="819">
        <f>(K13/K8)</f>
        <v>0.25682530035996448</v>
      </c>
      <c r="L59" s="819"/>
      <c r="M59" s="824">
        <f>(M13/M8)</f>
        <v>0.25482116829240947</v>
      </c>
      <c r="N59" s="819">
        <f>(N13/N8)</f>
        <v>0.24533891063566596</v>
      </c>
      <c r="O59" s="819">
        <f>(O13/O8)</f>
        <v>0.23419353478862651</v>
      </c>
      <c r="P59" s="819">
        <f>(P13/P8)</f>
        <v>0.23854919573252786</v>
      </c>
      <c r="Q59" s="819"/>
      <c r="R59" s="824">
        <f>(R13/R8)</f>
        <v>0.24369017558282929</v>
      </c>
      <c r="S59" s="819">
        <f>(S13/S8)</f>
        <v>0.22639378522724873</v>
      </c>
      <c r="T59" s="819">
        <f>(T13/T8)</f>
        <v>0.22313533900616123</v>
      </c>
      <c r="U59" s="819">
        <f>(U13/U8)</f>
        <v>0.22935900136315046</v>
      </c>
      <c r="V59" s="819"/>
      <c r="W59" s="824">
        <f>(W13/W8)</f>
        <v>0.22841889117043121</v>
      </c>
      <c r="X59" s="819">
        <f>(X13/X8)</f>
        <v>0.21851913241144158</v>
      </c>
      <c r="Y59" s="819">
        <f>(Y13/Y8)</f>
        <v>0.20634277582141336</v>
      </c>
      <c r="Z59" s="819">
        <f>(Z13/Z8)</f>
        <v>0.22946492188995854</v>
      </c>
      <c r="AA59" s="819"/>
      <c r="AB59" s="824">
        <f>(AB13/AB8)</f>
        <v>0.24153818234342073</v>
      </c>
      <c r="AC59" s="819">
        <f>(AC13/AC8)</f>
        <v>0.23127619861394669</v>
      </c>
      <c r="AD59" s="819">
        <f>(AD13/AD8)</f>
        <v>0.23506672504094303</v>
      </c>
      <c r="AE59" s="819">
        <f>(AE13/AE8)</f>
        <v>0.23333961573853371</v>
      </c>
      <c r="AF59" s="819"/>
      <c r="AG59" s="824">
        <f>(AG13/AG8)</f>
        <v>0.24352395849229364</v>
      </c>
      <c r="AH59" s="819">
        <f>(AH13/AH8)</f>
        <v>0.23749817046397034</v>
      </c>
      <c r="AI59" s="819">
        <f>(AI13/AI8)</f>
        <v>0.23360487187598863</v>
      </c>
      <c r="AJ59" s="819">
        <f>(AE13/AE8)</f>
        <v>0.23333961573853371</v>
      </c>
      <c r="AK59" s="819"/>
      <c r="AL59" s="819">
        <f>(AL13/AL8)</f>
        <v>0.24280989723352239</v>
      </c>
      <c r="AM59" s="819">
        <f>(AM13/AM8)</f>
        <v>0.22802364102620543</v>
      </c>
      <c r="AN59" s="819">
        <f>(AN13/AN8)</f>
        <v>0.21972244132791299</v>
      </c>
      <c r="AO59" s="819">
        <f>(AO13/AO8)</f>
        <v>0.21590779368522156</v>
      </c>
      <c r="AP59" s="819"/>
      <c r="AQ59" s="819">
        <f>(AQ13/AQ8)</f>
        <v>0.25256239669851038</v>
      </c>
      <c r="AR59" s="819">
        <f>(AR13/AR8)</f>
        <v>0.23690327194707672</v>
      </c>
      <c r="AS59" s="819">
        <f>(AS13/AS8)</f>
        <v>0.22598734927851355</v>
      </c>
      <c r="AT59" s="819">
        <f>(AT13/AT8)</f>
        <v>0.21580375637433238</v>
      </c>
      <c r="AU59" s="819"/>
      <c r="AV59" s="819">
        <f>(AV13/AV8)</f>
        <v>0.24705132291998724</v>
      </c>
      <c r="AW59" s="819">
        <f>(AW13/AW8)</f>
        <v>0.23165791013095868</v>
      </c>
      <c r="AX59" s="819">
        <f>(AX13/AX8)</f>
        <v>0.22872180923025429</v>
      </c>
      <c r="AY59" s="819">
        <f>(AY13/AY8)</f>
        <v>0.21654572928978591</v>
      </c>
      <c r="AZ59" s="819"/>
      <c r="BA59" s="819">
        <f>(BA13/BA8)</f>
        <v>0.25538959465210231</v>
      </c>
      <c r="BB59" s="819">
        <f>(BB13/BB8)</f>
        <v>0.23489734578064644</v>
      </c>
      <c r="BC59" s="819">
        <f>(BC13/BC8)</f>
        <v>0.2340213098386269</v>
      </c>
      <c r="BD59" s="819">
        <f>(BD13/BD8)</f>
        <v>0.21370755822229034</v>
      </c>
      <c r="BE59" s="819"/>
      <c r="BF59" s="819">
        <f>(BF13/BF8)</f>
        <v>0.2628864710948623</v>
      </c>
      <c r="BG59" s="819">
        <f>(BG13/BG8)</f>
        <v>0.23448657265082384</v>
      </c>
      <c r="BH59" s="819">
        <f>(BH13/BH8)</f>
        <v>0.2415207024755219</v>
      </c>
      <c r="BI59" s="819">
        <f>(BI13/BI8)</f>
        <v>0.21212867416223377</v>
      </c>
      <c r="BJ59" s="819"/>
      <c r="BK59" s="819">
        <f>(BK13/BK8)</f>
        <v>0.25586066768799259</v>
      </c>
      <c r="BL59" s="819">
        <f>(BL13/BL8)</f>
        <v>0.2358870648786327</v>
      </c>
      <c r="BM59" s="819">
        <f>(BM13/BM8)</f>
        <v>0.24136198095986172</v>
      </c>
      <c r="BN59" s="819">
        <f>(BN13/BN8)</f>
        <v>0.22400420374937352</v>
      </c>
      <c r="BO59" s="819"/>
      <c r="BP59" s="819">
        <f>(BP13/BP8)</f>
        <v>0.26036339263598085</v>
      </c>
      <c r="BQ59" s="819">
        <f>(BQ13/BQ8)</f>
        <v>0.24424069926397804</v>
      </c>
      <c r="BR59" s="819">
        <f>(BR13/BR8)</f>
        <v>0.25422544722334767</v>
      </c>
      <c r="BS59" s="819">
        <f>(BS13/BS8)</f>
        <v>0.22319008866082979</v>
      </c>
      <c r="BT59" s="819"/>
      <c r="BU59" s="819">
        <f>(BU13/BU8)</f>
        <v>0.26165681113922679</v>
      </c>
      <c r="BV59" s="819">
        <f>(BV13/BV8)</f>
        <v>0.24710534203306206</v>
      </c>
      <c r="BW59" s="819">
        <f>(BW13/BW8)</f>
        <v>0.25187638290086251</v>
      </c>
      <c r="BX59" s="819">
        <f>(BX13/BX8)</f>
        <v>0.22966017568476998</v>
      </c>
      <c r="BY59" s="819"/>
      <c r="BZ59" s="819">
        <f>(BZ13/BZ8)</f>
        <v>0.27722839791916093</v>
      </c>
      <c r="CA59" s="819">
        <f>(CA13/CA8)</f>
        <v>0.25186061030712986</v>
      </c>
      <c r="CB59" s="819">
        <f>(CB13/CB8)</f>
        <v>0.26619640088998031</v>
      </c>
      <c r="CC59" s="843">
        <f>(CC13/CC8)</f>
        <v>0.23373793146294067</v>
      </c>
      <c r="CD59" s="819"/>
      <c r="CE59" s="819">
        <f>(CE13/CE8)</f>
        <v>0.28737109000380978</v>
      </c>
      <c r="CF59" s="819">
        <f>(CF13/CF8)</f>
        <v>0.25450236043856844</v>
      </c>
      <c r="CG59" s="819">
        <f>(CG13/CG8)</f>
        <v>0.25186441361419576</v>
      </c>
      <c r="CH59" s="819">
        <f>(CH13/CH8)</f>
        <v>0.22751324694546693</v>
      </c>
      <c r="CI59" s="819"/>
      <c r="CJ59" s="819">
        <f>(CJ13/CJ8)</f>
        <v>0.27399999999999997</v>
      </c>
      <c r="CK59" s="819">
        <f>(CK13/CK8)</f>
        <v>0.252</v>
      </c>
      <c r="CL59" s="819">
        <f>(CL13/CL8)</f>
        <v>0.254</v>
      </c>
      <c r="CM59" s="1749">
        <f>(CM13/CM8)</f>
        <v>0.23190000000000002</v>
      </c>
      <c r="CN59" s="819"/>
      <c r="CO59" s="820">
        <f>(CO13/CO8)</f>
        <v>0.22831601681810637</v>
      </c>
      <c r="CP59" s="820">
        <f>(CP13/CP8)</f>
        <v>0.22220939628304284</v>
      </c>
      <c r="CQ59" s="820">
        <f>(CQ13/CQ8)</f>
        <v>0.25570724036880854</v>
      </c>
      <c r="CR59" s="820">
        <f>(CR13/CR8)</f>
        <v>0.24122928449946604</v>
      </c>
      <c r="CS59" s="820">
        <f t="shared" ref="CS59:CX59" si="28">(CS13/CS8)</f>
        <v>0.26225988968384845</v>
      </c>
      <c r="CT59" s="821">
        <f t="shared" si="28"/>
        <v>0.25260633084783846</v>
      </c>
      <c r="CU59" s="821">
        <f t="shared" si="28"/>
        <v>0.24929864649417868</v>
      </c>
      <c r="CV59" s="821">
        <f t="shared" si="28"/>
        <v>0.26702023462592789</v>
      </c>
      <c r="CW59" s="821">
        <f t="shared" si="28"/>
        <v>0.23000181214134705</v>
      </c>
      <c r="CX59" s="821">
        <f t="shared" si="28"/>
        <v>0.22058919135212945</v>
      </c>
      <c r="CY59" s="821">
        <f t="shared" ref="CY59:DD59" si="29">(CY13/CY8)</f>
        <v>0.23510084370511714</v>
      </c>
      <c r="CZ59" s="820">
        <f t="shared" si="29"/>
        <v>0.23334973775041057</v>
      </c>
      <c r="DA59" s="821">
        <f t="shared" si="29"/>
        <v>0.22568349378453717</v>
      </c>
      <c r="DB59" s="822">
        <f t="shared" si="29"/>
        <v>0.23075525785485201</v>
      </c>
      <c r="DC59" s="821">
        <f t="shared" si="29"/>
        <v>0.22972452422978393</v>
      </c>
      <c r="DD59" s="820">
        <f t="shared" si="29"/>
        <v>0.23276367015778546</v>
      </c>
      <c r="DE59" s="820">
        <f t="shared" ref="DE59:DJ59" si="30">(DE13/DE8)</f>
        <v>0.23515693623263592</v>
      </c>
      <c r="DF59" s="821">
        <f t="shared" si="30"/>
        <v>0.23796423900406072</v>
      </c>
      <c r="DG59" s="820">
        <f t="shared" si="30"/>
        <v>0.24359331775967386</v>
      </c>
      <c r="DH59" s="820">
        <f t="shared" si="30"/>
        <v>0.24623802731620892</v>
      </c>
      <c r="DI59" s="820">
        <f t="shared" si="30"/>
        <v>0.25553825179917389</v>
      </c>
      <c r="DJ59" s="820">
        <f t="shared" si="30"/>
        <v>0.25264116787158458</v>
      </c>
      <c r="DK59" s="820">
        <f>(DK13/DK8)</f>
        <v>0.25148999209433204</v>
      </c>
      <c r="DL59" s="820">
        <f>(DL13/DL8)</f>
        <v>0.25419999999999998</v>
      </c>
      <c r="DM59" s="820">
        <f>(DM13/DM8)</f>
        <v>0.25440000000000002</v>
      </c>
      <c r="DN59" s="820">
        <f>(DN13/DN8)</f>
        <v>0.25540000000000002</v>
      </c>
      <c r="DO59" s="822">
        <f>(DO13/DO8)</f>
        <v>0.25580000000000003</v>
      </c>
      <c r="DP59" s="825"/>
      <c r="DY59" s="1235"/>
    </row>
    <row r="60" spans="1:129">
      <c r="A60" s="794" t="s">
        <v>397</v>
      </c>
      <c r="B60" s="795"/>
      <c r="C60" s="824">
        <f>(C16/C8)</f>
        <v>2.8510176239663693E-2</v>
      </c>
      <c r="D60" s="824">
        <f>(D16/D8)</f>
        <v>6.7752969712046723E-2</v>
      </c>
      <c r="E60" s="824">
        <f>(E16/E8)</f>
        <v>9.0125889789896441E-2</v>
      </c>
      <c r="F60" s="824">
        <f>(F16/F8)</f>
        <v>9.2750553576586112E-2</v>
      </c>
      <c r="G60" s="819"/>
      <c r="H60" s="824">
        <f>(H16/H8)</f>
        <v>7.5981804397270758E-2</v>
      </c>
      <c r="I60" s="824">
        <f>(I16/I8)</f>
        <v>4.5108500179834421E-2</v>
      </c>
      <c r="J60" s="824">
        <f>(J16/J8)</f>
        <v>5.3806540322475942E-2</v>
      </c>
      <c r="K60" s="824">
        <f>(K16/K8)</f>
        <v>6.6721985881912832E-2</v>
      </c>
      <c r="L60" s="819"/>
      <c r="M60" s="824">
        <f>(M16/M8)</f>
        <v>9.9600104645513388E-2</v>
      </c>
      <c r="N60" s="824">
        <f>(N16/N8)</f>
        <v>0.12614848753651975</v>
      </c>
      <c r="O60" s="824">
        <f>(O16/O8)</f>
        <v>0.16495352382825945</v>
      </c>
      <c r="P60" s="824">
        <f>(P16/P8)</f>
        <v>0.17639377026282763</v>
      </c>
      <c r="Q60" s="819"/>
      <c r="R60" s="824">
        <f>(R16/R8)</f>
        <v>0.16675083680779842</v>
      </c>
      <c r="S60" s="824">
        <f>(S16/S8)</f>
        <v>0.18006797407696698</v>
      </c>
      <c r="T60" s="824">
        <f>(T16/T8)</f>
        <v>0.19959048407001523</v>
      </c>
      <c r="U60" s="824">
        <f>(U16/U8)</f>
        <v>0.16957114413229268</v>
      </c>
      <c r="V60" s="819"/>
      <c r="W60" s="824">
        <f>(W16/W8)</f>
        <v>0.1935718145466335</v>
      </c>
      <c r="X60" s="824">
        <f>(X16/X8)</f>
        <v>0.19521137210330233</v>
      </c>
      <c r="Y60" s="824">
        <f>(Y16/Y8)</f>
        <v>0.21003736136647719</v>
      </c>
      <c r="Z60" s="824">
        <f>(Z16/Z8)</f>
        <v>0.16572135258907239</v>
      </c>
      <c r="AA60" s="819"/>
      <c r="AB60" s="824">
        <f>(AB16/AB8)</f>
        <v>0.11685252604562105</v>
      </c>
      <c r="AC60" s="824">
        <f>(AC16/AC8)</f>
        <v>0.13555517423719801</v>
      </c>
      <c r="AD60" s="824">
        <f>(AD16/AD8)</f>
        <v>0.14744045013053139</v>
      </c>
      <c r="AE60" s="824">
        <f>(AE16/AE8)</f>
        <v>0.13377365602722868</v>
      </c>
      <c r="AF60" s="819"/>
      <c r="AG60" s="824">
        <f>(AG16/AG8)</f>
        <v>0.11450226359428245</v>
      </c>
      <c r="AH60" s="824">
        <f>(AH16/AH8)</f>
        <v>0.13566117279716691</v>
      </c>
      <c r="AI60" s="824">
        <f>(AI16/AI8)</f>
        <v>0.1616761573341769</v>
      </c>
      <c r="AJ60" s="824">
        <f>(AE16/AE8)</f>
        <v>0.13377365602722868</v>
      </c>
      <c r="AK60" s="824"/>
      <c r="AL60" s="824">
        <f>(AL16/AL8)</f>
        <v>0.15963296237306357</v>
      </c>
      <c r="AM60" s="824">
        <f>(AM16/AM8)</f>
        <v>0.18252457103864225</v>
      </c>
      <c r="AN60" s="824">
        <f>(AN16/AN8)</f>
        <v>0.18909599897897902</v>
      </c>
      <c r="AO60" s="824">
        <f>(AO16/AO8)</f>
        <v>0.12437854030286689</v>
      </c>
      <c r="AP60" s="824"/>
      <c r="AQ60" s="824">
        <f>(AQ16/AQ8)</f>
        <v>0.11985571575588098</v>
      </c>
      <c r="AR60" s="824">
        <f>(AR16/AR8)</f>
        <v>0.17103478651450191</v>
      </c>
      <c r="AS60" s="824">
        <f>(AS16/AS8)</f>
        <v>0.18928839691638658</v>
      </c>
      <c r="AT60" s="824">
        <f>(AT16/AT8)</f>
        <v>0.20163706280278618</v>
      </c>
      <c r="AU60" s="824"/>
      <c r="AV60" s="824">
        <f>(AV16/AV8)</f>
        <v>0.17128683372190656</v>
      </c>
      <c r="AW60" s="824">
        <f>(AW16/AW8)</f>
        <v>0.1935475107713539</v>
      </c>
      <c r="AX60" s="824">
        <f>(AX16/AX8)</f>
        <v>0.18270826650301955</v>
      </c>
      <c r="AY60" s="824">
        <f>(AY16/AY8)</f>
        <v>0.18001915049596795</v>
      </c>
      <c r="AZ60" s="824"/>
      <c r="BA60" s="824">
        <f>(BA16/BA8)</f>
        <v>0.11762168928989221</v>
      </c>
      <c r="BB60" s="824">
        <f>(BB16/BB8)</f>
        <v>0.14444803761115338</v>
      </c>
      <c r="BC60" s="824">
        <f>(BC16/BC8)</f>
        <v>0.12027320137781101</v>
      </c>
      <c r="BD60" s="824">
        <f>(BD16/BD8)</f>
        <v>8.4490753413408407E-2</v>
      </c>
      <c r="BE60" s="824"/>
      <c r="BF60" s="824">
        <f>(BF16/BF8)</f>
        <v>9.3007927161513612E-2</v>
      </c>
      <c r="BG60" s="824">
        <f>(BG16/BG8)</f>
        <v>0.14186366667701761</v>
      </c>
      <c r="BH60" s="824">
        <f>(BH16/BH8)</f>
        <v>0.13491825235544064</v>
      </c>
      <c r="BI60" s="824">
        <f>(BI16/BI8)</f>
        <v>0.15399445885101709</v>
      </c>
      <c r="BJ60" s="824"/>
      <c r="BK60" s="824">
        <f>(BK16/BK8)</f>
        <v>0.1125711032634605</v>
      </c>
      <c r="BL60" s="824">
        <f>(BL16/BL8)</f>
        <v>0.15730154879740127</v>
      </c>
      <c r="BM60" s="824">
        <f>(BM16/BM8)</f>
        <v>0.13624331276185356</v>
      </c>
      <c r="BN60" s="824">
        <f>(BN16/BN8)</f>
        <v>0.14250467512568196</v>
      </c>
      <c r="BO60" s="824"/>
      <c r="BP60" s="824">
        <f>(BP16/BP8)</f>
        <v>8.716323527269014E-2</v>
      </c>
      <c r="BQ60" s="824">
        <f>(BQ16/BQ8)</f>
        <v>0.1295736348586693</v>
      </c>
      <c r="BR60" s="824">
        <f>(BR16/BR8)</f>
        <v>9.3883138728252727E-2</v>
      </c>
      <c r="BS60" s="824">
        <f>(BS16/BS8)</f>
        <v>0.12262769968468232</v>
      </c>
      <c r="BT60" s="824"/>
      <c r="BU60" s="824">
        <f>(BU16/BU8)</f>
        <v>7.179063882762074E-2</v>
      </c>
      <c r="BV60" s="824">
        <f>(BV16/BV8)</f>
        <v>0.11960320936988449</v>
      </c>
      <c r="BW60" s="824">
        <f>(BW16/BW8)</f>
        <v>9.7333197618199377E-2</v>
      </c>
      <c r="BX60" s="824">
        <f>(BX16/BX8)</f>
        <v>0.11490853616418295</v>
      </c>
      <c r="BY60" s="824"/>
      <c r="BZ60" s="824">
        <f>(BZ16/BZ8)</f>
        <v>6.6200527946686086E-2</v>
      </c>
      <c r="CA60" s="824">
        <f>(CA16/CA8)</f>
        <v>0.13273775837443066</v>
      </c>
      <c r="CB60" s="824">
        <f>(CB16/CB8)</f>
        <v>8.1513894058024866E-2</v>
      </c>
      <c r="CC60" s="820">
        <f>(CC16/CC8)</f>
        <v>0.10082725174196566</v>
      </c>
      <c r="CD60" s="824"/>
      <c r="CE60" s="824">
        <f>(CE16/CE8)</f>
        <v>2.7635675718283327E-2</v>
      </c>
      <c r="CF60" s="824">
        <f>(CF16/CF8)</f>
        <v>8.6123645511500979E-2</v>
      </c>
      <c r="CG60" s="824">
        <f>(CG16/CG8)</f>
        <v>8.1642162518173661E-2</v>
      </c>
      <c r="CH60" s="824">
        <f>(CH16/CH8)</f>
        <v>9.5727831393998181E-2</v>
      </c>
      <c r="CI60" s="824"/>
      <c r="CJ60" s="824">
        <f>(CJ16/CJ8)</f>
        <v>5.2400000000000072E-2</v>
      </c>
      <c r="CK60" s="824">
        <f>(CK16/CK8)</f>
        <v>0.10400000000000004</v>
      </c>
      <c r="CL60" s="824">
        <f>(CL16/CL8)</f>
        <v>7.8000000000000069E-2</v>
      </c>
      <c r="CM60" s="822">
        <f>(CM16/CM8)</f>
        <v>8.4100000000000022E-2</v>
      </c>
      <c r="CN60" s="824"/>
      <c r="CO60" s="820">
        <f t="shared" ref="CO60:DJ60" si="31">(CO16/CO8)</f>
        <v>0.13646180781863015</v>
      </c>
      <c r="CP60" s="820">
        <f t="shared" si="31"/>
        <v>0.12733464157912955</v>
      </c>
      <c r="CQ60" s="820">
        <f t="shared" si="31"/>
        <v>0.11967693517261109</v>
      </c>
      <c r="CR60" s="820">
        <f t="shared" si="31"/>
        <v>0.13507099632163913</v>
      </c>
      <c r="CS60" s="820">
        <f t="shared" si="31"/>
        <v>6.0535057037310387E-2</v>
      </c>
      <c r="CT60" s="821">
        <f t="shared" si="31"/>
        <v>7.3068965319608561E-2</v>
      </c>
      <c r="CU60" s="821">
        <f t="shared" si="31"/>
        <v>0.1073886941341773</v>
      </c>
      <c r="CV60" s="821">
        <f t="shared" si="31"/>
        <v>5.9454926118777132E-2</v>
      </c>
      <c r="CW60" s="821">
        <f t="shared" si="31"/>
        <v>0.17924010872848067</v>
      </c>
      <c r="CX60" s="821">
        <f t="shared" si="31"/>
        <v>0.19018191440948548</v>
      </c>
      <c r="CY60" s="821">
        <f t="shared" si="31"/>
        <v>0.13389950494685726</v>
      </c>
      <c r="CZ60" s="820">
        <f t="shared" si="31"/>
        <v>0.14919507814427571</v>
      </c>
      <c r="DA60" s="821">
        <f t="shared" si="31"/>
        <v>0.16321381344781302</v>
      </c>
      <c r="DB60" s="822">
        <f t="shared" si="31"/>
        <v>0.17493104346906177</v>
      </c>
      <c r="DC60" s="821">
        <f t="shared" si="31"/>
        <v>0.18213914767235589</v>
      </c>
      <c r="DD60" s="820">
        <f t="shared" si="31"/>
        <v>0.11509616173653441</v>
      </c>
      <c r="DE60" s="820">
        <f t="shared" si="31"/>
        <v>0.13391593692138434</v>
      </c>
      <c r="DF60" s="821">
        <f t="shared" si="31"/>
        <v>0.13829498846783278</v>
      </c>
      <c r="DG60" s="820">
        <f t="shared" si="31"/>
        <v>0.11002599337745859</v>
      </c>
      <c r="DH60" s="820">
        <f t="shared" si="31"/>
        <v>0.10263142159347066</v>
      </c>
      <c r="DI60" s="820">
        <f t="shared" si="31"/>
        <v>9.6697100846806022E-2</v>
      </c>
      <c r="DJ60" s="820">
        <f t="shared" si="31"/>
        <v>7.5597882087845847E-2</v>
      </c>
      <c r="DK60" s="820">
        <f>(DK16/DK8)</f>
        <v>8.0469287397446909E-2</v>
      </c>
      <c r="DL60" s="820">
        <f>(DL16/DL8)</f>
        <v>7.9600000000000004E-2</v>
      </c>
      <c r="DM60" s="820">
        <f>(DM16/DM8)</f>
        <v>7.9700000000000035E-2</v>
      </c>
      <c r="DN60" s="820">
        <f>(DN16/DN8)</f>
        <v>7.9799999999999899E-2</v>
      </c>
      <c r="DO60" s="822">
        <f>(DO16/DO8)</f>
        <v>0.08</v>
      </c>
      <c r="DP60" s="825"/>
      <c r="DY60" s="1235"/>
    </row>
    <row r="61" spans="1:129">
      <c r="A61" s="794" t="s">
        <v>421</v>
      </c>
      <c r="B61" s="795"/>
      <c r="C61" s="824">
        <f>(C19/C8)</f>
        <v>2.6937104992065062E-2</v>
      </c>
      <c r="D61" s="824">
        <f>(D19/D8)</f>
        <v>6.5999129299085718E-2</v>
      </c>
      <c r="E61" s="824">
        <f>(E19/E8)</f>
        <v>8.9188985451060132E-2</v>
      </c>
      <c r="F61" s="824">
        <f>(F19/F8)</f>
        <v>9.3376335804370839E-2</v>
      </c>
      <c r="G61" s="819"/>
      <c r="H61" s="824">
        <f>(H19/H8)</f>
        <v>7.7498104624715777E-2</v>
      </c>
      <c r="I61" s="824">
        <f>(I19/I8)</f>
        <v>4.4494065459776876E-2</v>
      </c>
      <c r="J61" s="824">
        <f>(J19/J8)</f>
        <v>5.1043571882580234E-2</v>
      </c>
      <c r="K61" s="824">
        <f>(K19/K8)</f>
        <v>6.7458276845402149E-2</v>
      </c>
      <c r="L61" s="819"/>
      <c r="M61" s="824">
        <f>(M19/M8)</f>
        <v>0.10038494599544051</v>
      </c>
      <c r="N61" s="824">
        <f>(N19/N8)</f>
        <v>0.12948510323163445</v>
      </c>
      <c r="O61" s="824">
        <f>(O19/O8)</f>
        <v>0.16634464733613899</v>
      </c>
      <c r="P61" s="824">
        <f>(P19/P8)</f>
        <v>0.1758600523497782</v>
      </c>
      <c r="Q61" s="819"/>
      <c r="R61" s="824">
        <f>(R19/R8)</f>
        <v>0.16649245404897525</v>
      </c>
      <c r="S61" s="824">
        <f>(S19/S8)</f>
        <v>0.18189398577188579</v>
      </c>
      <c r="T61" s="824">
        <f>(T19/T8)</f>
        <v>0.20225279982251232</v>
      </c>
      <c r="U61" s="824">
        <f>(U19/U8)</f>
        <v>0.17333868525532198</v>
      </c>
      <c r="V61" s="819"/>
      <c r="W61" s="824">
        <f>(W19/W8)</f>
        <v>0.19687452718037393</v>
      </c>
      <c r="X61" s="824">
        <f>(X19/X8)</f>
        <v>0.2004443707772936</v>
      </c>
      <c r="Y61" s="824">
        <f>(Y19/Y8)</f>
        <v>0.21357266768466862</v>
      </c>
      <c r="Z61" s="824">
        <f>(Z19/Z8)</f>
        <v>0.17070269218334591</v>
      </c>
      <c r="AA61" s="819"/>
      <c r="AB61" s="824">
        <f>(AB19/AB8)</f>
        <v>0.12208202009577529</v>
      </c>
      <c r="AC61" s="824">
        <f>(AC19/AC8)</f>
        <v>0.14168350498495944</v>
      </c>
      <c r="AD61" s="824">
        <f>(AD19/AD8)</f>
        <v>0.15186716609103149</v>
      </c>
      <c r="AE61" s="824">
        <f>(AE19/AE8)</f>
        <v>0.13832470426501403</v>
      </c>
      <c r="AF61" s="819"/>
      <c r="AG61" s="824">
        <f>(AG19/AG8)</f>
        <v>0.12023119182054014</v>
      </c>
      <c r="AH61" s="824">
        <f>(AH19/AH8)</f>
        <v>0.14150707851077204</v>
      </c>
      <c r="AI61" s="824">
        <f>(AI19/AI8)</f>
        <v>0.16734683117157012</v>
      </c>
      <c r="AJ61" s="824">
        <f>(AE19/AE8)</f>
        <v>0.13832470426501403</v>
      </c>
      <c r="AK61" s="824"/>
      <c r="AL61" s="824">
        <f>(AL19/AL8)</f>
        <v>0.16779949884856904</v>
      </c>
      <c r="AM61" s="824">
        <f>(AM19/AM8)</f>
        <v>0.18790653650161235</v>
      </c>
      <c r="AN61" s="824">
        <f>(AN19/AN8)</f>
        <v>0.19210257075486495</v>
      </c>
      <c r="AO61" s="824">
        <f>(AO19/AO8)</f>
        <v>0.13019064001983949</v>
      </c>
      <c r="AP61" s="824"/>
      <c r="AQ61" s="824">
        <f>(AQ19/AQ8)</f>
        <v>0.12528976392685989</v>
      </c>
      <c r="AR61" s="824">
        <f>(AR19/AR8)</f>
        <v>0.17308220641655717</v>
      </c>
      <c r="AS61" s="824">
        <f>(AS19/AS8)</f>
        <v>0.19288001581340178</v>
      </c>
      <c r="AT61" s="824">
        <f>(AT19/AT8)</f>
        <v>0.20261413474756718</v>
      </c>
      <c r="AU61" s="824"/>
      <c r="AV61" s="824">
        <f>(AV19/AV8)</f>
        <v>0.17216815532928717</v>
      </c>
      <c r="AW61" s="824">
        <f>(AW19/AW8)</f>
        <v>0.19466313145307784</v>
      </c>
      <c r="AX61" s="824">
        <f>(AX19/AX8)</f>
        <v>0.18423548445585014</v>
      </c>
      <c r="AY61" s="824">
        <f>(AY19/AY8)</f>
        <v>0.18164993491823639</v>
      </c>
      <c r="AZ61" s="824"/>
      <c r="BA61" s="824">
        <f>(BA19/BA8)</f>
        <v>0.12022655667065513</v>
      </c>
      <c r="BB61" s="824">
        <f>(BB19/BB8)</f>
        <v>0.14598288521802227</v>
      </c>
      <c r="BC61" s="824">
        <f>(BC19/BC8)</f>
        <v>0.12358165301260911</v>
      </c>
      <c r="BD61" s="824">
        <f>(BD19/BD8)</f>
        <v>8.4200600015328891E-2</v>
      </c>
      <c r="BE61" s="824"/>
      <c r="BF61" s="824">
        <f>(BF19/BF8)</f>
        <v>9.3533475119961934E-2</v>
      </c>
      <c r="BG61" s="824">
        <f>(BG19/BG8)</f>
        <v>0.14207659969627473</v>
      </c>
      <c r="BH61" s="824">
        <f>(BH19/BH8)</f>
        <v>0.13510299279512286</v>
      </c>
      <c r="BI61" s="824">
        <f>(BI19/BI8)</f>
        <v>0.15483006598495463</v>
      </c>
      <c r="BJ61" s="824"/>
      <c r="BK61" s="824">
        <f>(BK19/BK8)</f>
        <v>0.11237208355125225</v>
      </c>
      <c r="BL61" s="824">
        <f>(BL19/BL8)</f>
        <v>0.1575744472159088</v>
      </c>
      <c r="BM61" s="824">
        <f>(BM19/BM8)</f>
        <v>0.13600301789679978</v>
      </c>
      <c r="BN61" s="824">
        <f>(BN19/BN8)</f>
        <v>0.14338229612146716</v>
      </c>
      <c r="BO61" s="824"/>
      <c r="BP61" s="824">
        <f>(BP19/BP8)</f>
        <v>8.6662004050647626E-2</v>
      </c>
      <c r="BQ61" s="824">
        <f>(BQ19/BQ8)</f>
        <v>0.12892895311327052</v>
      </c>
      <c r="BR61" s="824">
        <f>(BR19/BR8)</f>
        <v>9.3032278659741924E-2</v>
      </c>
      <c r="BS61" s="824">
        <f>(BS19/BS8)</f>
        <v>0.12225679594557699</v>
      </c>
      <c r="BT61" s="824"/>
      <c r="BU61" s="824">
        <f>(BU19/BU8)</f>
        <v>6.892058294204409E-2</v>
      </c>
      <c r="BV61" s="824">
        <f>(BV19/BV8)</f>
        <v>0.11891614598944043</v>
      </c>
      <c r="BW61" s="824">
        <f>(BW19/BW8)</f>
        <v>9.7409537381037192E-2</v>
      </c>
      <c r="BX61" s="824">
        <f>(BX19/BX8)</f>
        <v>0.11402636258320947</v>
      </c>
      <c r="BY61" s="824"/>
      <c r="BZ61" s="824">
        <f>(BZ19/BZ8)</f>
        <v>6.4132540058249907E-2</v>
      </c>
      <c r="CA61" s="824">
        <f>(CA19/CA8)</f>
        <v>0.13394036165683021</v>
      </c>
      <c r="CB61" s="824">
        <f>(CB19/CB8)</f>
        <v>8.2504049317615971E-2</v>
      </c>
      <c r="CC61" s="820">
        <f>(CC19/CC8)</f>
        <v>0.100073969235787</v>
      </c>
      <c r="CD61" s="824"/>
      <c r="CE61" s="824">
        <f>(CE19/CE8)</f>
        <v>2.805475636831814E-2</v>
      </c>
      <c r="CF61" s="824">
        <f>(CF19/CF8)</f>
        <v>8.8112347940444397E-2</v>
      </c>
      <c r="CG61" s="824">
        <f>(CG19/CG8)</f>
        <v>8.0654230521946174E-2</v>
      </c>
      <c r="CH61" s="824">
        <f>(CH19/CH8)</f>
        <v>9.6004201561078181E-2</v>
      </c>
      <c r="CI61" s="824"/>
      <c r="CJ61" s="824">
        <f>(CJ19/CJ8)</f>
        <v>5.2780538799752488E-2</v>
      </c>
      <c r="CK61" s="824">
        <f>(CK19/CK8)</f>
        <v>0.10587598144832569</v>
      </c>
      <c r="CL61" s="824">
        <f>(CL19/CL8)</f>
        <v>7.703385197006142E-2</v>
      </c>
      <c r="CM61" s="822">
        <f>(CM19/CM8)</f>
        <v>8.3375556602950998E-2</v>
      </c>
      <c r="CN61" s="824"/>
      <c r="CO61" s="820">
        <f t="shared" ref="CO61:DJ61" si="32">(CO19/CO8)</f>
        <v>0.14485169139541706</v>
      </c>
      <c r="CP61" s="820">
        <f t="shared" si="32"/>
        <v>0.13634999422832728</v>
      </c>
      <c r="CQ61" s="820">
        <f t="shared" si="32"/>
        <v>0.12728182402973354</v>
      </c>
      <c r="CR61" s="820">
        <f t="shared" si="32"/>
        <v>0.12530518170671642</v>
      </c>
      <c r="CS61" s="820">
        <f t="shared" si="32"/>
        <v>6.0226930278702302E-2</v>
      </c>
      <c r="CT61" s="821">
        <f t="shared" si="32"/>
        <v>7.2278039190962706E-2</v>
      </c>
      <c r="CU61" s="821">
        <f t="shared" si="32"/>
        <v>0.10898300193493141</v>
      </c>
      <c r="CV61" s="821">
        <f t="shared" si="32"/>
        <v>6.0657620314671479E-2</v>
      </c>
      <c r="CW61" s="821">
        <f t="shared" si="32"/>
        <v>0.18144608879492585</v>
      </c>
      <c r="CX61" s="821">
        <f t="shared" si="32"/>
        <v>0.19448369070063645</v>
      </c>
      <c r="CY61" s="821">
        <f t="shared" si="32"/>
        <v>0.13893658698295214</v>
      </c>
      <c r="CZ61" s="820">
        <f t="shared" si="32"/>
        <v>0.15546214028562255</v>
      </c>
      <c r="DA61" s="821">
        <f t="shared" si="32"/>
        <v>0.16869451842290867</v>
      </c>
      <c r="DB61" s="822">
        <f t="shared" si="32"/>
        <v>0.17772904018185429</v>
      </c>
      <c r="DC61" s="821">
        <f t="shared" si="32"/>
        <v>0.18346054838349374</v>
      </c>
      <c r="DD61" s="820">
        <f t="shared" si="32"/>
        <v>0.11675595571349537</v>
      </c>
      <c r="DE61" s="820">
        <f t="shared" si="32"/>
        <v>0.13437641439394624</v>
      </c>
      <c r="DF61" s="821">
        <f t="shared" si="32"/>
        <v>0.1385175602634843</v>
      </c>
      <c r="DG61" s="820">
        <f t="shared" si="32"/>
        <v>0.1094437489440238</v>
      </c>
      <c r="DH61" s="820">
        <f t="shared" si="32"/>
        <v>0.10160156324833808</v>
      </c>
      <c r="DI61" s="820">
        <f t="shared" si="32"/>
        <v>9.6576394454951336E-2</v>
      </c>
      <c r="DJ61" s="820">
        <f t="shared" si="32"/>
        <v>7.6005513252990667E-2</v>
      </c>
      <c r="DK61" s="820">
        <f>(DK19/DK8)</f>
        <v>8.056794201741467E-2</v>
      </c>
      <c r="DL61" s="820">
        <f>(DL19/DL8)</f>
        <v>7.9698654619967751E-2</v>
      </c>
      <c r="DM61" s="820">
        <f>(DM19/DM8)</f>
        <v>7.9798654619967796E-2</v>
      </c>
      <c r="DN61" s="820">
        <f>(DN19/DN8)</f>
        <v>7.989865461996766E-2</v>
      </c>
      <c r="DO61" s="822">
        <f>(DO19/DO8)</f>
        <v>8.0098654619967763E-2</v>
      </c>
      <c r="DP61" s="704"/>
      <c r="DY61" s="1235"/>
    </row>
    <row r="62" spans="1:129">
      <c r="A62" s="794" t="s">
        <v>422</v>
      </c>
      <c r="B62" s="795"/>
      <c r="C62" s="824">
        <f>(C21/C19)</f>
        <v>0.40516795865633037</v>
      </c>
      <c r="D62" s="824">
        <f>(D21/D19)</f>
        <v>0.40501319261213753</v>
      </c>
      <c r="E62" s="824">
        <f>(E21/E19)</f>
        <v>0.40497464380584436</v>
      </c>
      <c r="F62" s="824">
        <f>(F21/F19)</f>
        <v>0.40499020517579132</v>
      </c>
      <c r="G62" s="819"/>
      <c r="H62" s="824">
        <f>(H21/H19)</f>
        <v>0.41498728233222415</v>
      </c>
      <c r="I62" s="824">
        <f>(I21/I19)</f>
        <v>0.41495453014483119</v>
      </c>
      <c r="J62" s="824">
        <f>(J21/J19)</f>
        <v>0.4000000000000008</v>
      </c>
      <c r="K62" s="824">
        <f>(K21/K19)</f>
        <v>0.40973665973666057</v>
      </c>
      <c r="L62" s="819"/>
      <c r="M62" s="824">
        <f>(M21/M19)</f>
        <v>0.4049702159344748</v>
      </c>
      <c r="N62" s="824">
        <f>(N21/N19)</f>
        <v>0.40500282823204042</v>
      </c>
      <c r="O62" s="824">
        <f>(O21/O19)</f>
        <v>0.40500929211015385</v>
      </c>
      <c r="P62" s="824">
        <f>(P21/P19)</f>
        <v>0.40499790139799202</v>
      </c>
      <c r="Q62" s="819"/>
      <c r="R62" s="824">
        <f>(R21/R19)</f>
        <v>0.40501551918735901</v>
      </c>
      <c r="S62" s="824">
        <f>(S21/S19)</f>
        <v>0.40497881970637722</v>
      </c>
      <c r="T62" s="824">
        <f>(T21/T19)</f>
        <v>0.40500022852964024</v>
      </c>
      <c r="U62" s="824">
        <f>(U21/U19)</f>
        <v>0.37921863536317052</v>
      </c>
      <c r="V62" s="819"/>
      <c r="W62" s="824">
        <f>(W21/W19)</f>
        <v>0.39747924992314793</v>
      </c>
      <c r="X62" s="824">
        <f>(X21/X19)</f>
        <v>0.39751137012462856</v>
      </c>
      <c r="Y62" s="824">
        <f>(Y21/Y19)</f>
        <v>0.39750324254215319</v>
      </c>
      <c r="Z62" s="824">
        <f>(Z21/Z19)</f>
        <v>0.34552441894674912</v>
      </c>
      <c r="AA62" s="819"/>
      <c r="AB62" s="824">
        <f>(AB21/AB19)</f>
        <v>0.38418833237266026</v>
      </c>
      <c r="AC62" s="824">
        <f>(AC21/AC19)</f>
        <v>0.36572826812328502</v>
      </c>
      <c r="AD62" s="824">
        <f>(AD21/AD19)</f>
        <v>0.26297806914518773</v>
      </c>
      <c r="AE62" s="824">
        <f>(AE21/AE19)</f>
        <v>0.28404832989360207</v>
      </c>
      <c r="AF62" s="819"/>
      <c r="AG62" s="824">
        <f>(AG21/AG19)</f>
        <v>0.22346501665873408</v>
      </c>
      <c r="AH62" s="824">
        <f>(AH21/AH19)</f>
        <v>0.35373570211730337</v>
      </c>
      <c r="AI62" s="824">
        <f>(AI21/AI19)</f>
        <v>0.28507514414442808</v>
      </c>
      <c r="AJ62" s="824">
        <f>(AE21/AE19)</f>
        <v>0.28404832989360207</v>
      </c>
      <c r="AK62" s="824"/>
      <c r="AL62" s="824">
        <f>(AL21/AL19)</f>
        <v>0.35677579275112614</v>
      </c>
      <c r="AM62" s="824">
        <f>(AM21/AM19)</f>
        <v>0.33241960991038488</v>
      </c>
      <c r="AN62" s="824">
        <f>(AN21/AN19)</f>
        <v>0.35442624379193188</v>
      </c>
      <c r="AO62" s="824">
        <f>(AO21/AO19)</f>
        <v>0.38704703161141091</v>
      </c>
      <c r="AP62" s="824"/>
      <c r="AQ62" s="824">
        <f>(AQ21/AQ19)</f>
        <v>0.36103793740017853</v>
      </c>
      <c r="AR62" s="824">
        <f>(AR21/AR19)</f>
        <v>0.38245149911816612</v>
      </c>
      <c r="AS62" s="824">
        <f>(AS21/AS19)</f>
        <v>0.36059357642091472</v>
      </c>
      <c r="AT62" s="824">
        <f>(AT21/AT19)</f>
        <v>0.3485663007288004</v>
      </c>
      <c r="AU62" s="824"/>
      <c r="AV62" s="824">
        <f>(AV21/AV19)</f>
        <v>0.35913788513202799</v>
      </c>
      <c r="AW62" s="824">
        <f>(AW21/AW19)</f>
        <v>0.33333023212541285</v>
      </c>
      <c r="AX62" s="824">
        <f>(AX21/AX19)</f>
        <v>0.30820621522389191</v>
      </c>
      <c r="AY62" s="824">
        <f>(AY21/AY19)</f>
        <v>0.38031347549273958</v>
      </c>
      <c r="AZ62" s="824"/>
      <c r="BA62" s="824">
        <f>(BA21/BA19)</f>
        <v>0.358422882176473</v>
      </c>
      <c r="BB62" s="824">
        <f>(BB21/BB19)</f>
        <v>0.36249859440008986</v>
      </c>
      <c r="BC62" s="824">
        <f>(BC21/BC19)</f>
        <v>0.3276774698523463</v>
      </c>
      <c r="BD62" s="824">
        <f>(BD21/BD19)</f>
        <v>0.39111847986866255</v>
      </c>
      <c r="BE62" s="824"/>
      <c r="BF62" s="824">
        <f>(BF21/BF19)</f>
        <v>0.3618784530386745</v>
      </c>
      <c r="BG62" s="824">
        <f>(BG21/BG19)</f>
        <v>0.36208655107096011</v>
      </c>
      <c r="BH62" s="824">
        <f>(BH21/BH19)</f>
        <v>0.36449876078967602</v>
      </c>
      <c r="BI62" s="824">
        <f>(BI21/BI19)</f>
        <v>0.37756655712002835</v>
      </c>
      <c r="BJ62" s="824"/>
      <c r="BK62" s="824">
        <f>(BK21/BK19)</f>
        <v>0.35392726224309057</v>
      </c>
      <c r="BL62" s="824">
        <f>(BL21/BL19)</f>
        <v>0.3611073926575416</v>
      </c>
      <c r="BM62" s="824">
        <f>(BM21/BM19)</f>
        <v>0.33262089994585514</v>
      </c>
      <c r="BN62" s="824">
        <f>(BN21/BN19)</f>
        <v>0.31722152074158483</v>
      </c>
      <c r="BO62" s="824"/>
      <c r="BP62" s="824">
        <f>(BP21/BP19)</f>
        <v>0.36987406896783648</v>
      </c>
      <c r="BQ62" s="824">
        <f>(BQ21/BQ19)</f>
        <v>0.35456144711933746</v>
      </c>
      <c r="BR62" s="824">
        <f>(BR21/BR19)</f>
        <v>0.37783086100406482</v>
      </c>
      <c r="BS62" s="824">
        <f>(BS21/BS19)</f>
        <v>0.35037659679468003</v>
      </c>
      <c r="BT62" s="824"/>
      <c r="BU62" s="824">
        <f>(BU21/BU19)</f>
        <v>0.35648793513046551</v>
      </c>
      <c r="BV62" s="824">
        <f>(BV21/BV19)</f>
        <v>0.3520333478745577</v>
      </c>
      <c r="BW62" s="824">
        <f>(BW21/BW19)</f>
        <v>0.35321192217743946</v>
      </c>
      <c r="BX62" s="824">
        <f>(BX21/BX19)</f>
        <v>0.36932196789407645</v>
      </c>
      <c r="BY62" s="824"/>
      <c r="BZ62" s="824">
        <f>(BZ21/BZ19)</f>
        <v>0.39553429027113213</v>
      </c>
      <c r="CA62" s="824">
        <f>(CA21/CA19)</f>
        <v>0.35518892046645389</v>
      </c>
      <c r="CB62" s="824">
        <f>(CB21/CB19)</f>
        <v>0.33451847271603063</v>
      </c>
      <c r="CC62" s="820">
        <f>(CC21/CC19)</f>
        <v>0.35072556551429845</v>
      </c>
      <c r="CD62" s="824"/>
      <c r="CE62" s="824">
        <f>(CE21/CE19)</f>
        <v>0.44097401077030962</v>
      </c>
      <c r="CF62" s="824">
        <f>(CF21/CF19)</f>
        <v>0.35104529616724711</v>
      </c>
      <c r="CG62" s="824">
        <f>(CG21/CG19)</f>
        <v>0.37377440768824838</v>
      </c>
      <c r="CH62" s="824">
        <f>(CH21/CH19)</f>
        <v>0.28228768171384877</v>
      </c>
      <c r="CI62" s="824"/>
      <c r="CJ62" s="824">
        <f>(CJ21/CJ19)</f>
        <v>0.24999999999999997</v>
      </c>
      <c r="CK62" s="824">
        <f>(CK21/CK19)</f>
        <v>0.25000000000000006</v>
      </c>
      <c r="CL62" s="824">
        <f>(CL21/CL19)</f>
        <v>0.27499999999999997</v>
      </c>
      <c r="CM62" s="822">
        <f>(CM21/CM19)</f>
        <v>0.24</v>
      </c>
      <c r="CN62" s="824"/>
      <c r="CO62" s="820">
        <f>(CO21/CO19)</f>
        <v>0.41506021438969559</v>
      </c>
      <c r="CP62" s="820">
        <f>(CP21/CP19)</f>
        <v>0.41250423298340694</v>
      </c>
      <c r="CQ62" s="820">
        <f>(CQ21/CQ19)</f>
        <v>0.40992812219227276</v>
      </c>
      <c r="CR62" s="820">
        <f>(CR21/CR19)</f>
        <v>0.46397314126660705</v>
      </c>
      <c r="CS62" s="820">
        <f t="shared" ref="CS62:CX62" si="33">(CS21/CS19)</f>
        <v>0.40996233204025445</v>
      </c>
      <c r="CT62" s="821">
        <f t="shared" si="33"/>
        <v>0.4050035683133778</v>
      </c>
      <c r="CU62" s="821">
        <f t="shared" si="33"/>
        <v>0.40500944153842827</v>
      </c>
      <c r="CV62" s="821">
        <f t="shared" si="33"/>
        <v>1.091777188328912</v>
      </c>
      <c r="CW62" s="821">
        <f t="shared" si="33"/>
        <v>0.39751118568232702</v>
      </c>
      <c r="CX62" s="821">
        <f t="shared" si="33"/>
        <v>0.38419092548388167</v>
      </c>
      <c r="CY62" s="821">
        <f t="shared" ref="CY62:DD62" si="34">(CY21/CY19)</f>
        <v>0.31707001727805878</v>
      </c>
      <c r="CZ62" s="820">
        <f t="shared" si="34"/>
        <v>0.31640741657209664</v>
      </c>
      <c r="DA62" s="821">
        <f t="shared" si="34"/>
        <v>0.35583055995347201</v>
      </c>
      <c r="DB62" s="822">
        <f t="shared" si="34"/>
        <v>0.36152970621882319</v>
      </c>
      <c r="DC62" s="821">
        <f t="shared" si="34"/>
        <v>0.3457508005599127</v>
      </c>
      <c r="DD62" s="820">
        <f t="shared" si="34"/>
        <v>0.35861801537923482</v>
      </c>
      <c r="DE62" s="820">
        <f t="shared" ref="DE62:DJ62" si="35">(DE21/DE19)</f>
        <v>0.36812648440245799</v>
      </c>
      <c r="DF62" s="821">
        <f t="shared" si="35"/>
        <v>0.33950762670093537</v>
      </c>
      <c r="DG62" s="820">
        <f t="shared" si="35"/>
        <v>0.36022814284084276</v>
      </c>
      <c r="DH62" s="820">
        <f t="shared" si="35"/>
        <v>0.35865966157283219</v>
      </c>
      <c r="DI62" s="820">
        <f t="shared" si="35"/>
        <v>0.3553118794533352</v>
      </c>
      <c r="DJ62" s="820">
        <f t="shared" si="35"/>
        <v>0.33782933156743838</v>
      </c>
      <c r="DK62" s="820">
        <f>(DK21/DK19)</f>
        <v>0.25274902544136363</v>
      </c>
      <c r="DL62" s="820">
        <f>(DL21/DL19)</f>
        <v>0.25274902544136363</v>
      </c>
      <c r="DM62" s="820">
        <f>(DM21/DM19)</f>
        <v>0.25274902544136363</v>
      </c>
      <c r="DN62" s="820">
        <f>(DN21/DN19)</f>
        <v>0.25274902544136363</v>
      </c>
      <c r="DO62" s="822">
        <f>(DO21/DO19)</f>
        <v>0.25274902544136363</v>
      </c>
      <c r="DP62" s="704"/>
      <c r="DY62" s="531"/>
    </row>
    <row r="63" spans="1:129">
      <c r="A63" s="794" t="s">
        <v>398</v>
      </c>
      <c r="B63" s="795"/>
      <c r="C63" s="824">
        <f>(C23/C8)</f>
        <v>1.6023053150318815E-2</v>
      </c>
      <c r="D63" s="824">
        <f>(D23/D8)</f>
        <v>3.9268611232041742E-2</v>
      </c>
      <c r="E63" s="824">
        <f>(E23/E8)</f>
        <v>5.3069707836612426E-2</v>
      </c>
      <c r="F63" s="824">
        <f>(F23/F8)</f>
        <v>5.5559834408395105E-2</v>
      </c>
      <c r="G63" s="819"/>
      <c r="H63" s="824">
        <f>(H23/H8)</f>
        <v>4.5337376800606607E-2</v>
      </c>
      <c r="I63" s="824">
        <f>(I23/I8)</f>
        <v>2.60310514326818E-2</v>
      </c>
      <c r="J63" s="824">
        <f>(J23/J8)</f>
        <v>3.0626143129548103E-2</v>
      </c>
      <c r="K63" s="824">
        <f>(K23/K8)</f>
        <v>3.9818147819176156E-2</v>
      </c>
      <c r="L63" s="819"/>
      <c r="M63" s="824">
        <f>(M23/M8)</f>
        <v>5.9732032739096372E-2</v>
      </c>
      <c r="N63" s="824">
        <f>(N23/N8)</f>
        <v>7.7043270208904793E-2</v>
      </c>
      <c r="O63" s="824">
        <f>(O23/O8)</f>
        <v>9.8973519472216137E-2</v>
      </c>
      <c r="P63" s="824">
        <f>(P23/P8)</f>
        <v>0.10463710020837702</v>
      </c>
      <c r="Q63" s="819"/>
      <c r="R63" s="824">
        <f>(R23/R8)</f>
        <v>9.9060426331552015E-2</v>
      </c>
      <c r="S63" s="824">
        <f>(S23/S8)</f>
        <v>0.10823077410229892</v>
      </c>
      <c r="T63" s="824">
        <f>(T23/T8)</f>
        <v>0.12034036967363525</v>
      </c>
      <c r="U63" s="824">
        <f>(U23/U8)</f>
        <v>0.10760542557715265</v>
      </c>
      <c r="V63" s="819"/>
      <c r="W63" s="824">
        <f>(W23/W8)</f>
        <v>0.11862098778774449</v>
      </c>
      <c r="X63" s="824">
        <f>(X23/X8)</f>
        <v>0.12076545431584257</v>
      </c>
      <c r="Y63" s="824">
        <f>(Y23/Y8)</f>
        <v>0.1286768397616351</v>
      </c>
      <c r="Z63" s="824">
        <f>(Z23/Z8)</f>
        <v>0.11172074365404955</v>
      </c>
      <c r="AA63" s="819"/>
      <c r="AB63" s="824">
        <f>(AB23/AB8)</f>
        <v>7.517953238249378E-2</v>
      </c>
      <c r="AC63" s="824">
        <f>(AC23/AC8)</f>
        <v>8.9865842085173397E-2</v>
      </c>
      <c r="AD63" s="824">
        <f>(AD23/AD8)</f>
        <v>0.1119294319858605</v>
      </c>
      <c r="AE63" s="824">
        <f>(AE23/AE8)</f>
        <v>9.9033803035510376E-2</v>
      </c>
      <c r="AF63" s="819"/>
      <c r="AG63" s="824">
        <f>(AG23/AG8)</f>
        <v>9.3363726537463693E-2</v>
      </c>
      <c r="AH63" s="824">
        <f>(AH23/AH8)</f>
        <v>9.1450972739195724E-2</v>
      </c>
      <c r="AI63" s="824">
        <f>(AI23/AI8)</f>
        <v>0.11964040915322149</v>
      </c>
      <c r="AJ63" s="824">
        <f>(AE23/AE8)</f>
        <v>9.9033803035510376E-2</v>
      </c>
      <c r="AK63" s="824"/>
      <c r="AL63" s="824">
        <f>(AL23/AL8)</f>
        <v>0.10793269962362913</v>
      </c>
      <c r="AM63" s="824">
        <f>(AM23/AM8)</f>
        <v>0.12544271893813488</v>
      </c>
      <c r="AN63" s="824">
        <f>(AN23/AN8)</f>
        <v>0.12401637817944434</v>
      </c>
      <c r="AO63" s="824">
        <f>(AO23/AO8)</f>
        <v>7.9800739256570843E-2</v>
      </c>
      <c r="AP63" s="824"/>
      <c r="AQ63" s="824">
        <f>(AQ23/AQ8)</f>
        <v>8.0055405981351108E-2</v>
      </c>
      <c r="AR63" s="824">
        <f>(AR23/AR8)</f>
        <v>0.106886657101865</v>
      </c>
      <c r="AS63" s="824">
        <f>(AS23/AS8)</f>
        <v>0.12332872109112465</v>
      </c>
      <c r="AT63" s="824">
        <f>(AT23/AT8)</f>
        <v>0.13198967532324099</v>
      </c>
      <c r="AU63" s="824"/>
      <c r="AV63" s="824">
        <f>(AV23/AV8)</f>
        <v>0.11033604813724449</v>
      </c>
      <c r="AW63" s="824">
        <f>(AW23/AW8)</f>
        <v>0.12977602465956364</v>
      </c>
      <c r="AX63" s="824">
        <f>(AX23/AX8)</f>
        <v>0.1274529630817724</v>
      </c>
      <c r="AY63" s="824">
        <f>(AY23/AY8)</f>
        <v>0.11256601684645194</v>
      </c>
      <c r="AZ63" s="824"/>
      <c r="BA63" s="824">
        <f>(BA23/BA8)</f>
        <v>7.7134607714605855E-2</v>
      </c>
      <c r="BB63" s="824">
        <f>(BB23/BB8)</f>
        <v>9.3064294520019547E-2</v>
      </c>
      <c r="BC63" s="824">
        <f>(BC23/BC8)</f>
        <v>8.3086729633266757E-2</v>
      </c>
      <c r="BD63" s="824">
        <f>(BD23/BD8)</f>
        <v>5.1268189333304175E-2</v>
      </c>
      <c r="BE63" s="824"/>
      <c r="BF63" s="824">
        <f>(BF23/BF8)</f>
        <v>5.9685725836218763E-2</v>
      </c>
      <c r="BG63" s="824">
        <f>(BG23/BG8)</f>
        <v>9.0632573724361204E-2</v>
      </c>
      <c r="BH63" s="824">
        <f>(BH23/BH8)</f>
        <v>8.5858119342324055E-2</v>
      </c>
      <c r="BI63" s="824">
        <f>(BI23/BI8)</f>
        <v>9.6371411032348503E-2</v>
      </c>
      <c r="BJ63" s="824"/>
      <c r="BK63" s="824">
        <f>(BK23/BK8)</f>
        <v>7.260053966740572E-2</v>
      </c>
      <c r="BL63" s="824">
        <f>(BL23/BL8)</f>
        <v>0.10067314943231856</v>
      </c>
      <c r="BM63" s="824">
        <f>(BM23/BM8)</f>
        <v>9.0765571688614002E-2</v>
      </c>
      <c r="BN63" s="824">
        <f>(BN23/BN8)</f>
        <v>9.7898346098395109E-2</v>
      </c>
      <c r="BO63" s="824"/>
      <c r="BP63" s="824">
        <f>(BP23/BP8)</f>
        <v>5.4607975987527459E-2</v>
      </c>
      <c r="BQ63" s="824">
        <f>(BQ23/BQ8)</f>
        <v>8.3215716921848107E-2</v>
      </c>
      <c r="BR63" s="824">
        <f>(BR23/BR8)</f>
        <v>5.7881812712561542E-2</v>
      </c>
      <c r="BS63" s="824">
        <f>(BS23/BS8)</f>
        <v>7.9420875847144093E-2</v>
      </c>
      <c r="BT63" s="824"/>
      <c r="BU63" s="824">
        <f>(BU23/BU8)</f>
        <v>4.43512266410468E-2</v>
      </c>
      <c r="BV63" s="824">
        <f>(BV23/BV8)</f>
        <v>7.7053697000438071E-2</v>
      </c>
      <c r="BW63" s="824">
        <f>(BW23/BW8)</f>
        <v>6.30033274442659E-2</v>
      </c>
      <c r="BX63" s="824">
        <f>(BX23/BX8)</f>
        <v>7.1913921962175067E-2</v>
      </c>
      <c r="BY63" s="824"/>
      <c r="BZ63" s="824">
        <f>(BZ23/BZ8)</f>
        <v>3.8765921343025075E-2</v>
      </c>
      <c r="CA63" s="824">
        <f>(CA23/CA8)</f>
        <v>8.6366229193054284E-2</v>
      </c>
      <c r="CB63" s="824">
        <f>(CB23/CB8)</f>
        <v>5.4904920746999007E-2</v>
      </c>
      <c r="CC63" s="820">
        <f>(CC23/CC8)</f>
        <v>6.4975469782305104E-2</v>
      </c>
      <c r="CD63" s="824"/>
      <c r="CE63" s="824">
        <f>(CE23/CE8)</f>
        <v>1.5683337931397003E-2</v>
      </c>
      <c r="CF63" s="824">
        <f>(CF23/CF8)</f>
        <v>5.7180922661699565E-2</v>
      </c>
      <c r="CG63" s="824">
        <f>(CG23/CG8)</f>
        <v>5.0507743281054299E-2</v>
      </c>
      <c r="CH63" s="824">
        <f>(CH23/CH8)</f>
        <v>6.8903398067612351E-2</v>
      </c>
      <c r="CI63" s="824"/>
      <c r="CJ63" s="824">
        <f>(CJ23/CJ8)</f>
        <v>3.958540409981437E-2</v>
      </c>
      <c r="CK63" s="824">
        <f>(CK23/CK8)</f>
        <v>7.9406986086244261E-2</v>
      </c>
      <c r="CL63" s="824">
        <f>(CL23/CL8)</f>
        <v>5.5849542678294534E-2</v>
      </c>
      <c r="CM63" s="822">
        <f>(CM23/CM8)</f>
        <v>6.3365423018242759E-2</v>
      </c>
      <c r="CN63" s="824"/>
      <c r="CO63" s="820">
        <f t="shared" ref="CO63:DJ63" si="36">(CO23/CO8)</f>
        <v>8.4729517310125235E-2</v>
      </c>
      <c r="CP63" s="820">
        <f t="shared" si="36"/>
        <v>8.0105044441879172E-2</v>
      </c>
      <c r="CQ63" s="820">
        <f t="shared" si="36"/>
        <v>7.5105424916017571E-2</v>
      </c>
      <c r="CR63" s="820">
        <f t="shared" si="36"/>
        <v>6.716694293326822E-2</v>
      </c>
      <c r="CS63" s="820">
        <f t="shared" si="36"/>
        <v>3.553615749001969E-2</v>
      </c>
      <c r="CT63" s="821">
        <f t="shared" si="36"/>
        <v>4.3005175407928642E-2</v>
      </c>
      <c r="CU63" s="821">
        <f t="shared" si="36"/>
        <v>6.4843857184083392E-2</v>
      </c>
      <c r="CV63" s="821">
        <f t="shared" si="36"/>
        <v>-5.5669858432032416E-3</v>
      </c>
      <c r="CW63" s="821">
        <f t="shared" si="36"/>
        <v>0.10931923890063408</v>
      </c>
      <c r="CX63" s="821">
        <f t="shared" si="36"/>
        <v>0.11976482157883794</v>
      </c>
      <c r="CY63" s="821">
        <f t="shared" si="36"/>
        <v>9.4883960947712981E-2</v>
      </c>
      <c r="CZ63" s="820">
        <f t="shared" si="36"/>
        <v>0.10627276610307985</v>
      </c>
      <c r="DA63" s="821">
        <f t="shared" si="36"/>
        <v>0.10866785347140377</v>
      </c>
      <c r="DB63" s="822">
        <f t="shared" si="36"/>
        <v>0.11347471249835508</v>
      </c>
      <c r="DC63" s="821">
        <f t="shared" si="36"/>
        <v>0.12002891690874018</v>
      </c>
      <c r="DD63" s="820">
        <f t="shared" si="36"/>
        <v>7.4885166591815822E-2</v>
      </c>
      <c r="DE63" s="820">
        <f t="shared" si="36"/>
        <v>8.4908897376494943E-2</v>
      </c>
      <c r="DF63" s="821">
        <f t="shared" si="36"/>
        <v>9.1489792122024946E-2</v>
      </c>
      <c r="DG63" s="820">
        <f t="shared" si="36"/>
        <v>7.0019030516378658E-2</v>
      </c>
      <c r="DH63" s="820">
        <f t="shared" si="36"/>
        <v>6.5161180958418441E-2</v>
      </c>
      <c r="DI63" s="820">
        <f t="shared" si="36"/>
        <v>6.2261654230335917E-2</v>
      </c>
      <c r="DJ63" s="820">
        <f t="shared" si="36"/>
        <v>5.032862151529275E-2</v>
      </c>
      <c r="DK63" s="820">
        <f>(DK23/DK8)</f>
        <v>6.0204473190696821E-2</v>
      </c>
      <c r="DL63" s="820">
        <f>(DL23/DL8)</f>
        <v>5.955489733578307E-2</v>
      </c>
      <c r="DM63" s="820">
        <f>(DM23/DM8)</f>
        <v>5.9629622433238966E-2</v>
      </c>
      <c r="DN63" s="820">
        <f>(DN23/DN8)</f>
        <v>5.9704347530694729E-2</v>
      </c>
      <c r="DO63" s="822">
        <f>(DO23/DO8)</f>
        <v>5.9853797725606533E-2</v>
      </c>
      <c r="DP63" s="704"/>
    </row>
    <row r="64" spans="1:129">
      <c r="A64" s="794" t="s">
        <v>396</v>
      </c>
      <c r="B64" s="795"/>
      <c r="C64" s="824">
        <f>(C55/C8)</f>
        <v>7.1596750842219586E-2</v>
      </c>
      <c r="D64" s="824">
        <f>(D55/D8)</f>
        <v>0.1099424964239069</v>
      </c>
      <c r="E64" s="824">
        <f>(E55/E8)</f>
        <v>0.13048568259404036</v>
      </c>
      <c r="F64" s="824">
        <f>(F55/F8)</f>
        <v>0.14307617213824972</v>
      </c>
      <c r="G64" s="819"/>
      <c r="H64" s="824">
        <f>(H55/H8)</f>
        <v>0.15160727824109183</v>
      </c>
      <c r="I64" s="824">
        <f>(I55/I8)</f>
        <v>0.11985223594293237</v>
      </c>
      <c r="J64" s="824">
        <f>(J55/J8)</f>
        <v>0.11850280836932968</v>
      </c>
      <c r="K64" s="824">
        <f>(K55/K8)</f>
        <v>0.1250116871581505</v>
      </c>
      <c r="L64" s="819"/>
      <c r="M64" s="824">
        <f>(M55/M8)</f>
        <v>0.14583099749598241</v>
      </c>
      <c r="N64" s="824">
        <f>(N55/N8)</f>
        <v>0.17141252777122218</v>
      </c>
      <c r="O64" s="824">
        <f>(O55/O8)</f>
        <v>0.20391200792518846</v>
      </c>
      <c r="P64" s="824">
        <f>(P55/P8)</f>
        <v>0.22723891825599152</v>
      </c>
      <c r="Q64" s="819"/>
      <c r="R64" s="824">
        <f>(R55/R8)</f>
        <v>0.20927241764049559</v>
      </c>
      <c r="S64" s="824">
        <f>(S55/S8)</f>
        <v>0.22246205484368078</v>
      </c>
      <c r="T64" s="824">
        <f>(T55/T8)</f>
        <v>0.22303827541101814</v>
      </c>
      <c r="U64" s="824">
        <f>(U55/U8)</f>
        <v>0.21531815454072115</v>
      </c>
      <c r="V64" s="819"/>
      <c r="W64" s="824">
        <f>(W55/W8)</f>
        <v>0.23160920782448932</v>
      </c>
      <c r="X64" s="824">
        <f>(X55/X8)</f>
        <v>0.23377612552882482</v>
      </c>
      <c r="Y64" s="824">
        <f>(Y55/Y8)</f>
        <v>0.24435857216560875</v>
      </c>
      <c r="Z64" s="824">
        <f>(Z55/Z8)</f>
        <v>0.19979974198732531</v>
      </c>
      <c r="AA64" s="819"/>
      <c r="AB64" s="824">
        <f>(AB55/AB8)</f>
        <v>0.14944057005929476</v>
      </c>
      <c r="AC64" s="824">
        <f>(AC55/AC8)</f>
        <v>0.16977577313269773</v>
      </c>
      <c r="AD64" s="824">
        <f>(AD55/AD8)</f>
        <v>0.17958521833600885</v>
      </c>
      <c r="AE64" s="824">
        <f>(AE55/AE8)</f>
        <v>0.16386545305380326</v>
      </c>
      <c r="AF64" s="819"/>
      <c r="AG64" s="824">
        <f>(AG55/AG8)</f>
        <v>0.16708632178645907</v>
      </c>
      <c r="AH64" s="824">
        <f>(AH55/AH8)</f>
        <v>0.18475874518222185</v>
      </c>
      <c r="AI64" s="824">
        <f>(AI55/AI8)</f>
        <v>0.20818833702414841</v>
      </c>
      <c r="AJ64" s="824">
        <f>(AE55/AE8)</f>
        <v>0.16386545305380326</v>
      </c>
      <c r="AK64" s="824"/>
      <c r="AL64" s="824">
        <f>(AL55/AL8)</f>
        <v>0.20869051362949284</v>
      </c>
      <c r="AM64" s="824">
        <f>(AM55/AM8)</f>
        <v>0.22758559966541561</v>
      </c>
      <c r="AN64" s="824">
        <f>(AN55/AN8)</f>
        <v>0.23319866179310511</v>
      </c>
      <c r="AO64" s="824">
        <f>(AO55/AO8)</f>
        <v>0.16582099598880487</v>
      </c>
      <c r="AP64" s="824"/>
      <c r="AQ64" s="824">
        <f>(AQ55/AQ8)</f>
        <v>0.17726275740912062</v>
      </c>
      <c r="AR64" s="824">
        <f>(AR55/AR8)</f>
        <v>0.22119112305015404</v>
      </c>
      <c r="AS64" s="824">
        <f>(AS55/AS8)</f>
        <v>0.23599327930421027</v>
      </c>
      <c r="AT64" s="824">
        <f>(AT55/AT8)</f>
        <v>0.24178877233883841</v>
      </c>
      <c r="AU64" s="824"/>
      <c r="AV64" s="824">
        <f>(AV55/AV8)</f>
        <v>0.2220138719604301</v>
      </c>
      <c r="AW64" s="824">
        <f>(AW55/AW8)</f>
        <v>0.2382882466825679</v>
      </c>
      <c r="AX64" s="824">
        <f>(AX55/AX8)</f>
        <v>0.22769669033040901</v>
      </c>
      <c r="AY64" s="824">
        <f>(AY55/AY8)</f>
        <v>0.21929113242268736</v>
      </c>
      <c r="AZ64" s="824"/>
      <c r="BA64" s="824">
        <f>(BA55/BA8)</f>
        <v>0.16828969941929592</v>
      </c>
      <c r="BB64" s="824">
        <f>(BB55/BB8)</f>
        <v>0.18836437774651543</v>
      </c>
      <c r="BC64" s="824">
        <f>(BC55/BC8)</f>
        <v>0.16520125321131293</v>
      </c>
      <c r="BD64" s="824">
        <f>(BD55/BD8)</f>
        <v>0.1219971860594979</v>
      </c>
      <c r="BE64" s="824"/>
      <c r="BF64" s="824">
        <f>(BF55/BF8)</f>
        <v>0.14362926897860886</v>
      </c>
      <c r="BG64" s="824">
        <f>(BG55/BG8)</f>
        <v>0.18445027052844359</v>
      </c>
      <c r="BH64" s="824">
        <f>(BH55/BH8)</f>
        <v>0.17937142065398118</v>
      </c>
      <c r="BI64" s="824">
        <f>(BI55/BI8)</f>
        <v>0.1893140318977854</v>
      </c>
      <c r="BJ64" s="824"/>
      <c r="BK64" s="824">
        <f>(BK55/BK8)</f>
        <v>0.16206067169924271</v>
      </c>
      <c r="BL64" s="824">
        <f>(BL55/BL8)</f>
        <v>0.20013473535445156</v>
      </c>
      <c r="BM64" s="824">
        <f>(BM55/BM8)</f>
        <v>0.17915790860785294</v>
      </c>
      <c r="BN64" s="824">
        <f>(BN55/BN8)</f>
        <v>0.18100739851058334</v>
      </c>
      <c r="BO64" s="824"/>
      <c r="BP64" s="824">
        <f>(BP55/BP8)</f>
        <v>0.13740000874240502</v>
      </c>
      <c r="BQ64" s="824">
        <f>(BQ55/BQ8)</f>
        <v>0.16584468716910758</v>
      </c>
      <c r="BR64" s="824">
        <f>(BR55/BR8)</f>
        <v>0.14234901224108928</v>
      </c>
      <c r="BS64" s="824">
        <f>(BS55/BS8)</f>
        <v>0.15698129853893597</v>
      </c>
      <c r="BT64" s="824"/>
      <c r="BU64" s="824">
        <f>(BU55/BU8)</f>
        <v>0.11982787783656514</v>
      </c>
      <c r="BV64" s="824">
        <f>(BV55/BV8)</f>
        <v>0.16168007746754892</v>
      </c>
      <c r="BW64" s="824">
        <f>(BW55/BW8)</f>
        <v>0.14216766150706808</v>
      </c>
      <c r="BX64" s="824">
        <f>(BX55/BX8)</f>
        <v>0.14818443940533213</v>
      </c>
      <c r="BY64" s="824"/>
      <c r="BZ64" s="824">
        <f>(BZ55/BZ8)</f>
        <v>0.11189296294013591</v>
      </c>
      <c r="CA64" s="824">
        <f>(CA55/CA8)</f>
        <v>0.17040922197968034</v>
      </c>
      <c r="CB64" s="824">
        <f>(CB55/CB8)</f>
        <v>0.11952936320494929</v>
      </c>
      <c r="CC64" s="820">
        <f>(CC55/CC8)</f>
        <v>0.13397653563822237</v>
      </c>
      <c r="CD64" s="824"/>
      <c r="CE64" s="824">
        <f>(CE55/CE8)</f>
        <v>6.9853781578843768E-2</v>
      </c>
      <c r="CF64" s="824">
        <f>(CF55/CF8)</f>
        <v>0.12344961972939449</v>
      </c>
      <c r="CG64" s="824">
        <f>(CG55/CG8)</f>
        <v>0.118138521059081</v>
      </c>
      <c r="CH64" s="824">
        <f>(CH55/CH8)</f>
        <v>0.12728361179999606</v>
      </c>
      <c r="CI64" s="824"/>
      <c r="CJ64" s="824">
        <f>(CJ55/CJ8)</f>
        <v>9.2958994330978248E-2</v>
      </c>
      <c r="CK64" s="824">
        <f>(CK55/CK8)</f>
        <v>0.14074157214462668</v>
      </c>
      <c r="CL64" s="824">
        <f>(CL55/CL8)</f>
        <v>0.11524380160761198</v>
      </c>
      <c r="CM64" s="822">
        <f>(CM55/CM8)</f>
        <v>0.11216312609318699</v>
      </c>
      <c r="CN64" s="824"/>
      <c r="CO64" s="820">
        <f t="shared" ref="CO64:DJ64" si="37">(CO55/CO8)</f>
        <v>0.15857710641669528</v>
      </c>
      <c r="CP64" s="820">
        <f t="shared" si="37"/>
        <v>0.15381507560891139</v>
      </c>
      <c r="CQ64" s="820">
        <f t="shared" si="37"/>
        <v>0.14646082005098529</v>
      </c>
      <c r="CR64" s="820">
        <f t="shared" si="37"/>
        <v>0.16623458809908212</v>
      </c>
      <c r="CS64" s="820">
        <f t="shared" si="37"/>
        <v>0.10115699904853162</v>
      </c>
      <c r="CT64" s="821">
        <f t="shared" si="37"/>
        <v>0.11737802257005132</v>
      </c>
      <c r="CU64" s="821">
        <f t="shared" si="37"/>
        <v>0.1545792588597624</v>
      </c>
      <c r="CV64" s="821">
        <f t="shared" si="37"/>
        <v>0.10975489574974309</v>
      </c>
      <c r="CW64" s="821">
        <f t="shared" si="37"/>
        <v>0.2177275747508304</v>
      </c>
      <c r="CX64" s="821">
        <f t="shared" si="37"/>
        <v>0.22620402579600712</v>
      </c>
      <c r="CY64" s="821">
        <f t="shared" si="37"/>
        <v>0.17939001418286851</v>
      </c>
      <c r="CZ64" s="820">
        <f t="shared" si="37"/>
        <v>0.19563394891903288</v>
      </c>
      <c r="DA64" s="821">
        <f t="shared" si="37"/>
        <v>0.20788196779929111</v>
      </c>
      <c r="DB64" s="822">
        <f t="shared" si="37"/>
        <v>0.22258781152999638</v>
      </c>
      <c r="DC64" s="821">
        <f t="shared" si="37"/>
        <v>0.22659845512646307</v>
      </c>
      <c r="DD64" s="820">
        <f t="shared" si="37"/>
        <v>0.11509616173653441</v>
      </c>
      <c r="DE64" s="820">
        <f t="shared" si="37"/>
        <v>0.17637289014910959</v>
      </c>
      <c r="DF64" s="821">
        <f t="shared" si="37"/>
        <v>0.18127499530671567</v>
      </c>
      <c r="DG64" s="820">
        <f t="shared" si="37"/>
        <v>0.1515835017504194</v>
      </c>
      <c r="DH64" s="820">
        <f t="shared" si="37"/>
        <v>0.14405854750497366</v>
      </c>
      <c r="DI64" s="820">
        <f t="shared" si="37"/>
        <v>0.13486344666385011</v>
      </c>
      <c r="DJ64" s="820">
        <f t="shared" si="37"/>
        <v>0.11201090482503656</v>
      </c>
      <c r="DK64" s="820">
        <f>(DK55/DK8)</f>
        <v>0.11564375900471849</v>
      </c>
      <c r="DL64" s="820">
        <f>(DL55/DL8)</f>
        <v>0.11464363072055112</v>
      </c>
      <c r="DM64" s="820">
        <f>(DM55/DM8)</f>
        <v>0.11474986222139144</v>
      </c>
      <c r="DN64" s="820">
        <f>(DN55/DN8)</f>
        <v>0.11475408968641328</v>
      </c>
      <c r="DO64" s="822">
        <f>(DO55/DO8)</f>
        <v>0.11442704310024295</v>
      </c>
      <c r="DP64" s="704"/>
    </row>
    <row r="65" spans="1:132">
      <c r="A65" s="794"/>
      <c r="B65" s="711"/>
      <c r="C65" s="826"/>
      <c r="D65" s="826"/>
      <c r="E65" s="826"/>
      <c r="F65" s="826"/>
      <c r="G65" s="826"/>
      <c r="H65" s="826"/>
      <c r="I65" s="826"/>
      <c r="J65" s="826"/>
      <c r="K65" s="826"/>
      <c r="L65" s="826"/>
      <c r="M65" s="826"/>
      <c r="N65" s="826"/>
      <c r="O65" s="826"/>
      <c r="P65" s="826"/>
      <c r="Q65" s="826"/>
      <c r="R65" s="826"/>
      <c r="S65" s="826"/>
      <c r="T65" s="826"/>
      <c r="U65" s="826"/>
      <c r="V65" s="826"/>
      <c r="W65" s="826"/>
      <c r="X65" s="826"/>
      <c r="Y65" s="826"/>
      <c r="Z65" s="826"/>
      <c r="AA65" s="826"/>
      <c r="AB65" s="826"/>
      <c r="AC65" s="826"/>
      <c r="AD65" s="826"/>
      <c r="AE65" s="826"/>
      <c r="AF65" s="826"/>
      <c r="AG65" s="826"/>
      <c r="AH65" s="826"/>
      <c r="AI65" s="826"/>
      <c r="AJ65" s="826"/>
      <c r="AK65" s="826"/>
      <c r="AL65" s="826"/>
      <c r="AM65" s="826"/>
      <c r="AN65" s="826"/>
      <c r="AO65" s="826"/>
      <c r="AP65" s="826"/>
      <c r="AQ65" s="826"/>
      <c r="AR65" s="826"/>
      <c r="AS65" s="826"/>
      <c r="AT65" s="826"/>
      <c r="AU65" s="826"/>
      <c r="AV65" s="826"/>
      <c r="AW65" s="826"/>
      <c r="AX65" s="826"/>
      <c r="AY65" s="826"/>
      <c r="AZ65" s="826"/>
      <c r="BA65" s="826"/>
      <c r="BB65" s="826"/>
      <c r="BC65" s="826"/>
      <c r="BD65" s="826"/>
      <c r="BE65" s="826"/>
      <c r="BF65" s="826"/>
      <c r="BG65" s="826"/>
      <c r="BH65" s="826"/>
      <c r="BI65" s="826"/>
      <c r="BJ65" s="826"/>
      <c r="BK65" s="826"/>
      <c r="BL65" s="826"/>
      <c r="BM65" s="826"/>
      <c r="BN65" s="826"/>
      <c r="BO65" s="826"/>
      <c r="BP65" s="826"/>
      <c r="BQ65" s="826"/>
      <c r="BR65" s="826"/>
      <c r="BS65" s="826"/>
      <c r="BT65" s="826"/>
      <c r="BU65" s="815"/>
      <c r="BV65" s="826"/>
      <c r="BW65" s="826"/>
      <c r="BX65" s="826"/>
      <c r="BY65" s="826"/>
      <c r="BZ65" s="815"/>
      <c r="CA65" s="826"/>
      <c r="CB65" s="826"/>
      <c r="CC65" s="827"/>
      <c r="CD65" s="826"/>
      <c r="CE65" s="815"/>
      <c r="CF65" s="826"/>
      <c r="CG65" s="826"/>
      <c r="CH65" s="826"/>
      <c r="CI65" s="826"/>
      <c r="CJ65" s="815"/>
      <c r="CK65" s="826"/>
      <c r="CL65" s="826"/>
      <c r="CM65" s="829"/>
      <c r="CN65" s="826"/>
      <c r="CO65" s="827"/>
      <c r="CP65" s="827"/>
      <c r="CQ65" s="827"/>
      <c r="CR65" s="827"/>
      <c r="CS65" s="827"/>
      <c r="CT65" s="828"/>
      <c r="CU65" s="828"/>
      <c r="CV65" s="828"/>
      <c r="CW65" s="828"/>
      <c r="CX65" s="828"/>
      <c r="CY65" s="828"/>
      <c r="CZ65" s="827"/>
      <c r="DA65" s="828"/>
      <c r="DB65" s="829"/>
      <c r="DC65" s="828"/>
      <c r="DD65" s="827"/>
      <c r="DE65" s="827"/>
      <c r="DF65" s="828"/>
      <c r="DG65" s="827"/>
      <c r="DH65" s="827"/>
      <c r="DI65" s="827"/>
      <c r="DJ65" s="827"/>
      <c r="DK65" s="827"/>
      <c r="DL65" s="827"/>
      <c r="DM65" s="827"/>
      <c r="DN65" s="827"/>
      <c r="DO65" s="829"/>
      <c r="DP65" s="704"/>
    </row>
    <row r="66" spans="1:132">
      <c r="A66" s="741" t="s">
        <v>423</v>
      </c>
      <c r="B66" s="726"/>
      <c r="C66" s="826"/>
      <c r="D66" s="826"/>
      <c r="E66" s="826"/>
      <c r="F66" s="826"/>
      <c r="G66" s="826"/>
      <c r="H66" s="826"/>
      <c r="I66" s="826"/>
      <c r="J66" s="826"/>
      <c r="K66" s="826"/>
      <c r="L66" s="826"/>
      <c r="M66" s="826"/>
      <c r="N66" s="826"/>
      <c r="O66" s="826"/>
      <c r="P66" s="826"/>
      <c r="Q66" s="826"/>
      <c r="R66" s="826"/>
      <c r="S66" s="826"/>
      <c r="T66" s="826"/>
      <c r="U66" s="826"/>
      <c r="V66" s="826"/>
      <c r="W66" s="826"/>
      <c r="X66" s="826"/>
      <c r="Y66" s="826"/>
      <c r="Z66" s="826"/>
      <c r="AA66" s="826"/>
      <c r="AB66" s="826"/>
      <c r="AC66" s="826"/>
      <c r="AD66" s="826"/>
      <c r="AE66" s="826"/>
      <c r="AF66" s="826"/>
      <c r="AG66" s="826"/>
      <c r="AH66" s="826"/>
      <c r="AI66" s="826"/>
      <c r="AJ66" s="826"/>
      <c r="AK66" s="826"/>
      <c r="AL66" s="826"/>
      <c r="AM66" s="826"/>
      <c r="AN66" s="826"/>
      <c r="AO66" s="826"/>
      <c r="AP66" s="826"/>
      <c r="AQ66" s="826"/>
      <c r="AR66" s="826"/>
      <c r="AS66" s="826"/>
      <c r="AT66" s="826"/>
      <c r="AU66" s="826"/>
      <c r="AV66" s="826"/>
      <c r="AW66" s="826"/>
      <c r="AX66" s="826"/>
      <c r="AY66" s="826"/>
      <c r="AZ66" s="826"/>
      <c r="BA66" s="826"/>
      <c r="BB66" s="826"/>
      <c r="BC66" s="826"/>
      <c r="BD66" s="826"/>
      <c r="BE66" s="826"/>
      <c r="BF66" s="826"/>
      <c r="BG66" s="826"/>
      <c r="BH66" s="826"/>
      <c r="BI66" s="826"/>
      <c r="BJ66" s="826"/>
      <c r="BK66" s="826"/>
      <c r="BL66" s="826"/>
      <c r="BM66" s="826"/>
      <c r="BN66" s="826"/>
      <c r="BO66" s="826"/>
      <c r="BP66" s="815"/>
      <c r="BQ66" s="815"/>
      <c r="BR66" s="815"/>
      <c r="BS66" s="826"/>
      <c r="BT66" s="826"/>
      <c r="BU66" s="815"/>
      <c r="BV66" s="815"/>
      <c r="BW66" s="815"/>
      <c r="BX66" s="815"/>
      <c r="BY66" s="826"/>
      <c r="BZ66" s="815"/>
      <c r="CA66" s="815"/>
      <c r="CB66" s="815"/>
      <c r="CC66" s="818"/>
      <c r="CD66" s="826"/>
      <c r="CE66" s="815"/>
      <c r="CF66" s="815"/>
      <c r="CG66" s="815"/>
      <c r="CH66" s="815"/>
      <c r="CI66" s="826"/>
      <c r="CJ66" s="815"/>
      <c r="CK66" s="815"/>
      <c r="CL66" s="815"/>
      <c r="CM66" s="1748"/>
      <c r="CN66" s="826"/>
      <c r="CO66" s="827"/>
      <c r="CP66" s="827"/>
      <c r="CQ66" s="827"/>
      <c r="CR66" s="827"/>
      <c r="CS66" s="827"/>
      <c r="CT66" s="828"/>
      <c r="CU66" s="828"/>
      <c r="CV66" s="828"/>
      <c r="CW66" s="828"/>
      <c r="CX66" s="828"/>
      <c r="CY66" s="828"/>
      <c r="CZ66" s="827"/>
      <c r="DA66" s="828"/>
      <c r="DB66" s="829"/>
      <c r="DC66" s="828"/>
      <c r="DD66" s="827"/>
      <c r="DE66" s="827"/>
      <c r="DF66" s="828"/>
      <c r="DG66" s="827"/>
      <c r="DH66" s="827"/>
      <c r="DI66" s="827"/>
      <c r="DJ66" s="827"/>
      <c r="DK66" s="827"/>
      <c r="DL66" s="827"/>
      <c r="DM66" s="827"/>
      <c r="DN66" s="827"/>
      <c r="DO66" s="829"/>
      <c r="DP66" s="704"/>
    </row>
    <row r="67" spans="1:132">
      <c r="A67" s="794" t="s">
        <v>295</v>
      </c>
      <c r="B67" s="830"/>
      <c r="C67" s="831">
        <f>'qtrP&amp;L'!$AG10/100</f>
        <v>8.9219105382865718E-2</v>
      </c>
      <c r="D67" s="831">
        <f>'qtrP&amp;L'!$AG11/100</f>
        <v>0.20481656875674381</v>
      </c>
      <c r="E67" s="831">
        <f>'qtrP&amp;L'!$AG12/100</f>
        <v>0.20453749464918089</v>
      </c>
      <c r="F67" s="831">
        <f>'qtrP&amp;L'!$AG13/100</f>
        <v>0.21394511710532485</v>
      </c>
      <c r="G67" s="831"/>
      <c r="H67" s="831">
        <f>((H8/C8)-1)</f>
        <v>-8.1911072751064906E-2</v>
      </c>
      <c r="I67" s="831">
        <f>((I8/D8)-1)</f>
        <v>-0.16999813421232668</v>
      </c>
      <c r="J67" s="831">
        <f>((J8/E8)-1)</f>
        <v>-0.16980583465253773</v>
      </c>
      <c r="K67" s="831">
        <f>((K8/F8)-1)</f>
        <v>-0.17623953018195837</v>
      </c>
      <c r="L67" s="831"/>
      <c r="M67" s="831">
        <f>((M8/H8)-1)</f>
        <v>0.62286580742987119</v>
      </c>
      <c r="N67" s="831">
        <f>((N8/I8)-1)</f>
        <v>0.84149082843783751</v>
      </c>
      <c r="O67" s="831">
        <f>((O8/J8)-1)</f>
        <v>0.84627258694270413</v>
      </c>
      <c r="P67" s="831">
        <f>((P8/K8)-1)</f>
        <v>1.0583773549623676</v>
      </c>
      <c r="Q67" s="831"/>
      <c r="R67" s="831">
        <f>((R8/M8)-1)</f>
        <v>0.59107896998916165</v>
      </c>
      <c r="S67" s="831">
        <f>((S8/N8)-1)</f>
        <v>0.54203728871491474</v>
      </c>
      <c r="T67" s="831">
        <f>((T8/O8)-1)</f>
        <v>0.52006941565786802</v>
      </c>
      <c r="U67" s="831">
        <f>((U8/P8)-1)</f>
        <v>0.42867768548116936</v>
      </c>
      <c r="V67" s="831"/>
      <c r="W67" s="831">
        <f>((W8/R8)-1)</f>
        <v>0.35841799283575071</v>
      </c>
      <c r="X67" s="831">
        <f>((X8/S8)-1)</f>
        <v>0.3372738595343141</v>
      </c>
      <c r="Y67" s="831">
        <f>((Y8/T8)-1)</f>
        <v>0.33486015909185451</v>
      </c>
      <c r="Z67" s="831">
        <f>((Z8/U8)-1)</f>
        <v>0.2661362435071517</v>
      </c>
      <c r="AA67" s="831"/>
      <c r="AB67" s="831">
        <f>((AB8/W8)-1)</f>
        <v>0.16721928023343779</v>
      </c>
      <c r="AC67" s="831">
        <f>((AC8/X8)-1)</f>
        <v>0.12694560207109951</v>
      </c>
      <c r="AD67" s="831">
        <f>((AD8/Y8)-1)</f>
        <v>6.7707521788359593E-2</v>
      </c>
      <c r="AE67" s="831">
        <f>((AE8/Z8)-1)</f>
        <v>0.13248103355734187</v>
      </c>
      <c r="AF67" s="831"/>
      <c r="AG67" s="831">
        <f>((AG8/AB8)-1)</f>
        <v>0.16494757543322947</v>
      </c>
      <c r="AH67" s="831">
        <f>((AH8/AC8)-1)</f>
        <v>0.22023469755812286</v>
      </c>
      <c r="AI67" s="831">
        <f>((AI8/AD8)-1)</f>
        <v>0.23014058471566856</v>
      </c>
      <c r="AJ67" s="831">
        <f>((AE8/AE8)-1)</f>
        <v>0</v>
      </c>
      <c r="AK67" s="831"/>
      <c r="AL67" s="831">
        <f>((AL8/AG8)-1)</f>
        <v>0.25353527646370622</v>
      </c>
      <c r="AM67" s="831">
        <f>((AM8/AH8)-1)</f>
        <v>0.30376324799325016</v>
      </c>
      <c r="AN67" s="831">
        <f>((AN8/AI8)-1)</f>
        <v>0.26002583570600013</v>
      </c>
      <c r="AO67" s="831">
        <f>((AO8/AE8)-1)</f>
        <v>0.40821406002283833</v>
      </c>
      <c r="AP67" s="831"/>
      <c r="AQ67" s="831">
        <f>((AQ8/AL8)-1)</f>
        <v>-2.408367402838496E-2</v>
      </c>
      <c r="AR67" s="831">
        <f>((AR8/AM8)-1)</f>
        <v>9.5334529325656892E-3</v>
      </c>
      <c r="AS67" s="831">
        <f>((AS8/AN8)-1)</f>
        <v>5.847227656275833E-2</v>
      </c>
      <c r="AT67" s="831">
        <f>((AT8/AO8)-1)</f>
        <v>0.15827294234349853</v>
      </c>
      <c r="AU67" s="831"/>
      <c r="AV67" s="831">
        <f>((AV8/AQ8)-1)</f>
        <v>0.24731286188006107</v>
      </c>
      <c r="AW67" s="831">
        <f>((AW8/AR8)-1)</f>
        <v>0.20394177390727952</v>
      </c>
      <c r="AX67" s="831">
        <f>((AX8/AS8)-1)</f>
        <v>0.1338050998220992</v>
      </c>
      <c r="AY67" s="831">
        <f>((AY8/AT8)-1)</f>
        <v>0.13576542116898582</v>
      </c>
      <c r="AZ67" s="831"/>
      <c r="BA67" s="831">
        <f>((BA8/AV8)-1)</f>
        <v>9.1794958340365218E-2</v>
      </c>
      <c r="BB67" s="831">
        <f>((BB8/AW8)-1)</f>
        <v>0.10327097810594421</v>
      </c>
      <c r="BC67" s="831">
        <f>((BC8/AX8)-1)</f>
        <v>6.3391748838895978E-2</v>
      </c>
      <c r="BD67" s="831">
        <f>((BD8/AY8)-1)</f>
        <v>9.3146217028980072E-2</v>
      </c>
      <c r="BE67" s="831"/>
      <c r="BF67" s="831">
        <f>((BF8/BA8)-1)</f>
        <v>8.5704907646478423E-2</v>
      </c>
      <c r="BG67" s="831">
        <f>((BG8/BB8)-1)</f>
        <v>0.1101281885022678</v>
      </c>
      <c r="BH67" s="831">
        <f>((BH8/BC8)-1)</f>
        <v>0.13593014543743553</v>
      </c>
      <c r="BI67" s="831">
        <f>((BI8/BD8)-1)</f>
        <v>0.17274255181701736</v>
      </c>
      <c r="BJ67" s="831"/>
      <c r="BK67" s="831">
        <f>((BK8/BF8)-1)</f>
        <v>0.1392913012145609</v>
      </c>
      <c r="BL67" s="831">
        <f>((BL8/BG8)-1)</f>
        <v>0.12163059374302243</v>
      </c>
      <c r="BM67" s="831">
        <f>((BM8/BH8)-1)</f>
        <v>0.11717306715314968</v>
      </c>
      <c r="BN67" s="831">
        <f>((BN8/BI8)-1)</f>
        <v>5.7180736221234874E-2</v>
      </c>
      <c r="BO67" s="831"/>
      <c r="BP67" s="831">
        <f>((BP8/BK8)-1)</f>
        <v>5.8831152601835468E-2</v>
      </c>
      <c r="BQ67" s="831">
        <f>((BQ8/BL8)-1)</f>
        <v>6.9515269127937929E-2</v>
      </c>
      <c r="BR67" s="831">
        <f>((BR8/BM8)-1)</f>
        <v>5.2220208281387848E-2</v>
      </c>
      <c r="BS67" s="831">
        <f>((BS8/BN8)-1)</f>
        <v>0.11611753718573992</v>
      </c>
      <c r="BT67" s="831"/>
      <c r="BU67" s="831">
        <f>((BU8/BP8)-1)</f>
        <v>7.6787457562909056E-2</v>
      </c>
      <c r="BV67" s="831">
        <f>((BV8/BQ8)-1)</f>
        <v>6.9284181383612697E-2</v>
      </c>
      <c r="BW67" s="831">
        <f>((BW8/BR8)-1)</f>
        <v>1.3245423404177004E-2</v>
      </c>
      <c r="BX67" s="831">
        <f>((BX8/BS8)-1)</f>
        <v>2.3361990180446046E-3</v>
      </c>
      <c r="BY67" s="831"/>
      <c r="BZ67" s="831">
        <f>((BZ8/BU8)-1)</f>
        <v>3.1889960893628055E-2</v>
      </c>
      <c r="CA67" s="831">
        <f>((CA8/BV8)-1)</f>
        <v>2.6638692273995179E-2</v>
      </c>
      <c r="CB67" s="831">
        <f>((CB8/BW8)-1)</f>
        <v>4.5116799837141786E-2</v>
      </c>
      <c r="CC67" s="832">
        <f>((CC8/BX8)-1)</f>
        <v>1.6530393544147204E-2</v>
      </c>
      <c r="CD67" s="831"/>
      <c r="CE67" s="831">
        <f>((CE8/BZ8)-1)</f>
        <v>-1.818832721154684E-3</v>
      </c>
      <c r="CF67" s="831">
        <f>((CF8/CA8)-1)</f>
        <v>-1.9804214838170631E-2</v>
      </c>
      <c r="CG67" s="831">
        <f>((CG8/CB8)-1)</f>
        <v>3.5111091014283113E-2</v>
      </c>
      <c r="CH67" s="831">
        <f>((CH8/CC8)-1)</f>
        <v>5.7234909596391992E-2</v>
      </c>
      <c r="CI67" s="831"/>
      <c r="CJ67" s="831">
        <f>((CJ8/CE8)-1)</f>
        <v>0.10128231420154066</v>
      </c>
      <c r="CK67" s="831">
        <f>((CK8/CF8)-1)</f>
        <v>6.0086404755427036E-2</v>
      </c>
      <c r="CL67" s="831">
        <f>((CL8/CG8)-1)</f>
        <v>2.2547234599478161E-2</v>
      </c>
      <c r="CM67" s="1750">
        <f>((CM8/CH8)-1)</f>
        <v>1.393518532792748E-2</v>
      </c>
      <c r="CN67" s="831"/>
      <c r="CO67" s="832">
        <f>'yrP&amp;L'!B8</f>
        <v>0</v>
      </c>
      <c r="CP67" s="832">
        <f>((CP8/CO8)-1)</f>
        <v>0.10710680008690199</v>
      </c>
      <c r="CQ67" s="832">
        <f>((CQ8/CP8)-1)</f>
        <v>0.21127207664781267</v>
      </c>
      <c r="CR67" s="832">
        <f>((CR8/CQ8)-1)</f>
        <v>0.32519953303314031</v>
      </c>
      <c r="CS67" s="832">
        <f t="shared" ref="CS67:DG67" si="38">((CS8/CR8)-1)</f>
        <v>6.1917278228633688E-2</v>
      </c>
      <c r="CT67" s="821">
        <f t="shared" si="38"/>
        <v>0.1815746970369041</v>
      </c>
      <c r="CU67" s="821">
        <f t="shared" si="38"/>
        <v>0.2114753064838748</v>
      </c>
      <c r="CV67" s="821">
        <f t="shared" si="38"/>
        <v>0.17613789579755612</v>
      </c>
      <c r="CW67" s="821">
        <f t="shared" si="38"/>
        <v>0.66476608804606419</v>
      </c>
      <c r="CX67" s="821">
        <f t="shared" si="38"/>
        <v>0.31936816671700385</v>
      </c>
      <c r="CY67" s="821">
        <f t="shared" si="38"/>
        <v>0.12142583098542548</v>
      </c>
      <c r="CZ67" s="820">
        <f t="shared" si="38"/>
        <v>0.23107950653089637</v>
      </c>
      <c r="DA67" s="821">
        <f t="shared" si="38"/>
        <v>0.21681289148411786</v>
      </c>
      <c r="DB67" s="822">
        <f t="shared" si="38"/>
        <v>5.6249856918443086E-2</v>
      </c>
      <c r="DC67" s="821">
        <f>((DC8/DB8)-1)</f>
        <v>0.17353926974453171</v>
      </c>
      <c r="DD67" s="820">
        <f t="shared" si="38"/>
        <v>8.7814442799839521E-2</v>
      </c>
      <c r="DE67" s="820">
        <f t="shared" si="38"/>
        <v>0.12980995641929161</v>
      </c>
      <c r="DF67" s="821">
        <f t="shared" si="38"/>
        <v>0.10437470057336062</v>
      </c>
      <c r="DG67" s="820">
        <f t="shared" si="38"/>
        <v>7.6685877841596417E-2</v>
      </c>
      <c r="DH67" s="820">
        <f t="shared" ref="DH67:DO67" si="39">((DH8/DG8)-1)</f>
        <v>3.6646043378263382E-2</v>
      </c>
      <c r="DI67" s="820">
        <f t="shared" si="39"/>
        <v>2.9218021708299347E-2</v>
      </c>
      <c r="DJ67" s="841">
        <f t="shared" si="39"/>
        <v>1.9803744944009827E-2</v>
      </c>
      <c r="DK67" s="820">
        <f t="shared" si="39"/>
        <v>4.5589710125047089E-2</v>
      </c>
      <c r="DL67" s="820">
        <f t="shared" si="39"/>
        <v>1.6186927877489765E-2</v>
      </c>
      <c r="DM67" s="820">
        <f t="shared" si="39"/>
        <v>1.9426567470858691E-2</v>
      </c>
      <c r="DN67" s="820">
        <f t="shared" si="39"/>
        <v>1.720254766566387E-2</v>
      </c>
      <c r="DO67" s="822">
        <f t="shared" si="39"/>
        <v>1.5309086657131932E-2</v>
      </c>
      <c r="DP67" s="704"/>
    </row>
    <row r="68" spans="1:132">
      <c r="A68" s="794" t="s">
        <v>424</v>
      </c>
      <c r="B68" s="833"/>
      <c r="C68" s="834">
        <f>'qtrP&amp;L'!$AH10/100</f>
        <v>-0.05</v>
      </c>
      <c r="D68" s="834">
        <f>'qtrP&amp;L'!$AH11/100</f>
        <v>2.7999999999999997E-2</v>
      </c>
      <c r="E68" s="834">
        <f>'qtrP&amp;L'!$AH12/100</f>
        <v>2.5000000000000001E-2</v>
      </c>
      <c r="F68" s="834">
        <f>'qtrP&amp;L'!$AH13/100</f>
        <v>8.3000000000000004E-2</v>
      </c>
      <c r="G68" s="834"/>
      <c r="H68" s="834">
        <f>'qtrP&amp;L'!$AL10/100</f>
        <v>0.18</v>
      </c>
      <c r="I68" s="834">
        <f>'qtrP&amp;L'!$AL11/100</f>
        <v>0.106</v>
      </c>
      <c r="J68" s="834">
        <f>'qtrP&amp;L'!$AL12/100</f>
        <v>0.10400000000000001</v>
      </c>
      <c r="K68" s="834">
        <f>'qtrP&amp;L'!$AL13/100</f>
        <v>1.3000000000000001E-2</v>
      </c>
      <c r="L68" s="834"/>
      <c r="M68" s="834">
        <f>'qtrP&amp;L'!$AP10/100</f>
        <v>0.02</v>
      </c>
      <c r="N68" s="834">
        <f>'qtrP&amp;L'!$AP11/100</f>
        <v>0.11</v>
      </c>
      <c r="O68" s="834">
        <f>'qtrP&amp;L'!$AP12/100</f>
        <v>0.17</v>
      </c>
      <c r="P68" s="834">
        <f>'qtrP&amp;L'!$AP13/100</f>
        <v>0.21</v>
      </c>
      <c r="Q68" s="834"/>
      <c r="R68" s="834">
        <f>+'qtrP&amp;L'!$AW$10/100</f>
        <v>0.32</v>
      </c>
      <c r="S68" s="834">
        <f>+'qtrP&amp;L'!$AW$11/100</f>
        <v>0.26</v>
      </c>
      <c r="T68" s="834">
        <f>+'qtrP&amp;L'!$AW$12/100</f>
        <v>0.18</v>
      </c>
      <c r="U68" s="834">
        <f>+'qtrP&amp;L'!$AW$13/100</f>
        <v>0.13</v>
      </c>
      <c r="V68" s="834"/>
      <c r="W68" s="834">
        <f>+'qtrP&amp;L'!$BA$10/100</f>
        <v>0.11</v>
      </c>
      <c r="X68" s="834">
        <f>+'qtrP&amp;L'!$BA$11/100</f>
        <v>0.1</v>
      </c>
      <c r="Y68" s="834">
        <f>+'qtrP&amp;L'!$BA$12/100</f>
        <v>0.13</v>
      </c>
      <c r="Z68" s="834">
        <f>+'qtrP&amp;L'!$BA$13/100</f>
        <v>0.08</v>
      </c>
      <c r="AA68" s="834"/>
      <c r="AB68" s="834">
        <f>+'qtrP&amp;L'!$BE$10/100</f>
        <v>-0.03</v>
      </c>
      <c r="AC68" s="834">
        <f>+'qtrP&amp;L'!$BE$11/100</f>
        <v>-7.0000000000000007E-2</v>
      </c>
      <c r="AD68" s="834">
        <f>+'qtrP&amp;L'!$BE$12/100</f>
        <v>-0.1</v>
      </c>
      <c r="AE68" s="834">
        <f>+'qtrP&amp;L'!$BE$13/100</f>
        <v>-0.05</v>
      </c>
      <c r="AF68" s="834"/>
      <c r="AG68" s="834">
        <f>+'qtrP&amp;L'!$BI$10/100</f>
        <v>-0.02</v>
      </c>
      <c r="AH68" s="834">
        <f>+'qtrP&amp;L'!$BI$11/100</f>
        <v>0.05</v>
      </c>
      <c r="AI68" s="834">
        <f>+'qtrP&amp;L'!$BI$12/100</f>
        <v>0.08</v>
      </c>
      <c r="AJ68" s="834">
        <f>+'qtrP&amp;L'!$BI$13/100</f>
        <v>0.11</v>
      </c>
      <c r="AK68" s="834"/>
      <c r="AL68" s="834">
        <f>'qtrP&amp;L'!BM10/100</f>
        <v>0.1</v>
      </c>
      <c r="AM68" s="834">
        <f>'qtrP&amp;L'!BM11/100</f>
        <v>0.13</v>
      </c>
      <c r="AN68" s="834">
        <f>'qtrP&amp;L'!BM12/100</f>
        <v>0.1</v>
      </c>
      <c r="AO68" s="834">
        <f>'qtrP&amp;L'!BM13/100</f>
        <v>-0.01</v>
      </c>
      <c r="AP68" s="834"/>
      <c r="AQ68" s="834">
        <f>'qtrP&amp;L'!$BQ$10/100</f>
        <v>-9.6000000000000002E-2</v>
      </c>
      <c r="AR68" s="834">
        <f>'qtrP&amp;L'!$BQ$11/100</f>
        <v>-0.06</v>
      </c>
      <c r="AS68" s="834">
        <f>'qtrP&amp;L'!$BQ$12/100</f>
        <v>-1.9E-2</v>
      </c>
      <c r="AT68" s="834">
        <f>'qtrP&amp;L'!$BQ$13/100</f>
        <v>0.04</v>
      </c>
      <c r="AU68" s="834"/>
      <c r="AV68" s="834">
        <f>0.01*'qtrP&amp;L'!$BU$10</f>
        <v>0.16</v>
      </c>
      <c r="AW68" s="834">
        <f>0.01*'qtrP&amp;L'!$BU$11</f>
        <v>0.11</v>
      </c>
      <c r="AX68" s="834">
        <f>0.01*'qtrP&amp;L'!$BU$12</f>
        <v>0.06</v>
      </c>
      <c r="AY68" s="834">
        <f>0.01*'qtrP&amp;L'!$BU$13</f>
        <v>0.04</v>
      </c>
      <c r="AZ68" s="834"/>
      <c r="BA68" s="834">
        <f>0.01*'qtrP&amp;L'!$BY$10</f>
        <v>-0.01</v>
      </c>
      <c r="BB68" s="834">
        <f>0.01*'qtrP&amp;L'!$BY$11</f>
        <v>1.2E-2</v>
      </c>
      <c r="BC68" s="834">
        <f>0.01*'qtrP&amp;L'!$BY$12</f>
        <v>-0.03</v>
      </c>
      <c r="BD68" s="834">
        <f>0.01*'qtrP&amp;L'!$BY$13</f>
        <v>0.02</v>
      </c>
      <c r="BE68" s="834"/>
      <c r="BF68" s="834">
        <f>0.01*'qtrP&amp;L'!$CC$10</f>
        <v>0.02</v>
      </c>
      <c r="BG68" s="834">
        <f>0.01*'qtrP&amp;L'!$CC$11</f>
        <v>0.04</v>
      </c>
      <c r="BH68" s="834">
        <f>0.01*'qtrP&amp;L'!$CC$12</f>
        <v>0.08</v>
      </c>
      <c r="BI68" s="834">
        <f>0.01*'qtrP&amp;L'!$CC$13</f>
        <v>0.11</v>
      </c>
      <c r="BJ68" s="834"/>
      <c r="BK68" s="834">
        <f>0.01*'qtrP&amp;L'!CG10</f>
        <v>0.09</v>
      </c>
      <c r="BL68" s="834">
        <f>0.01*'qtrP&amp;L'!CG11</f>
        <v>0.09</v>
      </c>
      <c r="BM68" s="834">
        <f>0.01*'qtrP&amp;L'!CG12</f>
        <v>7.0000000000000007E-2</v>
      </c>
      <c r="BN68" s="834">
        <f>0.01*'qtrP&amp;L'!CG13</f>
        <v>0.01</v>
      </c>
      <c r="BO68" s="834"/>
      <c r="BP68" s="834">
        <f>0.01*'qtrP&amp;L'!CK10</f>
        <v>0</v>
      </c>
      <c r="BQ68" s="834">
        <f>0.01*'qtrP&amp;L'!CK11</f>
        <v>0</v>
      </c>
      <c r="BR68" s="834">
        <f>0.01*'qtrP&amp;L'!CK12</f>
        <v>-0.01</v>
      </c>
      <c r="BS68" s="834">
        <f>0.01*'qtrP&amp;L'!CK13</f>
        <v>0.06</v>
      </c>
      <c r="BT68" s="834"/>
      <c r="BU68" s="1715">
        <f>0.01*'qtrP&amp;L'!CO10</f>
        <v>0.04</v>
      </c>
      <c r="BV68" s="1715">
        <f>0.01*'qtrP&amp;L'!CO11</f>
        <v>0.04</v>
      </c>
      <c r="BW68" s="1715">
        <f>0.01*'qtrP&amp;L'!CO12</f>
        <v>0.01</v>
      </c>
      <c r="BX68" s="1715">
        <f>0.01*'qtrP&amp;L'!CO13</f>
        <v>-0.02</v>
      </c>
      <c r="BY68" s="1715"/>
      <c r="BZ68" s="1715">
        <f>'qtrP&amp;L'!CS10*0.01</f>
        <v>0.01</v>
      </c>
      <c r="CA68" s="1715">
        <f>'qtrP&amp;L'!CS11*0.01</f>
        <v>0.01</v>
      </c>
      <c r="CB68" s="1715">
        <f>'qtrP&amp;L'!CS12*0.01</f>
        <v>0.01</v>
      </c>
      <c r="CC68" s="1715">
        <f>'qtrP&amp;L'!CS13*0.01</f>
        <v>0</v>
      </c>
      <c r="CD68" s="1715"/>
      <c r="CE68" s="1715">
        <f>'qtrP&amp;L'!CW10*0.01</f>
        <v>-3.1000000000000003E-2</v>
      </c>
      <c r="CF68" s="1715">
        <f>'qtrP&amp;L'!CW11*0.01</f>
        <v>-4.9000000000000002E-2</v>
      </c>
      <c r="CG68" s="1715">
        <f>'qtrP&amp;L'!CW12*0.01</f>
        <v>0.02</v>
      </c>
      <c r="CH68" s="1715">
        <f>'qtrP&amp;L'!CW13*0.01</f>
        <v>0.04</v>
      </c>
      <c r="CI68" s="1715"/>
      <c r="CJ68" s="1715">
        <f>'qtrP&amp;L'!DA10*0.01</f>
        <v>8.9533762739002376E-2</v>
      </c>
      <c r="CK68" s="1715">
        <f>'qtrP&amp;L'!DA11*0.01</f>
        <v>4.2497443260792508E-2</v>
      </c>
      <c r="CL68" s="1715">
        <f>'qtrP&amp;L'!DA12*0.01</f>
        <v>1.2008400795208807E-3</v>
      </c>
      <c r="CM68" s="1751">
        <f>'qtrP&amp;L'!DA13*0.01</f>
        <v>-3.2321614287592797E-3</v>
      </c>
      <c r="CN68" s="834"/>
      <c r="CO68" s="835">
        <f>yrSales!D51</f>
        <v>2.1000000000000001E-2</v>
      </c>
      <c r="CP68" s="835">
        <f>yrSales!E51</f>
        <v>-1.3999999999999999E-2</v>
      </c>
      <c r="CQ68" s="835">
        <f>yrSales!F51</f>
        <v>0.10800000000000001</v>
      </c>
      <c r="CR68" s="835">
        <f>yrSales!G51</f>
        <v>0.10300000000000001</v>
      </c>
      <c r="CS68" s="835">
        <f>yrSales!H51</f>
        <v>-7.400000000000001E-2</v>
      </c>
      <c r="CT68" s="821">
        <f>yrSales!I51</f>
        <v>2.7999999999999997E-2</v>
      </c>
      <c r="CU68" s="836">
        <f>yrSales!J51</f>
        <v>9.0999999999999998E-2</v>
      </c>
      <c r="CV68" s="821">
        <f>yrSales!K51</f>
        <v>0.13</v>
      </c>
      <c r="CW68" s="821">
        <f>yrSales!L51</f>
        <v>0.22</v>
      </c>
      <c r="CX68" s="837">
        <f>yrSales!M51</f>
        <v>0.109</v>
      </c>
      <c r="CY68" s="837">
        <f>yrSales!N51</f>
        <v>-6.2E-2</v>
      </c>
      <c r="CZ68" s="835">
        <f>yrSales!O51</f>
        <v>6.1240545094416121E-2</v>
      </c>
      <c r="DA68" s="837">
        <f>yrSales!P51</f>
        <v>7.8E-2</v>
      </c>
      <c r="DB68" s="1612">
        <f>yrSales!Q51</f>
        <v>-2.6000000000000002E-2</v>
      </c>
      <c r="DC68" s="837">
        <f>yrSales!R51</f>
        <v>8.6694387741127713E-2</v>
      </c>
      <c r="DD68" s="835">
        <f>yrSales!S51</f>
        <v>0</v>
      </c>
      <c r="DE68" s="835">
        <f>yrSales!T51</f>
        <v>7.0000000000000007E-2</v>
      </c>
      <c r="DF68" s="837">
        <f>yrSales!U51</f>
        <v>6.1944861640197184E-2</v>
      </c>
      <c r="DG68" s="835">
        <f>yrSales!V51</f>
        <v>1.5251115844607806E-2</v>
      </c>
      <c r="DH68" s="834">
        <f>yrSales!W51</f>
        <v>1.5340975572611579E-2</v>
      </c>
      <c r="DI68" s="834">
        <f>yrSales!X51</f>
        <v>0.01</v>
      </c>
      <c r="DJ68" s="834">
        <f>yrSales!Y51</f>
        <v>0</v>
      </c>
      <c r="DK68" s="834">
        <f>yrSales!Z51</f>
        <v>2.948325097702496E-2</v>
      </c>
      <c r="DL68" s="820">
        <f>yrSales!AA51</f>
        <v>0</v>
      </c>
      <c r="DM68" s="820">
        <f>yrSales!AB51</f>
        <v>0</v>
      </c>
      <c r="DN68" s="820">
        <f>yrSales!AC51</f>
        <v>0</v>
      </c>
      <c r="DO68" s="822">
        <f>yrSales!AD51</f>
        <v>0</v>
      </c>
      <c r="DP68" s="823"/>
    </row>
    <row r="69" spans="1:132">
      <c r="A69" s="838" t="s">
        <v>489</v>
      </c>
      <c r="B69" s="833"/>
      <c r="C69" s="834"/>
      <c r="D69" s="834"/>
      <c r="E69" s="834"/>
      <c r="F69" s="834"/>
      <c r="G69" s="834"/>
      <c r="H69" s="834"/>
      <c r="I69" s="834"/>
      <c r="J69" s="834"/>
      <c r="K69" s="834"/>
      <c r="L69" s="834"/>
      <c r="M69" s="834"/>
      <c r="N69" s="834"/>
      <c r="O69" s="834"/>
      <c r="P69" s="834"/>
      <c r="Q69" s="834"/>
      <c r="R69" s="834"/>
      <c r="S69" s="834"/>
      <c r="T69" s="834"/>
      <c r="U69" s="834"/>
      <c r="V69" s="834"/>
      <c r="W69" s="834"/>
      <c r="X69" s="834"/>
      <c r="Y69" s="834"/>
      <c r="Z69" s="834"/>
      <c r="AA69" s="834"/>
      <c r="AB69" s="834"/>
      <c r="AC69" s="834"/>
      <c r="AD69" s="834"/>
      <c r="AE69" s="834"/>
      <c r="AF69" s="834"/>
      <c r="AG69" s="834"/>
      <c r="AH69" s="834"/>
      <c r="AI69" s="834"/>
      <c r="AJ69" s="834"/>
      <c r="AK69" s="834"/>
      <c r="AL69" s="834"/>
      <c r="AM69" s="834"/>
      <c r="AN69" s="834"/>
      <c r="AO69" s="834"/>
      <c r="AP69" s="834"/>
      <c r="AQ69" s="834"/>
      <c r="AR69" s="834"/>
      <c r="AS69" s="834"/>
      <c r="AT69" s="834"/>
      <c r="AU69" s="834"/>
      <c r="AV69" s="834"/>
      <c r="AW69" s="834"/>
      <c r="AX69" s="834"/>
      <c r="AY69" s="834"/>
      <c r="AZ69" s="834"/>
      <c r="BA69" s="834"/>
      <c r="BB69" s="834"/>
      <c r="BC69" s="834"/>
      <c r="BD69" s="834"/>
      <c r="BE69" s="834"/>
      <c r="BF69" s="839">
        <f>segSales!H123/100</f>
        <v>0.06</v>
      </c>
      <c r="BG69" s="834">
        <f>segSales!H124/100</f>
        <v>0.06</v>
      </c>
      <c r="BH69" s="834">
        <f>segSales!H125/100</f>
        <v>7.0000000000000007E-2</v>
      </c>
      <c r="BI69" s="834">
        <f>segSales!H126/100</f>
        <v>0.11</v>
      </c>
      <c r="BJ69" s="834"/>
      <c r="BK69" s="834">
        <f>segSales!H130/100</f>
        <v>0.06</v>
      </c>
      <c r="BL69" s="834">
        <f>segSales!H131/100</f>
        <v>0.05</v>
      </c>
      <c r="BM69" s="834">
        <f>segSales!H132/100</f>
        <v>-0.01</v>
      </c>
      <c r="BN69" s="834">
        <f>segSales!H133/100</f>
        <v>-0.09</v>
      </c>
      <c r="BO69" s="834"/>
      <c r="BP69" s="834">
        <f>segSales!H137/100</f>
        <v>-0.12</v>
      </c>
      <c r="BQ69" s="834">
        <f>segSales!H138/100</f>
        <v>-0.1</v>
      </c>
      <c r="BR69" s="834">
        <f>segSales!H139/100</f>
        <v>-7.0000000000000007E-2</v>
      </c>
      <c r="BS69" s="834">
        <f>segSales!H140/100</f>
        <v>0.04</v>
      </c>
      <c r="BT69" s="834"/>
      <c r="BU69" s="834">
        <f>segSales!H144/100</f>
        <v>0.05</v>
      </c>
      <c r="BV69" s="834">
        <f>segSales!H145/100</f>
        <v>0.04</v>
      </c>
      <c r="BW69" s="834">
        <f>segSales!H146/100</f>
        <v>0.01</v>
      </c>
      <c r="BX69" s="834">
        <f>segSales!H147/100</f>
        <v>-0.03</v>
      </c>
      <c r="BY69" s="834"/>
      <c r="BZ69" s="834">
        <f>segSales!H151*0.01</f>
        <v>0.02</v>
      </c>
      <c r="CA69" s="834">
        <f>segSales!H152*0.01</f>
        <v>0.05</v>
      </c>
      <c r="CB69" s="834">
        <f>segSales!H153*0.01</f>
        <v>5.2000000000000005E-2</v>
      </c>
      <c r="CC69" s="835">
        <f>segSales!H154*0.01</f>
        <v>0.02</v>
      </c>
      <c r="CD69" s="834"/>
      <c r="CE69" s="834">
        <f>segSales!H158*0.01</f>
        <v>-3.1000000000000003E-2</v>
      </c>
      <c r="CF69" s="834">
        <f>segSales!H159*0.01</f>
        <v>-7.9000000000000001E-2</v>
      </c>
      <c r="CG69" s="834">
        <f>segSales!H160*0.01</f>
        <v>0.01</v>
      </c>
      <c r="CH69" s="834">
        <f>segSales!H161*0.01</f>
        <v>0.02</v>
      </c>
      <c r="CI69" s="834"/>
      <c r="CJ69" s="834">
        <f t="array" ref="CJ69:CM69">TRANSPOSE(segSales!H165:H168)/100</f>
        <v>8.5000000000000006E-2</v>
      </c>
      <c r="CK69" s="834">
        <v>0.04</v>
      </c>
      <c r="CL69" s="834">
        <v>0</v>
      </c>
      <c r="CM69" s="1612">
        <v>0</v>
      </c>
      <c r="CN69" s="834"/>
      <c r="CO69" s="835"/>
      <c r="CP69" s="835"/>
      <c r="CQ69" s="835"/>
      <c r="CR69" s="835"/>
      <c r="CS69" s="835"/>
      <c r="CT69" s="821"/>
      <c r="CU69" s="836"/>
      <c r="CV69" s="821"/>
      <c r="CW69" s="821"/>
      <c r="CX69" s="821"/>
      <c r="CY69" s="821"/>
      <c r="CZ69" s="820"/>
      <c r="DA69" s="821"/>
      <c r="DB69" s="822"/>
      <c r="DC69" s="837">
        <f>segSales!H112/100</f>
        <v>6.9000000000000006E-2</v>
      </c>
      <c r="DD69" s="835">
        <f>segSales!H120/100</f>
        <v>1.3999999999999999E-2</v>
      </c>
      <c r="DE69" s="835">
        <f>segSales!H127/100</f>
        <v>7.4999999999999997E-2</v>
      </c>
      <c r="DF69" s="837">
        <f>segSales!H134/100</f>
        <v>-3.5382260450945104E-3</v>
      </c>
      <c r="DG69" s="835">
        <f>segSales!H141/100</f>
        <v>-5.2326647750655188E-2</v>
      </c>
      <c r="DH69" s="834">
        <f>segSales!$H$148/100</f>
        <v>1.391868246385632E-2</v>
      </c>
      <c r="DI69" s="834">
        <f>segSales!$H$155/100</f>
        <v>3.5382504261496146E-2</v>
      </c>
      <c r="DJ69" s="834">
        <f>segSales!$H$162/100</f>
        <v>-1.5893154638289341E-2</v>
      </c>
      <c r="DK69" s="834">
        <f>segSales!$H$169/100</f>
        <v>2.7747386859000883E-2</v>
      </c>
      <c r="DL69" s="820"/>
      <c r="DM69" s="820"/>
      <c r="DN69" s="820"/>
      <c r="DO69" s="822"/>
      <c r="DP69" s="823"/>
    </row>
    <row r="70" spans="1:132">
      <c r="A70" s="838" t="s">
        <v>490</v>
      </c>
      <c r="B70" s="833"/>
      <c r="C70" s="834"/>
      <c r="D70" s="834"/>
      <c r="E70" s="834"/>
      <c r="F70" s="834"/>
      <c r="G70" s="834"/>
      <c r="H70" s="834"/>
      <c r="I70" s="834"/>
      <c r="J70" s="834"/>
      <c r="K70" s="834"/>
      <c r="L70" s="834"/>
      <c r="M70" s="834"/>
      <c r="N70" s="834"/>
      <c r="O70" s="834"/>
      <c r="P70" s="834"/>
      <c r="Q70" s="834"/>
      <c r="R70" s="834"/>
      <c r="S70" s="834"/>
      <c r="T70" s="834"/>
      <c r="U70" s="834"/>
      <c r="V70" s="834"/>
      <c r="W70" s="834"/>
      <c r="X70" s="834"/>
      <c r="Y70" s="834"/>
      <c r="Z70" s="834"/>
      <c r="AA70" s="834"/>
      <c r="AB70" s="834"/>
      <c r="AC70" s="834"/>
      <c r="AD70" s="834"/>
      <c r="AE70" s="834"/>
      <c r="AF70" s="834"/>
      <c r="AG70" s="834"/>
      <c r="AH70" s="834"/>
      <c r="AI70" s="834"/>
      <c r="AJ70" s="834"/>
      <c r="AK70" s="834"/>
      <c r="AL70" s="834"/>
      <c r="AM70" s="834"/>
      <c r="AN70" s="834"/>
      <c r="AO70" s="834"/>
      <c r="AP70" s="834"/>
      <c r="AQ70" s="834"/>
      <c r="AR70" s="834"/>
      <c r="AS70" s="834"/>
      <c r="AT70" s="834"/>
      <c r="AU70" s="834"/>
      <c r="AV70" s="834"/>
      <c r="AW70" s="834"/>
      <c r="AX70" s="834"/>
      <c r="AY70" s="834"/>
      <c r="AZ70" s="834"/>
      <c r="BA70" s="834"/>
      <c r="BB70" s="834"/>
      <c r="BC70" s="834"/>
      <c r="BD70" s="834"/>
      <c r="BE70" s="834"/>
      <c r="BF70" s="834">
        <f>segSales!N123/100</f>
        <v>-0.02</v>
      </c>
      <c r="BG70" s="834">
        <f>segSales!N124/100</f>
        <v>0</v>
      </c>
      <c r="BH70" s="834">
        <f>segSales!N125/100</f>
        <v>0.06</v>
      </c>
      <c r="BI70" s="834">
        <f>segSales!N126/100</f>
        <v>7.0000000000000007E-2</v>
      </c>
      <c r="BJ70" s="834"/>
      <c r="BK70" s="834">
        <f>segSales!N130/100</f>
        <v>0.08</v>
      </c>
      <c r="BL70" s="834">
        <f>segSales!N131/100</f>
        <v>0.09</v>
      </c>
      <c r="BM70" s="834">
        <f>segSales!N132/100</f>
        <v>0.13</v>
      </c>
      <c r="BN70" s="834">
        <f>segSales!N133/100</f>
        <v>0.1</v>
      </c>
      <c r="BO70" s="834"/>
      <c r="BP70" s="834">
        <f>segSales!N137/100</f>
        <v>0.08</v>
      </c>
      <c r="BQ70" s="834">
        <f>segSales!N138/100</f>
        <v>0.06</v>
      </c>
      <c r="BR70" s="834">
        <f>segSales!N139/100</f>
        <v>0.02</v>
      </c>
      <c r="BS70" s="834">
        <f>segSales!N140/100</f>
        <v>0.06</v>
      </c>
      <c r="BT70" s="834"/>
      <c r="BU70" s="834">
        <f>segSales!N144/100</f>
        <v>0.01</v>
      </c>
      <c r="BV70" s="834">
        <f>segSales!N145/100</f>
        <v>0.02</v>
      </c>
      <c r="BW70" s="834">
        <f>segSales!N146/100</f>
        <v>0</v>
      </c>
      <c r="BX70" s="834">
        <f>segSales!N147/100</f>
        <v>-0.02</v>
      </c>
      <c r="BY70" s="834"/>
      <c r="BZ70" s="834">
        <f>segSales!N151*0.01</f>
        <v>0</v>
      </c>
      <c r="CA70" s="834">
        <f>segSales!N152*0.01</f>
        <v>-0.03</v>
      </c>
      <c r="CB70" s="834">
        <f>segSales!N153*0.01</f>
        <v>-2.7000000000000003E-2</v>
      </c>
      <c r="CC70" s="835">
        <f>segSales!N154*0.01</f>
        <v>-2.8999999999999998E-2</v>
      </c>
      <c r="CD70" s="834"/>
      <c r="CE70" s="834">
        <f>segSales!N158*0.01</f>
        <v>-4.4000000000000004E-2</v>
      </c>
      <c r="CF70" s="834">
        <f>segSales!N159*0.01</f>
        <v>-0.04</v>
      </c>
      <c r="CG70" s="834">
        <f>segSales!N160*0.01</f>
        <v>0.02</v>
      </c>
      <c r="CH70" s="834">
        <f>segSales!N161*0.01</f>
        <v>0.05</v>
      </c>
      <c r="CI70" s="834"/>
      <c r="CJ70" s="834">
        <f t="array" ref="CJ70:CM70">TRANSPOSE(segSales!N165:N168)/100</f>
        <v>8.5000000000000006E-2</v>
      </c>
      <c r="CK70" s="834">
        <v>0.04</v>
      </c>
      <c r="CL70" s="834">
        <v>0</v>
      </c>
      <c r="CM70" s="1612">
        <v>-0.01</v>
      </c>
      <c r="CN70" s="834"/>
      <c r="CO70" s="835"/>
      <c r="CP70" s="835"/>
      <c r="CQ70" s="835"/>
      <c r="CR70" s="835"/>
      <c r="CS70" s="835"/>
      <c r="CT70" s="821"/>
      <c r="CU70" s="836"/>
      <c r="CV70" s="821"/>
      <c r="CW70" s="821"/>
      <c r="CX70" s="821"/>
      <c r="CY70" s="821"/>
      <c r="CZ70" s="820"/>
      <c r="DA70" s="821"/>
      <c r="DB70" s="822"/>
      <c r="DC70" s="837">
        <f>segSales!N112/100</f>
        <v>9.8000000000000004E-2</v>
      </c>
      <c r="DD70" s="835">
        <f>segSales!N120/100</f>
        <v>-3.2000000000000001E-2</v>
      </c>
      <c r="DE70" s="835">
        <f>segSales!N127/100</f>
        <v>2.75E-2</v>
      </c>
      <c r="DF70" s="837">
        <f>segSales!N134/100</f>
        <v>0.1006737080400746</v>
      </c>
      <c r="DG70" s="835">
        <f>segSales!N141/100</f>
        <v>5.4778642316304929E-2</v>
      </c>
      <c r="DH70" s="834">
        <f>segSales!$N$148/100</f>
        <v>1.4874772404860714E-3</v>
      </c>
      <c r="DI70" s="834">
        <f>segSales!$N$155/100</f>
        <v>-2.2480701815074774E-2</v>
      </c>
      <c r="DJ70" s="834">
        <f>segSales!$N$162/100</f>
        <v>8.2591092017825002E-4</v>
      </c>
      <c r="DK70" s="834">
        <f>segSales!$N$169/100</f>
        <v>2.6022912282429509E-2</v>
      </c>
      <c r="DL70" s="820"/>
      <c r="DM70" s="820"/>
      <c r="DN70" s="820"/>
      <c r="DO70" s="822"/>
      <c r="DP70" s="823"/>
    </row>
    <row r="71" spans="1:132">
      <c r="A71" s="838" t="s">
        <v>498</v>
      </c>
      <c r="B71" s="833"/>
      <c r="C71" s="834"/>
      <c r="D71" s="834"/>
      <c r="E71" s="834"/>
      <c r="F71" s="834"/>
      <c r="G71" s="834"/>
      <c r="H71" s="834"/>
      <c r="I71" s="834"/>
      <c r="J71" s="834"/>
      <c r="K71" s="834"/>
      <c r="L71" s="834"/>
      <c r="M71" s="834"/>
      <c r="N71" s="834"/>
      <c r="O71" s="834"/>
      <c r="P71" s="834"/>
      <c r="Q71" s="834"/>
      <c r="R71" s="834"/>
      <c r="S71" s="834"/>
      <c r="T71" s="834"/>
      <c r="U71" s="834"/>
      <c r="V71" s="834"/>
      <c r="W71" s="834"/>
      <c r="X71" s="834"/>
      <c r="Y71" s="834"/>
      <c r="Z71" s="834"/>
      <c r="AA71" s="834"/>
      <c r="AB71" s="834"/>
      <c r="AC71" s="834"/>
      <c r="AD71" s="834"/>
      <c r="AE71" s="834"/>
      <c r="AF71" s="834"/>
      <c r="AG71" s="834"/>
      <c r="AH71" s="834"/>
      <c r="AI71" s="834"/>
      <c r="AJ71" s="834"/>
      <c r="AK71" s="834"/>
      <c r="AL71" s="834"/>
      <c r="AM71" s="834"/>
      <c r="AN71" s="834"/>
      <c r="AO71" s="834"/>
      <c r="AP71" s="834"/>
      <c r="AQ71" s="834"/>
      <c r="AR71" s="834"/>
      <c r="AS71" s="834"/>
      <c r="AT71" s="834"/>
      <c r="AU71" s="834"/>
      <c r="AV71" s="834"/>
      <c r="AW71" s="834"/>
      <c r="AX71" s="834"/>
      <c r="AY71" s="834"/>
      <c r="AZ71" s="834"/>
      <c r="BA71" s="834"/>
      <c r="BB71" s="834"/>
      <c r="BC71" s="834"/>
      <c r="BD71" s="834"/>
      <c r="BE71" s="834"/>
      <c r="BF71" s="834">
        <f>segSales!T123/100</f>
        <v>0.02</v>
      </c>
      <c r="BG71" s="834">
        <f>segSales!T124/100</f>
        <v>0.12</v>
      </c>
      <c r="BH71" s="834">
        <f>segSales!T125/100</f>
        <v>0.24</v>
      </c>
      <c r="BI71" s="834">
        <f>segSales!T126/100</f>
        <v>0.37</v>
      </c>
      <c r="BJ71" s="834"/>
      <c r="BK71" s="834">
        <f>segSales!T130/100</f>
        <v>0.44</v>
      </c>
      <c r="BL71" s="834">
        <f>segSales!T131/100</f>
        <v>0.38</v>
      </c>
      <c r="BM71" s="834">
        <f>segSales!T132/100</f>
        <v>0.3</v>
      </c>
      <c r="BN71" s="834">
        <f>segSales!T133/100</f>
        <v>0.2</v>
      </c>
      <c r="BO71" s="834"/>
      <c r="BP71" s="834">
        <f>segSales!T137/100</f>
        <v>0.25</v>
      </c>
      <c r="BQ71" s="834">
        <f>segSales!T138/100</f>
        <v>0.21</v>
      </c>
      <c r="BR71" s="834">
        <f>segSales!T139/100</f>
        <v>0.15</v>
      </c>
      <c r="BS71" s="834">
        <f>segSales!T140/100</f>
        <v>0.18</v>
      </c>
      <c r="BT71" s="834"/>
      <c r="BU71" s="834">
        <f>segSales!T144/100</f>
        <v>0.17</v>
      </c>
      <c r="BV71" s="834">
        <f>segSales!T145/100</f>
        <v>0.14000000000000001</v>
      </c>
      <c r="BW71" s="834">
        <f>segSales!T146/100</f>
        <v>0.03</v>
      </c>
      <c r="BX71" s="834">
        <f>segSales!T147/100</f>
        <v>0.02</v>
      </c>
      <c r="BY71" s="834"/>
      <c r="BZ71" s="834">
        <f>segSales!T151*0.01</f>
        <v>-0.02</v>
      </c>
      <c r="CA71" s="834">
        <f>segSales!T152*0.01</f>
        <v>0</v>
      </c>
      <c r="CB71" s="834">
        <f>segSales!T153*0.01</f>
        <v>-1.4999999999999999E-2</v>
      </c>
      <c r="CC71" s="835">
        <f>segSales!T154*0.01</f>
        <v>1.2E-2</v>
      </c>
      <c r="CD71" s="834"/>
      <c r="CE71" s="834">
        <f>segSales!T158*0.01</f>
        <v>1.4999999999999999E-2</v>
      </c>
      <c r="CF71" s="834">
        <f>segSales!T159*0.01</f>
        <v>2.8999999999999998E-2</v>
      </c>
      <c r="CG71" s="834">
        <f>segSales!T160*0.01</f>
        <v>0.05</v>
      </c>
      <c r="CH71" s="834">
        <f>segSales!T161*0.01</f>
        <v>0.08</v>
      </c>
      <c r="CI71" s="834"/>
      <c r="CJ71" s="834">
        <f t="array" ref="CJ71:CM71">TRANSPOSE(segSales!T165:T168)/100</f>
        <v>0.12</v>
      </c>
      <c r="CK71" s="834">
        <v>0.06</v>
      </c>
      <c r="CL71" s="834">
        <v>0.01</v>
      </c>
      <c r="CM71" s="1612">
        <v>0.01</v>
      </c>
      <c r="CN71" s="834"/>
      <c r="CO71" s="835"/>
      <c r="CP71" s="835"/>
      <c r="CQ71" s="835"/>
      <c r="CR71" s="835"/>
      <c r="CS71" s="835"/>
      <c r="CT71" s="821"/>
      <c r="CU71" s="836"/>
      <c r="CV71" s="821"/>
      <c r="CW71" s="821"/>
      <c r="CX71" s="821"/>
      <c r="CY71" s="821"/>
      <c r="CZ71" s="820"/>
      <c r="DA71" s="821"/>
      <c r="DB71" s="822"/>
      <c r="DC71" s="837">
        <f>segSales!T112/100</f>
        <v>0.26700000000000002</v>
      </c>
      <c r="DD71" s="835">
        <f>segSales!T120/100</f>
        <v>0.17</v>
      </c>
      <c r="DE71" s="835">
        <f>segSales!T127/100</f>
        <v>0.1875</v>
      </c>
      <c r="DF71" s="837">
        <f>segSales!T134/100</f>
        <v>0.31422324424171599</v>
      </c>
      <c r="DG71" s="835">
        <f>segSales!T141/100</f>
        <v>0.19352653219143051</v>
      </c>
      <c r="DH71" s="834">
        <f>segSales!$T$148/100</f>
        <v>8.4358121549175227E-2</v>
      </c>
      <c r="DI71" s="834">
        <f>segSales!$T$155/100</f>
        <v>-4.4062040222351802E-3</v>
      </c>
      <c r="DJ71" s="834">
        <f>segSales!$T$162/100</f>
        <v>4.6356608638633751E-2</v>
      </c>
      <c r="DK71" s="834">
        <f>segSales!$T$169/100</f>
        <v>4.802134618488519E-2</v>
      </c>
      <c r="DL71" s="820"/>
      <c r="DM71" s="820"/>
      <c r="DN71" s="820"/>
      <c r="DO71" s="822"/>
      <c r="DP71" s="823"/>
    </row>
    <row r="72" spans="1:132" hidden="1" outlineLevel="1">
      <c r="A72" s="794" t="s">
        <v>120</v>
      </c>
      <c r="B72" s="833"/>
      <c r="C72" s="834"/>
      <c r="D72" s="834"/>
      <c r="E72" s="834"/>
      <c r="F72" s="834"/>
      <c r="G72" s="834"/>
      <c r="H72" s="834"/>
      <c r="I72" s="834"/>
      <c r="J72" s="834"/>
      <c r="K72" s="834"/>
      <c r="L72" s="834"/>
      <c r="M72" s="834"/>
      <c r="N72" s="834"/>
      <c r="O72" s="834"/>
      <c r="P72" s="834"/>
      <c r="Q72" s="834"/>
      <c r="R72" s="834"/>
      <c r="S72" s="834"/>
      <c r="T72" s="834"/>
      <c r="U72" s="834"/>
      <c r="V72" s="834"/>
      <c r="W72" s="834"/>
      <c r="X72" s="834"/>
      <c r="Y72" s="834"/>
      <c r="Z72" s="834"/>
      <c r="AA72" s="834"/>
      <c r="AB72" s="834"/>
      <c r="AC72" s="834"/>
      <c r="AD72" s="834"/>
      <c r="AE72" s="834"/>
      <c r="AF72" s="834"/>
      <c r="AG72" s="834"/>
      <c r="AH72" s="834"/>
      <c r="AI72" s="834"/>
      <c r="AJ72" s="834"/>
      <c r="AK72" s="834"/>
      <c r="AL72" s="834"/>
      <c r="AM72" s="834"/>
      <c r="AN72" s="834"/>
      <c r="AO72" s="834"/>
      <c r="AP72" s="834"/>
      <c r="AQ72" s="834"/>
      <c r="AR72" s="834"/>
      <c r="AS72" s="834"/>
      <c r="AT72" s="834"/>
      <c r="AU72" s="834"/>
      <c r="AV72" s="840">
        <f>0.01*segSales!AU108</f>
        <v>0.16</v>
      </c>
      <c r="AW72" s="840">
        <f>0.01*segSales!AU109</f>
        <v>0.11</v>
      </c>
      <c r="AX72" s="840">
        <f>0.01*segSales!AU110</f>
        <v>0.06</v>
      </c>
      <c r="AY72" s="840">
        <f>0.01*segSales!AU111</f>
        <v>0.04</v>
      </c>
      <c r="AZ72" s="840"/>
      <c r="BA72" s="840">
        <f>0.01*segSales!AU116</f>
        <v>-0.01</v>
      </c>
      <c r="BB72" s="840">
        <f>0.01*segSales!AU117</f>
        <v>1.2E-2</v>
      </c>
      <c r="BC72" s="840">
        <f>0.01*segSales!AU118</f>
        <v>-0.03</v>
      </c>
      <c r="BD72" s="840">
        <f>0.01*segSales!AU119</f>
        <v>0.02</v>
      </c>
      <c r="BE72" s="834"/>
      <c r="BF72" s="841">
        <f>0.01*segSales!AU123</f>
        <v>0.02</v>
      </c>
      <c r="BG72" s="841">
        <f>0.01*segSales!AU124</f>
        <v>0.04</v>
      </c>
      <c r="BH72" s="841">
        <f>0.01*segSales!AU125</f>
        <v>0.08</v>
      </c>
      <c r="BI72" s="841">
        <f>0.01*segSales!AU126</f>
        <v>0.11</v>
      </c>
      <c r="BJ72" s="834"/>
      <c r="BK72" s="841">
        <f>0.01*segSales!AU130</f>
        <v>0.09</v>
      </c>
      <c r="BL72" s="841">
        <f>0.01*segSales!AU131</f>
        <v>0.09</v>
      </c>
      <c r="BM72" s="841">
        <f>0.01*segSales!AU132</f>
        <v>7.0000000000000007E-2</v>
      </c>
      <c r="BN72" s="841">
        <f>0.01*segSales!AU133</f>
        <v>0.01</v>
      </c>
      <c r="BO72" s="834"/>
      <c r="BP72" s="841">
        <f>0.01*segSales!AU137</f>
        <v>0</v>
      </c>
      <c r="BQ72" s="841">
        <f>0.01*segSales!AU138</f>
        <v>0</v>
      </c>
      <c r="BR72" s="841">
        <f>0.01*segSales!AU139</f>
        <v>-0.01</v>
      </c>
      <c r="BS72" s="841">
        <f>0.01*segSales!AU140</f>
        <v>6.1221225688835992E-2</v>
      </c>
      <c r="BT72" s="834"/>
      <c r="BU72" s="841">
        <f>segSales!AU144/100</f>
        <v>0.04</v>
      </c>
      <c r="BV72" s="841">
        <f>segSales!AU145/100</f>
        <v>0.04</v>
      </c>
      <c r="BW72" s="841">
        <f>segSales!AU146/100</f>
        <v>0.01</v>
      </c>
      <c r="BX72" s="841">
        <f>segSales!AU147/100</f>
        <v>-0.02</v>
      </c>
      <c r="BY72" s="834"/>
      <c r="BZ72" s="841">
        <f>BZ68</f>
        <v>0.01</v>
      </c>
      <c r="CA72" s="841">
        <f>CA68</f>
        <v>0.01</v>
      </c>
      <c r="CB72" s="841">
        <f>CB68</f>
        <v>0.01</v>
      </c>
      <c r="CC72" s="1623">
        <f>CC68</f>
        <v>0</v>
      </c>
      <c r="CD72" s="834"/>
      <c r="CE72" s="841">
        <f>CE68</f>
        <v>-3.1000000000000003E-2</v>
      </c>
      <c r="CF72" s="841">
        <f>CF68</f>
        <v>-4.9000000000000002E-2</v>
      </c>
      <c r="CG72" s="841">
        <f>CG68</f>
        <v>0.02</v>
      </c>
      <c r="CH72" s="841">
        <f>CH68</f>
        <v>0.04</v>
      </c>
      <c r="CI72" s="834"/>
      <c r="CJ72" s="841">
        <f>CJ68</f>
        <v>8.9533762739002376E-2</v>
      </c>
      <c r="CK72" s="841">
        <f>CK68</f>
        <v>4.2497443260792508E-2</v>
      </c>
      <c r="CL72" s="841">
        <f>CL68</f>
        <v>1.2008400795208807E-3</v>
      </c>
      <c r="CM72" s="1752">
        <f>CM68</f>
        <v>-3.2321614287592797E-3</v>
      </c>
      <c r="CN72" s="834"/>
      <c r="CO72" s="835"/>
      <c r="CP72" s="835"/>
      <c r="CQ72" s="835"/>
      <c r="CR72" s="835"/>
      <c r="CS72" s="835"/>
      <c r="CT72" s="821"/>
      <c r="CU72" s="836"/>
      <c r="CV72" s="821"/>
      <c r="CW72" s="821"/>
      <c r="CX72" s="821" t="s">
        <v>121</v>
      </c>
      <c r="CY72" s="821" t="s">
        <v>121</v>
      </c>
      <c r="CZ72" s="820">
        <f>0.01*segSales!AU90</f>
        <v>0.09</v>
      </c>
      <c r="DA72" s="821">
        <f>0.01*segSales!AU97</f>
        <v>0.12</v>
      </c>
      <c r="DB72" s="822">
        <f>0.01*segSales!AU104</f>
        <v>0.01</v>
      </c>
      <c r="DC72" s="821">
        <f>0.01*segSales!AU112</f>
        <v>8.6694387741127713E-2</v>
      </c>
      <c r="DD72" s="820">
        <f>0.01*segSales!AU120</f>
        <v>0</v>
      </c>
      <c r="DE72" s="820">
        <f>0.01*segSales!AU127</f>
        <v>7.0000000000000007E-2</v>
      </c>
      <c r="DF72" s="821">
        <f>yrSales!U55</f>
        <v>6.1944861640197184E-2</v>
      </c>
      <c r="DG72" s="820">
        <f>yrSales!V55</f>
        <v>1.5251115844607805E-2</v>
      </c>
      <c r="DH72" s="820">
        <f>yrSales!W55</f>
        <v>1.5340975572611579E-2</v>
      </c>
      <c r="DI72" s="820">
        <f>yrSales!X55</f>
        <v>0.01</v>
      </c>
      <c r="DJ72" s="820">
        <f>yrSales!Y55</f>
        <v>0</v>
      </c>
      <c r="DK72" s="820">
        <f>yrSales!Z55</f>
        <v>2.948325097702496E-2</v>
      </c>
      <c r="DL72" s="820">
        <f>yrSales!AA55</f>
        <v>0</v>
      </c>
      <c r="DM72" s="820">
        <f>yrSales!AB55</f>
        <v>0</v>
      </c>
      <c r="DN72" s="820">
        <f>yrSales!AC55</f>
        <v>0</v>
      </c>
      <c r="DO72" s="822">
        <f>yrSales!AD55</f>
        <v>0</v>
      </c>
      <c r="DP72" s="704"/>
    </row>
    <row r="73" spans="1:132" collapsed="1">
      <c r="A73" s="842" t="s">
        <v>425</v>
      </c>
      <c r="B73" s="796"/>
      <c r="C73" s="820">
        <f>'qtrP&amp;L'!$AG30/100</f>
        <v>0.27162624940835817</v>
      </c>
      <c r="D73" s="820">
        <f>'qtrP&amp;L'!$AG31/100</f>
        <v>0.25495366627277816</v>
      </c>
      <c r="E73" s="820">
        <f>'qtrP&amp;L'!$AG32/100</f>
        <v>0.24634122702161343</v>
      </c>
      <c r="F73" s="820">
        <f>'qtrP&amp;L'!$AG33/100</f>
        <v>0.24323673823048039</v>
      </c>
      <c r="G73" s="843"/>
      <c r="H73" s="820">
        <f>((H13/C13)-1)</f>
        <v>-6.4421894218942288E-2</v>
      </c>
      <c r="I73" s="820">
        <f>((I13/D13)-1)</f>
        <v>-0.17851392886763906</v>
      </c>
      <c r="J73" s="820">
        <f>((J13/E13)-1)</f>
        <v>-0.10880874316939892</v>
      </c>
      <c r="K73" s="820">
        <f>((K13/F13)-1)</f>
        <v>-0.13021967148228775</v>
      </c>
      <c r="L73" s="843"/>
      <c r="M73" s="820">
        <f>((M13/H13)-1)</f>
        <v>0.494001643385374</v>
      </c>
      <c r="N73" s="820">
        <f>((N13/I13)-1)</f>
        <v>0.79041453854376975</v>
      </c>
      <c r="O73" s="820">
        <f>((O13/J13)-1)</f>
        <v>0.63509271068380269</v>
      </c>
      <c r="P73" s="820">
        <f>((P13/K13)-1)</f>
        <v>0.91189988623435725</v>
      </c>
      <c r="Q73" s="843"/>
      <c r="R73" s="820">
        <f>((R13/M13)-1)</f>
        <v>0.52157811755215766</v>
      </c>
      <c r="S73" s="820">
        <f>((S13/N13)-1)</f>
        <v>0.42296082528941548</v>
      </c>
      <c r="T73" s="820">
        <f>((T13/O13)-1)</f>
        <v>0.44829448294482965</v>
      </c>
      <c r="U73" s="820">
        <f>((U13/P13)-1)</f>
        <v>0.37363735897557948</v>
      </c>
      <c r="V73" s="843"/>
      <c r="W73" s="820">
        <f>((W13/R13)-1)</f>
        <v>0.2732902790495928</v>
      </c>
      <c r="X73" s="820">
        <f>((X13/S13)-1)</f>
        <v>0.29075947596624552</v>
      </c>
      <c r="Y73" s="820">
        <f>((Y13/T13)-1)</f>
        <v>0.23440218742232144</v>
      </c>
      <c r="Z73" s="820">
        <f>((Z13/U13)-1)</f>
        <v>0.26672095924591077</v>
      </c>
      <c r="AA73" s="843"/>
      <c r="AB73" s="820">
        <f>((AB13/W13)-1)</f>
        <v>0.23425878612388584</v>
      </c>
      <c r="AC73" s="820">
        <f>((AC13/X13)-1)</f>
        <v>0.19273626988856996</v>
      </c>
      <c r="AD73" s="820">
        <f>((AD13/Y13)-1)</f>
        <v>0.21633776345818223</v>
      </c>
      <c r="AE73" s="820">
        <f>((AE13/Z13)-1)</f>
        <v>0.15160385746528959</v>
      </c>
      <c r="AF73" s="843"/>
      <c r="AG73" s="820">
        <f>((AG13/AB13)-1)</f>
        <v>0.17452504715028305</v>
      </c>
      <c r="AH73" s="820">
        <f>((AH13/AC13)-1)</f>
        <v>0.25306239874021452</v>
      </c>
      <c r="AI73" s="820">
        <f>((AI13/AD13)-1)</f>
        <v>0.22249048065780053</v>
      </c>
      <c r="AJ73" s="820">
        <f>((AE13/AE13)-1)</f>
        <v>0</v>
      </c>
      <c r="AK73" s="820"/>
      <c r="AL73" s="820">
        <f>((AL13/AG13)-1)</f>
        <v>0.24985965874228122</v>
      </c>
      <c r="AM73" s="820">
        <f>((AM13/AH13)-1)</f>
        <v>0.25175213881772929</v>
      </c>
      <c r="AN73" s="820">
        <f>((AN13/AI13)-1)</f>
        <v>0.18514631366308909</v>
      </c>
      <c r="AO73" s="820">
        <f>((AO13/AE13)-1)</f>
        <v>0.30301230579179927</v>
      </c>
      <c r="AP73" s="820"/>
      <c r="AQ73" s="820">
        <f>((AQ13/AL13)-1)</f>
        <v>1.51141657440097E-2</v>
      </c>
      <c r="AR73" s="820">
        <f>((AR13/AM13)-1)</f>
        <v>4.8846413746500561E-2</v>
      </c>
      <c r="AS73" s="820">
        <f>((AS13/AN13)-1)</f>
        <v>8.8652313434967711E-2</v>
      </c>
      <c r="AT73" s="820">
        <f>((AT13/AO13)-1)</f>
        <v>0.15771481704315482</v>
      </c>
      <c r="AU73" s="820"/>
      <c r="AV73" s="820">
        <f>((AV13/AQ13)-1)</f>
        <v>0.22009569377990434</v>
      </c>
      <c r="AW73" s="820">
        <f>((AW13/AR13)-1)</f>
        <v>0.17728485964104923</v>
      </c>
      <c r="AX73" s="820">
        <f>((AX13/AS13)-1)</f>
        <v>0.14752420688026469</v>
      </c>
      <c r="AY73" s="820">
        <f>((AY13/AT13)-1)</f>
        <v>0.13967039110544177</v>
      </c>
      <c r="AZ73" s="820"/>
      <c r="BA73" s="820">
        <f>((BA13/AV13)-1)</f>
        <v>0.12864431794223075</v>
      </c>
      <c r="BB73" s="820">
        <f>((BB13/AW13)-1)</f>
        <v>0.11869879292013263</v>
      </c>
      <c r="BC73" s="820">
        <f>((BC13/AX13)-1)</f>
        <v>8.8030611389326996E-2</v>
      </c>
      <c r="BD73" s="820">
        <f>((BD13/AY13)-1)</f>
        <v>7.88188231067386E-2</v>
      </c>
      <c r="BE73" s="820"/>
      <c r="BF73" s="820">
        <f>((BF13/BA13)-1)</f>
        <v>0.11757541340068278</v>
      </c>
      <c r="BG73" s="820">
        <f>((BG13/BB13)-1)</f>
        <v>0.1081868688633425</v>
      </c>
      <c r="BH73" s="820">
        <f>((BH13/BC13)-1)</f>
        <v>0.17233189951100591</v>
      </c>
      <c r="BI73" s="820">
        <f>((BI13/BD13)-1)</f>
        <v>0.16407826059111708</v>
      </c>
      <c r="BJ73" s="820"/>
      <c r="BK73" s="820">
        <f>((BK13/BF13)-1)</f>
        <v>0.10884303709448795</v>
      </c>
      <c r="BL73" s="820">
        <f>((BL13/BG13)-1)</f>
        <v>0.12832963374028861</v>
      </c>
      <c r="BM73" s="820">
        <f>((BM13/BH13)-1)</f>
        <v>0.11643888825810755</v>
      </c>
      <c r="BN73" s="820">
        <f>((BN13/BI13)-1)</f>
        <v>0.11636453662696344</v>
      </c>
      <c r="BO73" s="820"/>
      <c r="BP73" s="820">
        <f>((BP13/BK13)-1)</f>
        <v>7.7464831195769523E-2</v>
      </c>
      <c r="BQ73" s="820">
        <f>((BQ13/BL13)-1)</f>
        <v>0.1073907648972201</v>
      </c>
      <c r="BR73" s="820">
        <f>((BR13/BM13)-1)</f>
        <v>0.10829863081155722</v>
      </c>
      <c r="BS73" s="820">
        <f>((BS13/BN13)-1)</f>
        <v>0.11206114845551851</v>
      </c>
      <c r="BT73" s="820"/>
      <c r="BU73" s="820">
        <f>((BU13/BP13)-1)</f>
        <v>8.2136661256925425E-2</v>
      </c>
      <c r="BV73" s="820">
        <f>((BV13/BQ13)-1)</f>
        <v>8.1825568660701231E-2</v>
      </c>
      <c r="BW73" s="820">
        <f>((BW13/BR13)-1)</f>
        <v>3.882951236121146E-3</v>
      </c>
      <c r="BX73" s="820">
        <f>((BX13/BS13)-1)</f>
        <v>3.139305577097784E-2</v>
      </c>
      <c r="BY73" s="820"/>
      <c r="BZ73" s="820">
        <f>((BZ13/BU13)-1)</f>
        <v>9.3299270299482373E-2</v>
      </c>
      <c r="CA73" s="820">
        <f>((CA13/BV13)-1)</f>
        <v>4.6395215391361821E-2</v>
      </c>
      <c r="CB73" s="820">
        <f>((CB13/BW13)-1)</f>
        <v>0.10453519866450511</v>
      </c>
      <c r="CC73" s="820">
        <f>((CC13/BX13)-1)</f>
        <v>3.4579507517004116E-2</v>
      </c>
      <c r="CD73" s="820"/>
      <c r="CE73" s="820">
        <f>((CE13/BZ13)-1)</f>
        <v>3.4700673579050934E-2</v>
      </c>
      <c r="CF73" s="820">
        <f>((CF13/CA13)-1)</f>
        <v>-9.5230027775424775E-3</v>
      </c>
      <c r="CG73" s="820">
        <f>((CG13/CB13)-1)</f>
        <v>-2.0619185337468204E-2</v>
      </c>
      <c r="CH73" s="820">
        <f>((CH13/CC13)-1)</f>
        <v>2.9079643003982802E-2</v>
      </c>
      <c r="CI73" s="820"/>
      <c r="CJ73" s="820">
        <f>((CJ13/CE13)-1)</f>
        <v>5.0040747269398667E-2</v>
      </c>
      <c r="CK73" s="820">
        <f>((CK13/CF13)-1)</f>
        <v>4.9663246887056145E-2</v>
      </c>
      <c r="CL73" s="820">
        <f>((CL13/CG13)-1)</f>
        <v>3.1217526371611903E-2</v>
      </c>
      <c r="CM73" s="822">
        <f>((CM13/CH13)-1)</f>
        <v>3.3485182222842358E-2</v>
      </c>
      <c r="CN73" s="820"/>
      <c r="CO73" s="844">
        <f>CO13/'yrP&amp;L'!C24-1</f>
        <v>-0.25117361052896281</v>
      </c>
      <c r="CP73" s="844">
        <f>((CP13/CO13)-1)</f>
        <v>7.7495731997424988E-2</v>
      </c>
      <c r="CQ73" s="844">
        <f>((CQ13/CP13)-1)</f>
        <v>0.39387012987012993</v>
      </c>
      <c r="CR73" s="844">
        <f>((CR13/CQ13)-1)</f>
        <v>0.25016771019677986</v>
      </c>
      <c r="CS73" s="844">
        <f t="shared" ref="CS73:DG73" si="40">((CS13/CR13)-1)</f>
        <v>0.1544962661539151</v>
      </c>
      <c r="CT73" s="821">
        <f t="shared" si="40"/>
        <v>0.13808195832365011</v>
      </c>
      <c r="CU73" s="821">
        <f t="shared" si="40"/>
        <v>0.19561197517839113</v>
      </c>
      <c r="CV73" s="821">
        <f t="shared" si="40"/>
        <v>0.2597445726430847</v>
      </c>
      <c r="CW73" s="821">
        <f t="shared" si="40"/>
        <v>0.43397079093449431</v>
      </c>
      <c r="CX73" s="821">
        <f t="shared" si="40"/>
        <v>0.26537419110849658</v>
      </c>
      <c r="CY73" s="821">
        <f t="shared" si="40"/>
        <v>0.19519980739455445</v>
      </c>
      <c r="CZ73" s="820">
        <f t="shared" si="40"/>
        <v>0.22191003431365752</v>
      </c>
      <c r="DA73" s="821">
        <f t="shared" si="40"/>
        <v>0.17683691132289447</v>
      </c>
      <c r="DB73" s="822">
        <f t="shared" si="40"/>
        <v>7.9986861268032561E-2</v>
      </c>
      <c r="DC73" s="821">
        <f>((DC13/DB13)-1)</f>
        <v>0.16829732467724146</v>
      </c>
      <c r="DD73" s="820">
        <f t="shared" si="40"/>
        <v>0.10220570923227967</v>
      </c>
      <c r="DE73" s="820">
        <f t="shared" si="40"/>
        <v>0.14142661394103295</v>
      </c>
      <c r="DF73" s="821">
        <f t="shared" si="40"/>
        <v>0.1175587223048904</v>
      </c>
      <c r="DG73" s="820">
        <f t="shared" si="40"/>
        <v>0.10215503920295266</v>
      </c>
      <c r="DH73" s="820">
        <f t="shared" ref="DH73:DO73" si="41">((DH13/DG13)-1)</f>
        <v>4.790098141548671E-2</v>
      </c>
      <c r="DI73" s="820">
        <f t="shared" si="41"/>
        <v>6.8090809750531278E-2</v>
      </c>
      <c r="DJ73" s="820">
        <f t="shared" si="41"/>
        <v>8.2420432497578577E-3</v>
      </c>
      <c r="DK73" s="820">
        <f t="shared" si="41"/>
        <v>4.0825413168296798E-2</v>
      </c>
      <c r="DL73" s="820">
        <f t="shared" si="41"/>
        <v>2.7137163253661223E-2</v>
      </c>
      <c r="DM73" s="820">
        <f t="shared" si="41"/>
        <v>2.0228634007027901E-2</v>
      </c>
      <c r="DN73" s="820">
        <f t="shared" si="41"/>
        <v>2.1200985353028834E-2</v>
      </c>
      <c r="DO73" s="822">
        <f t="shared" si="41"/>
        <v>1.6899234012898834E-2</v>
      </c>
      <c r="DP73" s="704"/>
      <c r="EB73" s="611"/>
    </row>
    <row r="74" spans="1:132">
      <c r="A74" s="842" t="s">
        <v>426</v>
      </c>
      <c r="B74" s="796"/>
      <c r="C74" s="820">
        <f>'qtrP&amp;L'!$AG50/100</f>
        <v>2.8510176239663693E-2</v>
      </c>
      <c r="D74" s="820">
        <f>'qtrP&amp;L'!$AG51/100</f>
        <v>6.7752969712046723E-2</v>
      </c>
      <c r="E74" s="820">
        <f>'qtrP&amp;L'!$AG52/100</f>
        <v>9.0125889789896441E-2</v>
      </c>
      <c r="F74" s="820">
        <f>'qtrP&amp;L'!$AG53/100</f>
        <v>9.2750553576586098E-2</v>
      </c>
      <c r="G74" s="843"/>
      <c r="H74" s="820">
        <f>((H16/C16)-1)</f>
        <v>1.4467773437500009</v>
      </c>
      <c r="I74" s="820">
        <f>((I16/D16)-1)</f>
        <v>-0.44740223976500948</v>
      </c>
      <c r="J74" s="820">
        <f>((J16/E16)-1)</f>
        <v>-0.50436133349265189</v>
      </c>
      <c r="K74" s="820">
        <f>((K16/F16)-1)</f>
        <v>-0.40741125181648441</v>
      </c>
      <c r="L74" s="843"/>
      <c r="M74" s="820">
        <f>((M16/H16)-1)</f>
        <v>1.1273198962282964</v>
      </c>
      <c r="N74" s="820">
        <f>((N16/I16)-1)</f>
        <v>4.1498338870432088</v>
      </c>
      <c r="O74" s="820">
        <f>((O16/J16)-1)</f>
        <v>4.6600771456123518</v>
      </c>
      <c r="P74" s="820">
        <f>((P16/K16)-1)</f>
        <v>4.4417586267297331</v>
      </c>
      <c r="Q74" s="843"/>
      <c r="R74" s="820">
        <f>((R16/M16)-1)</f>
        <v>1.6637898686679149</v>
      </c>
      <c r="S74" s="820">
        <f>((S16/N16)-1)</f>
        <v>1.2011483130120628</v>
      </c>
      <c r="T74" s="820">
        <f>((T16/O16)-1)</f>
        <v>0.83925376948632846</v>
      </c>
      <c r="U74" s="820">
        <f>((U16/P16)-1)</f>
        <v>0.37341874014226994</v>
      </c>
      <c r="V74" s="843"/>
      <c r="W74" s="820">
        <f>((W16/R16)-1)</f>
        <v>0.57691224116072681</v>
      </c>
      <c r="X74" s="820">
        <f>((X16/S16)-1)</f>
        <v>0.44973622508792399</v>
      </c>
      <c r="Y74" s="820">
        <f>((Y16/T16)-1)</f>
        <v>0.40472882219443207</v>
      </c>
      <c r="Z74" s="820">
        <f>((Z16/U16)-1)</f>
        <v>0.23739101903065851</v>
      </c>
      <c r="AA74" s="843"/>
      <c r="AB74" s="820">
        <f>((AB16/W16)-1)</f>
        <v>-0.29539059359506881</v>
      </c>
      <c r="AC74" s="820">
        <f>((AC16/X16)-1)</f>
        <v>-0.21744667947033158</v>
      </c>
      <c r="AD74" s="820">
        <f>((AD16/Y16)-1)</f>
        <v>-0.25049868939481312</v>
      </c>
      <c r="AE74" s="820">
        <f>((AE16/Z16)-1)</f>
        <v>-8.5838210504384449E-2</v>
      </c>
      <c r="AF74" s="843"/>
      <c r="AG74" s="820">
        <f>((AG16/AB16)-1)</f>
        <v>0.14151690913124693</v>
      </c>
      <c r="AH74" s="820">
        <f>((AH16/AC16)-1)</f>
        <v>0.22118887080523852</v>
      </c>
      <c r="AI74" s="820">
        <f>((AI16/AD16)-1)</f>
        <v>0.34891342600738984</v>
      </c>
      <c r="AJ74" s="820">
        <f>((AE16/AE16)-1)</f>
        <v>0</v>
      </c>
      <c r="AK74" s="820"/>
      <c r="AL74" s="820">
        <f>((AL16/AG16)-1)</f>
        <v>0.74761217236783706</v>
      </c>
      <c r="AM74" s="820">
        <f>((AM16/AH16)-1)</f>
        <v>0.75414101669099365</v>
      </c>
      <c r="AN74" s="820">
        <f>((AN16/AI16)-1)</f>
        <v>0.47372283007484439</v>
      </c>
      <c r="AO74" s="820">
        <f>((AO16/AE16)-1)</f>
        <v>0.30931316689112198</v>
      </c>
      <c r="AP74" s="820"/>
      <c r="AQ74" s="820">
        <f>((AQ16/AL16)-1)</f>
        <v>-0.26726192367576518</v>
      </c>
      <c r="AR74" s="820">
        <f>((AR16/AM16)-1)</f>
        <v>-5.4015918958032372E-2</v>
      </c>
      <c r="AS74" s="820">
        <f>((AS16/AN16)-1)</f>
        <v>5.9549231569280492E-2</v>
      </c>
      <c r="AT74" s="820">
        <f>((AT16/AO16)-1)</f>
        <v>0.8777415577428247</v>
      </c>
      <c r="AU74" s="820"/>
      <c r="AV74" s="820">
        <f>((AV16/AQ16)-1)</f>
        <v>0.7825455333911544</v>
      </c>
      <c r="AW74" s="820">
        <f>((AW16/AR16)-1)</f>
        <v>0.36241251386392404</v>
      </c>
      <c r="AX74" s="820">
        <f>((AX16/AS16)-1)</f>
        <v>9.4391244870041247E-2</v>
      </c>
      <c r="AY74" s="820">
        <f>((AY16/AT16)-1)</f>
        <v>1.3997741484215176E-2</v>
      </c>
      <c r="AZ74" s="820"/>
      <c r="BA74" s="820">
        <f>((BA16/AV16)-1)</f>
        <v>-0.25027064504749941</v>
      </c>
      <c r="BB74" s="820">
        <f>((BB16/AW16)-1)</f>
        <v>-0.17660874528628479</v>
      </c>
      <c r="BC74" s="820">
        <f>((BC16/AX16)-1)</f>
        <v>-0.29999045801526747</v>
      </c>
      <c r="BD74" s="820">
        <f>((BD16/AY16)-1)</f>
        <v>-0.4869393216592004</v>
      </c>
      <c r="BE74" s="820"/>
      <c r="BF74" s="820">
        <f>((BF16/BA16)-1)</f>
        <v>-0.14149198520345396</v>
      </c>
      <c r="BG74" s="820">
        <f>((BG16/BB16)-1)</f>
        <v>9.0266492414341482E-2</v>
      </c>
      <c r="BH74" s="820">
        <f>((BH16/BC16)-1)</f>
        <v>0.27424653426207479</v>
      </c>
      <c r="BI74" s="820">
        <f>((BI16/BD16)-1)</f>
        <v>1.1374629452642857</v>
      </c>
      <c r="BJ74" s="820"/>
      <c r="BK74" s="820">
        <f>((BK16/BF16)-1)</f>
        <v>0.37892847018803977</v>
      </c>
      <c r="BL74" s="820">
        <f>((BL16/BG16)-1)</f>
        <v>0.24368863224165582</v>
      </c>
      <c r="BM74" s="820">
        <f>((BM16/BH16)-1)</f>
        <v>0.12814505776636675</v>
      </c>
      <c r="BN74" s="820">
        <f>((BN16/BI16)-1)</f>
        <v>-2.1697283860799499E-2</v>
      </c>
      <c r="BO74" s="820"/>
      <c r="BP74" s="820">
        <f>((BP16/BK16)-1)</f>
        <v>-0.1801523997478286</v>
      </c>
      <c r="BQ74" s="820">
        <f>((BQ16/BL16)-1)</f>
        <v>-0.1190107025821967</v>
      </c>
      <c r="BR74" s="820">
        <f>((BR16/BM16)-1)</f>
        <v>-0.27493148996292383</v>
      </c>
      <c r="BS74" s="820">
        <f>((BS16/BN16)-1)</f>
        <v>-3.9561852675286446E-2</v>
      </c>
      <c r="BT74" s="820"/>
      <c r="BU74" s="820">
        <f>((BU16/BP16)-1)</f>
        <v>-0.1131208104177458</v>
      </c>
      <c r="BV74" s="820">
        <f>((BV16/BQ16)-1)</f>
        <v>-1.2995043618064028E-2</v>
      </c>
      <c r="BW74" s="820">
        <f>((BW16/BR16)-1)</f>
        <v>5.0480612044726092E-2</v>
      </c>
      <c r="BX74" s="820">
        <f>((BX16/BS16)-1)</f>
        <v>-6.0758819828684474E-2</v>
      </c>
      <c r="BY74" s="820"/>
      <c r="BZ74" s="820">
        <f>((BZ16/BU16)-1)</f>
        <v>-4.8460059561955204E-2</v>
      </c>
      <c r="CA74" s="820">
        <f>((CA16/BV16)-1)</f>
        <v>0.13938178909118903</v>
      </c>
      <c r="CB74" s="820">
        <f>((CB16/BW16)-1)</f>
        <v>-0.12474323062558446</v>
      </c>
      <c r="CC74" s="820">
        <f>((CC16/BX16)-1)</f>
        <v>-0.10803871222595418</v>
      </c>
      <c r="CD74" s="820"/>
      <c r="CE74" s="820">
        <f>((CE16/BZ16)-1)</f>
        <v>-0.58330527108135266</v>
      </c>
      <c r="CF74" s="820">
        <f>((CF16/CA16)-1)</f>
        <v>-0.36402395695868361</v>
      </c>
      <c r="CG74" s="820">
        <f>((CG16/CB16)-1)</f>
        <v>3.6739918924686199E-2</v>
      </c>
      <c r="CH74" s="820">
        <f>((CH16/CC16)-1)</f>
        <v>3.7643932683795178E-3</v>
      </c>
      <c r="CI74" s="820"/>
      <c r="CJ74" s="820">
        <f>((CJ16/CE16)-1)</f>
        <v>1.0881412074893699</v>
      </c>
      <c r="CK74" s="820">
        <f>((CK16/CF16)-1)</f>
        <v>0.28012447034469501</v>
      </c>
      <c r="CL74" s="820">
        <f>((CL16/CG16)-1)</f>
        <v>-2.3069920753201911E-2</v>
      </c>
      <c r="CM74" s="822">
        <f>((CM16/CH16)-1)</f>
        <v>-0.10922510366797045</v>
      </c>
      <c r="CN74" s="820"/>
      <c r="CO74" s="835">
        <f>CO16/'yrP&amp;L'!C33-1</f>
        <v>7.4948406905923637E-2</v>
      </c>
      <c r="CP74" s="835">
        <f>((CP16/CO16)-1)</f>
        <v>3.3058625210713899E-2</v>
      </c>
      <c r="CQ74" s="835">
        <f>((CQ16/CP16)-1)</f>
        <v>0.13842806635844651</v>
      </c>
      <c r="CR74" s="835">
        <f>((CR16/CQ16)-1)</f>
        <v>0.49566013696448419</v>
      </c>
      <c r="CS74" s="835">
        <f t="shared" ref="CS74:DG74" si="42">((CS16/CR16)-1)</f>
        <v>-0.52407826434180826</v>
      </c>
      <c r="CT74" s="821">
        <f t="shared" si="42"/>
        <v>0.42622217250251615</v>
      </c>
      <c r="CU74" s="821">
        <f t="shared" si="42"/>
        <v>0.7804925876539357</v>
      </c>
      <c r="CV74" s="821">
        <f t="shared" si="42"/>
        <v>-0.34884028282561241</v>
      </c>
      <c r="CW74" s="821">
        <f t="shared" si="42"/>
        <v>4.01880792909816</v>
      </c>
      <c r="CX74" s="821">
        <f t="shared" si="42"/>
        <v>0.3999096828114268</v>
      </c>
      <c r="CY74" s="821">
        <f t="shared" si="42"/>
        <v>-0.21044877442837839</v>
      </c>
      <c r="CZ74" s="820">
        <f t="shared" si="42"/>
        <v>0.37170785845391863</v>
      </c>
      <c r="DA74" s="821">
        <f t="shared" si="42"/>
        <v>0.33114761386116576</v>
      </c>
      <c r="DB74" s="822">
        <f t="shared" si="42"/>
        <v>0.13207874830931621</v>
      </c>
      <c r="DC74" s="821">
        <f>((DC16/DB16)-1)</f>
        <v>0.22189542869279943</v>
      </c>
      <c r="DD74" s="820">
        <f t="shared" si="42"/>
        <v>-0.31259551475966929</v>
      </c>
      <c r="DE74" s="820">
        <f t="shared" si="42"/>
        <v>0.31454912634998489</v>
      </c>
      <c r="DF74" s="821">
        <f t="shared" si="42"/>
        <v>0.14048775665602342</v>
      </c>
      <c r="DG74" s="820">
        <f t="shared" si="42"/>
        <v>-0.14340038943235389</v>
      </c>
      <c r="DH74" s="820">
        <f t="shared" ref="DH74:DO74" si="43">((DH16/DG16)-1)</f>
        <v>-3.302434401873966E-2</v>
      </c>
      <c r="DI74" s="820">
        <f t="shared" si="43"/>
        <v>-3.029308867325331E-2</v>
      </c>
      <c r="DJ74" s="820">
        <f t="shared" si="43"/>
        <v>-0.20271649731091834</v>
      </c>
      <c r="DK74" s="820">
        <f t="shared" si="43"/>
        <v>0.11296582073683226</v>
      </c>
      <c r="DL74" s="820">
        <f t="shared" si="43"/>
        <v>5.2093422864656347E-3</v>
      </c>
      <c r="DM74" s="820">
        <f t="shared" si="43"/>
        <v>2.0707254113410567E-2</v>
      </c>
      <c r="DN74" s="820">
        <f t="shared" si="43"/>
        <v>1.8478836935004184E-2</v>
      </c>
      <c r="DO74" s="822">
        <f t="shared" si="43"/>
        <v>1.7853720959532193E-2</v>
      </c>
      <c r="DP74" s="704"/>
    </row>
    <row r="75" spans="1:132">
      <c r="A75" s="842" t="s">
        <v>427</v>
      </c>
      <c r="B75" s="796"/>
      <c r="C75" s="835">
        <f>'qtrP&amp;L'!$AG100/100</f>
        <v>-0.61460928289387007</v>
      </c>
      <c r="D75" s="820">
        <f>'qtrP&amp;L'!$AG101/100</f>
        <v>0.80869423786565653</v>
      </c>
      <c r="E75" s="820">
        <f>'qtrP&amp;L'!$AG102/100</f>
        <v>1.0769661449427601</v>
      </c>
      <c r="F75" s="820">
        <f>'qtrP&amp;L'!$AG103/100</f>
        <v>0.64799233498252695</v>
      </c>
      <c r="G75" s="843"/>
      <c r="H75" s="820">
        <f>((H25/C25)-1)</f>
        <v>1.5947692967514242</v>
      </c>
      <c r="I75" s="820">
        <f>((I25/D25)-1)</f>
        <v>-0.44711495228732168</v>
      </c>
      <c r="J75" s="820">
        <f>((J25/E25)-1)</f>
        <v>-0.51852850253004035</v>
      </c>
      <c r="K75" s="820">
        <f>((K25/F25)-1)</f>
        <v>-0.39320106121088083</v>
      </c>
      <c r="L75" s="843"/>
      <c r="M75" s="820">
        <f>((M25/H25)-1)</f>
        <v>0.87267030593178729</v>
      </c>
      <c r="N75" s="820">
        <f>((N25/I25)-1)</f>
        <v>3.6784562686616695</v>
      </c>
      <c r="O75" s="820">
        <f>((O25/J25)-1)</f>
        <v>4.0584487534995448</v>
      </c>
      <c r="P75" s="820">
        <f>((P25/K25)-1)</f>
        <v>3.5359365150171183</v>
      </c>
      <c r="Q75" s="843"/>
      <c r="R75" s="820">
        <f>((R25/M25)-1)</f>
        <v>1.5152421237086102</v>
      </c>
      <c r="S75" s="820">
        <f>((S25/N25)-1)</f>
        <v>1.0881680329124368</v>
      </c>
      <c r="T75" s="820">
        <f>((T25/O25)-1)</f>
        <v>0.79176766165248225</v>
      </c>
      <c r="U75" s="820">
        <f>((U25/P25)-1)</f>
        <v>0.42983161133602032</v>
      </c>
      <c r="V75" s="843"/>
      <c r="W75" s="820">
        <f>((W25/R25)-1)</f>
        <v>0.59616490234375341</v>
      </c>
      <c r="X75" s="820">
        <f>((X25/S25)-1)</f>
        <v>0.46570170640822028</v>
      </c>
      <c r="Y75" s="820">
        <f>((Y25/T25)-1)</f>
        <v>0.40909391186963107</v>
      </c>
      <c r="Z75" s="820">
        <f>((Z25/U25)-1)</f>
        <v>0.30440540884630773</v>
      </c>
      <c r="AA75" s="843"/>
      <c r="AB75" s="820">
        <f>((AB25/W25)-1)</f>
        <v>-0.25567476392900779</v>
      </c>
      <c r="AC75" s="820">
        <f>((AC25/X25)-1)</f>
        <v>-0.15524397371152376</v>
      </c>
      <c r="AD75" s="820">
        <f>((AD25/Y25)-1)</f>
        <v>-6.0098464386865058E-2</v>
      </c>
      <c r="AE75" s="820">
        <f>((AE25/Z25)-1)</f>
        <v>1.5165128294766905E-2</v>
      </c>
      <c r="AF75" s="843"/>
      <c r="AG75" s="820">
        <f>((AG25/AB25)-1)</f>
        <v>0.44004587888511604</v>
      </c>
      <c r="AH75" s="820">
        <f>((AH25/AC25)-1)</f>
        <v>0.23359906265926789</v>
      </c>
      <c r="AI75" s="820">
        <f>((AI25/AD25)-1)</f>
        <v>0.30230106260888601</v>
      </c>
      <c r="AJ75" s="820">
        <f>((AE25/AE25)-1)</f>
        <v>0</v>
      </c>
      <c r="AK75" s="820"/>
      <c r="AL75" s="820">
        <f>((AL25/AG25)-1)</f>
        <v>0.43382303262735555</v>
      </c>
      <c r="AM75" s="820">
        <f>((AM25/AH25)-1)</f>
        <v>0.76777014892547024</v>
      </c>
      <c r="AN75" s="820">
        <f>((AN25/AI25)-1)</f>
        <v>0.29747417362189688</v>
      </c>
      <c r="AO75" s="820">
        <f>((AO25/AE25)-1)</f>
        <v>0.12516822754959578</v>
      </c>
      <c r="AP75" s="820"/>
      <c r="AQ75" s="820">
        <f>((AQ25/AL25)-1)</f>
        <v>-0.27492874752878849</v>
      </c>
      <c r="AR75" s="820">
        <f>((AR25/AM25)-1)</f>
        <v>-0.13492263608866961</v>
      </c>
      <c r="AS75" s="820">
        <f>((AS25/AN25)-1)</f>
        <v>5.0276255170878859E-2</v>
      </c>
      <c r="AT75" s="820">
        <f>((AT25/AO25)-1)</f>
        <v>0.88906520836238356</v>
      </c>
      <c r="AU75" s="820"/>
      <c r="AV75" s="820">
        <f>((AV25/AQ25)-1)</f>
        <v>0.69421231682120932</v>
      </c>
      <c r="AW75" s="820">
        <f>((AW25/AR25)-1)</f>
        <v>0.44813221043981799</v>
      </c>
      <c r="AX75" s="820">
        <f>((AX25/AS25)-1)</f>
        <v>0.19165721789969536</v>
      </c>
      <c r="AY75" s="820">
        <f>((AY25/AT25)-1)</f>
        <v>-3.967787970345138E-3</v>
      </c>
      <c r="AZ75" s="820"/>
      <c r="BA75" s="820">
        <f>((BA25/AV25)-1)</f>
        <v>-0.20198970745716105</v>
      </c>
      <c r="BB75" s="820">
        <f>((BB25/AW25)-1)</f>
        <v>-0.15182095741533974</v>
      </c>
      <c r="BC75" s="820">
        <f>((BC25/AX25)-1)</f>
        <v>-0.23836670444647801</v>
      </c>
      <c r="BD75" s="820">
        <f>((BD25/AY25)-1)</f>
        <v>-0.42670463381453672</v>
      </c>
      <c r="BE75" s="820"/>
      <c r="BF75" s="820">
        <f>((BF25/BA25)-1)</f>
        <v>-4.6059860912380235E-2</v>
      </c>
      <c r="BG75" s="820">
        <f>((BG25/BB25)-1)</f>
        <v>0.19344633429690039</v>
      </c>
      <c r="BH75" s="820">
        <f>((BH25/BC25)-1)</f>
        <v>0.22447802928017313</v>
      </c>
      <c r="BI75" s="820">
        <f>((BI25/BD25)-1)</f>
        <v>1.1635353685673606</v>
      </c>
      <c r="BJ75" s="820"/>
      <c r="BK75" s="820">
        <f>((BK25/BF25)-1)</f>
        <v>0.35572585910192234</v>
      </c>
      <c r="BL75" s="820">
        <f>((BL25/BG25)-1)</f>
        <v>0.21463873957808333</v>
      </c>
      <c r="BM75" s="820">
        <f>((BM25/BH25)-1)</f>
        <v>0.16183236833296011</v>
      </c>
      <c r="BN75" s="820">
        <f>((BN25/BI25)-1)</f>
        <v>6.7956649117314472E-2</v>
      </c>
      <c r="BO75" s="820"/>
      <c r="BP75" s="820">
        <f>((BP25/BK25)-1)</f>
        <v>-0.18778997287752996</v>
      </c>
      <c r="BQ75" s="820">
        <f>((BQ25/BL25)-1)</f>
        <v>-4.4391103037135449E-2</v>
      </c>
      <c r="BR75" s="820">
        <f>((BR25/BM25)-1)</f>
        <v>-0.2620204284877059</v>
      </c>
      <c r="BS75" s="820">
        <f>((BS25/BN25)-1)</f>
        <v>1.5912478644500405E-2</v>
      </c>
      <c r="BT75" s="820"/>
      <c r="BU75" s="820">
        <f>((BU25/BP25)-1)</f>
        <v>-3.9410014857600095E-2</v>
      </c>
      <c r="BV75" s="820">
        <f>((BV25/BQ25)-1)</f>
        <v>5.9879308266250986E-2</v>
      </c>
      <c r="BW75" s="820">
        <f>((BW25/BR25)-1)</f>
        <v>0.21185535209189021</v>
      </c>
      <c r="BX75" s="820">
        <f>((BX25/BS25)-1)</f>
        <v>1.7593846095782517E-2</v>
      </c>
      <c r="BY75" s="820"/>
      <c r="BZ75" s="820">
        <f>((BZ25/BU25)-1)</f>
        <v>1.8907545550598259E-2</v>
      </c>
      <c r="CA75" s="820">
        <f>((CA25/BV25)-1)</f>
        <v>0.2653869983190742</v>
      </c>
      <c r="CB75" s="820">
        <f>((CB25/BW25)-1)</f>
        <v>-4.0097141162840577E-2</v>
      </c>
      <c r="CC75" s="820">
        <f>((CC25/BX25)-1)</f>
        <v>-6.7425924270025139E-2</v>
      </c>
      <c r="CD75" s="820"/>
      <c r="CE75" s="820">
        <f>((CE25/BZ25)-1)</f>
        <v>-0.59254028066613018</v>
      </c>
      <c r="CF75" s="820">
        <f>((CF25/CA25)-1)</f>
        <v>-0.33037189865511007</v>
      </c>
      <c r="CG75" s="820">
        <f>((CG25/CB25)-1)</f>
        <v>1.529013022068515E-2</v>
      </c>
      <c r="CH75" s="820">
        <f>((CH25/CC25)-1)</f>
        <v>0.19911873850797024</v>
      </c>
      <c r="CI75" s="820"/>
      <c r="CJ75" s="820">
        <f>((CJ25/CE25)-1)</f>
        <v>1.9661082938423364</v>
      </c>
      <c r="CK75" s="820">
        <f>((CK25/CF25)-1)</f>
        <v>0.55045241744507445</v>
      </c>
      <c r="CL75" s="820">
        <f>((CL25/CG25)-1)</f>
        <v>0.16329632540031525</v>
      </c>
      <c r="CM75" s="822">
        <f>((CM25/CH25)-1)</f>
        <v>-4.838876684906579E-2</v>
      </c>
      <c r="CN75" s="820"/>
      <c r="CO75" s="835">
        <f>CO25/'yrP&amp;L'!C48-1</f>
        <v>7.1102502071975104E-2</v>
      </c>
      <c r="CP75" s="835">
        <f>((CP25/CO25)-1)</f>
        <v>3.9569847288087212E-2</v>
      </c>
      <c r="CQ75" s="835">
        <f>((CQ25/CP25)-1)</f>
        <v>0.13027354701120242</v>
      </c>
      <c r="CR75" s="835">
        <f>((CR25/CQ25)-1)</f>
        <v>0.19075764172272303</v>
      </c>
      <c r="CS75" s="835">
        <f t="shared" ref="CS75:DG75" si="44">((CS25/CR25)-1)</f>
        <v>-0.41903720183019666</v>
      </c>
      <c r="CT75" s="821">
        <f t="shared" si="44"/>
        <v>0.41501652424245683</v>
      </c>
      <c r="CU75" s="821">
        <f t="shared" si="44"/>
        <v>0.64296231684329541</v>
      </c>
      <c r="CV75" s="821">
        <f t="shared" si="44"/>
        <v>-1.0968799606380741</v>
      </c>
      <c r="CW75" s="821">
        <f t="shared" si="44"/>
        <v>-32.588959803166816</v>
      </c>
      <c r="CX75" s="821">
        <f t="shared" si="44"/>
        <v>0.42303717026082355</v>
      </c>
      <c r="CY75" s="821">
        <f t="shared" si="44"/>
        <v>-0.10478350171636985</v>
      </c>
      <c r="CZ75" s="820">
        <f t="shared" si="44"/>
        <v>0.37084691082292021</v>
      </c>
      <c r="DA75" s="821">
        <f t="shared" si="44"/>
        <v>0.23544218141600259</v>
      </c>
      <c r="DB75" s="822">
        <f t="shared" si="44"/>
        <v>0.10048087546227435</v>
      </c>
      <c r="DC75" s="821">
        <f>((DC25/DB25)-1)</f>
        <v>0.24721189691725143</v>
      </c>
      <c r="DD75" s="820">
        <f t="shared" si="44"/>
        <v>-0.25948718128155257</v>
      </c>
      <c r="DE75" s="820">
        <f t="shared" si="44"/>
        <v>0.36428675791316523</v>
      </c>
      <c r="DF75" s="821">
        <f t="shared" si="44"/>
        <v>0.16956086001540749</v>
      </c>
      <c r="DG75" s="820">
        <f t="shared" si="44"/>
        <v>-0.10036496834030162</v>
      </c>
      <c r="DH75" s="820">
        <f t="shared" ref="DH75:DO75" si="45">((DH25/DG25)-1)</f>
        <v>4.6356526191206227E-2</v>
      </c>
      <c r="DI75" s="820">
        <f t="shared" si="45"/>
        <v>5.6551683278265097E-2</v>
      </c>
      <c r="DJ75" s="820">
        <f t="shared" si="45"/>
        <v>-0.13019449284012974</v>
      </c>
      <c r="DK75" s="820">
        <f t="shared" si="45"/>
        <v>0.29146348018220736</v>
      </c>
      <c r="DL75" s="820">
        <f t="shared" si="45"/>
        <v>4.0434875850149599E-2</v>
      </c>
      <c r="DM75" s="820">
        <f t="shared" si="45"/>
        <v>4.5842588763271852E-2</v>
      </c>
      <c r="DN75" s="820">
        <f t="shared" si="45"/>
        <v>4.3342812198638558E-2</v>
      </c>
      <c r="DO75" s="822">
        <f t="shared" si="45"/>
        <v>4.1742717007414498E-2</v>
      </c>
      <c r="DP75" s="704"/>
    </row>
    <row r="76" spans="1:132">
      <c r="A76" s="753" t="s">
        <v>395</v>
      </c>
      <c r="B76" s="802"/>
      <c r="C76" s="1715"/>
      <c r="D76" s="1715"/>
      <c r="E76" s="1715"/>
      <c r="F76" s="1715"/>
      <c r="G76" s="888"/>
      <c r="H76" s="845">
        <f>((H55/C55)-1)</f>
        <v>0.94406815681106382</v>
      </c>
      <c r="I76" s="845">
        <f>((I55/D55)-1)</f>
        <v>-9.5185367922689834E-2</v>
      </c>
      <c r="J76" s="845">
        <f>((J55/E55)-1)</f>
        <v>-0.24604494432097024</v>
      </c>
      <c r="K76" s="845">
        <f>((K55/F55)-1)</f>
        <v>-0.28024572780268198</v>
      </c>
      <c r="L76" s="888"/>
      <c r="M76" s="845">
        <f>((M55/H55)-1)</f>
        <v>0.56103415512326826</v>
      </c>
      <c r="N76" s="845">
        <f>((N55/I55)-1)</f>
        <v>1.6336980306345774</v>
      </c>
      <c r="O76" s="845">
        <f>((O55/J55)-1)</f>
        <v>2.1769470745990933</v>
      </c>
      <c r="P76" s="845">
        <f>((P55/K55)-1)</f>
        <v>2.7415977188800102</v>
      </c>
      <c r="Q76" s="888"/>
      <c r="R76" s="845">
        <f>((R55/M55)-1)</f>
        <v>1.283252178370065</v>
      </c>
      <c r="S76" s="845">
        <f>((S55/N55)-1)</f>
        <v>1.0012818686796749</v>
      </c>
      <c r="T76" s="845">
        <f>((T55/O55)-1)</f>
        <v>0.66264686627846925</v>
      </c>
      <c r="U76" s="845">
        <f>((U55/P55)-1)</f>
        <v>0.35373044825345779</v>
      </c>
      <c r="V76" s="888"/>
      <c r="W76" s="845">
        <f>((W55/R55)-1)</f>
        <v>0.50340937789376206</v>
      </c>
      <c r="X76" s="845">
        <f>((X55/S55)-1)</f>
        <v>0.40528550755580772</v>
      </c>
      <c r="Y76" s="845">
        <f>((Y55/T55)-1)</f>
        <v>0.46245984872033885</v>
      </c>
      <c r="Z76" s="845">
        <f>((Z55/U55)-1)</f>
        <v>0.17488325735063648</v>
      </c>
      <c r="AA76" s="888"/>
      <c r="AB76" s="845">
        <f>((AB55/W55)-1)</f>
        <v>-0.24687832465423576</v>
      </c>
      <c r="AC76" s="845">
        <f>((AC55/X55)-1)</f>
        <v>-0.18157570437395454</v>
      </c>
      <c r="AD76" s="845">
        <f>((AD55/Y55)-1)</f>
        <v>-0.21531507276359929</v>
      </c>
      <c r="AE76" s="845">
        <f>((AE55/Z55)-1)</f>
        <v>-7.1197411003235955E-2</v>
      </c>
      <c r="AF76" s="888"/>
      <c r="AG76" s="845">
        <f>((AG55/AB55)-1)</f>
        <v>0.30250309789343177</v>
      </c>
      <c r="AH76" s="845">
        <f>((AH55/AC55)-1)</f>
        <v>0.32792227883088154</v>
      </c>
      <c r="AI76" s="845">
        <f>((AI55/AD55)-1)</f>
        <v>0.42606905518636151</v>
      </c>
      <c r="AJ76" s="845">
        <f>((AE55/AE55)-1)</f>
        <v>0</v>
      </c>
      <c r="AK76" s="845"/>
      <c r="AL76" s="845">
        <f>((AL55/AG55)-1)</f>
        <v>0.56566329248801317</v>
      </c>
      <c r="AM76" s="845">
        <f>((AM55/AH55)-1)</f>
        <v>0.60597399773217919</v>
      </c>
      <c r="AN76" s="845">
        <f>((AN55/AI55)-1)</f>
        <v>0.41139673293655821</v>
      </c>
      <c r="AO76" s="845">
        <f>((AO55/AE55)-1)</f>
        <v>0.42501945130408303</v>
      </c>
      <c r="AP76" s="845"/>
      <c r="AQ76" s="845">
        <f>((AQ55/AL55)-1)</f>
        <v>-0.17105183204715324</v>
      </c>
      <c r="AR76" s="845">
        <f>((AR55/AM55)-1)</f>
        <v>-1.8831426333046797E-2</v>
      </c>
      <c r="AS76" s="845">
        <f>((AS55/AN55)-1)</f>
        <v>7.1156848319546606E-2</v>
      </c>
      <c r="AT76" s="845">
        <f>((AT55/AO55)-1)</f>
        <v>0.6889139465875378</v>
      </c>
      <c r="AU76" s="845"/>
      <c r="AV76" s="845">
        <f>((AV55/AQ55)-1)</f>
        <v>0.56220495528514913</v>
      </c>
      <c r="AW76" s="845">
        <f>((AW55/AR55)-1)</f>
        <v>0.29700130121052082</v>
      </c>
      <c r="AX76" s="845">
        <f>((AX55/AS55)-1)</f>
        <v>9.394500330851252E-2</v>
      </c>
      <c r="AY76" s="845">
        <f>((AY55/AT55)-1)</f>
        <v>3.0086231736370816E-2</v>
      </c>
      <c r="AZ76" s="845"/>
      <c r="BA76" s="845">
        <f>((BA55/AV55)-1)</f>
        <v>-0.17240376133185653</v>
      </c>
      <c r="BB76" s="845">
        <f>((BB55/AW55)-1)</f>
        <v>-0.12787577998525512</v>
      </c>
      <c r="BC76" s="845">
        <f>((BC55/AX55)-1)</f>
        <v>-0.22847517323226529</v>
      </c>
      <c r="BD76" s="845">
        <f>((BD55/AY55)-1)</f>
        <v>-0.3918551974456238</v>
      </c>
      <c r="BE76" s="845"/>
      <c r="BF76" s="845">
        <f>((BF55/BA55)-1)</f>
        <v>-7.3389501854015826E-2</v>
      </c>
      <c r="BG76" s="845">
        <f>((BG55/BB55)-1)</f>
        <v>8.7060340920974477E-2</v>
      </c>
      <c r="BH76" s="845">
        <f>((BH55/BC55)-1)</f>
        <v>0.23336475958914371</v>
      </c>
      <c r="BI76" s="845">
        <f>((BI55/BD55)-1)</f>
        <v>0.81985034273085455</v>
      </c>
      <c r="BJ76" s="845"/>
      <c r="BK76" s="845">
        <f>((BK55/BF55)-1)</f>
        <v>0.28549225968304626</v>
      </c>
      <c r="BL76" s="845">
        <f>((BL55/BG55)-1)</f>
        <v>0.21700684634994949</v>
      </c>
      <c r="BM76" s="845">
        <f>((BM55/BH55)-1)</f>
        <v>0.11584325716124844</v>
      </c>
      <c r="BN76" s="845">
        <f>((BN55/BI55)-1)</f>
        <v>1.079424964245046E-2</v>
      </c>
      <c r="BO76" s="845"/>
      <c r="BP76" s="845">
        <f>((BP55/BK55)-1)</f>
        <v>-0.10229046875595038</v>
      </c>
      <c r="BQ76" s="845">
        <f>((BQ55/BL55)-1)</f>
        <v>-0.11372993340228044</v>
      </c>
      <c r="BR76" s="845">
        <f>((BR55/BM55)-1)</f>
        <v>-0.16396374308645256</v>
      </c>
      <c r="BS76" s="845">
        <f>((BS55/BN55)-1)</f>
        <v>-3.203083547299157E-2</v>
      </c>
      <c r="BT76" s="845"/>
      <c r="BU76" s="845">
        <f>((BU55/BP55)-1)</f>
        <v>-6.0923233544364019E-2</v>
      </c>
      <c r="BV76" s="845">
        <f>((BV55/BQ55)-1)</f>
        <v>4.2432846248754874E-2</v>
      </c>
      <c r="BW76" s="845">
        <f>((BW55/BR55)-1)</f>
        <v>1.1954562312940453E-2</v>
      </c>
      <c r="BX76" s="845">
        <f>((BX55/BS55)-1)</f>
        <v>-5.3832340988564265E-2</v>
      </c>
      <c r="BY76" s="845"/>
      <c r="BZ76" s="845">
        <f>((BZ55/BU55)-1)</f>
        <v>-3.6441041624319381E-2</v>
      </c>
      <c r="CA76" s="845">
        <f>((CA55/BV55)-1)</f>
        <v>8.2067151036355979E-2</v>
      </c>
      <c r="CB76" s="845">
        <f>((CB55/BW55)-1)</f>
        <v>-0.12130406989132814</v>
      </c>
      <c r="CC76" s="845">
        <f>((CC55/BX55)-1)</f>
        <v>-8.0934401449015536E-2</v>
      </c>
      <c r="CD76" s="845"/>
      <c r="CE76" s="845">
        <f>((CE55/BZ55)-1)</f>
        <v>-0.37684437516846869</v>
      </c>
      <c r="CF76" s="845">
        <f>((CF55/CA55)-1)</f>
        <v>-0.28991638167908695</v>
      </c>
      <c r="CG76" s="845">
        <f>((CG55/CB55)-1)</f>
        <v>2.3066551560242399E-2</v>
      </c>
      <c r="CH76" s="845">
        <f>((CH55/CC55)-1)</f>
        <v>4.4197453936833941E-3</v>
      </c>
      <c r="CI76" s="845"/>
      <c r="CJ76" s="845">
        <f>((CJ55/CE55)-1)</f>
        <v>0.46554837961232298</v>
      </c>
      <c r="CK76" s="845">
        <f>((CK55/CF55)-1)</f>
        <v>0.20857583475324715</v>
      </c>
      <c r="CL76" s="845">
        <f>((CL55/CG55)-1)</f>
        <v>-2.5079916172159322E-3</v>
      </c>
      <c r="CM76" s="1753">
        <f>((CM55/CH55)-1)</f>
        <v>-0.10651388317801669</v>
      </c>
      <c r="CN76" s="820"/>
      <c r="CO76" s="835">
        <f>CO55/('yrP&amp;L'!C33+flow!H11)-1</f>
        <v>1.4802698834593286E-2</v>
      </c>
      <c r="CP76" s="835">
        <f>((CP55/CO55)-1)</f>
        <v>7.3860660031430436E-2</v>
      </c>
      <c r="CQ76" s="835">
        <f>((CQ55/CP55)-1)</f>
        <v>0.15335834896810696</v>
      </c>
      <c r="CR76" s="835">
        <f>((CR55/CQ55)-1)</f>
        <v>0.5041155610501995</v>
      </c>
      <c r="CS76" s="835">
        <f t="shared" ref="CS76:DG76" si="46">((CS55/CR55)-1)</f>
        <v>-0.35380256099671292</v>
      </c>
      <c r="CT76" s="846">
        <f t="shared" si="46"/>
        <v>0.37104602510460194</v>
      </c>
      <c r="CU76" s="846">
        <f t="shared" si="46"/>
        <v>0.59543457031250102</v>
      </c>
      <c r="CV76" s="846">
        <f t="shared" si="46"/>
        <v>-0.16491453580008841</v>
      </c>
      <c r="CW76" s="846">
        <f t="shared" si="46"/>
        <v>2.3024994502675331</v>
      </c>
      <c r="CX76" s="847">
        <f t="shared" si="46"/>
        <v>0.37073308771306879</v>
      </c>
      <c r="CY76" s="847">
        <f>((CY55/CX55)-1)</f>
        <v>-0.11065864094333189</v>
      </c>
      <c r="CZ76" s="848">
        <f t="shared" si="46"/>
        <v>0.34255491529435167</v>
      </c>
      <c r="DA76" s="847">
        <f t="shared" si="46"/>
        <v>0.29299367376136565</v>
      </c>
      <c r="DB76" s="849">
        <f t="shared" si="46"/>
        <v>0.13097036058146161</v>
      </c>
      <c r="DC76" s="847">
        <f>((DC55/DB55)-1)</f>
        <v>0.19468439770572221</v>
      </c>
      <c r="DD76" s="848">
        <f t="shared" si="46"/>
        <v>-0.44746636962748365</v>
      </c>
      <c r="DE76" s="848">
        <f t="shared" si="46"/>
        <v>0.73131618228114559</v>
      </c>
      <c r="DF76" s="847">
        <f t="shared" si="46"/>
        <v>0.13506967252190338</v>
      </c>
      <c r="DG76" s="848">
        <f t="shared" si="46"/>
        <v>-9.9667246592353709E-2</v>
      </c>
      <c r="DH76" s="848">
        <f t="shared" ref="DH76:DO76" si="47">((DH55/DG55)-1)</f>
        <v>-1.4815454443495524E-2</v>
      </c>
      <c r="DI76" s="848">
        <f t="shared" si="47"/>
        <v>-3.6475848325915439E-2</v>
      </c>
      <c r="DJ76" s="848">
        <f t="shared" si="47"/>
        <v>-0.15300147637589445</v>
      </c>
      <c r="DK76" s="848">
        <f t="shared" si="47"/>
        <v>7.9501363232336031E-2</v>
      </c>
      <c r="DL76" s="848">
        <f t="shared" si="47"/>
        <v>7.3985825545921369E-3</v>
      </c>
      <c r="DM76" s="848">
        <f t="shared" si="47"/>
        <v>2.0371192249211356E-2</v>
      </c>
      <c r="DN76" s="848">
        <f t="shared" si="47"/>
        <v>1.7240022117546605E-2</v>
      </c>
      <c r="DO76" s="849">
        <f t="shared" si="47"/>
        <v>1.2415478493742471E-2</v>
      </c>
      <c r="DP76" s="704"/>
    </row>
    <row r="77" spans="1:132">
      <c r="A77" s="850"/>
      <c r="B77" s="850"/>
      <c r="C77" s="757"/>
      <c r="D77" s="850"/>
      <c r="E77" s="850"/>
      <c r="F77" s="850"/>
      <c r="G77" s="850"/>
      <c r="H77" s="850"/>
      <c r="I77" s="850"/>
      <c r="J77" s="850"/>
      <c r="K77" s="850"/>
      <c r="L77" s="850"/>
      <c r="M77" s="850"/>
      <c r="N77" s="850"/>
      <c r="O77" s="850"/>
      <c r="P77" s="850"/>
      <c r="Q77" s="850"/>
      <c r="R77" s="850"/>
      <c r="S77" s="850"/>
      <c r="T77" s="850"/>
      <c r="U77" s="850"/>
      <c r="V77" s="850"/>
      <c r="W77" s="850"/>
      <c r="X77" s="850"/>
      <c r="Y77" s="850"/>
      <c r="Z77" s="850"/>
      <c r="AA77" s="850"/>
      <c r="AB77" s="850"/>
      <c r="AC77" s="850"/>
      <c r="AD77" s="850"/>
      <c r="AE77" s="850"/>
      <c r="AF77" s="850"/>
      <c r="AG77" s="850"/>
      <c r="AH77" s="850"/>
      <c r="AI77" s="850"/>
      <c r="AJ77" s="850"/>
      <c r="AK77" s="850"/>
      <c r="AL77" s="850"/>
      <c r="AM77" s="850"/>
      <c r="AN77" s="850"/>
      <c r="AO77" s="850"/>
      <c r="AP77" s="850"/>
      <c r="AQ77" s="850"/>
      <c r="AR77" s="850"/>
      <c r="AS77" s="850"/>
      <c r="AT77" s="850"/>
      <c r="AU77" s="850"/>
      <c r="AV77" s="850"/>
      <c r="AW77" s="850"/>
      <c r="AX77" s="850"/>
      <c r="AY77" s="850"/>
      <c r="AZ77" s="850"/>
      <c r="BA77" s="850"/>
      <c r="BB77" s="850"/>
      <c r="BC77" s="850"/>
      <c r="BD77" s="850"/>
      <c r="BE77" s="416"/>
      <c r="BF77" s="851"/>
      <c r="BG77" s="851"/>
      <c r="BH77" s="851"/>
      <c r="BI77" s="851"/>
      <c r="BJ77" s="850"/>
      <c r="BK77" s="851"/>
      <c r="BL77" s="851"/>
      <c r="BM77" s="851"/>
      <c r="BN77" s="851"/>
      <c r="BO77" s="850"/>
      <c r="BP77" s="851"/>
      <c r="BQ77" s="851"/>
      <c r="BR77" s="851"/>
      <c r="BS77" s="851"/>
      <c r="BT77" s="850"/>
      <c r="BU77" s="851"/>
      <c r="BV77" s="851"/>
      <c r="BW77" s="851"/>
      <c r="BX77" s="851"/>
      <c r="BY77" s="850"/>
      <c r="BZ77" s="703"/>
      <c r="CA77" s="703"/>
      <c r="CB77" s="703"/>
      <c r="CC77" s="703"/>
      <c r="CD77" s="851"/>
      <c r="CE77" s="851"/>
      <c r="CF77" s="851"/>
      <c r="CG77" s="851"/>
      <c r="CH77" s="851"/>
      <c r="CI77" s="851"/>
      <c r="CJ77" s="851"/>
      <c r="CK77" s="851"/>
      <c r="CL77" s="851"/>
      <c r="CM77" s="851"/>
      <c r="CN77" s="851"/>
      <c r="CO77" s="852"/>
      <c r="CP77" s="852"/>
      <c r="CQ77" s="852"/>
      <c r="CR77" s="852"/>
      <c r="CS77" s="852"/>
      <c r="CT77" s="850"/>
      <c r="CU77" s="850"/>
      <c r="CV77" s="850"/>
      <c r="CW77" s="850"/>
      <c r="CX77" s="850"/>
      <c r="CY77" s="850"/>
      <c r="CZ77" s="850"/>
      <c r="DA77" s="850"/>
      <c r="DB77" s="850"/>
      <c r="DC77" s="850"/>
      <c r="DD77" s="850"/>
      <c r="DE77" s="850"/>
      <c r="DF77" s="850"/>
      <c r="DG77" s="850"/>
      <c r="DH77" s="850"/>
      <c r="DI77" s="850"/>
      <c r="DJ77" s="850"/>
      <c r="DK77" s="850"/>
      <c r="DL77" s="850"/>
      <c r="DM77" s="850"/>
      <c r="DN77" s="850"/>
      <c r="DO77" s="850"/>
      <c r="DP77" s="704"/>
    </row>
    <row r="78" spans="1:132">
      <c r="A78" s="712"/>
      <c r="B78" s="712"/>
      <c r="C78" s="726"/>
      <c r="D78" s="853"/>
      <c r="E78" s="853"/>
      <c r="F78" s="726"/>
      <c r="G78" s="853"/>
      <c r="H78" s="726"/>
      <c r="I78" s="726"/>
      <c r="J78" s="726"/>
      <c r="K78" s="726"/>
      <c r="L78" s="853"/>
      <c r="M78" s="726"/>
      <c r="N78" s="726"/>
      <c r="O78" s="726"/>
      <c r="P78" s="726"/>
      <c r="Q78" s="853"/>
      <c r="R78" s="726"/>
      <c r="S78" s="726"/>
      <c r="T78" s="726"/>
      <c r="U78" s="726"/>
      <c r="V78" s="853"/>
      <c r="W78" s="726"/>
      <c r="X78" s="726"/>
      <c r="Y78" s="726"/>
      <c r="Z78" s="726"/>
      <c r="AA78" s="853"/>
      <c r="AB78" s="726"/>
      <c r="AC78" s="726"/>
      <c r="AD78" s="726"/>
      <c r="AE78" s="726"/>
      <c r="AF78" s="853"/>
      <c r="AG78" s="726"/>
      <c r="AH78" s="726"/>
      <c r="AI78" s="726"/>
      <c r="AJ78" s="726"/>
      <c r="AK78" s="726"/>
      <c r="AL78" s="726"/>
      <c r="AM78" s="726"/>
      <c r="AN78" s="726"/>
      <c r="AO78" s="726"/>
      <c r="AP78" s="726"/>
      <c r="AQ78" s="726"/>
      <c r="AR78" s="726"/>
      <c r="AS78" s="726"/>
      <c r="AT78" s="726"/>
      <c r="AU78" s="726"/>
      <c r="AV78" s="726"/>
      <c r="AW78" s="726"/>
      <c r="AX78" s="726"/>
      <c r="AY78" s="726"/>
      <c r="AZ78" s="726"/>
      <c r="BA78" s="726"/>
      <c r="BB78" s="726"/>
      <c r="BC78" s="726"/>
      <c r="BD78" s="726"/>
      <c r="BE78" s="726"/>
      <c r="BF78" s="853"/>
      <c r="BG78" s="853"/>
      <c r="BH78" s="853"/>
      <c r="BI78" s="853"/>
      <c r="BJ78" s="853"/>
      <c r="BK78" s="853"/>
      <c r="BL78" s="726"/>
      <c r="BM78" s="726"/>
      <c r="BN78" s="726"/>
      <c r="BO78" s="853"/>
      <c r="BP78" s="853"/>
      <c r="BQ78" s="853"/>
      <c r="BR78" s="853"/>
      <c r="BS78" s="853"/>
      <c r="BT78" s="853"/>
      <c r="BU78" s="853"/>
      <c r="BV78" s="726"/>
      <c r="BW78" s="726"/>
      <c r="BX78" s="726"/>
      <c r="BY78" s="853"/>
      <c r="BZ78" s="703"/>
      <c r="CA78" s="703"/>
      <c r="CB78" s="703"/>
      <c r="CC78" s="703"/>
      <c r="CD78" s="726"/>
      <c r="CE78" s="853"/>
      <c r="CF78" s="853"/>
      <c r="CG78" s="853"/>
      <c r="CH78" s="853"/>
      <c r="CI78" s="853"/>
      <c r="CJ78" s="853"/>
      <c r="CK78" s="854"/>
      <c r="CL78" s="854"/>
      <c r="CM78" s="854"/>
      <c r="CN78" s="854"/>
      <c r="CO78" s="854"/>
      <c r="CP78" s="854"/>
      <c r="CQ78" s="854"/>
      <c r="CR78" s="854"/>
      <c r="CS78" s="854"/>
      <c r="CT78" s="854"/>
      <c r="CU78" s="854"/>
      <c r="CV78" s="854"/>
      <c r="CW78" s="854"/>
      <c r="CX78" s="854"/>
      <c r="CY78" s="854"/>
      <c r="CZ78" s="854"/>
      <c r="DA78" s="854"/>
      <c r="DB78" s="854"/>
      <c r="DC78" s="854"/>
      <c r="DD78" s="854"/>
      <c r="DE78" s="853"/>
      <c r="DF78" s="853"/>
      <c r="DG78" s="853"/>
      <c r="DH78" s="853"/>
      <c r="DI78" s="853"/>
      <c r="DJ78" s="853"/>
      <c r="DK78" s="853"/>
      <c r="DL78" s="853"/>
      <c r="DM78" s="853"/>
      <c r="DN78" s="853"/>
      <c r="DO78" s="853"/>
      <c r="DP78" s="704"/>
    </row>
    <row r="79" spans="1:132">
      <c r="A79" s="855" t="s">
        <v>428</v>
      </c>
      <c r="B79" s="856"/>
      <c r="C79" s="856"/>
      <c r="D79" s="856"/>
      <c r="E79" s="857"/>
      <c r="F79" s="857"/>
      <c r="G79" s="857"/>
      <c r="H79" s="857"/>
      <c r="I79" s="857"/>
      <c r="J79" s="857"/>
      <c r="K79" s="857"/>
      <c r="L79" s="857"/>
      <c r="M79" s="857"/>
      <c r="N79" s="857"/>
      <c r="O79" s="857"/>
      <c r="P79" s="857"/>
      <c r="Q79" s="857"/>
      <c r="R79" s="857"/>
      <c r="S79" s="857"/>
      <c r="T79" s="857"/>
      <c r="U79" s="858" t="str">
        <f>CT5</f>
        <v>2001A</v>
      </c>
      <c r="V79" s="859"/>
      <c r="W79" s="858" t="str">
        <f>CU5</f>
        <v>2002A</v>
      </c>
      <c r="X79" s="858" t="str">
        <f>CV5</f>
        <v>2003A</v>
      </c>
      <c r="Y79" s="858" t="str">
        <f>CW5</f>
        <v>2004A</v>
      </c>
      <c r="Z79" s="858" t="str">
        <f>CX5</f>
        <v>2005A</v>
      </c>
      <c r="AA79" s="857"/>
      <c r="AB79" s="858" t="str">
        <f>CY5</f>
        <v>2006A</v>
      </c>
      <c r="AC79" s="857"/>
      <c r="AD79" s="857"/>
      <c r="AE79" s="857"/>
      <c r="AF79" s="857"/>
      <c r="AG79" s="857"/>
      <c r="AH79" s="857"/>
      <c r="AI79" s="857"/>
      <c r="AJ79" s="857"/>
      <c r="AK79" s="857"/>
      <c r="AL79" s="857"/>
      <c r="AM79" s="857"/>
      <c r="AN79" s="857"/>
      <c r="AO79" s="857"/>
      <c r="AP79" s="857"/>
      <c r="AQ79" s="858" t="str">
        <f>DA5</f>
        <v>2008A</v>
      </c>
      <c r="AR79" s="859"/>
      <c r="AS79" s="859"/>
      <c r="AT79" s="859"/>
      <c r="AU79" s="858"/>
      <c r="AV79" s="859"/>
      <c r="AW79" s="859"/>
      <c r="AX79" s="859"/>
      <c r="AY79" s="859"/>
      <c r="AZ79" s="858"/>
      <c r="BA79" s="859"/>
      <c r="BB79" s="859"/>
      <c r="BH79" s="860" t="str">
        <f>DB5</f>
        <v>2009A</v>
      </c>
      <c r="BI79" s="860">
        <f>DC5</f>
        <v>2010</v>
      </c>
      <c r="BJ79" s="858"/>
      <c r="BK79" s="860">
        <f>DD5</f>
        <v>2011</v>
      </c>
      <c r="BL79" s="858" t="str">
        <f>DE5</f>
        <v>2012A</v>
      </c>
      <c r="BM79" s="858" t="str">
        <f>DF5</f>
        <v>2013A</v>
      </c>
      <c r="BN79" s="861" t="str">
        <f>DG5</f>
        <v>2014A</v>
      </c>
      <c r="BO79" s="862"/>
      <c r="BP79" s="858"/>
      <c r="BQ79" s="858"/>
      <c r="BR79" s="858"/>
      <c r="BS79" s="861"/>
      <c r="BT79" s="1599"/>
      <c r="BU79" s="858" t="s">
        <v>85</v>
      </c>
      <c r="BV79" s="862"/>
      <c r="BW79" s="862"/>
      <c r="BX79" s="862"/>
      <c r="BY79" s="862"/>
      <c r="BZ79" s="858" t="s">
        <v>680</v>
      </c>
      <c r="CA79" s="858" t="s">
        <v>688</v>
      </c>
      <c r="CB79" s="858" t="s">
        <v>730</v>
      </c>
      <c r="CC79" s="861" t="s">
        <v>128</v>
      </c>
      <c r="CD79" s="862"/>
      <c r="CE79" s="862"/>
      <c r="CF79" s="1740"/>
      <c r="CG79" s="862"/>
      <c r="CH79" s="416"/>
      <c r="CI79" s="862"/>
      <c r="CJ79" s="862"/>
      <c r="CK79" s="863" t="s">
        <v>68</v>
      </c>
      <c r="CL79" s="862"/>
      <c r="CM79" s="416"/>
      <c r="CN79" s="862"/>
      <c r="CO79" s="703"/>
      <c r="CP79" s="703"/>
      <c r="CQ79" s="703"/>
      <c r="CR79" s="703"/>
      <c r="CS79" s="703"/>
      <c r="CT79" s="862"/>
      <c r="CU79" s="862"/>
      <c r="CV79" s="862"/>
      <c r="CW79" s="862"/>
      <c r="CX79" s="862"/>
      <c r="CY79" s="862"/>
      <c r="CZ79" s="862"/>
      <c r="DA79" s="862"/>
      <c r="DB79" s="862"/>
      <c r="DC79" s="862">
        <f>DC5</f>
        <v>2010</v>
      </c>
      <c r="DD79" s="862">
        <f>DD5</f>
        <v>2011</v>
      </c>
      <c r="DE79" s="858" t="str">
        <f>DE5</f>
        <v>2012A</v>
      </c>
      <c r="DF79" s="858" t="str">
        <f t="shared" ref="DF79:DK79" si="48">DF5</f>
        <v>2013A</v>
      </c>
      <c r="DG79" s="858" t="str">
        <f t="shared" si="48"/>
        <v>2014A</v>
      </c>
      <c r="DH79" s="858" t="str">
        <f t="shared" si="48"/>
        <v>2015A</v>
      </c>
      <c r="DI79" s="858" t="str">
        <f t="shared" si="48"/>
        <v>2016A</v>
      </c>
      <c r="DJ79" s="858" t="str">
        <f t="shared" si="48"/>
        <v>2017A</v>
      </c>
      <c r="DK79" s="858" t="str">
        <f t="shared" si="48"/>
        <v>2018E</v>
      </c>
      <c r="DL79" s="858" t="str">
        <f>DL5</f>
        <v>2019E</v>
      </c>
      <c r="DM79" s="858" t="str">
        <f>DM5</f>
        <v>2020E</v>
      </c>
      <c r="DN79" s="858" t="str">
        <f>DN5</f>
        <v>2021E</v>
      </c>
      <c r="DO79" s="861" t="str">
        <f>DO5</f>
        <v>2022E</v>
      </c>
      <c r="DP79" s="704"/>
    </row>
    <row r="80" spans="1:132">
      <c r="A80" s="864" t="s">
        <v>431</v>
      </c>
      <c r="B80" s="865"/>
      <c r="C80" s="865"/>
      <c r="D80" s="760"/>
      <c r="E80" s="703"/>
      <c r="F80" s="703"/>
      <c r="G80" s="703"/>
      <c r="H80" s="703"/>
      <c r="I80" s="703"/>
      <c r="J80" s="703"/>
      <c r="K80" s="703"/>
      <c r="L80" s="703"/>
      <c r="M80" s="703"/>
      <c r="N80" s="703"/>
      <c r="O80" s="703"/>
      <c r="P80" s="703"/>
      <c r="Q80" s="703"/>
      <c r="R80" s="703"/>
      <c r="S80" s="703"/>
      <c r="T80" s="703"/>
      <c r="U80" s="866">
        <f>turn!R64</f>
        <v>5.1846890268421264</v>
      </c>
      <c r="V80" s="416"/>
      <c r="W80" s="866">
        <f>turn!R71</f>
        <v>5.5700589083144942</v>
      </c>
      <c r="X80" s="867">
        <f>+turn!R78</f>
        <v>5.5022570906327664</v>
      </c>
      <c r="Y80" s="867">
        <f>+turn!$R85</f>
        <v>5.3832911559626977</v>
      </c>
      <c r="Z80" s="867">
        <f>+turn!$R92</f>
        <v>4.8023224248891996</v>
      </c>
      <c r="AA80" s="703"/>
      <c r="AB80" s="867">
        <f>+turn!$R99</f>
        <v>5.0162991619984805</v>
      </c>
      <c r="AC80" s="703"/>
      <c r="AD80" s="703"/>
      <c r="AE80" s="703"/>
      <c r="AF80" s="703"/>
      <c r="AG80" s="703"/>
      <c r="AH80" s="703"/>
      <c r="AI80" s="703"/>
      <c r="AJ80" s="703"/>
      <c r="AK80" s="703"/>
      <c r="AL80" s="703"/>
      <c r="AM80" s="703"/>
      <c r="AN80" s="703"/>
      <c r="AO80" s="703"/>
      <c r="AP80" s="703"/>
      <c r="AQ80" s="867">
        <f>turn!$R$113</f>
        <v>5.4318041839291249</v>
      </c>
      <c r="AR80" s="416"/>
      <c r="AS80" s="416"/>
      <c r="AT80" s="416"/>
      <c r="AU80" s="868"/>
      <c r="AV80" s="416"/>
      <c r="AW80" s="416"/>
      <c r="AX80" s="416"/>
      <c r="AY80" s="416"/>
      <c r="AZ80" s="868"/>
      <c r="BA80" s="416"/>
      <c r="BB80" s="416"/>
      <c r="BH80" s="867">
        <f>turn!$R$120</f>
        <v>5.6222493977050556</v>
      </c>
      <c r="BI80" s="867">
        <f>turn!$R$127</f>
        <v>5.5595884186499163</v>
      </c>
      <c r="BJ80" s="868"/>
      <c r="BK80" s="867">
        <f>turn!$R$134</f>
        <v>5.4935509053250247</v>
      </c>
      <c r="BL80" s="867">
        <f>turn!$R$141</f>
        <v>5.4924938931850518</v>
      </c>
      <c r="BM80" s="867">
        <f>turn!$R$148</f>
        <v>5.5964757248251527</v>
      </c>
      <c r="BN80" s="869">
        <f>turn!$R$155</f>
        <v>5.6795779209619726</v>
      </c>
      <c r="BO80" s="868"/>
      <c r="BP80" s="867"/>
      <c r="BQ80" s="867"/>
      <c r="BR80" s="867"/>
      <c r="BS80" s="869"/>
      <c r="BT80" s="1600"/>
      <c r="BU80" s="867">
        <f>turn!R148</f>
        <v>5.5964757248251527</v>
      </c>
      <c r="BY80" s="868"/>
      <c r="BZ80" s="867">
        <f>turn!R155</f>
        <v>5.6795779209619726</v>
      </c>
      <c r="CA80" s="867">
        <f>turn!R162</f>
        <v>5.7218664670299741</v>
      </c>
      <c r="CB80" s="867">
        <f>turn!R169</f>
        <v>6.0630854266282892</v>
      </c>
      <c r="CC80" s="869">
        <f>turn!R176</f>
        <v>6.3939653274818653</v>
      </c>
      <c r="CD80" s="868"/>
      <c r="CE80" s="868"/>
      <c r="CF80" s="1741"/>
      <c r="CG80" s="868"/>
      <c r="CH80" s="416"/>
      <c r="CI80" s="868"/>
      <c r="CJ80" s="868"/>
      <c r="CK80" s="870" t="s">
        <v>429</v>
      </c>
      <c r="CL80" s="868"/>
      <c r="CM80" s="416"/>
      <c r="CN80" s="868"/>
      <c r="CO80" s="703"/>
      <c r="CP80" s="703"/>
      <c r="CQ80" s="703"/>
      <c r="CR80" s="703"/>
      <c r="CS80" s="703"/>
      <c r="CT80" s="868"/>
      <c r="CU80" s="868"/>
      <c r="CV80" s="868"/>
      <c r="CW80" s="868"/>
      <c r="CX80" s="868"/>
      <c r="CY80" s="868"/>
      <c r="CZ80" s="868"/>
      <c r="DA80" s="868"/>
      <c r="DB80" s="868"/>
      <c r="DC80" s="868">
        <f>yrSales!R26</f>
        <v>372</v>
      </c>
      <c r="DD80" s="868">
        <f>yrSales!S26</f>
        <v>429</v>
      </c>
      <c r="DE80" s="868">
        <f>yrSales!T26</f>
        <v>476</v>
      </c>
      <c r="DF80" s="868">
        <f>yrSales!U26</f>
        <v>511</v>
      </c>
      <c r="DG80" s="868">
        <f>yrSales!V26</f>
        <v>546</v>
      </c>
      <c r="DH80" s="868">
        <f>yrSales!W26</f>
        <v>572</v>
      </c>
      <c r="DI80" s="868">
        <f>yrSales!X26</f>
        <v>594</v>
      </c>
      <c r="DJ80" s="868">
        <f>yrSales!Y26</f>
        <v>603</v>
      </c>
      <c r="DK80" s="868">
        <f>yrSales!Z26</f>
        <v>606</v>
      </c>
      <c r="DL80" s="868">
        <f>yrSales!AA26</f>
        <v>618</v>
      </c>
      <c r="DM80" s="868">
        <f>yrSales!AB26</f>
        <v>630</v>
      </c>
      <c r="DN80" s="868">
        <f>yrSales!AC26</f>
        <v>636</v>
      </c>
      <c r="DO80" s="871">
        <f>yrSales!AD26</f>
        <v>642</v>
      </c>
      <c r="DP80" s="704"/>
    </row>
    <row r="81" spans="1:120">
      <c r="A81" s="872" t="s">
        <v>433</v>
      </c>
      <c r="B81" s="873"/>
      <c r="C81" s="873"/>
      <c r="D81" s="796"/>
      <c r="E81" s="703"/>
      <c r="F81" s="703"/>
      <c r="G81" s="703"/>
      <c r="H81" s="703"/>
      <c r="I81" s="703"/>
      <c r="J81" s="703"/>
      <c r="K81" s="703"/>
      <c r="L81" s="703"/>
      <c r="M81" s="703"/>
      <c r="N81" s="703"/>
      <c r="O81" s="703"/>
      <c r="P81" s="703"/>
      <c r="Q81" s="703"/>
      <c r="R81" s="703"/>
      <c r="S81" s="703"/>
      <c r="T81" s="703"/>
      <c r="U81" s="874">
        <f>bal!S34/bal!S12</f>
        <v>0.50718006133476123</v>
      </c>
      <c r="V81" s="416"/>
      <c r="W81" s="874">
        <f>bal!U34/bal!U12</f>
        <v>0.39295442908346134</v>
      </c>
      <c r="X81" s="874">
        <f>bal!W34/bal!W12</f>
        <v>0.43247901086217533</v>
      </c>
      <c r="Y81" s="874">
        <f>bal!Y34/bal!Y12</f>
        <v>0.39498565598610041</v>
      </c>
      <c r="Z81" s="874">
        <f>bal!AA34/bal!AA12</f>
        <v>0.29414362751732831</v>
      </c>
      <c r="AA81" s="703"/>
      <c r="AB81" s="874">
        <f>bal!AC34/bal!AC12</f>
        <v>0.3752518022890528</v>
      </c>
      <c r="AC81" s="703"/>
      <c r="AD81" s="703"/>
      <c r="AE81" s="703"/>
      <c r="AF81" s="703"/>
      <c r="AG81" s="703"/>
      <c r="AH81" s="703"/>
      <c r="AI81" s="703"/>
      <c r="AJ81" s="703"/>
      <c r="AK81" s="703"/>
      <c r="AL81" s="703"/>
      <c r="AM81" s="703"/>
      <c r="AN81" s="703"/>
      <c r="AO81" s="703"/>
      <c r="AP81" s="703"/>
      <c r="AQ81" s="874">
        <f>bal!AG34/bal!AG12</f>
        <v>0.37098256903440224</v>
      </c>
      <c r="AR81" s="416"/>
      <c r="AS81" s="416"/>
      <c r="AT81" s="416"/>
      <c r="AU81" s="703"/>
      <c r="AV81" s="416"/>
      <c r="AW81" s="416"/>
      <c r="AX81" s="416"/>
      <c r="AY81" s="416"/>
      <c r="AZ81" s="703"/>
      <c r="BA81" s="416"/>
      <c r="BB81" s="416"/>
      <c r="BH81" s="874">
        <f>bal!AI34/bal!AI12</f>
        <v>0.41928222210283134</v>
      </c>
      <c r="BI81" s="874">
        <f>bal!AK34/bal!AK12</f>
        <v>0.36114148309164013</v>
      </c>
      <c r="BJ81" s="703"/>
      <c r="BK81" s="874">
        <f>bal!AM34/bal!AM12</f>
        <v>0.38290419197594305</v>
      </c>
      <c r="BL81" s="874">
        <f>bal!AO34/bal!AO12</f>
        <v>0.35076183293143681</v>
      </c>
      <c r="BM81" s="874">
        <f>bal!AQ34/bal!AQ12</f>
        <v>0.44033713894610343</v>
      </c>
      <c r="BN81" s="869">
        <f>bal!AS34/bal!AS12</f>
        <v>0.43571713697915065</v>
      </c>
      <c r="BO81" s="703"/>
      <c r="BP81" s="874"/>
      <c r="BQ81" s="874"/>
      <c r="BR81" s="874"/>
      <c r="BS81" s="875"/>
      <c r="BT81" s="899"/>
      <c r="BU81" s="874">
        <f>bal!AQ34/bal!AQ12</f>
        <v>0.44033713894610343</v>
      </c>
      <c r="BY81" s="703"/>
      <c r="BZ81" s="874">
        <f>bal!AS34/bal!AS12</f>
        <v>0.43571713697915065</v>
      </c>
      <c r="CA81" s="1598">
        <f>bal!AU34/bal!AU12</f>
        <v>0.35744027520796551</v>
      </c>
      <c r="CB81" s="1598">
        <f>bal!AW34/bal!AW12</f>
        <v>0.35304350394282175</v>
      </c>
      <c r="CC81" s="875">
        <f>bal!AY34/bal!AY12</f>
        <v>0.36496250658091328</v>
      </c>
      <c r="CD81" s="703"/>
      <c r="CE81" s="703"/>
      <c r="CF81" s="1742"/>
      <c r="CG81" s="703"/>
      <c r="CH81" s="416"/>
      <c r="CI81" s="703"/>
      <c r="CJ81" s="703"/>
      <c r="CK81" s="876" t="s">
        <v>489</v>
      </c>
      <c r="CL81" s="703"/>
      <c r="CM81" s="416"/>
      <c r="CN81" s="703"/>
      <c r="CO81" s="703"/>
      <c r="CP81" s="703"/>
      <c r="CQ81" s="703"/>
      <c r="CR81" s="703"/>
      <c r="CS81" s="703"/>
      <c r="CT81" s="868"/>
      <c r="CU81" s="868"/>
      <c r="CV81" s="868"/>
      <c r="CW81" s="868"/>
      <c r="CX81" s="868"/>
      <c r="CY81" s="868"/>
      <c r="CZ81" s="868"/>
      <c r="DA81" s="868"/>
      <c r="DB81" s="868"/>
      <c r="DC81" s="868">
        <f>+yrSales!R27</f>
        <v>176</v>
      </c>
      <c r="DD81" s="868">
        <f>+yrSales!S27</f>
        <v>197</v>
      </c>
      <c r="DE81" s="868">
        <f>+yrSales!T27</f>
        <v>215</v>
      </c>
      <c r="DF81" s="868">
        <f>+yrSales!U27</f>
        <v>230</v>
      </c>
      <c r="DG81" s="868">
        <f>+yrSales!V27</f>
        <v>238</v>
      </c>
      <c r="DH81" s="868">
        <f>+yrSales!W27</f>
        <v>240</v>
      </c>
      <c r="DI81" s="868">
        <f>+yrSales!X27</f>
        <v>242</v>
      </c>
      <c r="DJ81" s="868">
        <f>+yrSales!Y27</f>
        <v>245</v>
      </c>
      <c r="DK81" s="868">
        <f>+yrSales!Z27</f>
        <v>245</v>
      </c>
      <c r="DL81" s="868">
        <f>+yrSales!AA27</f>
        <v>247</v>
      </c>
      <c r="DM81" s="868">
        <f>+yrSales!AB27</f>
        <v>249</v>
      </c>
      <c r="DN81" s="868">
        <f>+yrSales!AC27</f>
        <v>249</v>
      </c>
      <c r="DO81" s="871">
        <f>+yrSales!AD27</f>
        <v>249</v>
      </c>
      <c r="DP81" s="704"/>
    </row>
    <row r="82" spans="1:120">
      <c r="A82" s="877" t="s">
        <v>434</v>
      </c>
      <c r="B82" s="878"/>
      <c r="C82" s="878"/>
      <c r="D82" s="712"/>
      <c r="E82" s="703"/>
      <c r="F82" s="703"/>
      <c r="G82" s="703"/>
      <c r="H82" s="703"/>
      <c r="I82" s="703"/>
      <c r="J82" s="703"/>
      <c r="K82" s="703"/>
      <c r="L82" s="703"/>
      <c r="M82" s="703"/>
      <c r="N82" s="703"/>
      <c r="O82" s="703"/>
      <c r="P82" s="703"/>
      <c r="Q82" s="703"/>
      <c r="R82" s="703"/>
      <c r="S82" s="703"/>
      <c r="T82" s="703"/>
      <c r="U82" s="879">
        <v>0</v>
      </c>
      <c r="V82" s="416"/>
      <c r="W82" s="879">
        <v>0</v>
      </c>
      <c r="X82" s="879">
        <v>0</v>
      </c>
      <c r="Y82" s="879">
        <v>0</v>
      </c>
      <c r="Z82" s="879">
        <v>0</v>
      </c>
      <c r="AA82" s="703"/>
      <c r="AB82" s="879">
        <v>0</v>
      </c>
      <c r="AC82" s="703"/>
      <c r="AD82" s="703"/>
      <c r="AE82" s="703"/>
      <c r="AF82" s="703"/>
      <c r="AG82" s="703"/>
      <c r="AH82" s="703"/>
      <c r="AI82" s="703"/>
      <c r="AJ82" s="703"/>
      <c r="AK82" s="703"/>
      <c r="AL82" s="703"/>
      <c r="AM82" s="703"/>
      <c r="AN82" s="703"/>
      <c r="AO82" s="703"/>
      <c r="AP82" s="703"/>
      <c r="AQ82" s="879">
        <v>0</v>
      </c>
      <c r="AR82" s="416"/>
      <c r="AS82" s="416"/>
      <c r="AT82" s="416"/>
      <c r="AU82" s="703"/>
      <c r="AV82" s="416"/>
      <c r="AW82" s="416"/>
      <c r="AX82" s="416"/>
      <c r="AY82" s="416"/>
      <c r="AZ82" s="703"/>
      <c r="BA82" s="416"/>
      <c r="BB82" s="416"/>
      <c r="BH82" s="880">
        <v>0</v>
      </c>
      <c r="BI82" s="880">
        <v>0</v>
      </c>
      <c r="BJ82" s="703"/>
      <c r="BK82" s="880">
        <v>0</v>
      </c>
      <c r="BL82" s="880">
        <v>0</v>
      </c>
      <c r="BM82" s="880">
        <v>0</v>
      </c>
      <c r="BN82" s="881">
        <v>0</v>
      </c>
      <c r="BO82" s="703"/>
      <c r="BP82" s="880"/>
      <c r="BQ82" s="880"/>
      <c r="BR82" s="880"/>
      <c r="BS82" s="881"/>
      <c r="BT82" s="899"/>
      <c r="BU82" s="880">
        <f>dtc!AN29/dtc!AN47</f>
        <v>0</v>
      </c>
      <c r="BY82" s="703"/>
      <c r="BZ82" s="880">
        <v>0</v>
      </c>
      <c r="CA82" s="874">
        <v>0</v>
      </c>
      <c r="CB82" s="874">
        <v>0</v>
      </c>
      <c r="CC82" s="881">
        <v>0</v>
      </c>
      <c r="CD82" s="703"/>
      <c r="CE82" s="703"/>
      <c r="CF82" s="1742"/>
      <c r="CG82" s="703"/>
      <c r="CH82" s="416"/>
      <c r="CI82" s="703"/>
      <c r="CJ82" s="703"/>
      <c r="CK82" s="876" t="s">
        <v>490</v>
      </c>
      <c r="CL82" s="703"/>
      <c r="CM82" s="416"/>
      <c r="CN82" s="703"/>
      <c r="CO82" s="703"/>
      <c r="CP82" s="703"/>
      <c r="CQ82" s="703"/>
      <c r="CR82" s="703"/>
      <c r="CS82" s="703"/>
      <c r="CT82" s="868"/>
      <c r="CU82" s="868"/>
      <c r="CV82" s="868"/>
      <c r="CW82" s="868"/>
      <c r="CX82" s="868"/>
      <c r="CY82" s="868"/>
      <c r="CZ82" s="868"/>
      <c r="DA82" s="868"/>
      <c r="DB82" s="868"/>
      <c r="DC82" s="868">
        <f>+yrSales!R28</f>
        <v>153</v>
      </c>
      <c r="DD82" s="868">
        <f>+yrSales!S28</f>
        <v>168</v>
      </c>
      <c r="DE82" s="868">
        <f>+yrSales!T28</f>
        <v>180</v>
      </c>
      <c r="DF82" s="868">
        <f>+yrSales!U28</f>
        <v>187</v>
      </c>
      <c r="DG82" s="868">
        <f>+yrSales!V28</f>
        <v>204</v>
      </c>
      <c r="DH82" s="868">
        <f>+yrSales!W28</f>
        <v>218</v>
      </c>
      <c r="DI82" s="868">
        <f>+yrSales!X28</f>
        <v>225</v>
      </c>
      <c r="DJ82" s="868">
        <f>+yrSales!Y28</f>
        <v>226</v>
      </c>
      <c r="DK82" s="868">
        <f>+yrSales!Z28</f>
        <v>229</v>
      </c>
      <c r="DL82" s="868">
        <f>+yrSales!AA28</f>
        <v>233</v>
      </c>
      <c r="DM82" s="868">
        <f>+yrSales!AB28</f>
        <v>237</v>
      </c>
      <c r="DN82" s="868">
        <f>+yrSales!AC28</f>
        <v>239</v>
      </c>
      <c r="DO82" s="871">
        <f>+yrSales!AD28</f>
        <v>241</v>
      </c>
      <c r="DP82" s="704"/>
    </row>
    <row r="83" spans="1:120">
      <c r="A83" s="882" t="s">
        <v>44</v>
      </c>
      <c r="B83" s="883"/>
      <c r="C83" s="883"/>
      <c r="D83" s="843"/>
      <c r="E83" s="703"/>
      <c r="F83" s="703"/>
      <c r="G83" s="703"/>
      <c r="H83" s="703"/>
      <c r="I83" s="703"/>
      <c r="J83" s="703"/>
      <c r="K83" s="703"/>
      <c r="L83" s="703"/>
      <c r="M83" s="703"/>
      <c r="N83" s="703"/>
      <c r="O83" s="703"/>
      <c r="P83" s="703"/>
      <c r="Q83" s="703"/>
      <c r="R83" s="703"/>
      <c r="S83" s="703"/>
      <c r="T83" s="703"/>
      <c r="U83" s="884">
        <f>flow!P10/((bal!S50+bal!Q50)/2)</f>
        <v>0.10894373865698723</v>
      </c>
      <c r="V83" s="416"/>
      <c r="W83" s="884">
        <f>flow!R10/((bal!U50+bal!S50)/2)</f>
        <v>0.14806912737358646</v>
      </c>
      <c r="X83" s="884">
        <f>flow!T10/((bal!W50+bal!U50)/2)</f>
        <v>0.18804505213647807</v>
      </c>
      <c r="Y83" s="884">
        <f>flow!V10/((bal!Y50+bal!W50)/2)</f>
        <v>0.26138763154017886</v>
      </c>
      <c r="Z83" s="884">
        <f>flow!X10/((bal!Y50+bal!AA50)/2)</f>
        <v>0.27160780958630454</v>
      </c>
      <c r="AA83" s="703"/>
      <c r="AB83" s="884">
        <f>flow!Z10/((bal!AA50+bal!AC50)/2)</f>
        <v>0.18801080440039092</v>
      </c>
      <c r="AC83" s="703"/>
      <c r="AD83" s="703"/>
      <c r="AE83" s="703"/>
      <c r="AF83" s="703"/>
      <c r="AG83" s="703"/>
      <c r="AH83" s="703"/>
      <c r="AI83" s="703"/>
      <c r="AJ83" s="703"/>
      <c r="AK83" s="703"/>
      <c r="AL83" s="703"/>
      <c r="AM83" s="703"/>
      <c r="AN83" s="703"/>
      <c r="AO83" s="703"/>
      <c r="AP83" s="703"/>
      <c r="AQ83" s="884">
        <f>flow!AD10/((bal!AE50+bal!AG50)/2)</f>
        <v>0.20906393960589453</v>
      </c>
      <c r="AR83" s="416"/>
      <c r="AS83" s="416"/>
      <c r="AT83" s="416"/>
      <c r="AU83" s="703"/>
      <c r="AV83" s="416"/>
      <c r="AW83" s="416"/>
      <c r="AX83" s="416"/>
      <c r="AY83" s="416"/>
      <c r="AZ83" s="703"/>
      <c r="BA83" s="416"/>
      <c r="BB83" s="416"/>
      <c r="BH83" s="884">
        <f>flow!AF10/((bal!AG50+bal!AI50)/2)</f>
        <v>0.18709918955138158</v>
      </c>
      <c r="BI83" s="884">
        <f>flow!AH10/((bal!AI50+bal!AK50)/2)</f>
        <v>0.20156975368152164</v>
      </c>
      <c r="BJ83" s="703"/>
      <c r="BK83" s="884">
        <f>flow!AJ10/((bal!AK50+bal!AM50)/2)</f>
        <v>0.14952764854210368</v>
      </c>
      <c r="BL83" s="884">
        <f>flow!AL10/((bal!AM50+bal!AO50)/2)</f>
        <v>0.19605792331307614</v>
      </c>
      <c r="BM83" s="884">
        <f>flow!AN10/((bal!AO50+bal!AQ50)/2)</f>
        <v>0.18525344418940431</v>
      </c>
      <c r="BN83" s="885">
        <f>flow!AP10/((bal!AQ50+bal!AS50)/2)</f>
        <v>0.15381451595024662</v>
      </c>
      <c r="BO83" s="703"/>
      <c r="BP83" s="884"/>
      <c r="BQ83" s="884"/>
      <c r="BR83" s="884"/>
      <c r="BS83" s="885"/>
      <c r="BT83" s="899"/>
      <c r="BU83" s="884">
        <f>flow!AN10/AVERAGE(bal!AQ50,bal!AO50)</f>
        <v>0.18525344418940431</v>
      </c>
      <c r="BY83" s="703"/>
      <c r="BZ83" s="884">
        <f>flow!AP10/AVERAGE(bal!AS50,bal!AQ50)</f>
        <v>0.15381451595024662</v>
      </c>
      <c r="CA83" s="880">
        <f>flow!AR10/AVERAGE(bal!AU50,bal!AS50)</f>
        <v>0.18212093260221782</v>
      </c>
      <c r="CB83" s="880">
        <f>flow!AT10/AVERAGE(bal!AW50,bal!AU50)</f>
        <v>0.17802902153823025</v>
      </c>
      <c r="CC83" s="885">
        <f>flow!AT10/AVERAGE(bal!AY50,bal!AW50)</f>
        <v>0.15691194754991525</v>
      </c>
      <c r="CD83" s="703"/>
      <c r="CE83" s="703"/>
      <c r="CF83" s="1742"/>
      <c r="CG83" s="703"/>
      <c r="CH83" s="416"/>
      <c r="CI83" s="703"/>
      <c r="CJ83" s="703"/>
      <c r="CK83" s="876" t="s">
        <v>498</v>
      </c>
      <c r="CL83" s="703"/>
      <c r="CM83" s="416"/>
      <c r="CN83" s="703"/>
      <c r="CO83" s="703"/>
      <c r="CP83" s="703"/>
      <c r="CQ83" s="703"/>
      <c r="CR83" s="703"/>
      <c r="CS83" s="703"/>
      <c r="CT83" s="868"/>
      <c r="CU83" s="868"/>
      <c r="CV83" s="868"/>
      <c r="CW83" s="868"/>
      <c r="CX83" s="868"/>
      <c r="CY83" s="868"/>
      <c r="CZ83" s="868"/>
      <c r="DA83" s="868"/>
      <c r="DB83" s="868"/>
      <c r="DC83" s="868">
        <f>+yrSales!R29</f>
        <v>42</v>
      </c>
      <c r="DD83" s="868">
        <f>+yrSales!S29</f>
        <v>62</v>
      </c>
      <c r="DE83" s="868">
        <f>+yrSales!T29</f>
        <v>77</v>
      </c>
      <c r="DF83" s="868">
        <f>+yrSales!U29</f>
        <v>90</v>
      </c>
      <c r="DG83" s="868">
        <f>+yrSales!V29</f>
        <v>102</v>
      </c>
      <c r="DH83" s="868">
        <f>+yrSales!W29</f>
        <v>114</v>
      </c>
      <c r="DI83" s="868">
        <f>+yrSales!X29</f>
        <v>127</v>
      </c>
      <c r="DJ83" s="868">
        <f>+yrSales!Y29</f>
        <v>132</v>
      </c>
      <c r="DK83" s="868">
        <f>+yrSales!Z29</f>
        <v>132</v>
      </c>
      <c r="DL83" s="868">
        <f>+yrSales!AA29</f>
        <v>138</v>
      </c>
      <c r="DM83" s="868">
        <f>+yrSales!AB29</f>
        <v>144</v>
      </c>
      <c r="DN83" s="868">
        <f>+yrSales!AC29</f>
        <v>148</v>
      </c>
      <c r="DO83" s="871">
        <f>+yrSales!AD29</f>
        <v>152</v>
      </c>
      <c r="DP83" s="704"/>
    </row>
    <row r="84" spans="1:120">
      <c r="A84" s="886" t="s">
        <v>79</v>
      </c>
      <c r="B84" s="887"/>
      <c r="C84" s="887"/>
      <c r="D84" s="888"/>
      <c r="E84" s="889"/>
      <c r="F84" s="889"/>
      <c r="G84" s="889"/>
      <c r="H84" s="889"/>
      <c r="I84" s="889"/>
      <c r="J84" s="889"/>
      <c r="K84" s="889"/>
      <c r="L84" s="889"/>
      <c r="M84" s="889"/>
      <c r="N84" s="889"/>
      <c r="O84" s="889"/>
      <c r="P84" s="889"/>
      <c r="Q84" s="889"/>
      <c r="R84" s="889"/>
      <c r="S84" s="889"/>
      <c r="T84" s="889"/>
      <c r="U84" s="890"/>
      <c r="V84" s="415"/>
      <c r="W84" s="890"/>
      <c r="X84" s="890"/>
      <c r="Y84" s="890"/>
      <c r="Z84" s="890"/>
      <c r="AA84" s="889"/>
      <c r="AB84" s="890"/>
      <c r="AC84" s="889"/>
      <c r="AD84" s="889"/>
      <c r="AE84" s="889"/>
      <c r="AF84" s="889"/>
      <c r="AG84" s="889"/>
      <c r="AH84" s="889"/>
      <c r="AI84" s="889"/>
      <c r="AJ84" s="889"/>
      <c r="AK84" s="889"/>
      <c r="AL84" s="889"/>
      <c r="AM84" s="889"/>
      <c r="AN84" s="889"/>
      <c r="AO84" s="889"/>
      <c r="AP84" s="889"/>
      <c r="AQ84" s="890"/>
      <c r="AR84" s="415"/>
      <c r="AS84" s="415"/>
      <c r="AT84" s="415"/>
      <c r="AU84" s="889"/>
      <c r="AV84" s="415"/>
      <c r="AW84" s="415"/>
      <c r="AX84" s="415"/>
      <c r="AY84" s="415"/>
      <c r="AZ84" s="889"/>
      <c r="BA84" s="415"/>
      <c r="BB84" s="415"/>
      <c r="BH84" s="891">
        <f>flow!AF20</f>
        <v>109.26</v>
      </c>
      <c r="BI84" s="891">
        <f>flow!AH20</f>
        <v>143.642</v>
      </c>
      <c r="BJ84" s="889"/>
      <c r="BK84" s="891">
        <f>flow!AE20</f>
        <v>0</v>
      </c>
      <c r="BL84" s="891">
        <f>flow!AL20</f>
        <v>168.875</v>
      </c>
      <c r="BM84" s="891">
        <f>flow!AN20</f>
        <v>186.101</v>
      </c>
      <c r="BN84" s="892">
        <f>flow!AP20</f>
        <v>229.804</v>
      </c>
      <c r="BO84" s="703"/>
      <c r="BP84" s="891"/>
      <c r="BQ84" s="891"/>
      <c r="BR84" s="891"/>
      <c r="BS84" s="892"/>
      <c r="BT84" s="907"/>
      <c r="BU84" s="891">
        <f>flow!AN20</f>
        <v>186.101</v>
      </c>
      <c r="BY84" s="703"/>
      <c r="BZ84" s="891">
        <f>flow!AP20</f>
        <v>229.804</v>
      </c>
      <c r="CA84" s="891">
        <f>flow!AR20</f>
        <v>134.94999999999999</v>
      </c>
      <c r="CB84" s="891">
        <f>flow!AT20</f>
        <v>143.714</v>
      </c>
      <c r="CC84" s="892">
        <f>flow!AV20</f>
        <v>90</v>
      </c>
      <c r="CD84" s="703"/>
      <c r="CE84" s="703"/>
      <c r="CF84" s="1742"/>
      <c r="CG84" s="703"/>
      <c r="CH84" s="416"/>
      <c r="CI84" s="703"/>
      <c r="CJ84" s="703"/>
      <c r="CK84" s="876" t="s">
        <v>71</v>
      </c>
      <c r="CL84" s="703"/>
      <c r="CM84" s="416"/>
      <c r="CN84" s="703"/>
      <c r="CO84" s="703"/>
      <c r="CP84" s="703"/>
      <c r="CQ84" s="703"/>
      <c r="CR84" s="703"/>
      <c r="CS84" s="703"/>
      <c r="CT84" s="868"/>
      <c r="CU84" s="868"/>
      <c r="CV84" s="868"/>
      <c r="CW84" s="868"/>
      <c r="CX84" s="868"/>
      <c r="CY84" s="868"/>
      <c r="CZ84" s="868"/>
      <c r="DA84" s="868"/>
      <c r="DB84" s="868"/>
      <c r="DC84" s="868"/>
      <c r="DD84" s="868">
        <f>yrSales!S31</f>
        <v>1</v>
      </c>
      <c r="DE84" s="868">
        <f>yrSales!T31</f>
        <v>2</v>
      </c>
      <c r="DF84" s="868">
        <f>yrSales!U31</f>
        <v>2</v>
      </c>
      <c r="DG84" s="868">
        <f>yrSales!V31</f>
        <v>0</v>
      </c>
      <c r="DH84" s="868">
        <f>yrSales!W31</f>
        <v>0</v>
      </c>
      <c r="DI84" s="868">
        <f>yrSales!X31</f>
        <v>0</v>
      </c>
      <c r="DJ84" s="868">
        <f>yrSales!Y31</f>
        <v>0</v>
      </c>
      <c r="DK84" s="868">
        <f>yrSales!Z31</f>
        <v>0</v>
      </c>
      <c r="DL84" s="868">
        <f>yrSales!AA31</f>
        <v>0</v>
      </c>
      <c r="DM84" s="868">
        <f>yrSales!AB31</f>
        <v>0</v>
      </c>
      <c r="DN84" s="868">
        <f>yrSales!AC31</f>
        <v>0</v>
      </c>
      <c r="DO84" s="871">
        <f>yrSales!AD31</f>
        <v>0</v>
      </c>
      <c r="DP84" s="704"/>
    </row>
    <row r="85" spans="1:120">
      <c r="A85" s="883"/>
      <c r="B85" s="883"/>
      <c r="C85" s="883"/>
      <c r="D85" s="843"/>
      <c r="E85" s="703"/>
      <c r="F85" s="703"/>
      <c r="G85" s="703"/>
      <c r="H85" s="703"/>
      <c r="I85" s="703"/>
      <c r="J85" s="703"/>
      <c r="K85" s="703"/>
      <c r="L85" s="703"/>
      <c r="M85" s="703"/>
      <c r="N85" s="703"/>
      <c r="O85" s="703"/>
      <c r="P85" s="703"/>
      <c r="Q85" s="703"/>
      <c r="R85" s="704"/>
      <c r="S85" s="704"/>
      <c r="T85" s="704"/>
      <c r="U85" s="704"/>
      <c r="V85" s="704"/>
      <c r="W85" s="884"/>
      <c r="X85" s="884"/>
      <c r="Y85" s="884"/>
      <c r="Z85" s="884"/>
      <c r="AA85" s="703"/>
      <c r="AB85" s="884"/>
      <c r="AC85" s="704"/>
      <c r="AD85" s="704"/>
      <c r="AE85" s="704"/>
      <c r="AF85" s="703"/>
      <c r="AG85" s="884"/>
      <c r="AH85" s="884"/>
      <c r="AI85" s="884"/>
      <c r="AJ85" s="884"/>
      <c r="AK85" s="703"/>
      <c r="AL85" s="703"/>
      <c r="AM85" s="703"/>
      <c r="AN85" s="703"/>
      <c r="AO85" s="703"/>
      <c r="AP85" s="703"/>
      <c r="AQ85" s="703"/>
      <c r="AR85" s="703"/>
      <c r="AS85" s="703"/>
      <c r="AT85" s="703"/>
      <c r="AU85" s="703"/>
      <c r="AV85" s="703"/>
      <c r="AW85" s="703"/>
      <c r="AX85" s="703"/>
      <c r="AY85" s="703"/>
      <c r="AZ85" s="703"/>
      <c r="BA85" s="703"/>
      <c r="BB85" s="703"/>
      <c r="BH85" s="703"/>
      <c r="BI85" s="703"/>
      <c r="BJ85" s="703"/>
      <c r="BK85" s="416"/>
      <c r="BL85" s="703"/>
      <c r="BM85" s="703"/>
      <c r="BN85" s="703"/>
      <c r="BO85" s="703"/>
      <c r="BP85" s="703"/>
      <c r="BQ85" s="703"/>
      <c r="BR85" s="703"/>
      <c r="BS85" s="416"/>
      <c r="BT85" s="703"/>
      <c r="BU85" s="703"/>
      <c r="BV85" s="703"/>
      <c r="BW85" s="703"/>
      <c r="BX85" s="416"/>
      <c r="BY85" s="703"/>
      <c r="BZ85" s="703"/>
      <c r="CA85" s="703"/>
      <c r="CB85" s="703"/>
      <c r="CC85" s="416"/>
      <c r="CD85" s="703"/>
      <c r="CE85" s="703"/>
      <c r="CF85" s="1742"/>
      <c r="CG85" s="703"/>
      <c r="CH85" s="416"/>
      <c r="CI85" s="703"/>
      <c r="CJ85" s="703"/>
      <c r="CK85" s="876" t="s">
        <v>185</v>
      </c>
      <c r="CL85" s="703"/>
      <c r="CM85" s="416"/>
      <c r="CN85" s="703"/>
      <c r="CO85" s="703"/>
      <c r="CP85" s="703"/>
      <c r="CQ85" s="703"/>
      <c r="CR85" s="703"/>
      <c r="CS85" s="703"/>
      <c r="CT85" s="868"/>
      <c r="CU85" s="868"/>
      <c r="CV85" s="868"/>
      <c r="CW85" s="868"/>
      <c r="CX85" s="868"/>
      <c r="CY85" s="868"/>
      <c r="CZ85" s="868"/>
      <c r="DA85" s="868"/>
      <c r="DB85" s="868"/>
      <c r="DC85" s="868">
        <f>yrSales!R30</f>
        <v>1</v>
      </c>
      <c r="DD85" s="868">
        <f>yrSales!S30</f>
        <v>1</v>
      </c>
      <c r="DE85" s="868">
        <f>yrSales!T30</f>
        <v>2</v>
      </c>
      <c r="DF85" s="868">
        <f>yrSales!U30</f>
        <v>2</v>
      </c>
      <c r="DG85" s="868">
        <f>yrSales!V30</f>
        <v>2</v>
      </c>
      <c r="DH85" s="868">
        <f>yrSales!W30</f>
        <v>0</v>
      </c>
      <c r="DI85" s="868">
        <f>yrSales!X30</f>
        <v>0</v>
      </c>
      <c r="DJ85" s="868">
        <f>yrSales!Y30</f>
        <v>0</v>
      </c>
      <c r="DK85" s="868">
        <f>yrSales!Z30</f>
        <v>0</v>
      </c>
      <c r="DL85" s="868">
        <f>yrSales!AA30</f>
        <v>0</v>
      </c>
      <c r="DM85" s="868">
        <f>yrSales!AB30</f>
        <v>0</v>
      </c>
      <c r="DN85" s="868">
        <f>yrSales!AC30</f>
        <v>0</v>
      </c>
      <c r="DO85" s="871">
        <f>yrSales!AD30</f>
        <v>0</v>
      </c>
      <c r="DP85" s="704"/>
    </row>
    <row r="86" spans="1:120">
      <c r="A86" s="893" t="s">
        <v>664</v>
      </c>
      <c r="B86" s="857"/>
      <c r="C86" s="857"/>
      <c r="D86" s="857"/>
      <c r="E86" s="857"/>
      <c r="F86" s="857"/>
      <c r="G86" s="857"/>
      <c r="H86" s="857"/>
      <c r="I86" s="857"/>
      <c r="J86" s="857"/>
      <c r="K86" s="857"/>
      <c r="L86" s="857"/>
      <c r="M86" s="857"/>
      <c r="N86" s="857"/>
      <c r="O86" s="857"/>
      <c r="P86" s="857"/>
      <c r="Q86" s="894"/>
      <c r="R86" s="894"/>
      <c r="S86" s="857"/>
      <c r="T86" s="895"/>
      <c r="U86" s="896"/>
      <c r="V86" s="894"/>
      <c r="W86" s="894"/>
      <c r="X86" s="857"/>
      <c r="Y86" s="895"/>
      <c r="Z86" s="896"/>
      <c r="AA86" s="894"/>
      <c r="AB86" s="894"/>
      <c r="AC86" s="857"/>
      <c r="AD86" s="857"/>
      <c r="AE86" s="857"/>
      <c r="AF86" s="857"/>
      <c r="AG86" s="857"/>
      <c r="AH86" s="857"/>
      <c r="AI86" s="857"/>
      <c r="AJ86" s="896"/>
      <c r="AK86" s="896"/>
      <c r="AL86" s="895"/>
      <c r="AM86" s="896"/>
      <c r="AN86" s="896"/>
      <c r="AO86" s="896"/>
      <c r="AP86" s="896"/>
      <c r="AQ86" s="895"/>
      <c r="AR86" s="896"/>
      <c r="AS86" s="896"/>
      <c r="AT86" s="896"/>
      <c r="AU86" s="896"/>
      <c r="AV86" s="895"/>
      <c r="AW86" s="896"/>
      <c r="AX86" s="896"/>
      <c r="AY86" s="896"/>
      <c r="AZ86" s="896"/>
      <c r="BA86" s="895"/>
      <c r="BB86" s="896"/>
      <c r="BH86" s="896"/>
      <c r="BI86" s="896"/>
      <c r="BJ86" s="896"/>
      <c r="BK86" s="860" t="s">
        <v>80</v>
      </c>
      <c r="BL86" s="860" t="s">
        <v>81</v>
      </c>
      <c r="BM86" s="858" t="s">
        <v>82</v>
      </c>
      <c r="BN86" s="861" t="s">
        <v>83</v>
      </c>
      <c r="BO86" s="896"/>
      <c r="BP86" s="860" t="s">
        <v>640</v>
      </c>
      <c r="BQ86" s="860" t="s">
        <v>641</v>
      </c>
      <c r="BR86" s="858" t="s">
        <v>642</v>
      </c>
      <c r="BS86" s="861" t="s">
        <v>643</v>
      </c>
      <c r="BT86" s="896"/>
      <c r="BU86" s="860" t="s">
        <v>706</v>
      </c>
      <c r="BV86" s="860" t="s">
        <v>707</v>
      </c>
      <c r="BW86" s="858" t="s">
        <v>708</v>
      </c>
      <c r="BX86" s="861" t="s">
        <v>709</v>
      </c>
      <c r="BY86" s="866"/>
      <c r="BZ86" s="860" t="s">
        <v>710</v>
      </c>
      <c r="CA86" s="860" t="s">
        <v>711</v>
      </c>
      <c r="CB86" s="858" t="s">
        <v>712</v>
      </c>
      <c r="CC86" s="861" t="s">
        <v>713</v>
      </c>
      <c r="CD86" s="866"/>
      <c r="CE86" s="866"/>
      <c r="CF86" s="842"/>
      <c r="CG86" s="866"/>
      <c r="CH86" s="416"/>
      <c r="CI86" s="866"/>
      <c r="CJ86" s="866"/>
      <c r="CK86" s="897" t="s">
        <v>432</v>
      </c>
      <c r="CL86" s="866"/>
      <c r="CM86" s="416"/>
      <c r="CN86" s="866"/>
      <c r="CO86" s="703"/>
      <c r="CP86" s="703"/>
      <c r="CQ86" s="703"/>
      <c r="CR86" s="703"/>
      <c r="CS86" s="703"/>
      <c r="CT86" s="866"/>
      <c r="CU86" s="866"/>
      <c r="CV86" s="866"/>
      <c r="CW86" s="866"/>
      <c r="CX86" s="866"/>
      <c r="CY86" s="866"/>
      <c r="CZ86" s="866"/>
      <c r="DA86" s="866"/>
      <c r="DB86" s="866">
        <f>yrSales!Q41</f>
        <v>3.3461946666666664</v>
      </c>
      <c r="DC86" s="866">
        <f>yrSales!R41</f>
        <v>3.7369199999999996</v>
      </c>
      <c r="DD86" s="866">
        <f>yrSales!S41</f>
        <v>4.0914159999999997</v>
      </c>
      <c r="DE86" s="866">
        <f>yrSales!T41</f>
        <v>4.4486159999999995</v>
      </c>
      <c r="DF86" s="866">
        <f>yrSales!U41</f>
        <v>4.7168826666666659</v>
      </c>
      <c r="DG86" s="866">
        <f>yrSales!V41</f>
        <v>5.0340613333333328</v>
      </c>
      <c r="DH86" s="866">
        <f>yrSales!W41</f>
        <v>5.3145946666666655</v>
      </c>
      <c r="DI86" s="866">
        <f>yrSales!X41</f>
        <v>5.5190613333333323</v>
      </c>
      <c r="DJ86" s="866">
        <f>yrSales!Y41</f>
        <v>5.6180613333333316</v>
      </c>
      <c r="DK86" s="866">
        <f>yrSales!Z41</f>
        <v>5.6930613333333318</v>
      </c>
      <c r="DL86" s="866">
        <f>yrSales!AA41</f>
        <v>5.8666613333333313</v>
      </c>
      <c r="DM86" s="866">
        <f>yrSales!AB41</f>
        <v>6.0402613333333308</v>
      </c>
      <c r="DN86" s="866">
        <f>yrSales!AC41</f>
        <v>6.1126613333333308</v>
      </c>
      <c r="DO86" s="898">
        <f>yrSales!AD41</f>
        <v>6.1850613333333309</v>
      </c>
      <c r="DP86" s="704"/>
    </row>
    <row r="87" spans="1:120">
      <c r="A87" s="899" t="s">
        <v>158</v>
      </c>
      <c r="B87" s="703"/>
      <c r="C87" s="703"/>
      <c r="D87" s="703"/>
      <c r="E87" s="703"/>
      <c r="F87" s="703"/>
      <c r="G87" s="703"/>
      <c r="H87" s="703"/>
      <c r="I87" s="703"/>
      <c r="J87" s="703"/>
      <c r="K87" s="703"/>
      <c r="L87" s="703"/>
      <c r="M87" s="703"/>
      <c r="N87" s="703"/>
      <c r="O87" s="703"/>
      <c r="P87" s="703"/>
      <c r="Q87" s="703"/>
      <c r="R87" s="703"/>
      <c r="S87" s="703"/>
      <c r="T87" s="842"/>
      <c r="U87" s="900"/>
      <c r="V87" s="703"/>
      <c r="W87" s="703"/>
      <c r="X87" s="703"/>
      <c r="Y87" s="842"/>
      <c r="Z87" s="900"/>
      <c r="AA87" s="703"/>
      <c r="AB87" s="703"/>
      <c r="AC87" s="703"/>
      <c r="AD87" s="703"/>
      <c r="AE87" s="703"/>
      <c r="AF87" s="703"/>
      <c r="AG87" s="703"/>
      <c r="AH87" s="703"/>
      <c r="AI87" s="703"/>
      <c r="AJ87" s="900"/>
      <c r="AK87" s="900"/>
      <c r="AL87" s="842"/>
      <c r="AM87" s="900"/>
      <c r="AN87" s="900"/>
      <c r="AO87" s="900"/>
      <c r="AP87" s="900"/>
      <c r="AQ87" s="842"/>
      <c r="AR87" s="900"/>
      <c r="AS87" s="900"/>
      <c r="AT87" s="900"/>
      <c r="AU87" s="703"/>
      <c r="AV87" s="703"/>
      <c r="AW87" s="703"/>
      <c r="AX87" s="703"/>
      <c r="AY87" s="703"/>
      <c r="AZ87" s="703"/>
      <c r="BA87" s="703"/>
      <c r="BB87" s="703"/>
      <c r="BH87" s="703"/>
      <c r="BI87" s="703"/>
      <c r="BJ87" s="703"/>
      <c r="BK87" s="901">
        <f t="shared" ref="BK87:BN89" si="49">(BF58-BA58)*10000</f>
        <v>-171.16885685618587</v>
      </c>
      <c r="BL87" s="901">
        <f t="shared" si="49"/>
        <v>-29.951440639583993</v>
      </c>
      <c r="BM87" s="901">
        <f t="shared" si="49"/>
        <v>221.44443614524613</v>
      </c>
      <c r="BN87" s="902">
        <f t="shared" si="49"/>
        <v>679.24821377552064</v>
      </c>
      <c r="BO87" s="703"/>
      <c r="BP87" s="901">
        <f t="shared" ref="BP87:BS89" si="50">(BK58-BF58)*10000</f>
        <v>125.3737269507721</v>
      </c>
      <c r="BQ87" s="901">
        <f t="shared" si="50"/>
        <v>168.38374348192519</v>
      </c>
      <c r="BR87" s="901">
        <f t="shared" si="50"/>
        <v>11.663388907527384</v>
      </c>
      <c r="BS87" s="902">
        <f t="shared" si="50"/>
        <v>3.8574586180467607</v>
      </c>
      <c r="BT87" s="703"/>
      <c r="BU87" s="901">
        <f t="shared" ref="BU87:BX89" si="51">(BU58-BP58)*10000</f>
        <v>-140.79177941823451</v>
      </c>
      <c r="BV87" s="901">
        <f t="shared" si="51"/>
        <v>-71.057827197008038</v>
      </c>
      <c r="BW87" s="901">
        <f t="shared" si="51"/>
        <v>11.009945674614329</v>
      </c>
      <c r="BX87" s="902">
        <f t="shared" si="51"/>
        <v>-12.490764965591982</v>
      </c>
      <c r="BY87" s="703"/>
      <c r="BZ87" s="901">
        <f>(BZ58-BU58)*10000</f>
        <v>99.814758989994473</v>
      </c>
      <c r="CA87" s="901">
        <f t="shared" ref="CA87:CA89" si="52">(CA58-BV58)*10000</f>
        <v>178.89817278613941</v>
      </c>
      <c r="CB87" s="901">
        <f t="shared" ref="CB87:CB89" si="53">(CB58-BW58)*10000</f>
        <v>-14.992855710566634</v>
      </c>
      <c r="CC87" s="902">
        <f t="shared" ref="CC87:CC89" si="54">(CC58-BX58)*10000</f>
        <v>-100.03528644046634</v>
      </c>
      <c r="CD87" s="703"/>
      <c r="CE87" s="703"/>
      <c r="CF87" s="703"/>
      <c r="CG87" s="703"/>
      <c r="CH87" s="416"/>
      <c r="CI87" s="703"/>
      <c r="CJ87" s="703"/>
      <c r="CK87" s="899" t="s">
        <v>64</v>
      </c>
      <c r="CL87" s="703"/>
      <c r="CM87" s="416"/>
      <c r="CN87" s="703"/>
      <c r="CO87" s="703"/>
      <c r="CP87" s="703"/>
      <c r="CQ87" s="703"/>
      <c r="CR87" s="703"/>
      <c r="CS87" s="703"/>
      <c r="CT87" s="903"/>
      <c r="CU87" s="903"/>
      <c r="CV87" s="903"/>
      <c r="CW87" s="903"/>
      <c r="CX87" s="903"/>
      <c r="CY87" s="903"/>
      <c r="CZ87" s="903"/>
      <c r="DA87" s="903"/>
      <c r="DB87" s="903"/>
      <c r="DC87" s="903">
        <f t="shared" ref="DC87:DO87" si="55">+DC86/DB86-1</f>
        <v>0.11676706595272801</v>
      </c>
      <c r="DD87" s="903">
        <f t="shared" si="55"/>
        <v>9.4863149331535057E-2</v>
      </c>
      <c r="DE87" s="903">
        <f t="shared" si="55"/>
        <v>8.7304737528522969E-2</v>
      </c>
      <c r="DF87" s="903">
        <f t="shared" si="55"/>
        <v>6.0303399229483245E-2</v>
      </c>
      <c r="DG87" s="903">
        <f t="shared" si="55"/>
        <v>6.7243281014410128E-2</v>
      </c>
      <c r="DH87" s="903">
        <f t="shared" si="55"/>
        <v>5.5727039214990226E-2</v>
      </c>
      <c r="DI87" s="903">
        <f t="shared" si="55"/>
        <v>3.8472673739182728E-2</v>
      </c>
      <c r="DJ87" s="903">
        <f t="shared" si="55"/>
        <v>1.7937832906851581E-2</v>
      </c>
      <c r="DK87" s="903">
        <f t="shared" si="55"/>
        <v>1.3349800856570671E-2</v>
      </c>
      <c r="DL87" s="903">
        <f t="shared" si="55"/>
        <v>3.049326009954556E-2</v>
      </c>
      <c r="DM87" s="903">
        <f t="shared" si="55"/>
        <v>2.9590935991759881E-2</v>
      </c>
      <c r="DN87" s="903">
        <f t="shared" si="55"/>
        <v>1.1986236357102387E-2</v>
      </c>
      <c r="DO87" s="904">
        <f t="shared" si="55"/>
        <v>1.1844268159466154E-2</v>
      </c>
      <c r="DP87" s="704"/>
    </row>
    <row r="88" spans="1:120">
      <c r="A88" s="751" t="s">
        <v>420</v>
      </c>
      <c r="B88" s="712"/>
      <c r="C88" s="712"/>
      <c r="D88" s="712"/>
      <c r="E88" s="712"/>
      <c r="F88" s="712"/>
      <c r="G88" s="712"/>
      <c r="H88" s="712"/>
      <c r="I88" s="712"/>
      <c r="J88" s="712"/>
      <c r="K88" s="712"/>
      <c r="L88" s="703"/>
      <c r="M88" s="703"/>
      <c r="N88" s="703"/>
      <c r="O88" s="703"/>
      <c r="P88" s="703"/>
      <c r="Q88" s="703"/>
      <c r="R88" s="703"/>
      <c r="S88" s="703"/>
      <c r="T88" s="703"/>
      <c r="U88" s="703"/>
      <c r="V88" s="703"/>
      <c r="W88" s="703"/>
      <c r="X88" s="703"/>
      <c r="Y88" s="703"/>
      <c r="Z88" s="703"/>
      <c r="AA88" s="703"/>
      <c r="AB88" s="703"/>
      <c r="AC88" s="703"/>
      <c r="AD88" s="703"/>
      <c r="AE88" s="703"/>
      <c r="AF88" s="703"/>
      <c r="AG88" s="703"/>
      <c r="AH88" s="703"/>
      <c r="AI88" s="703"/>
      <c r="AJ88" s="703"/>
      <c r="AK88" s="703"/>
      <c r="AL88" s="703"/>
      <c r="AM88" s="703"/>
      <c r="AN88" s="703"/>
      <c r="AO88" s="703"/>
      <c r="AP88" s="703"/>
      <c r="AQ88" s="703"/>
      <c r="AR88" s="703"/>
      <c r="AS88" s="703"/>
      <c r="AT88" s="703"/>
      <c r="AU88" s="868"/>
      <c r="AV88" s="712"/>
      <c r="AW88" s="868"/>
      <c r="AX88" s="868"/>
      <c r="AY88" s="868"/>
      <c r="AZ88" s="868"/>
      <c r="BA88" s="712"/>
      <c r="BB88" s="868"/>
      <c r="BH88" s="868"/>
      <c r="BI88" s="868"/>
      <c r="BJ88" s="868"/>
      <c r="BK88" s="905">
        <f t="shared" si="49"/>
        <v>74.968764427599808</v>
      </c>
      <c r="BL88" s="905">
        <f t="shared" si="49"/>
        <v>-4.1077312982260032</v>
      </c>
      <c r="BM88" s="905">
        <f t="shared" si="49"/>
        <v>74.993926368950028</v>
      </c>
      <c r="BN88" s="906">
        <f t="shared" si="49"/>
        <v>-15.788840600565734</v>
      </c>
      <c r="BO88" s="868"/>
      <c r="BP88" s="905">
        <f t="shared" si="50"/>
        <v>-70.258034068697015</v>
      </c>
      <c r="BQ88" s="905">
        <f t="shared" si="50"/>
        <v>14.004922278088582</v>
      </c>
      <c r="BR88" s="905">
        <f t="shared" si="50"/>
        <v>-1.5872151566018178</v>
      </c>
      <c r="BS88" s="906">
        <f t="shared" si="50"/>
        <v>118.75529587139749</v>
      </c>
      <c r="BT88" s="868"/>
      <c r="BU88" s="905">
        <f t="shared" si="51"/>
        <v>12.934185032459355</v>
      </c>
      <c r="BV88" s="905">
        <f t="shared" si="51"/>
        <v>28.646427690840191</v>
      </c>
      <c r="BW88" s="905">
        <f t="shared" si="51"/>
        <v>-23.490643224851617</v>
      </c>
      <c r="BX88" s="906">
        <f t="shared" si="51"/>
        <v>64.700870239401965</v>
      </c>
      <c r="BY88" s="868"/>
      <c r="BZ88" s="905">
        <f t="shared" ref="BZ88:BZ89" si="56">(BZ59-BU59)*10000</f>
        <v>155.71586779934142</v>
      </c>
      <c r="CA88" s="905">
        <f t="shared" si="52"/>
        <v>47.55268274067803</v>
      </c>
      <c r="CB88" s="905">
        <f t="shared" si="53"/>
        <v>143.20017989117807</v>
      </c>
      <c r="CC88" s="906">
        <f t="shared" si="54"/>
        <v>40.777557781706832</v>
      </c>
      <c r="CD88" s="868"/>
      <c r="CE88" s="868"/>
      <c r="CF88" s="712"/>
      <c r="CG88" s="868"/>
      <c r="CH88" s="416"/>
      <c r="CI88" s="868"/>
      <c r="CJ88" s="868"/>
      <c r="CK88" s="751" t="s">
        <v>78</v>
      </c>
      <c r="CL88" s="868"/>
      <c r="CM88" s="416"/>
      <c r="CN88" s="868"/>
      <c r="CO88" s="703"/>
      <c r="CP88" s="703"/>
      <c r="CQ88" s="703"/>
      <c r="CR88" s="703"/>
      <c r="CS88" s="703"/>
      <c r="CT88" s="868"/>
      <c r="CU88" s="868"/>
      <c r="CV88" s="868"/>
      <c r="CW88" s="868"/>
      <c r="CX88" s="868"/>
      <c r="CY88" s="868"/>
      <c r="CZ88" s="868"/>
      <c r="DA88" s="868"/>
      <c r="DB88" s="868"/>
      <c r="DC88" s="868">
        <f>yrSales!R44</f>
        <v>10045.483870967742</v>
      </c>
      <c r="DD88" s="868">
        <f>yrSales!S44</f>
        <v>9537.1002331002328</v>
      </c>
      <c r="DE88" s="868">
        <f>yrSales!T44</f>
        <v>9345.8319327731078</v>
      </c>
      <c r="DF88" s="868">
        <f>yrSales!U44</f>
        <v>9230.6901500326148</v>
      </c>
      <c r="DG88" s="868">
        <f>yrSales!V44</f>
        <v>9219.8925518925516</v>
      </c>
      <c r="DH88" s="868">
        <f>yrSales!W44</f>
        <v>9291.2494172494153</v>
      </c>
      <c r="DI88" s="868">
        <f>yrSales!X44</f>
        <v>9291.3490460157118</v>
      </c>
      <c r="DJ88" s="868">
        <f>yrSales!Y44</f>
        <v>9316.8512990602521</v>
      </c>
      <c r="DK88" s="868">
        <f>yrSales!Z44</f>
        <v>9394.4906490649046</v>
      </c>
      <c r="DL88" s="868">
        <f>yrSales!AA44</f>
        <v>9492.9795037756176</v>
      </c>
      <c r="DM88" s="868">
        <f>yrSales!AB44</f>
        <v>9587.716402116399</v>
      </c>
      <c r="DN88" s="868">
        <f>yrSales!AC44</f>
        <v>9611.1027253668726</v>
      </c>
      <c r="DO88" s="871">
        <f>yrSales!AD44</f>
        <v>9634.0519210799539</v>
      </c>
      <c r="DP88" s="704"/>
    </row>
    <row r="89" spans="1:120">
      <c r="A89" s="907" t="s">
        <v>397</v>
      </c>
      <c r="B89" s="889"/>
      <c r="C89" s="889"/>
      <c r="D89" s="889"/>
      <c r="E89" s="889"/>
      <c r="F89" s="889"/>
      <c r="G89" s="889"/>
      <c r="H89" s="889"/>
      <c r="I89" s="889"/>
      <c r="J89" s="889"/>
      <c r="K89" s="889"/>
      <c r="L89" s="889"/>
      <c r="M89" s="889"/>
      <c r="N89" s="889"/>
      <c r="O89" s="889"/>
      <c r="P89" s="889"/>
      <c r="Q89" s="889"/>
      <c r="R89" s="889"/>
      <c r="S89" s="889"/>
      <c r="T89" s="715"/>
      <c r="U89" s="908"/>
      <c r="V89" s="889"/>
      <c r="W89" s="889"/>
      <c r="X89" s="889"/>
      <c r="Y89" s="715"/>
      <c r="Z89" s="908"/>
      <c r="AA89" s="889"/>
      <c r="AB89" s="889"/>
      <c r="AC89" s="889"/>
      <c r="AD89" s="889"/>
      <c r="AE89" s="889"/>
      <c r="AF89" s="889"/>
      <c r="AG89" s="889"/>
      <c r="AH89" s="889"/>
      <c r="AI89" s="889"/>
      <c r="AJ89" s="908"/>
      <c r="AK89" s="908"/>
      <c r="AL89" s="715"/>
      <c r="AM89" s="908"/>
      <c r="AN89" s="908"/>
      <c r="AO89" s="908"/>
      <c r="AP89" s="908"/>
      <c r="AQ89" s="715"/>
      <c r="AR89" s="908"/>
      <c r="AS89" s="908"/>
      <c r="AT89" s="908"/>
      <c r="AU89" s="909"/>
      <c r="AV89" s="910"/>
      <c r="AW89" s="909"/>
      <c r="AX89" s="909"/>
      <c r="AY89" s="909"/>
      <c r="AZ89" s="909"/>
      <c r="BA89" s="910"/>
      <c r="BB89" s="909"/>
      <c r="BH89" s="909"/>
      <c r="BI89" s="909"/>
      <c r="BJ89" s="909"/>
      <c r="BK89" s="911">
        <f t="shared" si="49"/>
        <v>-246.13762128378596</v>
      </c>
      <c r="BL89" s="911">
        <f t="shared" si="49"/>
        <v>-25.843709341357712</v>
      </c>
      <c r="BM89" s="911">
        <f t="shared" si="49"/>
        <v>146.45050977629623</v>
      </c>
      <c r="BN89" s="912">
        <f t="shared" si="49"/>
        <v>695.03705437608687</v>
      </c>
      <c r="BO89" s="909"/>
      <c r="BP89" s="911">
        <f t="shared" si="50"/>
        <v>195.63176101946883</v>
      </c>
      <c r="BQ89" s="911">
        <f t="shared" si="50"/>
        <v>154.37882120383662</v>
      </c>
      <c r="BR89" s="911">
        <f t="shared" si="50"/>
        <v>13.250604064129201</v>
      </c>
      <c r="BS89" s="912">
        <f t="shared" si="50"/>
        <v>-114.89783725335128</v>
      </c>
      <c r="BT89" s="909"/>
      <c r="BU89" s="911">
        <f t="shared" si="51"/>
        <v>-153.72596445069399</v>
      </c>
      <c r="BV89" s="911">
        <f t="shared" si="51"/>
        <v>-99.704254887848094</v>
      </c>
      <c r="BW89" s="911">
        <f t="shared" si="51"/>
        <v>34.5005888994665</v>
      </c>
      <c r="BX89" s="912">
        <f t="shared" si="51"/>
        <v>-77.191635204993673</v>
      </c>
      <c r="BY89" s="900"/>
      <c r="BZ89" s="911">
        <f t="shared" si="56"/>
        <v>-55.901108809346539</v>
      </c>
      <c r="CA89" s="911">
        <f t="shared" si="52"/>
        <v>131.34549004546179</v>
      </c>
      <c r="CB89" s="911">
        <f t="shared" si="53"/>
        <v>-158.19303560174509</v>
      </c>
      <c r="CC89" s="912">
        <f t="shared" si="54"/>
        <v>-140.81284422217288</v>
      </c>
      <c r="CD89" s="900"/>
      <c r="CE89" s="900"/>
      <c r="CF89" s="842"/>
      <c r="CG89" s="900"/>
      <c r="CH89" s="416"/>
      <c r="CI89" s="900"/>
      <c r="CJ89" s="900"/>
      <c r="CK89" s="913" t="s">
        <v>435</v>
      </c>
      <c r="CL89" s="909"/>
      <c r="CM89" s="415"/>
      <c r="CN89" s="909"/>
      <c r="CO89" s="889"/>
      <c r="CP89" s="889"/>
      <c r="CQ89" s="889"/>
      <c r="CR89" s="889"/>
      <c r="CS89" s="889"/>
      <c r="CT89" s="909"/>
      <c r="CU89" s="909"/>
      <c r="CV89" s="909"/>
      <c r="CW89" s="909"/>
      <c r="CX89" s="909"/>
      <c r="CY89" s="909"/>
      <c r="CZ89" s="909"/>
      <c r="DA89" s="909"/>
      <c r="DB89" s="909"/>
      <c r="DC89" s="909">
        <f>yrSales!R47</f>
        <v>488.62877065757885</v>
      </c>
      <c r="DD89" s="909">
        <f>yrSales!S47</f>
        <v>598.03105027684057</v>
      </c>
      <c r="DE89" s="909">
        <f>yrSales!T47</f>
        <v>619.73631948920104</v>
      </c>
      <c r="DF89" s="909">
        <f>yrSales!U47</f>
        <v>634.76786278513464</v>
      </c>
      <c r="DG89" s="909">
        <f>yrSales!V47</f>
        <v>635.33202528903882</v>
      </c>
      <c r="DH89" s="909">
        <f>yrSales!W47</f>
        <v>615.5301712608865</v>
      </c>
      <c r="DI89" s="909">
        <f>yrSales!X47</f>
        <v>601.25409187812511</v>
      </c>
      <c r="DJ89" s="909">
        <f>yrSales!Y47</f>
        <v>592.56131027020524</v>
      </c>
      <c r="DK89" s="909">
        <f>yrSales!Z47</f>
        <v>607.00199816324391</v>
      </c>
      <c r="DL89" s="909">
        <f>yrSales!AA47</f>
        <v>598.51689383059113</v>
      </c>
      <c r="DM89" s="909">
        <f>yrSales!AB47</f>
        <v>587.17279625130436</v>
      </c>
      <c r="DN89" s="909">
        <f>yrSales!AC47</f>
        <v>579.44717067992599</v>
      </c>
      <c r="DO89" s="914">
        <f>yrSales!AD47</f>
        <v>575.01240099267159</v>
      </c>
      <c r="DP89" s="704"/>
    </row>
    <row r="90" spans="1:120">
      <c r="A90" s="704"/>
      <c r="B90" s="704"/>
      <c r="C90" s="704"/>
      <c r="D90" s="704"/>
      <c r="E90" s="704"/>
      <c r="F90" s="704"/>
      <c r="G90" s="704"/>
      <c r="H90" s="704"/>
      <c r="I90" s="704"/>
      <c r="J90" s="704"/>
      <c r="K90" s="704"/>
      <c r="L90" s="704"/>
      <c r="M90" s="704"/>
      <c r="N90" s="704"/>
      <c r="O90" s="704"/>
      <c r="P90" s="704"/>
      <c r="Q90" s="704"/>
      <c r="R90" s="704"/>
      <c r="S90" s="704"/>
      <c r="T90" s="712"/>
      <c r="U90" s="868"/>
      <c r="V90" s="704"/>
      <c r="W90" s="703"/>
      <c r="X90" s="704"/>
      <c r="Y90" s="712"/>
      <c r="Z90" s="868"/>
      <c r="AA90" s="704"/>
      <c r="AB90" s="703"/>
      <c r="AC90" s="704"/>
      <c r="AD90" s="704"/>
      <c r="AE90" s="704"/>
      <c r="AF90" s="704"/>
      <c r="AG90" s="704"/>
      <c r="AH90" s="704"/>
      <c r="AI90" s="704"/>
      <c r="AJ90" s="868"/>
      <c r="AK90" s="868"/>
      <c r="AL90" s="712"/>
      <c r="AM90" s="868"/>
      <c r="AN90" s="868"/>
      <c r="AO90" s="868"/>
      <c r="AP90" s="868"/>
      <c r="AQ90" s="712"/>
      <c r="AR90" s="868"/>
      <c r="AS90" s="868"/>
      <c r="AT90" s="868"/>
      <c r="AU90" s="900"/>
      <c r="AV90" s="842"/>
      <c r="AW90" s="900"/>
      <c r="AX90" s="900"/>
      <c r="AY90" s="900"/>
      <c r="AZ90" s="900"/>
      <c r="BA90" s="842"/>
      <c r="BB90" s="900"/>
      <c r="BC90" s="900"/>
      <c r="BD90" s="900"/>
      <c r="BE90" s="900"/>
      <c r="BF90" s="842"/>
      <c r="BG90" s="900"/>
      <c r="BH90" s="900"/>
      <c r="BI90" s="900"/>
      <c r="BJ90" s="900"/>
      <c r="BK90" s="900"/>
      <c r="BL90" s="900"/>
      <c r="BM90" s="900"/>
      <c r="BN90" s="900"/>
      <c r="BO90" s="900"/>
      <c r="BP90" s="900"/>
      <c r="BQ90" s="900"/>
      <c r="BR90" s="900"/>
      <c r="BS90" s="900"/>
      <c r="BT90" s="900"/>
      <c r="BU90" s="900"/>
      <c r="BV90" s="900"/>
      <c r="BW90" s="900"/>
      <c r="BX90" s="900"/>
      <c r="BY90" s="900"/>
      <c r="BZ90" s="703"/>
      <c r="CA90" s="703"/>
      <c r="CB90" s="703"/>
      <c r="CC90" s="703"/>
      <c r="CD90" s="900"/>
      <c r="CE90" s="900"/>
      <c r="CF90" s="900"/>
      <c r="CG90" s="900"/>
      <c r="CH90" s="900"/>
      <c r="CI90" s="900"/>
      <c r="CJ90" s="900"/>
      <c r="CK90" s="900"/>
      <c r="CL90" s="900"/>
      <c r="CM90" s="900"/>
      <c r="CN90" s="900"/>
      <c r="CO90" s="703"/>
      <c r="CP90" s="703"/>
      <c r="CQ90" s="703"/>
      <c r="CR90" s="703"/>
      <c r="CS90" s="703"/>
      <c r="CT90" s="703"/>
      <c r="CU90" s="900"/>
      <c r="CV90" s="900"/>
      <c r="CW90" s="900"/>
      <c r="CX90" s="900"/>
      <c r="CY90" s="900"/>
      <c r="CZ90" s="900"/>
      <c r="DA90" s="900"/>
      <c r="DB90" s="900"/>
      <c r="DC90" s="900"/>
      <c r="DD90" s="900"/>
      <c r="DE90" s="900"/>
      <c r="DF90" s="900"/>
      <c r="DG90" s="900"/>
      <c r="DH90" s="900"/>
      <c r="DI90" s="900"/>
      <c r="DJ90" s="900"/>
      <c r="DK90" s="900"/>
      <c r="DL90" s="900"/>
      <c r="DM90" s="900"/>
      <c r="DN90" s="900"/>
      <c r="DO90" s="900"/>
      <c r="DP90" s="704"/>
    </row>
    <row r="91" spans="1:120">
      <c r="A91" s="704"/>
      <c r="B91" s="704"/>
      <c r="C91" s="704"/>
      <c r="D91" s="704"/>
      <c r="E91" s="704"/>
      <c r="F91" s="704"/>
      <c r="G91" s="704"/>
      <c r="H91" s="704"/>
      <c r="I91" s="704"/>
      <c r="J91" s="704"/>
      <c r="K91" s="704"/>
      <c r="L91" s="704"/>
      <c r="M91" s="704"/>
      <c r="N91" s="704"/>
      <c r="O91" s="704"/>
      <c r="P91" s="704"/>
      <c r="Q91" s="704"/>
      <c r="R91" s="704"/>
      <c r="S91" s="704"/>
      <c r="T91" s="712"/>
      <c r="U91" s="868"/>
      <c r="V91" s="704"/>
      <c r="W91" s="703"/>
      <c r="X91" s="704"/>
      <c r="Y91" s="712"/>
      <c r="Z91" s="868"/>
      <c r="AA91" s="704"/>
      <c r="AB91" s="703"/>
      <c r="AC91" s="704"/>
      <c r="AD91" s="704"/>
      <c r="AE91" s="704"/>
      <c r="AF91" s="704"/>
      <c r="AG91" s="704"/>
      <c r="AH91" s="704"/>
      <c r="AI91" s="704"/>
      <c r="AJ91" s="868"/>
      <c r="AK91" s="868"/>
      <c r="AL91" s="712"/>
      <c r="AM91" s="868"/>
      <c r="AN91" s="868"/>
      <c r="AO91" s="868"/>
      <c r="AP91" s="868"/>
      <c r="AQ91" s="712"/>
      <c r="AR91" s="868"/>
      <c r="AS91" s="868"/>
      <c r="AT91" s="868"/>
      <c r="AU91" s="704"/>
      <c r="AV91" s="704"/>
      <c r="AW91" s="704"/>
      <c r="AX91" s="704"/>
      <c r="AY91" s="704"/>
      <c r="AZ91" s="704"/>
      <c r="BA91" s="704"/>
      <c r="BB91" s="704"/>
      <c r="BC91" s="704"/>
      <c r="BD91" s="704"/>
      <c r="BE91" s="704"/>
      <c r="BF91" s="704"/>
      <c r="BG91" s="704"/>
      <c r="BH91" s="704"/>
      <c r="BI91" s="704"/>
      <c r="BJ91" s="704"/>
      <c r="BK91" s="704"/>
      <c r="BL91" s="704"/>
      <c r="BM91" s="704"/>
      <c r="BN91" s="704"/>
      <c r="BO91" s="704"/>
      <c r="BP91" s="703"/>
      <c r="BQ91" s="703"/>
      <c r="BR91" s="703"/>
      <c r="BS91" s="703"/>
      <c r="BT91" s="704"/>
      <c r="BU91" s="704"/>
      <c r="BV91" s="704"/>
      <c r="BW91" s="704"/>
      <c r="BX91" s="704"/>
      <c r="BY91" s="704"/>
      <c r="BZ91" s="703"/>
      <c r="CA91" s="703"/>
      <c r="CB91" s="703"/>
      <c r="CC91" s="703"/>
      <c r="CD91" s="704"/>
      <c r="CE91" s="704"/>
      <c r="CF91" s="704"/>
      <c r="CG91" s="704"/>
      <c r="CH91" s="704"/>
      <c r="CI91" s="704"/>
      <c r="CJ91" s="704"/>
      <c r="CK91" s="704"/>
      <c r="CL91" s="704"/>
      <c r="CM91" s="704"/>
      <c r="CN91" s="704"/>
      <c r="CO91" s="704"/>
      <c r="CP91" s="704"/>
      <c r="CQ91" s="704"/>
      <c r="CR91" s="704"/>
      <c r="CS91" s="704"/>
      <c r="CT91" s="704"/>
      <c r="CU91" s="704"/>
      <c r="CV91" s="704"/>
      <c r="CW91" s="704"/>
      <c r="CX91" s="704"/>
      <c r="CY91" s="704"/>
      <c r="CZ91" s="704"/>
      <c r="DA91" s="704"/>
      <c r="DB91" s="704"/>
      <c r="DC91" s="704"/>
      <c r="DD91" s="703"/>
      <c r="DE91" s="704"/>
      <c r="DF91" s="704"/>
      <c r="DG91" s="704"/>
      <c r="DH91" s="703"/>
      <c r="DI91" s="703"/>
      <c r="DJ91" s="703"/>
      <c r="DK91" s="703"/>
      <c r="DL91" s="703"/>
      <c r="DM91" s="703"/>
      <c r="DN91" s="703"/>
      <c r="DO91" s="703"/>
      <c r="DP91" s="704"/>
    </row>
    <row r="92" spans="1:120" outlineLevel="1">
      <c r="A92" s="915" t="s">
        <v>460</v>
      </c>
      <c r="B92" s="915"/>
      <c r="C92" s="915">
        <f>qtrSales!$AE61</f>
        <v>0.88893599999999995</v>
      </c>
      <c r="D92" s="915">
        <f>qtrSales!$AE62</f>
        <v>0.90756266666666663</v>
      </c>
      <c r="E92" s="915">
        <f>qtrSales!$AE63</f>
        <v>0.96467466666666657</v>
      </c>
      <c r="F92" s="915">
        <f>qtrSales!$AE64</f>
        <v>0.99933333333333341</v>
      </c>
      <c r="G92" s="915"/>
      <c r="H92" s="915">
        <f>qtrSales!$AE68</f>
        <v>1.0215013333333334</v>
      </c>
      <c r="I92" s="915">
        <f>qtrSales!$AE69</f>
        <v>1.048576</v>
      </c>
      <c r="J92" s="915">
        <f>qtrSales!$AE70</f>
        <v>1.048576</v>
      </c>
      <c r="K92" s="915">
        <f>qtrSales!$AE71</f>
        <v>1.1349066666666665</v>
      </c>
      <c r="L92" s="915"/>
      <c r="M92" s="915">
        <f>qtrSales!$AE75</f>
        <v>1.153208</v>
      </c>
      <c r="N92" s="915">
        <f>qtrSales!$AE76</f>
        <v>1.1806666666666668</v>
      </c>
      <c r="O92" s="915">
        <f>qtrSales!$AE77</f>
        <v>1.2328866666666667</v>
      </c>
      <c r="P92" s="915">
        <f>qtrSales!$AE78</f>
        <v>1.3449199999999999</v>
      </c>
      <c r="Q92" s="915"/>
      <c r="R92" s="915">
        <f>qtrSales!$AE82</f>
        <v>1.3519533333333333</v>
      </c>
      <c r="S92" s="915">
        <f>qtrSales!$AE83</f>
        <v>1.4698293333333332</v>
      </c>
      <c r="T92" s="915">
        <f>qtrSales!$AE84</f>
        <v>1.5560666666666667</v>
      </c>
      <c r="U92" s="915">
        <f>qtrSales!$AE85</f>
        <v>1.6447626666666668</v>
      </c>
      <c r="V92" s="915"/>
      <c r="W92" s="915">
        <f>qtrSales!$AE89</f>
        <v>1.6963786666666665</v>
      </c>
      <c r="X92" s="915">
        <f>qtrSales!$AE90</f>
        <v>1.7430986666666664</v>
      </c>
      <c r="Y92" s="915">
        <f>qtrSales!$AE91</f>
        <v>1.8383933333333331</v>
      </c>
      <c r="Z92" s="915">
        <f>qtrSales!$AE92</f>
        <v>1.9426666666666668</v>
      </c>
      <c r="AA92" s="915"/>
      <c r="AB92" s="915">
        <f>qtrSales!$AE96</f>
        <v>2.0392746666666666</v>
      </c>
      <c r="AC92" s="915">
        <f>qtrSales!$AE97</f>
        <v>2.1165746666666667</v>
      </c>
      <c r="AD92" s="915">
        <f>qtrSales!$AE98</f>
        <v>2.2179799999999998</v>
      </c>
      <c r="AE92" s="915">
        <f>qtrSales!$AE99</f>
        <v>2.3146666666666662</v>
      </c>
      <c r="AF92" s="915"/>
      <c r="AG92" s="915">
        <f>qtrSales!$AE103</f>
        <v>2.3931973333333332</v>
      </c>
      <c r="AH92" s="915">
        <f>qtrSales!$AE104</f>
        <v>2.4268346666666671</v>
      </c>
      <c r="AI92" s="915">
        <f>qtrSales!$AE105</f>
        <v>2.5357626666666668</v>
      </c>
      <c r="AJ92" s="915">
        <f>qtrSales!$AE106</f>
        <v>2.6860360000000001</v>
      </c>
      <c r="AK92" s="916"/>
      <c r="AL92" s="915">
        <f>qtrSales!$AE110</f>
        <v>2.7787160000000002</v>
      </c>
      <c r="AM92" s="915">
        <f>qtrSales!$AE111</f>
        <v>2.8653666666666666</v>
      </c>
      <c r="AN92" s="915">
        <f>qtrSales!$AE112</f>
        <v>2.9914226666666668</v>
      </c>
      <c r="AO92" s="915">
        <f>qtrSales!$AE113</f>
        <v>3.047228</v>
      </c>
      <c r="AP92" s="916"/>
      <c r="AQ92" s="915">
        <f>qtrSales!$AE117</f>
        <v>3.0213200000000002</v>
      </c>
      <c r="AR92" s="915">
        <f>qtrSales!$AE118</f>
        <v>3.1167680000000004</v>
      </c>
      <c r="AS92" s="915">
        <f>qtrSales!$AE119</f>
        <v>3.2676906666666667</v>
      </c>
      <c r="AT92" s="915">
        <f>qtrSales!$AE120</f>
        <v>3.3461946666666664</v>
      </c>
      <c r="AU92" s="915"/>
      <c r="AV92" s="915">
        <f>qtrSales!$AE124</f>
        <v>3.4195986666666665</v>
      </c>
      <c r="AW92" s="915">
        <f>qtrSales!$AE125</f>
        <v>3.4787653333333339</v>
      </c>
      <c r="AX92" s="915">
        <f>qtrSales!$AE126</f>
        <v>3.5963479999999999</v>
      </c>
      <c r="AY92" s="915">
        <f>qtrSales!$AE127</f>
        <v>3.7369199999999996</v>
      </c>
      <c r="AZ92" s="915"/>
      <c r="BA92" s="915">
        <f>qtrSales!$AE131</f>
        <v>3.7884133333333332</v>
      </c>
      <c r="BB92" s="915">
        <f>qtrSales!$AE132</f>
        <v>3.8623853333333336</v>
      </c>
      <c r="BC92" s="915">
        <f>qtrSales!$AE133</f>
        <v>3.9591493333333334</v>
      </c>
      <c r="BD92" s="916">
        <f>qtrSales!$AE134</f>
        <v>4.0914159999999997</v>
      </c>
      <c r="BE92" s="915"/>
      <c r="BF92" s="915">
        <f>qtrSales!AE138</f>
        <v>4.1847573333333337</v>
      </c>
      <c r="BG92" s="915">
        <f>qtrSales!AE139</f>
        <v>4.2072933333333333</v>
      </c>
      <c r="BH92" s="915">
        <f>qtrSales!AE140</f>
        <v>4.2983599200000011</v>
      </c>
      <c r="BI92" s="916">
        <f>qtrSales!AE141</f>
        <v>4.3885186266666674</v>
      </c>
      <c r="BJ92" s="915"/>
      <c r="BK92" s="915">
        <f>qtrSales!AE145</f>
        <v>4.423122666666667</v>
      </c>
      <c r="BL92" s="915">
        <f>qtrSales!AE146</f>
        <v>4.4838426666666669</v>
      </c>
      <c r="BM92" s="915">
        <f>qtrSales!AE147</f>
        <v>4.552617333333334</v>
      </c>
      <c r="BN92" s="915">
        <f>qtrSales!AE148</f>
        <v>4.6388280000000002</v>
      </c>
      <c r="BO92" s="915"/>
      <c r="BP92" s="916">
        <f>qtrSales!AE152</f>
        <v>4.7054240000000007</v>
      </c>
      <c r="BQ92" s="916">
        <f>qtrSales!AE153</f>
        <v>4.7944760000000004</v>
      </c>
      <c r="BR92" s="916">
        <f>qtrSales!AE154</f>
        <v>4.8930293333333337</v>
      </c>
      <c r="BS92" s="916">
        <f>qtrSales!AE155</f>
        <v>4.9647040000000002</v>
      </c>
      <c r="BT92" s="915"/>
      <c r="BU92" s="915">
        <f>qtrSales!AE159</f>
        <v>4.9871040000000004</v>
      </c>
      <c r="BV92" s="915">
        <f>qtrSales!AE160</f>
        <v>5.0516373333333329</v>
      </c>
      <c r="BW92" s="915">
        <f>qtrSales!AE161</f>
        <v>5.1807039999999995</v>
      </c>
      <c r="BX92" s="915">
        <f>qtrSales!AE162</f>
        <v>5.2452373333333329</v>
      </c>
      <c r="BY92" s="915"/>
      <c r="BZ92" s="915">
        <f t="array" ref="BZ92:CC92">TRANSPOSE(qtrSales!AE166:AE169)</f>
        <v>5.248704</v>
      </c>
      <c r="CA92" s="915">
        <v>5.3144373333333332</v>
      </c>
      <c r="CB92" s="915">
        <v>5.4479039999999994</v>
      </c>
      <c r="CC92" s="915">
        <v>5.4497039999999997</v>
      </c>
      <c r="CD92" s="915"/>
      <c r="CE92" s="915">
        <f t="array" ref="CE92:CH92">TRANSPOSE(qtrSales!AE173:AE176)</f>
        <v>5.4665039999999987</v>
      </c>
      <c r="CF92" s="915">
        <v>5.5065039999999996</v>
      </c>
      <c r="CG92" s="915">
        <v>5.5477039999999995</v>
      </c>
      <c r="CH92" s="915">
        <v>5.532703999999999</v>
      </c>
      <c r="CI92" s="915"/>
      <c r="CJ92" s="915">
        <f t="array" ref="CJ92:CM92">TRANSPOSE(qtrSales!AE180:AE183)</f>
        <v>5.5455706666666664</v>
      </c>
      <c r="CK92" s="915">
        <v>5.5605706666666661</v>
      </c>
      <c r="CL92" s="915">
        <v>5.6167706666666657</v>
      </c>
      <c r="CM92" s="915">
        <v>5.5777039999999989</v>
      </c>
      <c r="CN92" s="915"/>
      <c r="CO92" s="915" t="s">
        <v>11</v>
      </c>
      <c r="CP92" s="915" t="s">
        <v>11</v>
      </c>
      <c r="CQ92" s="915" t="s">
        <v>11</v>
      </c>
      <c r="CR92" s="915" t="s">
        <v>11</v>
      </c>
      <c r="CS92" s="915" t="s">
        <v>11</v>
      </c>
      <c r="CT92" s="915" t="s">
        <v>11</v>
      </c>
      <c r="CU92" s="915" t="s">
        <v>11</v>
      </c>
      <c r="CV92" s="915" t="s">
        <v>11</v>
      </c>
      <c r="CW92" s="915" t="s">
        <v>11</v>
      </c>
      <c r="CX92" s="915" t="s">
        <v>11</v>
      </c>
      <c r="CY92" s="915" t="s">
        <v>11</v>
      </c>
      <c r="CZ92" s="915" t="s">
        <v>11</v>
      </c>
      <c r="DA92" s="915" t="s">
        <v>11</v>
      </c>
      <c r="DB92" s="915" t="s">
        <v>11</v>
      </c>
      <c r="DC92" s="915">
        <f>DC86</f>
        <v>3.7369199999999996</v>
      </c>
      <c r="DD92" s="916">
        <f>DD86</f>
        <v>4.0914159999999997</v>
      </c>
      <c r="DE92" s="915">
        <f t="shared" ref="DE92:DJ92" si="57">DE86</f>
        <v>4.4486159999999995</v>
      </c>
      <c r="DF92" s="915">
        <f t="shared" si="57"/>
        <v>4.7168826666666659</v>
      </c>
      <c r="DG92" s="915">
        <f t="shared" si="57"/>
        <v>5.0340613333333328</v>
      </c>
      <c r="DH92" s="915">
        <f t="shared" si="57"/>
        <v>5.3145946666666655</v>
      </c>
      <c r="DI92" s="915">
        <f t="shared" si="57"/>
        <v>5.5190613333333323</v>
      </c>
      <c r="DJ92" s="915">
        <f t="shared" si="57"/>
        <v>5.6180613333333316</v>
      </c>
      <c r="DK92" s="915">
        <f>DK86</f>
        <v>5.6930613333333318</v>
      </c>
      <c r="DL92" s="915">
        <f>DL86</f>
        <v>5.8666613333333313</v>
      </c>
      <c r="DM92" s="915">
        <f>DM86</f>
        <v>6.0402613333333308</v>
      </c>
      <c r="DN92" s="915">
        <f>DN86</f>
        <v>6.1126613333333308</v>
      </c>
      <c r="DO92" s="915">
        <f>DO86</f>
        <v>6.1850613333333309</v>
      </c>
      <c r="DP92" s="915"/>
    </row>
    <row r="93" spans="1:120" outlineLevel="1">
      <c r="A93" s="704" t="s">
        <v>310</v>
      </c>
      <c r="B93" s="704"/>
      <c r="C93" s="704">
        <f>qtrSales!$K61</f>
        <v>72</v>
      </c>
      <c r="D93" s="704">
        <f>qtrSales!$K62</f>
        <v>74</v>
      </c>
      <c r="E93" s="704">
        <f>qtrSales!$K63</f>
        <v>77</v>
      </c>
      <c r="F93" s="704">
        <f>qtrSales!$K64</f>
        <v>80</v>
      </c>
      <c r="G93" s="704"/>
      <c r="H93" s="704">
        <f>qtrSales!$K68</f>
        <v>82</v>
      </c>
      <c r="I93" s="704">
        <f>qtrSales!$K69</f>
        <v>84</v>
      </c>
      <c r="J93" s="704">
        <f>qtrSales!$K70</f>
        <v>84</v>
      </c>
      <c r="K93" s="704">
        <f>qtrSales!$K71</f>
        <v>93</v>
      </c>
      <c r="L93" s="704"/>
      <c r="M93" s="704">
        <f>qtrSales!$K75</f>
        <v>95</v>
      </c>
      <c r="N93" s="704">
        <f>qtrSales!$K76</f>
        <v>98</v>
      </c>
      <c r="O93" s="704">
        <f>qtrSales!$K77</f>
        <v>103</v>
      </c>
      <c r="P93" s="704">
        <f>qtrSales!$K78</f>
        <v>114</v>
      </c>
      <c r="Q93" s="704"/>
      <c r="R93" s="704">
        <f>qtrSales!$K82</f>
        <v>115</v>
      </c>
      <c r="S93" s="704">
        <f>qtrSales!$K83</f>
        <v>127</v>
      </c>
      <c r="T93" s="704">
        <f>qtrSales!$K84</f>
        <v>134</v>
      </c>
      <c r="U93" s="704">
        <f>qtrSales!$K85</f>
        <v>142</v>
      </c>
      <c r="V93" s="704"/>
      <c r="W93" s="704">
        <f>qtrSales!$K89</f>
        <v>146</v>
      </c>
      <c r="X93" s="704">
        <f>qtrSales!$K90</f>
        <v>151</v>
      </c>
      <c r="Y93" s="704">
        <f>qtrSales!$K91</f>
        <v>162</v>
      </c>
      <c r="Z93" s="704">
        <f>qtrSales!$K92</f>
        <v>175</v>
      </c>
      <c r="AA93" s="704"/>
      <c r="AB93" s="704">
        <f>qtrSales!$K96</f>
        <v>182</v>
      </c>
      <c r="AC93" s="704">
        <f>qtrSales!$K97</f>
        <v>188</v>
      </c>
      <c r="AD93" s="704">
        <f>qtrSales!$K98</f>
        <v>197</v>
      </c>
      <c r="AE93" s="704">
        <f>qtrSales!$K99</f>
        <v>207</v>
      </c>
      <c r="AF93" s="704"/>
      <c r="AG93" s="704">
        <f>qtrSales!$K103</f>
        <v>213</v>
      </c>
      <c r="AH93" s="704">
        <f>qtrSales!$K104</f>
        <v>218</v>
      </c>
      <c r="AI93" s="704">
        <f>qtrSales!$K105</f>
        <v>230</v>
      </c>
      <c r="AJ93" s="704">
        <f>qtrSales!$K106</f>
        <v>245</v>
      </c>
      <c r="AK93" s="868"/>
      <c r="AL93" s="704">
        <f>qtrSales!$K110</f>
        <v>257</v>
      </c>
      <c r="AM93" s="704">
        <f>qtrSales!$K111</f>
        <v>269</v>
      </c>
      <c r="AN93" s="704">
        <f>qtrSales!$K112</f>
        <v>286</v>
      </c>
      <c r="AO93" s="704">
        <f>qtrSales!$K113</f>
        <v>294</v>
      </c>
      <c r="AP93" s="868"/>
      <c r="AQ93" s="704">
        <f>qtrSales!$K117</f>
        <v>299</v>
      </c>
      <c r="AR93" s="704">
        <f>qtrSales!$K118</f>
        <v>309</v>
      </c>
      <c r="AS93" s="704">
        <f>qtrSales!$K119</f>
        <v>319</v>
      </c>
      <c r="AT93" s="704">
        <f>qtrSales!$K120</f>
        <v>327</v>
      </c>
      <c r="AU93" s="704"/>
      <c r="AV93" s="704">
        <f>qtrSales!$K124</f>
        <v>335</v>
      </c>
      <c r="AW93" s="704">
        <f>qtrSales!$K125</f>
        <v>342</v>
      </c>
      <c r="AX93" s="704">
        <f>qtrSales!$K126</f>
        <v>355</v>
      </c>
      <c r="AY93" s="704">
        <f>qtrSales!$K127</f>
        <v>372</v>
      </c>
      <c r="AZ93" s="704"/>
      <c r="BA93" s="704">
        <f>qtrSales!$K131</f>
        <v>382</v>
      </c>
      <c r="BB93" s="704">
        <f>qtrSales!$K132</f>
        <v>392</v>
      </c>
      <c r="BC93" s="704">
        <f>qtrSales!$K133</f>
        <v>408</v>
      </c>
      <c r="BD93" s="703">
        <f>qtrSales!$K134</f>
        <v>429</v>
      </c>
      <c r="BE93" s="704"/>
      <c r="BF93" s="704">
        <f>qtrSales!K138</f>
        <v>443</v>
      </c>
      <c r="BG93" s="704">
        <f>qtrSales!K139</f>
        <v>457</v>
      </c>
      <c r="BH93" s="704">
        <f>qtrSales!K140</f>
        <v>467</v>
      </c>
      <c r="BI93" s="703">
        <f>qtrSales!K141</f>
        <v>476</v>
      </c>
      <c r="BJ93" s="704"/>
      <c r="BK93" s="704">
        <f>qtrSales!K145</f>
        <v>482</v>
      </c>
      <c r="BL93" s="704">
        <f>qtrSales!K146</f>
        <v>491</v>
      </c>
      <c r="BM93" s="704">
        <f>qtrSales!K147</f>
        <v>500</v>
      </c>
      <c r="BN93" s="704">
        <f>qtrSales!K148</f>
        <v>511</v>
      </c>
      <c r="BO93" s="704"/>
      <c r="BP93" s="703">
        <f>qtrSales!K152</f>
        <v>516</v>
      </c>
      <c r="BQ93" s="703">
        <f>qtrSales!K153</f>
        <v>525</v>
      </c>
      <c r="BR93" s="703">
        <f>qtrSales!K154</f>
        <v>539</v>
      </c>
      <c r="BS93" s="703">
        <f>qtrSales!K155</f>
        <v>546</v>
      </c>
      <c r="BT93" s="704"/>
      <c r="BU93" s="704">
        <f>qtrSales!K159</f>
        <v>550</v>
      </c>
      <c r="BV93" s="704">
        <f>qtrSales!K160</f>
        <v>556</v>
      </c>
      <c r="BW93" s="704">
        <f>qtrSales!K161</f>
        <v>568</v>
      </c>
      <c r="BX93" s="704">
        <f>qtrSales!K162</f>
        <v>574</v>
      </c>
      <c r="BY93" s="704"/>
      <c r="BZ93" s="704">
        <f t="array" ref="BZ93:CC93">TRANSPOSE(qtrSales!K166:K169)</f>
        <v>574</v>
      </c>
      <c r="CA93" s="704">
        <v>581</v>
      </c>
      <c r="CB93" s="704">
        <v>592</v>
      </c>
      <c r="CC93" s="704">
        <v>594</v>
      </c>
      <c r="CD93" s="704"/>
      <c r="CE93" s="704">
        <f t="array" ref="CE93:CH93">TRANSPOSE(qtrSales!K173:K176)</f>
        <v>597</v>
      </c>
      <c r="CF93" s="704">
        <v>600</v>
      </c>
      <c r="CG93" s="1597">
        <v>604</v>
      </c>
      <c r="CH93" s="1597">
        <v>603</v>
      </c>
      <c r="CI93" s="704"/>
      <c r="CJ93" s="704">
        <f t="array" ref="CJ93:CM93">TRANSPOSE(qtrSales!K180:K183)</f>
        <v>605</v>
      </c>
      <c r="CK93" s="704">
        <v>606</v>
      </c>
      <c r="CL93" s="1597">
        <v>611</v>
      </c>
      <c r="CM93" s="1597">
        <v>606</v>
      </c>
      <c r="CN93" s="704"/>
      <c r="CO93" s="704" t="s">
        <v>11</v>
      </c>
      <c r="CP93" s="704" t="s">
        <v>11</v>
      </c>
      <c r="CQ93" s="704" t="s">
        <v>11</v>
      </c>
      <c r="CR93" s="704" t="s">
        <v>11</v>
      </c>
      <c r="CS93" s="704" t="s">
        <v>11</v>
      </c>
      <c r="CT93" s="704" t="s">
        <v>11</v>
      </c>
      <c r="CU93" s="704" t="s">
        <v>11</v>
      </c>
      <c r="CV93" s="704" t="s">
        <v>11</v>
      </c>
      <c r="CW93" s="704" t="s">
        <v>11</v>
      </c>
      <c r="CX93" s="704" t="s">
        <v>11</v>
      </c>
      <c r="CY93" s="704" t="s">
        <v>11</v>
      </c>
      <c r="CZ93" s="704" t="s">
        <v>11</v>
      </c>
      <c r="DA93" s="704" t="s">
        <v>11</v>
      </c>
      <c r="DB93" s="704" t="s">
        <v>11</v>
      </c>
      <c r="DC93" s="704">
        <f t="shared" ref="DC93:DL93" si="58">DC80</f>
        <v>372</v>
      </c>
      <c r="DD93" s="703">
        <f t="shared" si="58"/>
        <v>429</v>
      </c>
      <c r="DE93" s="704">
        <f t="shared" si="58"/>
        <v>476</v>
      </c>
      <c r="DF93" s="704">
        <f t="shared" si="58"/>
        <v>511</v>
      </c>
      <c r="DG93" s="704">
        <f t="shared" si="58"/>
        <v>546</v>
      </c>
      <c r="DH93" s="704">
        <f t="shared" si="58"/>
        <v>572</v>
      </c>
      <c r="DI93" s="704">
        <f t="shared" si="58"/>
        <v>594</v>
      </c>
      <c r="DJ93" s="1005">
        <f t="shared" si="58"/>
        <v>603</v>
      </c>
      <c r="DK93" s="1005">
        <f t="shared" si="58"/>
        <v>606</v>
      </c>
      <c r="DL93" s="1005">
        <f t="shared" si="58"/>
        <v>618</v>
      </c>
      <c r="DM93" s="1005">
        <f>DM80</f>
        <v>630</v>
      </c>
      <c r="DN93" s="1005">
        <f>DN80</f>
        <v>636</v>
      </c>
      <c r="DO93" s="1005">
        <f>DO80</f>
        <v>642</v>
      </c>
      <c r="DP93" s="704"/>
    </row>
    <row r="94" spans="1:120" outlineLevel="1">
      <c r="A94" s="825" t="s">
        <v>13</v>
      </c>
      <c r="B94" s="817"/>
      <c r="C94" s="817">
        <f>CT94</f>
        <v>0.41799999999999998</v>
      </c>
      <c r="D94" s="817">
        <f>CT94</f>
        <v>0.41799999999999998</v>
      </c>
      <c r="E94" s="817">
        <f>CT94</f>
        <v>0.41799999999999998</v>
      </c>
      <c r="F94" s="817">
        <f>CT94</f>
        <v>0.41799999999999998</v>
      </c>
      <c r="G94" s="817"/>
      <c r="H94" s="817">
        <f>CU94</f>
        <v>0.38200000000000001</v>
      </c>
      <c r="I94" s="817">
        <f>CU94</f>
        <v>0.38200000000000001</v>
      </c>
      <c r="J94" s="817">
        <f>CU94</f>
        <v>0.38200000000000001</v>
      </c>
      <c r="K94" s="817">
        <f>CU94</f>
        <v>0.38200000000000001</v>
      </c>
      <c r="L94" s="817"/>
      <c r="M94" s="817">
        <f>CV94</f>
        <v>0.40199999999999997</v>
      </c>
      <c r="N94" s="817">
        <f>CV94</f>
        <v>0.40199999999999997</v>
      </c>
      <c r="O94" s="817">
        <f>CV94</f>
        <v>0.40199999999999997</v>
      </c>
      <c r="P94" s="817">
        <f>CV94</f>
        <v>0.40199999999999997</v>
      </c>
      <c r="Q94" s="817"/>
      <c r="R94" s="817">
        <f>CW94</f>
        <v>0.39399999999999996</v>
      </c>
      <c r="S94" s="817">
        <f>CW94</f>
        <v>0.39399999999999996</v>
      </c>
      <c r="T94" s="817">
        <f>CW94</f>
        <v>0.39399999999999996</v>
      </c>
      <c r="U94" s="817">
        <f>CW94</f>
        <v>0.39399999999999996</v>
      </c>
      <c r="V94" s="817"/>
      <c r="W94" s="817">
        <f>CX94</f>
        <v>0.39099999999999996</v>
      </c>
      <c r="X94" s="817">
        <f>CX94</f>
        <v>0.39099999999999996</v>
      </c>
      <c r="Y94" s="817">
        <f>CX94</f>
        <v>0.39099999999999996</v>
      </c>
      <c r="Z94" s="817">
        <f>CX94</f>
        <v>0.39099999999999996</v>
      </c>
      <c r="AA94" s="817"/>
      <c r="AB94" s="817">
        <f>CY94</f>
        <v>0.35</v>
      </c>
      <c r="AC94" s="817">
        <f>CY94</f>
        <v>0.35</v>
      </c>
      <c r="AD94" s="817">
        <f>CY94</f>
        <v>0.35</v>
      </c>
      <c r="AE94" s="817">
        <f>CY94</f>
        <v>0.35</v>
      </c>
      <c r="AF94" s="817"/>
      <c r="AG94" s="817">
        <f>CZ94</f>
        <v>0.376</v>
      </c>
      <c r="AH94" s="817">
        <f>CZ94</f>
        <v>0.376</v>
      </c>
      <c r="AI94" s="817">
        <f>CZ94</f>
        <v>0.376</v>
      </c>
      <c r="AJ94" s="817">
        <f>CZ94</f>
        <v>0.376</v>
      </c>
      <c r="AK94" s="817"/>
      <c r="AL94" s="817">
        <f>DA94</f>
        <v>0.36099999999999999</v>
      </c>
      <c r="AM94" s="817">
        <f>DA94</f>
        <v>0.36099999999999999</v>
      </c>
      <c r="AN94" s="817">
        <f>DA94</f>
        <v>0.36099999999999999</v>
      </c>
      <c r="AO94" s="817">
        <f>DA94</f>
        <v>0.36099999999999999</v>
      </c>
      <c r="AP94" s="817"/>
      <c r="AQ94" s="817">
        <f>DB94</f>
        <v>0.36699999999999999</v>
      </c>
      <c r="AR94" s="817">
        <f>DB94</f>
        <v>0.36699999999999999</v>
      </c>
      <c r="AS94" s="817">
        <f>DB94</f>
        <v>0.36699999999999999</v>
      </c>
      <c r="AT94" s="817">
        <f>DB94</f>
        <v>0.36699999999999999</v>
      </c>
      <c r="AU94" s="817"/>
      <c r="AV94" s="817">
        <f>DC94</f>
        <v>0.3457508005599127</v>
      </c>
      <c r="AW94" s="817">
        <f>DC94</f>
        <v>0.3457508005599127</v>
      </c>
      <c r="AX94" s="817">
        <f>DC94</f>
        <v>0.3457508005599127</v>
      </c>
      <c r="AY94" s="817">
        <f>DC94</f>
        <v>0.3457508005599127</v>
      </c>
      <c r="AZ94" s="817"/>
      <c r="BA94" s="817">
        <f>+DD94</f>
        <v>0.35861801537923482</v>
      </c>
      <c r="BB94" s="817">
        <f>+DD94</f>
        <v>0.35861801537923482</v>
      </c>
      <c r="BC94" s="817">
        <f>+DD94</f>
        <v>0.35861801537923482</v>
      </c>
      <c r="BD94" s="917">
        <f>+DD94</f>
        <v>0.35861801537923482</v>
      </c>
      <c r="BE94" s="817"/>
      <c r="BF94" s="817">
        <f>$DE$94</f>
        <v>0.36812648440245799</v>
      </c>
      <c r="BG94" s="817">
        <f>$DE$94</f>
        <v>0.36812648440245799</v>
      </c>
      <c r="BH94" s="817">
        <f>$DE$94</f>
        <v>0.36812648440245799</v>
      </c>
      <c r="BI94" s="817">
        <f>$DE$94</f>
        <v>0.36812648440245799</v>
      </c>
      <c r="BJ94" s="817"/>
      <c r="BK94" s="817">
        <f>$DF$94</f>
        <v>0.33950762670093537</v>
      </c>
      <c r="BL94" s="817">
        <f>$DF$94</f>
        <v>0.33950762670093537</v>
      </c>
      <c r="BM94" s="817">
        <f>$DF$94</f>
        <v>0.33950762670093537</v>
      </c>
      <c r="BN94" s="817">
        <f>$DF$94</f>
        <v>0.33950762670093537</v>
      </c>
      <c r="BO94" s="817"/>
      <c r="BP94" s="917">
        <f>$DG$94</f>
        <v>0.36022814284084276</v>
      </c>
      <c r="BQ94" s="917">
        <f>$DG$94</f>
        <v>0.36022814284084276</v>
      </c>
      <c r="BR94" s="917">
        <f>$DG$94</f>
        <v>0.36022814284084276</v>
      </c>
      <c r="BS94" s="917">
        <f>$DG$94</f>
        <v>0.36022814284084276</v>
      </c>
      <c r="BT94" s="817"/>
      <c r="BU94" s="817">
        <f>$DH$94</f>
        <v>0.35865966157283219</v>
      </c>
      <c r="BV94" s="817">
        <f>$DH$94</f>
        <v>0.35865966157283219</v>
      </c>
      <c r="BW94" s="817">
        <f>$DH$94</f>
        <v>0.35865966157283219</v>
      </c>
      <c r="BX94" s="817">
        <f>$DH$94</f>
        <v>0.35865966157283219</v>
      </c>
      <c r="BY94" s="817"/>
      <c r="BZ94" s="817">
        <f>$DI$94</f>
        <v>0.3553118794533352</v>
      </c>
      <c r="CA94" s="817">
        <f>$DI$94</f>
        <v>0.3553118794533352</v>
      </c>
      <c r="CB94" s="817">
        <f>$DI$94</f>
        <v>0.3553118794533352</v>
      </c>
      <c r="CC94" s="817">
        <f>$DI$94</f>
        <v>0.3553118794533352</v>
      </c>
      <c r="CD94" s="817"/>
      <c r="CE94" s="817">
        <f>$DJ$94</f>
        <v>0.33782933156743838</v>
      </c>
      <c r="CF94" s="817">
        <f>$DJ$94</f>
        <v>0.33782933156743838</v>
      </c>
      <c r="CG94" s="817">
        <f>$DJ$94</f>
        <v>0.33782933156743838</v>
      </c>
      <c r="CH94" s="817">
        <f>$DJ$94</f>
        <v>0.33782933156743838</v>
      </c>
      <c r="CI94" s="817"/>
      <c r="CJ94" s="817">
        <f>$DK$94</f>
        <v>0.25274902544136363</v>
      </c>
      <c r="CK94" s="817">
        <f>$DJ$94</f>
        <v>0.33782933156743838</v>
      </c>
      <c r="CL94" s="817">
        <f>$DJ$94</f>
        <v>0.33782933156743838</v>
      </c>
      <c r="CM94" s="817">
        <f>$DJ$94</f>
        <v>0.33782933156743838</v>
      </c>
      <c r="CN94" s="817"/>
      <c r="CO94" s="917">
        <f>CO95+CO96+CO97</f>
        <v>0.42</v>
      </c>
      <c r="CP94" s="917">
        <f>CP95+CP96+CP97</f>
        <v>0.42</v>
      </c>
      <c r="CQ94" s="917">
        <f>CQ95+CQ96+CQ97</f>
        <v>0.42</v>
      </c>
      <c r="CR94" s="917">
        <f>CR95+CR96+CR97</f>
        <v>0.42</v>
      </c>
      <c r="CS94" s="917">
        <f>CS95+CS96+CS97</f>
        <v>0.42</v>
      </c>
      <c r="CT94" s="918">
        <f t="shared" ref="CT94:DB94" si="59">CT95+CT96+CT97</f>
        <v>0.41799999999999998</v>
      </c>
      <c r="CU94" s="918">
        <f t="shared" si="59"/>
        <v>0.38200000000000001</v>
      </c>
      <c r="CV94" s="918">
        <f t="shared" si="59"/>
        <v>0.40199999999999997</v>
      </c>
      <c r="CW94" s="917">
        <f t="shared" si="59"/>
        <v>0.39399999999999996</v>
      </c>
      <c r="CX94" s="917">
        <f t="shared" si="59"/>
        <v>0.39099999999999996</v>
      </c>
      <c r="CY94" s="917">
        <f t="shared" si="59"/>
        <v>0.35</v>
      </c>
      <c r="CZ94" s="917">
        <f t="shared" si="59"/>
        <v>0.376</v>
      </c>
      <c r="DA94" s="917">
        <f t="shared" si="59"/>
        <v>0.36099999999999999</v>
      </c>
      <c r="DB94" s="917">
        <f t="shared" si="59"/>
        <v>0.36699999999999999</v>
      </c>
      <c r="DC94" s="917">
        <f>'yrP&amp;L'!R43</f>
        <v>0.3457508005599127</v>
      </c>
      <c r="DD94" s="917">
        <f>'yrP&amp;L'!S43</f>
        <v>0.35861801537923482</v>
      </c>
      <c r="DE94" s="917">
        <f>'yrP&amp;L'!T43</f>
        <v>0.36812648440245799</v>
      </c>
      <c r="DF94" s="917">
        <f>'yrP&amp;L'!U43</f>
        <v>0.33950762670093537</v>
      </c>
      <c r="DG94" s="917">
        <f>'yrP&amp;L'!V43</f>
        <v>0.36022814284084276</v>
      </c>
      <c r="DH94" s="917">
        <f>'yrP&amp;L'!W43</f>
        <v>0.35865966157283219</v>
      </c>
      <c r="DI94" s="917">
        <f>'yrP&amp;L'!X43</f>
        <v>0.3553118794533352</v>
      </c>
      <c r="DJ94" s="917">
        <f>'yrP&amp;L'!Y43</f>
        <v>0.33782933156743838</v>
      </c>
      <c r="DK94" s="917">
        <f>'yrP&amp;L'!Z43</f>
        <v>0.25274902544136363</v>
      </c>
      <c r="DL94" s="917">
        <f>'yrP&amp;L'!AA43</f>
        <v>0.25274902544136363</v>
      </c>
      <c r="DM94" s="917">
        <f>'yrP&amp;L'!AB43</f>
        <v>0.25274902544136363</v>
      </c>
      <c r="DN94" s="917">
        <f>'yrP&amp;L'!AC43</f>
        <v>0.25274902544136363</v>
      </c>
      <c r="DO94" s="917">
        <f>'yrP&amp;L'!AD43</f>
        <v>0.25274902544136363</v>
      </c>
      <c r="DP94" s="825"/>
    </row>
    <row r="95" spans="1:120" outlineLevel="1">
      <c r="A95" s="919" t="s">
        <v>443</v>
      </c>
      <c r="B95" s="817"/>
      <c r="C95" s="817">
        <f>CT95</f>
        <v>0.35</v>
      </c>
      <c r="D95" s="817">
        <f>CT95</f>
        <v>0.35</v>
      </c>
      <c r="E95" s="817">
        <f>CT95</f>
        <v>0.35</v>
      </c>
      <c r="F95" s="817">
        <f>CT95</f>
        <v>0.35</v>
      </c>
      <c r="G95" s="817"/>
      <c r="H95" s="817">
        <f>CU95</f>
        <v>0.35</v>
      </c>
      <c r="I95" s="817">
        <f>CU95</f>
        <v>0.35</v>
      </c>
      <c r="J95" s="817">
        <f>CU95</f>
        <v>0.35</v>
      </c>
      <c r="K95" s="817">
        <f>CU95</f>
        <v>0.35</v>
      </c>
      <c r="L95" s="817"/>
      <c r="M95" s="817">
        <f>CV95</f>
        <v>0.35</v>
      </c>
      <c r="N95" s="817">
        <f>CV95</f>
        <v>0.35</v>
      </c>
      <c r="O95" s="817">
        <f>CV95</f>
        <v>0.35</v>
      </c>
      <c r="P95" s="817">
        <f>CV95</f>
        <v>0.35</v>
      </c>
      <c r="Q95" s="817"/>
      <c r="R95" s="817">
        <f>CW95</f>
        <v>0.35</v>
      </c>
      <c r="S95" s="817">
        <f>CW95</f>
        <v>0.35</v>
      </c>
      <c r="T95" s="817">
        <f>CW95</f>
        <v>0.35</v>
      </c>
      <c r="U95" s="817">
        <f>CW95</f>
        <v>0.35</v>
      </c>
      <c r="V95" s="817"/>
      <c r="W95" s="817">
        <f>CX95</f>
        <v>0.35</v>
      </c>
      <c r="X95" s="817">
        <f>CX95</f>
        <v>0.35</v>
      </c>
      <c r="Y95" s="817">
        <f>CX95</f>
        <v>0.35</v>
      </c>
      <c r="Z95" s="817">
        <f>CX95</f>
        <v>0.35</v>
      </c>
      <c r="AA95" s="817"/>
      <c r="AB95" s="817">
        <f>CY95</f>
        <v>0.35</v>
      </c>
      <c r="AC95" s="817">
        <f>CY95</f>
        <v>0.35</v>
      </c>
      <c r="AD95" s="817">
        <f>CY95</f>
        <v>0.35</v>
      </c>
      <c r="AE95" s="817">
        <f>CY95</f>
        <v>0.35</v>
      </c>
      <c r="AF95" s="817"/>
      <c r="AG95" s="817">
        <f>CZ95</f>
        <v>0.35</v>
      </c>
      <c r="AH95" s="817">
        <f>CZ95</f>
        <v>0.35</v>
      </c>
      <c r="AI95" s="817">
        <f>CZ95</f>
        <v>0.35</v>
      </c>
      <c r="AJ95" s="817">
        <f>CZ95</f>
        <v>0.35</v>
      </c>
      <c r="AK95" s="817"/>
      <c r="AL95" s="817">
        <f>DA95</f>
        <v>0.35</v>
      </c>
      <c r="AM95" s="817">
        <f>DA95</f>
        <v>0.35</v>
      </c>
      <c r="AN95" s="817">
        <f>DA95</f>
        <v>0.35</v>
      </c>
      <c r="AO95" s="817">
        <f>DA95</f>
        <v>0.35</v>
      </c>
      <c r="AP95" s="817"/>
      <c r="AQ95" s="817">
        <f>DB95</f>
        <v>0.35</v>
      </c>
      <c r="AR95" s="817">
        <f>DB95</f>
        <v>0.35</v>
      </c>
      <c r="AS95" s="817">
        <f>DB95</f>
        <v>0.35</v>
      </c>
      <c r="AT95" s="817">
        <f>DB95</f>
        <v>0.35</v>
      </c>
      <c r="AU95" s="817"/>
      <c r="AV95" s="817">
        <f>DC95</f>
        <v>0.35</v>
      </c>
      <c r="AW95" s="817">
        <f>DC95</f>
        <v>0.35</v>
      </c>
      <c r="AX95" s="817">
        <f>DC95</f>
        <v>0.35</v>
      </c>
      <c r="AY95" s="817">
        <f>DC95</f>
        <v>0.35</v>
      </c>
      <c r="AZ95" s="817"/>
      <c r="BA95" s="817">
        <f>$DD$95</f>
        <v>0.35</v>
      </c>
      <c r="BB95" s="817">
        <f>$DD$95</f>
        <v>0.35</v>
      </c>
      <c r="BC95" s="817">
        <f>$DD$95</f>
        <v>0.35</v>
      </c>
      <c r="BD95" s="817">
        <f>$DD$95</f>
        <v>0.35</v>
      </c>
      <c r="BE95" s="817"/>
      <c r="BF95" s="817">
        <f>$DE$95</f>
        <v>0.35</v>
      </c>
      <c r="BG95" s="817">
        <f>$DE$95</f>
        <v>0.35</v>
      </c>
      <c r="BH95" s="817">
        <f>$DE$95</f>
        <v>0.35</v>
      </c>
      <c r="BI95" s="817">
        <f>$DE$95</f>
        <v>0.35</v>
      </c>
      <c r="BJ95" s="817"/>
      <c r="BK95" s="817">
        <f>$DF$95</f>
        <v>0.35</v>
      </c>
      <c r="BL95" s="817">
        <f>$DF$95</f>
        <v>0.35</v>
      </c>
      <c r="BM95" s="817">
        <f>$DF$95</f>
        <v>0.35</v>
      </c>
      <c r="BN95" s="817">
        <f>$DF$95</f>
        <v>0.35</v>
      </c>
      <c r="BO95" s="817"/>
      <c r="BP95" s="817">
        <f>$DG$95</f>
        <v>0.35</v>
      </c>
      <c r="BQ95" s="817">
        <f>$DG$95</f>
        <v>0.35</v>
      </c>
      <c r="BR95" s="817">
        <f>$DG$95</f>
        <v>0.35</v>
      </c>
      <c r="BS95" s="817">
        <f>$DG$95</f>
        <v>0.35</v>
      </c>
      <c r="BT95" s="817"/>
      <c r="BU95" s="817">
        <f>$DH$95</f>
        <v>0.35</v>
      </c>
      <c r="BV95" s="817">
        <f>$DH$95</f>
        <v>0.35</v>
      </c>
      <c r="BW95" s="817">
        <f>$DH$95</f>
        <v>0.35</v>
      </c>
      <c r="BX95" s="817">
        <f>$DH$95</f>
        <v>0.35</v>
      </c>
      <c r="BY95" s="817"/>
      <c r="BZ95" s="817">
        <f>$DI$95</f>
        <v>0.35</v>
      </c>
      <c r="CA95" s="817">
        <f>$DI$95</f>
        <v>0.35</v>
      </c>
      <c r="CB95" s="817">
        <f>$DI$95</f>
        <v>0.35</v>
      </c>
      <c r="CC95" s="817">
        <f>$DI$95</f>
        <v>0.35</v>
      </c>
      <c r="CD95" s="817"/>
      <c r="CE95" s="817">
        <f>$DJ$95</f>
        <v>0.35</v>
      </c>
      <c r="CF95" s="817">
        <f>$DJ$95</f>
        <v>0.35</v>
      </c>
      <c r="CG95" s="817">
        <f>$DJ$95</f>
        <v>0.35</v>
      </c>
      <c r="CH95" s="817">
        <f>$DJ$95</f>
        <v>0.35</v>
      </c>
      <c r="CI95" s="817"/>
      <c r="CJ95" s="817">
        <f>$DJ$95</f>
        <v>0.35</v>
      </c>
      <c r="CK95" s="817">
        <f>$DJ$95</f>
        <v>0.35</v>
      </c>
      <c r="CL95" s="817">
        <f>$DJ$95</f>
        <v>0.35</v>
      </c>
      <c r="CM95" s="817">
        <f>$DJ$95</f>
        <v>0.35</v>
      </c>
      <c r="CN95" s="817"/>
      <c r="CO95" s="917">
        <v>0.35</v>
      </c>
      <c r="CP95" s="917">
        <v>0.35</v>
      </c>
      <c r="CQ95" s="917">
        <v>0.35</v>
      </c>
      <c r="CR95" s="917">
        <v>0.35</v>
      </c>
      <c r="CS95" s="917">
        <v>0.35</v>
      </c>
      <c r="CT95" s="918">
        <v>0.35</v>
      </c>
      <c r="CU95" s="918">
        <v>0.35</v>
      </c>
      <c r="CV95" s="918">
        <v>0.35</v>
      </c>
      <c r="CW95" s="918">
        <v>0.35</v>
      </c>
      <c r="CX95" s="917">
        <v>0.35</v>
      </c>
      <c r="CY95" s="917">
        <v>0.35</v>
      </c>
      <c r="CZ95" s="917">
        <v>0.35</v>
      </c>
      <c r="DA95" s="917">
        <v>0.35</v>
      </c>
      <c r="DB95" s="917">
        <v>0.35</v>
      </c>
      <c r="DC95" s="917">
        <v>0.35</v>
      </c>
      <c r="DD95" s="917">
        <v>0.35</v>
      </c>
      <c r="DE95" s="917">
        <v>0.35</v>
      </c>
      <c r="DF95" s="917">
        <v>0.35</v>
      </c>
      <c r="DG95" s="917">
        <v>0.35</v>
      </c>
      <c r="DH95" s="917">
        <v>0.35</v>
      </c>
      <c r="DI95" s="917">
        <v>0.35</v>
      </c>
      <c r="DJ95" s="917">
        <v>0.35</v>
      </c>
      <c r="DK95" s="917">
        <v>0.35</v>
      </c>
      <c r="DL95" s="917">
        <v>0.35</v>
      </c>
      <c r="DM95" s="917">
        <v>0.35</v>
      </c>
      <c r="DN95" s="917">
        <v>0.35</v>
      </c>
      <c r="DO95" s="917">
        <v>0.35</v>
      </c>
      <c r="DP95" s="825"/>
    </row>
    <row r="96" spans="1:120" outlineLevel="1">
      <c r="A96" s="919" t="s">
        <v>445</v>
      </c>
      <c r="B96" s="817"/>
      <c r="C96" s="817">
        <f>CT96</f>
        <v>6.8000000000000005E-2</v>
      </c>
      <c r="D96" s="817">
        <f>CT96</f>
        <v>6.8000000000000005E-2</v>
      </c>
      <c r="E96" s="817">
        <f>CT96</f>
        <v>6.8000000000000005E-2</v>
      </c>
      <c r="F96" s="817">
        <f>CT96</f>
        <v>6.8000000000000005E-2</v>
      </c>
      <c r="G96" s="817"/>
      <c r="H96" s="817">
        <f>CU96</f>
        <v>3.2000000000000001E-2</v>
      </c>
      <c r="I96" s="817">
        <f>CU96</f>
        <v>3.2000000000000001E-2</v>
      </c>
      <c r="J96" s="817">
        <f>CU96</f>
        <v>3.2000000000000001E-2</v>
      </c>
      <c r="K96" s="817">
        <f>CU96</f>
        <v>3.2000000000000001E-2</v>
      </c>
      <c r="L96" s="817"/>
      <c r="M96" s="817">
        <f>CV96</f>
        <v>5.1999999999999998E-2</v>
      </c>
      <c r="N96" s="817">
        <f>CV96</f>
        <v>5.1999999999999998E-2</v>
      </c>
      <c r="O96" s="817">
        <f>CV96</f>
        <v>5.1999999999999998E-2</v>
      </c>
      <c r="P96" s="817">
        <f>CV96</f>
        <v>5.1999999999999998E-2</v>
      </c>
      <c r="Q96" s="817"/>
      <c r="R96" s="817">
        <f>CW96</f>
        <v>4.3999999999999997E-2</v>
      </c>
      <c r="S96" s="817">
        <f>CW96</f>
        <v>4.3999999999999997E-2</v>
      </c>
      <c r="T96" s="817">
        <f>CW96</f>
        <v>4.3999999999999997E-2</v>
      </c>
      <c r="U96" s="817">
        <f>CW96</f>
        <v>4.3999999999999997E-2</v>
      </c>
      <c r="V96" s="817"/>
      <c r="W96" s="817">
        <f>CX96</f>
        <v>4.2000000000000003E-2</v>
      </c>
      <c r="X96" s="817">
        <f>CX96</f>
        <v>4.2000000000000003E-2</v>
      </c>
      <c r="Y96" s="817">
        <f>CX96</f>
        <v>4.2000000000000003E-2</v>
      </c>
      <c r="Z96" s="817">
        <f>CX96</f>
        <v>4.2000000000000003E-2</v>
      </c>
      <c r="AA96" s="817"/>
      <c r="AB96" s="817">
        <f>CY96</f>
        <v>2.3E-2</v>
      </c>
      <c r="AC96" s="817">
        <f>CY96</f>
        <v>2.3E-2</v>
      </c>
      <c r="AD96" s="817">
        <f>CY96</f>
        <v>2.3E-2</v>
      </c>
      <c r="AE96" s="817">
        <f>CY96</f>
        <v>2.3E-2</v>
      </c>
      <c r="AF96" s="817"/>
      <c r="AG96" s="817">
        <f>CZ96</f>
        <v>2.1000000000000001E-2</v>
      </c>
      <c r="AH96" s="817">
        <f>CZ96</f>
        <v>2.1000000000000001E-2</v>
      </c>
      <c r="AI96" s="817">
        <f>CZ96</f>
        <v>2.1000000000000001E-2</v>
      </c>
      <c r="AJ96" s="817">
        <f>CZ96</f>
        <v>2.1000000000000001E-2</v>
      </c>
      <c r="AK96" s="817"/>
      <c r="AL96" s="817">
        <f>DA96</f>
        <v>2.5999999999999999E-2</v>
      </c>
      <c r="AM96" s="817">
        <f>DA96</f>
        <v>2.5999999999999999E-2</v>
      </c>
      <c r="AN96" s="817">
        <f>DA96</f>
        <v>2.5999999999999999E-2</v>
      </c>
      <c r="AO96" s="817">
        <f>DA96</f>
        <v>2.5999999999999999E-2</v>
      </c>
      <c r="AP96" s="817"/>
      <c r="AQ96" s="817">
        <f>DB96</f>
        <v>2.3E-2</v>
      </c>
      <c r="AR96" s="817">
        <f>DB96</f>
        <v>2.3E-2</v>
      </c>
      <c r="AS96" s="817">
        <f>DB96</f>
        <v>2.3E-2</v>
      </c>
      <c r="AT96" s="817">
        <f>DB96</f>
        <v>2.3E-2</v>
      </c>
      <c r="AU96" s="817"/>
      <c r="AV96" s="817">
        <f>DC96</f>
        <v>2.3E-2</v>
      </c>
      <c r="AW96" s="817">
        <f>DC96</f>
        <v>2.3E-2</v>
      </c>
      <c r="AX96" s="817">
        <f>DC96</f>
        <v>2.3E-2</v>
      </c>
      <c r="AY96" s="817">
        <f>DC96</f>
        <v>2.3E-2</v>
      </c>
      <c r="AZ96" s="817"/>
      <c r="BA96" s="817">
        <f>$DD$96</f>
        <v>2.3E-2</v>
      </c>
      <c r="BB96" s="817">
        <f>$DD$96</f>
        <v>2.3E-2</v>
      </c>
      <c r="BC96" s="817">
        <f>$DD$96</f>
        <v>2.3E-2</v>
      </c>
      <c r="BD96" s="817">
        <f>$DD$96</f>
        <v>2.3E-2</v>
      </c>
      <c r="BE96" s="817"/>
      <c r="BF96" s="817">
        <f>$DE$96</f>
        <v>2.3E-2</v>
      </c>
      <c r="BG96" s="817">
        <f>$DE$96</f>
        <v>2.3E-2</v>
      </c>
      <c r="BH96" s="817">
        <f>$DE$96</f>
        <v>2.3E-2</v>
      </c>
      <c r="BI96" s="817">
        <f>$DE$96</f>
        <v>2.3E-2</v>
      </c>
      <c r="BJ96" s="817"/>
      <c r="BK96" s="817">
        <f>$DF$96</f>
        <v>2.3E-2</v>
      </c>
      <c r="BL96" s="817">
        <f>$DF$96</f>
        <v>2.3E-2</v>
      </c>
      <c r="BM96" s="817">
        <f>$DF$96</f>
        <v>2.3E-2</v>
      </c>
      <c r="BN96" s="817">
        <f>$DF$96</f>
        <v>2.3E-2</v>
      </c>
      <c r="BO96" s="817"/>
      <c r="BP96" s="817">
        <f>$DG$96</f>
        <v>2.3E-2</v>
      </c>
      <c r="BQ96" s="817">
        <f>$DG$96</f>
        <v>2.3E-2</v>
      </c>
      <c r="BR96" s="817">
        <f>$DG$96</f>
        <v>2.3E-2</v>
      </c>
      <c r="BS96" s="817">
        <f>$DG$96</f>
        <v>2.3E-2</v>
      </c>
      <c r="BT96" s="817"/>
      <c r="BU96" s="817">
        <f>$DH$96</f>
        <v>2.3E-2</v>
      </c>
      <c r="BV96" s="817">
        <f>$DH$96</f>
        <v>2.3E-2</v>
      </c>
      <c r="BW96" s="817">
        <f>$DH$96</f>
        <v>2.3E-2</v>
      </c>
      <c r="BX96" s="817">
        <f>$DH$96</f>
        <v>2.3E-2</v>
      </c>
      <c r="BY96" s="817"/>
      <c r="BZ96" s="817">
        <f>$DI$96</f>
        <v>2.3E-2</v>
      </c>
      <c r="CA96" s="817">
        <f>$DI$96</f>
        <v>2.3E-2</v>
      </c>
      <c r="CB96" s="817">
        <f>$DI$96</f>
        <v>2.3E-2</v>
      </c>
      <c r="CC96" s="817">
        <f>$DI$96</f>
        <v>2.3E-2</v>
      </c>
      <c r="CD96" s="817"/>
      <c r="CE96" s="817">
        <f>$DJ$96</f>
        <v>2.3E-2</v>
      </c>
      <c r="CF96" s="817">
        <f>$DJ$96</f>
        <v>2.3E-2</v>
      </c>
      <c r="CG96" s="817">
        <f>$DJ$96</f>
        <v>2.3E-2</v>
      </c>
      <c r="CH96" s="817">
        <f>$DJ$96</f>
        <v>2.3E-2</v>
      </c>
      <c r="CI96" s="817"/>
      <c r="CJ96" s="817">
        <f>$DJ$96</f>
        <v>2.3E-2</v>
      </c>
      <c r="CK96" s="817">
        <f>$DJ$96</f>
        <v>2.3E-2</v>
      </c>
      <c r="CL96" s="817">
        <f>$DJ$96</f>
        <v>2.3E-2</v>
      </c>
      <c r="CM96" s="817">
        <f>$DJ$96</f>
        <v>2.3E-2</v>
      </c>
      <c r="CN96" s="817"/>
      <c r="CO96" s="917">
        <v>7.0000000000000007E-2</v>
      </c>
      <c r="CP96" s="917">
        <v>7.0000000000000007E-2</v>
      </c>
      <c r="CQ96" s="917">
        <v>7.0000000000000007E-2</v>
      </c>
      <c r="CR96" s="917">
        <v>7.0000000000000007E-2</v>
      </c>
      <c r="CS96" s="917">
        <v>7.0000000000000007E-2</v>
      </c>
      <c r="CT96" s="918">
        <v>6.8000000000000005E-2</v>
      </c>
      <c r="CU96" s="918">
        <v>3.2000000000000001E-2</v>
      </c>
      <c r="CV96" s="918">
        <v>5.1999999999999998E-2</v>
      </c>
      <c r="CW96" s="918">
        <v>4.3999999999999997E-2</v>
      </c>
      <c r="CX96" s="917">
        <v>4.2000000000000003E-2</v>
      </c>
      <c r="CY96" s="917">
        <v>2.3E-2</v>
      </c>
      <c r="CZ96" s="917">
        <v>2.1000000000000001E-2</v>
      </c>
      <c r="DA96" s="917">
        <v>2.5999999999999999E-2</v>
      </c>
      <c r="DB96" s="917">
        <v>2.3E-2</v>
      </c>
      <c r="DC96" s="917">
        <v>2.3E-2</v>
      </c>
      <c r="DD96" s="917">
        <v>2.3E-2</v>
      </c>
      <c r="DE96" s="917">
        <v>2.3E-2</v>
      </c>
      <c r="DF96" s="917">
        <v>2.3E-2</v>
      </c>
      <c r="DG96" s="917">
        <v>2.3E-2</v>
      </c>
      <c r="DH96" s="917">
        <v>2.3E-2</v>
      </c>
      <c r="DI96" s="917">
        <v>2.3E-2</v>
      </c>
      <c r="DJ96" s="917">
        <v>2.3E-2</v>
      </c>
      <c r="DK96" s="917">
        <v>2.3E-2</v>
      </c>
      <c r="DL96" s="917">
        <v>2.3E-2</v>
      </c>
      <c r="DM96" s="917">
        <v>2.3E-2</v>
      </c>
      <c r="DN96" s="917">
        <v>2.3E-2</v>
      </c>
      <c r="DO96" s="917">
        <v>2.3E-2</v>
      </c>
      <c r="DP96" s="825"/>
    </row>
    <row r="97" spans="1:120" outlineLevel="1">
      <c r="A97" s="919" t="s">
        <v>444</v>
      </c>
      <c r="B97" s="817"/>
      <c r="C97" s="817">
        <f>CT97</f>
        <v>0</v>
      </c>
      <c r="D97" s="817">
        <f>CT97</f>
        <v>0</v>
      </c>
      <c r="E97" s="817">
        <f>CT97</f>
        <v>0</v>
      </c>
      <c r="F97" s="817">
        <f>CT97</f>
        <v>0</v>
      </c>
      <c r="G97" s="817"/>
      <c r="H97" s="817">
        <f>CU97</f>
        <v>0</v>
      </c>
      <c r="I97" s="817">
        <f>CU97</f>
        <v>0</v>
      </c>
      <c r="J97" s="817">
        <f>CU97</f>
        <v>0</v>
      </c>
      <c r="K97" s="817">
        <f>CU97</f>
        <v>0</v>
      </c>
      <c r="L97" s="817"/>
      <c r="M97" s="817">
        <f>CV97</f>
        <v>0</v>
      </c>
      <c r="N97" s="817">
        <f>CV97</f>
        <v>0</v>
      </c>
      <c r="O97" s="817">
        <f>CV97</f>
        <v>0</v>
      </c>
      <c r="P97" s="817">
        <f>CV97</f>
        <v>0</v>
      </c>
      <c r="Q97" s="817"/>
      <c r="R97" s="817">
        <f>CW97</f>
        <v>0</v>
      </c>
      <c r="S97" s="817">
        <f>CW97</f>
        <v>0</v>
      </c>
      <c r="T97" s="817">
        <f>CW97</f>
        <v>0</v>
      </c>
      <c r="U97" s="817">
        <f>CW97</f>
        <v>0</v>
      </c>
      <c r="V97" s="817"/>
      <c r="W97" s="817">
        <f>CX97</f>
        <v>-1E-3</v>
      </c>
      <c r="X97" s="817">
        <f>CX97</f>
        <v>-1E-3</v>
      </c>
      <c r="Y97" s="817">
        <f>CX97</f>
        <v>-1E-3</v>
      </c>
      <c r="Z97" s="817">
        <f>CX97</f>
        <v>-1E-3</v>
      </c>
      <c r="AA97" s="817"/>
      <c r="AB97" s="817">
        <f>CY97</f>
        <v>-2.3E-2</v>
      </c>
      <c r="AC97" s="817">
        <f>CY97</f>
        <v>-2.3E-2</v>
      </c>
      <c r="AD97" s="817">
        <f>CY97</f>
        <v>-2.3E-2</v>
      </c>
      <c r="AE97" s="817">
        <f>CY97</f>
        <v>-2.3E-2</v>
      </c>
      <c r="AF97" s="817"/>
      <c r="AG97" s="817">
        <f>CZ97</f>
        <v>5.0000000000000001E-3</v>
      </c>
      <c r="AH97" s="817">
        <f>CZ97</f>
        <v>5.0000000000000001E-3</v>
      </c>
      <c r="AI97" s="817">
        <f>CZ97</f>
        <v>5.0000000000000001E-3</v>
      </c>
      <c r="AJ97" s="817">
        <f>CZ97</f>
        <v>5.0000000000000001E-3</v>
      </c>
      <c r="AK97" s="817"/>
      <c r="AL97" s="817">
        <f>DA97</f>
        <v>-1.4999999999999999E-2</v>
      </c>
      <c r="AM97" s="817">
        <f>DA97</f>
        <v>-1.4999999999999999E-2</v>
      </c>
      <c r="AN97" s="817">
        <f>DA97</f>
        <v>-1.4999999999999999E-2</v>
      </c>
      <c r="AO97" s="817">
        <f>DA97</f>
        <v>-1.4999999999999999E-2</v>
      </c>
      <c r="AP97" s="817"/>
      <c r="AQ97" s="817">
        <f>DB97</f>
        <v>-6.0000000000000001E-3</v>
      </c>
      <c r="AR97" s="817">
        <f>DB97</f>
        <v>-6.0000000000000001E-3</v>
      </c>
      <c r="AS97" s="817">
        <f>DB97</f>
        <v>-6.0000000000000001E-3</v>
      </c>
      <c r="AT97" s="817">
        <f>DB97</f>
        <v>-6.0000000000000001E-3</v>
      </c>
      <c r="AU97" s="817"/>
      <c r="AV97" s="817">
        <f>DC97</f>
        <v>-6.0000000000000001E-3</v>
      </c>
      <c r="AW97" s="817">
        <f>DC97</f>
        <v>-6.0000000000000001E-3</v>
      </c>
      <c r="AX97" s="817">
        <f>DC97</f>
        <v>-6.0000000000000001E-3</v>
      </c>
      <c r="AY97" s="817">
        <f>DC97</f>
        <v>-6.0000000000000001E-3</v>
      </c>
      <c r="AZ97" s="817"/>
      <c r="BA97" s="817">
        <f>$DD$97</f>
        <v>-6.0000000000000001E-3</v>
      </c>
      <c r="BB97" s="817">
        <f>$DD$97</f>
        <v>-6.0000000000000001E-3</v>
      </c>
      <c r="BC97" s="817">
        <f>$DD$97</f>
        <v>-6.0000000000000001E-3</v>
      </c>
      <c r="BD97" s="817">
        <f>$DD$97</f>
        <v>-6.0000000000000001E-3</v>
      </c>
      <c r="BE97" s="817"/>
      <c r="BF97" s="817">
        <f>$DE$97</f>
        <v>-6.0000000000000001E-3</v>
      </c>
      <c r="BG97" s="817">
        <f>$DE$97</f>
        <v>-6.0000000000000001E-3</v>
      </c>
      <c r="BH97" s="817">
        <f>$DE$97</f>
        <v>-6.0000000000000001E-3</v>
      </c>
      <c r="BI97" s="817">
        <f>$DE$97</f>
        <v>-6.0000000000000001E-3</v>
      </c>
      <c r="BJ97" s="817"/>
      <c r="BK97" s="817">
        <f>$DF$97</f>
        <v>-6.0000000000000001E-3</v>
      </c>
      <c r="BL97" s="817">
        <f>$DF$97</f>
        <v>-6.0000000000000001E-3</v>
      </c>
      <c r="BM97" s="817">
        <f>$DF$97</f>
        <v>-6.0000000000000001E-3</v>
      </c>
      <c r="BN97" s="817">
        <f>$DF$97</f>
        <v>-6.0000000000000001E-3</v>
      </c>
      <c r="BO97" s="817"/>
      <c r="BP97" s="817">
        <f>$DG$97</f>
        <v>-6.0000000000000001E-3</v>
      </c>
      <c r="BQ97" s="817">
        <f>$DG$97</f>
        <v>-6.0000000000000001E-3</v>
      </c>
      <c r="BR97" s="817">
        <f>$DG$97</f>
        <v>-6.0000000000000001E-3</v>
      </c>
      <c r="BS97" s="817">
        <f>$DG$97</f>
        <v>-6.0000000000000001E-3</v>
      </c>
      <c r="BT97" s="817"/>
      <c r="BU97" s="817">
        <f>$DH$97</f>
        <v>-6.0000000000000001E-3</v>
      </c>
      <c r="BV97" s="817">
        <f>$DH$97</f>
        <v>-6.0000000000000001E-3</v>
      </c>
      <c r="BW97" s="817">
        <f>$DH$97</f>
        <v>-6.0000000000000001E-3</v>
      </c>
      <c r="BX97" s="817">
        <f>$DH$97</f>
        <v>-6.0000000000000001E-3</v>
      </c>
      <c r="BY97" s="817"/>
      <c r="BZ97" s="817">
        <f>$DI$97</f>
        <v>-6.0000000000000001E-3</v>
      </c>
      <c r="CA97" s="817">
        <f>$DI$97</f>
        <v>-6.0000000000000001E-3</v>
      </c>
      <c r="CB97" s="817">
        <f>$DI$97</f>
        <v>-6.0000000000000001E-3</v>
      </c>
      <c r="CC97" s="817">
        <f>$DI$97</f>
        <v>-6.0000000000000001E-3</v>
      </c>
      <c r="CD97" s="817"/>
      <c r="CE97" s="817">
        <f>$DJ$97</f>
        <v>-6.0000000000000001E-3</v>
      </c>
      <c r="CF97" s="817">
        <f>$DJ$97</f>
        <v>-6.0000000000000001E-3</v>
      </c>
      <c r="CG97" s="817">
        <f>$DJ$97</f>
        <v>-6.0000000000000001E-3</v>
      </c>
      <c r="CH97" s="817">
        <f>$DJ$97</f>
        <v>-6.0000000000000001E-3</v>
      </c>
      <c r="CI97" s="817"/>
      <c r="CJ97" s="817">
        <f>$DJ$97</f>
        <v>-6.0000000000000001E-3</v>
      </c>
      <c r="CK97" s="817">
        <f>$DJ$97</f>
        <v>-6.0000000000000001E-3</v>
      </c>
      <c r="CL97" s="817">
        <f>$DJ$97</f>
        <v>-6.0000000000000001E-3</v>
      </c>
      <c r="CM97" s="817">
        <f>$DJ$97</f>
        <v>-6.0000000000000001E-3</v>
      </c>
      <c r="CN97" s="817"/>
      <c r="CO97" s="917">
        <v>0</v>
      </c>
      <c r="CP97" s="917">
        <v>0</v>
      </c>
      <c r="CQ97" s="917">
        <v>0</v>
      </c>
      <c r="CR97" s="917">
        <v>0</v>
      </c>
      <c r="CS97" s="917">
        <v>0</v>
      </c>
      <c r="CT97" s="918">
        <v>0</v>
      </c>
      <c r="CU97" s="918">
        <v>0</v>
      </c>
      <c r="CV97" s="918">
        <v>0</v>
      </c>
      <c r="CW97" s="918">
        <v>0</v>
      </c>
      <c r="CX97" s="917">
        <v>-1E-3</v>
      </c>
      <c r="CY97" s="917">
        <v>-2.3E-2</v>
      </c>
      <c r="CZ97" s="917">
        <v>5.0000000000000001E-3</v>
      </c>
      <c r="DA97" s="917">
        <v>-1.4999999999999999E-2</v>
      </c>
      <c r="DB97" s="917">
        <v>-6.0000000000000001E-3</v>
      </c>
      <c r="DC97" s="917">
        <v>-6.0000000000000001E-3</v>
      </c>
      <c r="DD97" s="917">
        <v>-6.0000000000000001E-3</v>
      </c>
      <c r="DE97" s="917">
        <v>-6.0000000000000001E-3</v>
      </c>
      <c r="DF97" s="917">
        <v>-6.0000000000000001E-3</v>
      </c>
      <c r="DG97" s="917">
        <v>-6.0000000000000001E-3</v>
      </c>
      <c r="DH97" s="917">
        <v>-6.0000000000000001E-3</v>
      </c>
      <c r="DI97" s="917">
        <v>-6.0000000000000001E-3</v>
      </c>
      <c r="DJ97" s="917">
        <v>-6.0000000000000001E-3</v>
      </c>
      <c r="DK97" s="917">
        <v>-6.0000000000000001E-3</v>
      </c>
      <c r="DL97" s="917">
        <v>-6.0000000000000001E-3</v>
      </c>
      <c r="DM97" s="917">
        <v>-6.0000000000000001E-3</v>
      </c>
      <c r="DN97" s="917">
        <v>-6.0000000000000001E-3</v>
      </c>
      <c r="DO97" s="917">
        <v>-6.0000000000000001E-3</v>
      </c>
      <c r="DP97" s="825"/>
    </row>
    <row r="98" spans="1:120">
      <c r="A98" s="920" t="s">
        <v>161</v>
      </c>
      <c r="B98" s="853"/>
      <c r="C98" s="726"/>
      <c r="D98" s="726"/>
      <c r="E98" s="726"/>
      <c r="F98" s="726"/>
      <c r="G98" s="726"/>
      <c r="H98" s="726"/>
      <c r="I98" s="726"/>
      <c r="J98" s="726"/>
      <c r="K98" s="726"/>
      <c r="L98" s="704"/>
      <c r="M98" s="704"/>
      <c r="N98" s="704"/>
      <c r="O98" s="704"/>
      <c r="P98" s="704"/>
      <c r="Q98" s="704"/>
      <c r="R98" s="704"/>
      <c r="S98" s="704"/>
      <c r="T98" s="704"/>
      <c r="U98" s="704"/>
      <c r="V98" s="704"/>
      <c r="W98" s="704"/>
      <c r="X98" s="704"/>
      <c r="Y98" s="704"/>
      <c r="Z98" s="704"/>
      <c r="AA98" s="704"/>
      <c r="AB98" s="704"/>
      <c r="AC98" s="704"/>
      <c r="AD98" s="704"/>
      <c r="AE98" s="704"/>
      <c r="AF98" s="704"/>
      <c r="AG98" s="704"/>
      <c r="AH98" s="704"/>
      <c r="AI98" s="704"/>
      <c r="AJ98" s="704"/>
      <c r="AK98" s="704"/>
      <c r="AL98" s="704"/>
      <c r="AM98" s="704"/>
      <c r="AN98" s="704"/>
      <c r="AO98" s="704"/>
      <c r="AP98" s="704"/>
      <c r="AQ98" s="704"/>
      <c r="AR98" s="704"/>
      <c r="AS98" s="704"/>
      <c r="AT98" s="704"/>
      <c r="AU98" s="704"/>
      <c r="AV98" s="704"/>
      <c r="AW98" s="704"/>
      <c r="AX98" s="704"/>
      <c r="AY98" s="704"/>
      <c r="AZ98" s="704"/>
      <c r="BA98" s="704"/>
      <c r="BB98" s="704"/>
      <c r="BC98" s="704"/>
      <c r="BD98" s="704"/>
      <c r="BE98" s="704"/>
      <c r="BF98" s="704"/>
      <c r="BG98" s="704"/>
      <c r="BH98" s="704"/>
      <c r="BI98" s="704"/>
      <c r="BJ98" s="704"/>
      <c r="BK98" s="704"/>
      <c r="BL98" s="704"/>
      <c r="BM98" s="704"/>
      <c r="BN98" s="704"/>
      <c r="BO98" s="704"/>
      <c r="BP98" s="704"/>
      <c r="BQ98" s="704"/>
      <c r="BR98" s="704"/>
      <c r="BS98" s="704"/>
      <c r="BT98" s="704"/>
      <c r="BU98" s="704"/>
      <c r="BV98" s="704"/>
      <c r="BW98" s="704"/>
      <c r="BX98" s="704"/>
      <c r="BY98" s="704"/>
      <c r="BZ98" s="704"/>
      <c r="CA98" s="704"/>
      <c r="CB98" s="704"/>
      <c r="CC98" s="704"/>
      <c r="CD98" s="704"/>
      <c r="CI98" s="704"/>
      <c r="CN98" s="704"/>
      <c r="CO98" s="704"/>
      <c r="CP98" s="704"/>
      <c r="CQ98" s="704"/>
      <c r="CR98" s="704"/>
      <c r="CS98" s="704"/>
      <c r="CT98" s="704"/>
      <c r="CU98" s="704"/>
      <c r="CV98" s="704"/>
      <c r="CW98" s="704"/>
      <c r="CX98" s="704"/>
      <c r="CY98" s="704"/>
      <c r="CZ98" s="704"/>
      <c r="DA98" s="704"/>
      <c r="DB98" s="704"/>
      <c r="DC98" s="704"/>
      <c r="DD98" s="703"/>
      <c r="DE98" s="704"/>
      <c r="DF98" s="704"/>
      <c r="DG98" s="704"/>
      <c r="DH98" s="703"/>
      <c r="DI98" s="703"/>
      <c r="DJ98" s="703"/>
      <c r="DK98" s="703"/>
      <c r="DL98" s="703"/>
      <c r="DM98" s="703"/>
      <c r="DN98" s="703"/>
      <c r="DO98" s="703"/>
      <c r="DP98" s="704"/>
    </row>
    <row r="99" spans="1:120">
      <c r="A99" s="704"/>
      <c r="B99" s="704"/>
      <c r="C99" s="704"/>
      <c r="D99" s="704"/>
      <c r="E99" s="704"/>
      <c r="F99" s="704"/>
      <c r="G99" s="704"/>
      <c r="H99" s="704"/>
      <c r="I99" s="704"/>
      <c r="J99" s="704"/>
      <c r="K99" s="704"/>
      <c r="L99" s="704"/>
      <c r="M99" s="704"/>
      <c r="N99" s="704"/>
      <c r="O99" s="704"/>
      <c r="P99" s="704"/>
      <c r="Q99" s="704"/>
      <c r="R99" s="704"/>
      <c r="S99" s="704"/>
      <c r="T99" s="704"/>
      <c r="U99" s="704"/>
      <c r="V99" s="704"/>
      <c r="W99" s="704"/>
      <c r="X99" s="704"/>
      <c r="Y99" s="704"/>
      <c r="Z99" s="704"/>
      <c r="AA99" s="704"/>
      <c r="AB99" s="704"/>
      <c r="AC99" s="704"/>
      <c r="AD99" s="704"/>
      <c r="AE99" s="704"/>
      <c r="AF99" s="704"/>
      <c r="AG99" s="704"/>
      <c r="AH99" s="704"/>
      <c r="AI99" s="704"/>
      <c r="AJ99" s="704"/>
      <c r="AK99" s="704"/>
      <c r="AL99" s="704"/>
      <c r="AM99" s="704"/>
      <c r="AN99" s="704"/>
      <c r="AO99" s="704"/>
      <c r="AP99" s="704"/>
      <c r="AQ99" s="704"/>
      <c r="AR99" s="704"/>
      <c r="AS99" s="704"/>
      <c r="AT99" s="704"/>
      <c r="AU99" s="704"/>
      <c r="AV99" s="704"/>
      <c r="AW99" s="704"/>
      <c r="AX99" s="704"/>
      <c r="AY99" s="704"/>
      <c r="AZ99" s="704"/>
      <c r="BA99" s="704"/>
      <c r="BB99" s="704"/>
      <c r="BC99" s="704"/>
      <c r="BD99" s="704"/>
      <c r="BE99" s="704"/>
      <c r="BF99" s="704"/>
      <c r="BG99" s="704"/>
      <c r="BH99" s="704"/>
      <c r="BI99" s="704"/>
      <c r="BJ99" s="704"/>
      <c r="BK99" s="704"/>
      <c r="BL99" s="704"/>
      <c r="BM99" s="704"/>
      <c r="BN99" s="704"/>
      <c r="BO99" s="704"/>
      <c r="BP99" s="704"/>
      <c r="BQ99" s="704"/>
      <c r="BR99" s="704"/>
      <c r="BS99" s="704"/>
      <c r="BT99" s="704"/>
      <c r="BU99" s="704"/>
      <c r="BV99" s="704"/>
      <c r="BW99" s="704"/>
      <c r="BX99" s="704"/>
      <c r="BY99" s="704"/>
      <c r="BZ99" s="704"/>
      <c r="CA99" s="704"/>
      <c r="CB99" s="704"/>
      <c r="CC99" s="704"/>
      <c r="CD99" s="704"/>
      <c r="CI99" s="704"/>
      <c r="CN99" s="704"/>
      <c r="CO99" s="704"/>
      <c r="CP99" s="704"/>
      <c r="CQ99" s="704"/>
      <c r="CR99" s="704"/>
      <c r="CS99" s="704"/>
      <c r="CT99" s="704"/>
      <c r="CU99" s="704"/>
      <c r="CV99" s="704"/>
      <c r="CW99" s="704"/>
      <c r="CX99" s="704"/>
      <c r="CY99" s="704"/>
      <c r="CZ99" s="704"/>
      <c r="DA99" s="704"/>
      <c r="DB99" s="704"/>
      <c r="DC99" s="704"/>
      <c r="DD99" s="703"/>
      <c r="DE99" s="704"/>
      <c r="DF99" s="704"/>
      <c r="DG99" s="704"/>
      <c r="DH99" s="704"/>
      <c r="DI99" s="704"/>
      <c r="DJ99" s="704"/>
      <c r="DK99" s="704"/>
      <c r="DL99" s="704"/>
      <c r="DM99" s="704"/>
      <c r="DN99" s="704"/>
      <c r="DO99" s="704"/>
      <c r="DP99" s="704"/>
    </row>
    <row r="100" spans="1:120" customFormat="1" outlineLevel="1"/>
    <row r="104" spans="1:120">
      <c r="DF104" s="531"/>
    </row>
  </sheetData>
  <phoneticPr fontId="0" type="noConversion"/>
  <printOptions horizontalCentered="1"/>
  <pageMargins left="0" right="0" top="0" bottom="0" header="0" footer="0"/>
  <pageSetup scale="62" orientation="landscape"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rgb="FF006600"/>
    <pageSetUpPr fitToPage="1"/>
  </sheetPr>
  <dimension ref="A1:BS260"/>
  <sheetViews>
    <sheetView topLeftCell="A4" zoomScale="85" zoomScaleNormal="85" workbookViewId="0">
      <pane xSplit="2" ySplit="4" topLeftCell="C134" activePane="bottomRight" state="frozen"/>
      <selection activeCell="AN147" sqref="AN147"/>
      <selection pane="topRight" activeCell="AN147" sqref="AN147"/>
      <selection pane="bottomLeft" activeCell="AN147" sqref="AN147"/>
      <selection pane="bottomRight" activeCell="T166" sqref="T166"/>
    </sheetView>
  </sheetViews>
  <sheetFormatPr defaultColWidth="8.85546875" defaultRowHeight="12.75" outlineLevelRow="3" outlineLevelCol="1"/>
  <cols>
    <col min="1" max="1" width="3.7109375" style="410" customWidth="1"/>
    <col min="2" max="2" width="6.5703125" style="410" customWidth="1"/>
    <col min="3" max="3" width="1.5703125" style="410" customWidth="1"/>
    <col min="4" max="4" width="10.85546875" style="410" bestFit="1" customWidth="1"/>
    <col min="5" max="5" width="7.7109375" style="410" bestFit="1" customWidth="1"/>
    <col min="6" max="6" width="7" style="410" bestFit="1" customWidth="1"/>
    <col min="7" max="7" width="6.140625" style="410" hidden="1" customWidth="1" outlineLevel="1"/>
    <col min="8" max="8" width="6.42578125" style="410" bestFit="1" customWidth="1" collapsed="1"/>
    <col min="9" max="9" width="0.85546875" style="410" customWidth="1"/>
    <col min="10" max="10" width="9.42578125" style="410" bestFit="1" customWidth="1"/>
    <col min="11" max="11" width="6.140625" style="410" bestFit="1" customWidth="1"/>
    <col min="12" max="12" width="7" style="410" bestFit="1" customWidth="1"/>
    <col min="13" max="13" width="6.28515625" style="410" hidden="1" customWidth="1" outlineLevel="1"/>
    <col min="14" max="14" width="6" style="410" customWidth="1" collapsed="1"/>
    <col min="15" max="15" width="0.85546875" style="410" customWidth="1"/>
    <col min="16" max="16" width="8.42578125" style="410" bestFit="1" customWidth="1"/>
    <col min="17" max="17" width="6.7109375" style="410" bestFit="1" customWidth="1"/>
    <col min="18" max="18" width="7.28515625" style="410" bestFit="1" customWidth="1"/>
    <col min="19" max="19" width="5.7109375" style="410" hidden="1" customWidth="1" outlineLevel="1"/>
    <col min="20" max="20" width="5.7109375" style="410" customWidth="1" collapsed="1"/>
    <col min="21" max="21" width="3.140625" style="410" customWidth="1"/>
    <col min="22" max="22" width="8.7109375" style="410" hidden="1" customWidth="1" outlineLevel="1"/>
    <col min="23" max="23" width="8" style="410" hidden="1" customWidth="1" outlineLevel="1"/>
    <col min="24" max="24" width="6.7109375" style="410" hidden="1" customWidth="1" outlineLevel="1"/>
    <col min="25" max="25" width="0.85546875" style="410" customWidth="1" collapsed="1"/>
    <col min="26" max="26" width="11.7109375" style="410" hidden="1" customWidth="1" outlineLevel="1"/>
    <col min="27" max="27" width="5.7109375" style="410" hidden="1" customWidth="1" outlineLevel="1"/>
    <col min="28" max="28" width="5" style="410" hidden="1" customWidth="1" outlineLevel="1"/>
    <col min="29" max="29" width="0.85546875" style="410" hidden="1" customWidth="1" outlineLevel="1"/>
    <col min="30" max="30" width="9.42578125" style="410" hidden="1" customWidth="1" outlineLevel="1"/>
    <col min="31" max="31" width="5.7109375" style="410" hidden="1" customWidth="1" outlineLevel="1"/>
    <col min="32" max="32" width="0.5703125" style="410" hidden="1" customWidth="1" outlineLevel="1"/>
    <col min="33" max="33" width="8.7109375" style="410" bestFit="1" customWidth="1" collapsed="1"/>
    <col min="34" max="34" width="6.42578125" style="410" customWidth="1"/>
    <col min="35" max="35" width="0.85546875" style="410" customWidth="1"/>
    <col min="36" max="36" width="10.140625" style="410" customWidth="1"/>
    <col min="37" max="37" width="6.28515625" style="410" customWidth="1"/>
    <col min="38" max="38" width="10.7109375" style="410" bestFit="1" customWidth="1"/>
    <col min="39" max="39" width="0.85546875" style="410" customWidth="1"/>
    <col min="40" max="40" width="10.140625" style="410" customWidth="1" outlineLevel="1"/>
    <col min="41" max="41" width="7.42578125" style="410" customWidth="1" outlineLevel="1"/>
    <col min="42" max="42" width="5.7109375" style="410" customWidth="1" outlineLevel="1"/>
    <col min="43" max="43" width="0.85546875" style="410" customWidth="1"/>
    <col min="44" max="44" width="13.5703125" style="410" customWidth="1"/>
    <col min="45" max="45" width="5.7109375" style="410" bestFit="1" customWidth="1"/>
    <col min="46" max="46" width="0.85546875" style="410" customWidth="1"/>
    <col min="47" max="47" width="8.5703125" style="410" customWidth="1"/>
    <col min="48" max="48" width="6.7109375" style="410" customWidth="1"/>
    <col min="49" max="49" width="8.85546875" style="410" customWidth="1"/>
    <col min="50" max="50" width="11.85546875" style="410" hidden="1" customWidth="1" outlineLevel="1"/>
    <col min="51" max="51" width="5.28515625" style="410" hidden="1" customWidth="1" outlineLevel="1"/>
    <col min="52" max="52" width="1.140625" style="410" hidden="1" customWidth="1" outlineLevel="1"/>
    <col min="53" max="53" width="8.85546875" style="410" hidden="1" customWidth="1" outlineLevel="1"/>
    <col min="54" max="54" width="9.7109375" style="410" hidden="1" customWidth="1" outlineLevel="1"/>
    <col min="55" max="55" width="1.140625" style="410" hidden="1" customWidth="1" outlineLevel="1"/>
    <col min="56" max="56" width="8.85546875" style="410" hidden="1" customWidth="1" outlineLevel="1"/>
    <col min="57" max="57" width="1.140625" style="410" hidden="1" customWidth="1" outlineLevel="1"/>
    <col min="58" max="58" width="8.85546875" style="410" hidden="1" customWidth="1" outlineLevel="1"/>
    <col min="59" max="59" width="1.140625" style="410" hidden="1" customWidth="1" outlineLevel="1"/>
    <col min="60" max="60" width="8.85546875" style="410" hidden="1" customWidth="1" outlineLevel="1"/>
    <col min="61" max="61" width="1.140625" style="410" hidden="1" customWidth="1" outlineLevel="1"/>
    <col min="62" max="64" width="8.85546875" style="410" hidden="1" customWidth="1" outlineLevel="1"/>
    <col min="65" max="65" width="5.140625" style="410" hidden="1" customWidth="1" outlineLevel="1"/>
    <col min="66" max="66" width="8.85546875" style="410" hidden="1" customWidth="1" outlineLevel="1"/>
    <col min="67" max="67" width="5.140625" style="410" hidden="1" customWidth="1" outlineLevel="1"/>
    <col min="68" max="68" width="8.85546875" style="410" collapsed="1"/>
    <col min="69" max="69" width="5.7109375" style="410" customWidth="1"/>
    <col min="70" max="16384" width="8.85546875" style="410"/>
  </cols>
  <sheetData>
    <row r="1" spans="1:70">
      <c r="A1" s="412" t="str">
        <f>sumry!A1</f>
        <v>Urban Outfitters, Inc.</v>
      </c>
    </row>
    <row r="2" spans="1:70">
      <c r="A2" s="414" t="s">
        <v>62</v>
      </c>
      <c r="B2" s="415"/>
      <c r="C2" s="415"/>
      <c r="D2" s="415"/>
      <c r="E2" s="415"/>
      <c r="F2" s="415"/>
      <c r="G2" s="415"/>
      <c r="H2" s="415"/>
      <c r="I2" s="415"/>
      <c r="J2" s="415"/>
      <c r="K2" s="415"/>
      <c r="L2" s="415"/>
      <c r="M2" s="415"/>
      <c r="N2" s="415"/>
      <c r="O2" s="415"/>
      <c r="P2" s="415"/>
      <c r="Q2" s="415"/>
      <c r="R2" s="415"/>
      <c r="S2" s="415"/>
      <c r="T2" s="415"/>
      <c r="U2" s="415"/>
      <c r="V2" s="415"/>
      <c r="W2" s="415"/>
      <c r="X2" s="415"/>
      <c r="Y2" s="415"/>
      <c r="Z2" s="415"/>
      <c r="AA2" s="415"/>
      <c r="AB2" s="415"/>
      <c r="AC2" s="415"/>
      <c r="AD2" s="415"/>
      <c r="AE2" s="415"/>
      <c r="AF2" s="415"/>
      <c r="AG2" s="415"/>
      <c r="AH2" s="415"/>
      <c r="AI2" s="415"/>
      <c r="AJ2" s="415"/>
      <c r="AK2" s="415"/>
      <c r="AL2" s="415"/>
      <c r="AM2" s="415"/>
      <c r="AN2" s="415"/>
      <c r="AO2" s="415"/>
      <c r="AP2" s="415"/>
      <c r="AQ2" s="415"/>
      <c r="AR2" s="415"/>
      <c r="AS2" s="415"/>
      <c r="AT2" s="415"/>
      <c r="AU2" s="416"/>
      <c r="AV2" s="416"/>
      <c r="AW2" s="416"/>
      <c r="AX2" s="415"/>
      <c r="AY2" s="415"/>
      <c r="AZ2" s="416"/>
      <c r="BA2" s="415"/>
      <c r="BB2" s="415"/>
      <c r="BC2" s="416"/>
      <c r="BD2" s="416"/>
      <c r="BE2" s="416"/>
      <c r="BF2" s="416"/>
      <c r="BG2" s="416"/>
      <c r="BH2" s="416"/>
      <c r="BI2" s="416"/>
      <c r="BJ2" s="416"/>
    </row>
    <row r="3" spans="1:70">
      <c r="A3" s="417" t="s">
        <v>379</v>
      </c>
      <c r="AR3" s="416"/>
      <c r="AU3" s="416"/>
      <c r="AV3" s="416"/>
      <c r="AW3" s="416"/>
      <c r="AZ3" s="416"/>
      <c r="BC3" s="416"/>
      <c r="BD3" s="416"/>
      <c r="BE3" s="416"/>
      <c r="BF3" s="416"/>
      <c r="BG3" s="416"/>
      <c r="BH3" s="416"/>
      <c r="BI3" s="416"/>
      <c r="BJ3" s="416"/>
    </row>
    <row r="4" spans="1:70">
      <c r="A4" s="417" t="s">
        <v>246</v>
      </c>
      <c r="AR4" s="416"/>
      <c r="AU4" s="416"/>
      <c r="AV4" s="416"/>
      <c r="AW4" s="416"/>
      <c r="AZ4" s="416"/>
      <c r="BC4" s="416"/>
      <c r="BD4" s="416"/>
      <c r="BE4" s="416"/>
      <c r="BF4" s="416"/>
      <c r="BG4" s="416"/>
      <c r="BH4" s="416"/>
      <c r="BI4" s="416"/>
      <c r="BJ4" s="416"/>
    </row>
    <row r="5" spans="1:70" ht="8.25" customHeight="1">
      <c r="A5" s="417"/>
      <c r="Z5" s="418"/>
      <c r="AA5" s="419"/>
      <c r="AB5" s="420"/>
      <c r="AG5" s="418"/>
      <c r="AH5" s="420"/>
      <c r="AJ5" s="418"/>
      <c r="AK5" s="419"/>
      <c r="AL5" s="420"/>
      <c r="AN5" s="418"/>
      <c r="AO5" s="419"/>
      <c r="AP5" s="420"/>
      <c r="AR5" s="418"/>
      <c r="AS5" s="420"/>
      <c r="AU5" s="416"/>
      <c r="AV5" s="416"/>
      <c r="AW5" s="416"/>
      <c r="AX5" s="416"/>
      <c r="AZ5" s="416"/>
      <c r="BC5" s="416"/>
      <c r="BD5" s="416"/>
      <c r="BE5" s="416"/>
      <c r="BF5" s="416"/>
      <c r="BG5" s="416"/>
      <c r="BH5" s="416"/>
      <c r="BI5" s="416"/>
      <c r="BJ5" s="416"/>
    </row>
    <row r="6" spans="1:70">
      <c r="A6" s="412"/>
      <c r="B6" s="412"/>
      <c r="C6" s="412"/>
      <c r="D6" s="421" t="s">
        <v>495</v>
      </c>
      <c r="E6" s="422" t="s">
        <v>208</v>
      </c>
      <c r="F6" s="422" t="s">
        <v>208</v>
      </c>
      <c r="G6" s="422" t="s">
        <v>61</v>
      </c>
      <c r="H6" s="422" t="s">
        <v>105</v>
      </c>
      <c r="I6" s="421"/>
      <c r="J6" s="421" t="s">
        <v>519</v>
      </c>
      <c r="K6" s="422" t="s">
        <v>208</v>
      </c>
      <c r="L6" s="422" t="s">
        <v>208</v>
      </c>
      <c r="M6" s="422" t="s">
        <v>61</v>
      </c>
      <c r="N6" s="422" t="s">
        <v>105</v>
      </c>
      <c r="O6" s="421"/>
      <c r="P6" s="421" t="s">
        <v>67</v>
      </c>
      <c r="Q6" s="422" t="s">
        <v>208</v>
      </c>
      <c r="R6" s="422" t="s">
        <v>208</v>
      </c>
      <c r="S6" s="422" t="s">
        <v>61</v>
      </c>
      <c r="T6" s="422" t="s">
        <v>105</v>
      </c>
      <c r="U6" s="421"/>
      <c r="V6" s="421"/>
      <c r="W6" s="423"/>
      <c r="X6" s="422" t="s">
        <v>208</v>
      </c>
      <c r="Y6" s="421"/>
      <c r="Z6" s="424" t="s">
        <v>53</v>
      </c>
      <c r="AA6" s="425" t="s">
        <v>208</v>
      </c>
      <c r="AB6" s="426" t="s">
        <v>208</v>
      </c>
      <c r="AC6" s="421"/>
      <c r="AD6" s="421"/>
      <c r="AE6" s="422" t="s">
        <v>208</v>
      </c>
      <c r="AF6" s="421"/>
      <c r="AG6" s="424" t="s">
        <v>55</v>
      </c>
      <c r="AH6" s="426" t="s">
        <v>208</v>
      </c>
      <c r="AI6" s="421"/>
      <c r="AJ6" s="424" t="s">
        <v>59</v>
      </c>
      <c r="AK6" s="425" t="s">
        <v>208</v>
      </c>
      <c r="AL6" s="426" t="s">
        <v>208</v>
      </c>
      <c r="AM6" s="1437"/>
      <c r="AN6" s="424" t="s">
        <v>717</v>
      </c>
      <c r="AO6" s="425" t="s">
        <v>208</v>
      </c>
      <c r="AP6" s="426" t="s">
        <v>208</v>
      </c>
      <c r="AQ6" s="1452"/>
      <c r="AR6" s="424" t="s">
        <v>56</v>
      </c>
      <c r="AS6" s="426" t="s">
        <v>208</v>
      </c>
      <c r="AT6" s="421"/>
      <c r="AU6" s="1789" t="s">
        <v>164</v>
      </c>
      <c r="AV6" s="1790"/>
      <c r="AW6" s="412"/>
      <c r="AX6" s="423" t="s">
        <v>500</v>
      </c>
      <c r="AY6" s="422" t="s">
        <v>198</v>
      </c>
      <c r="AZ6" s="412"/>
      <c r="BA6" s="421" t="s">
        <v>501</v>
      </c>
      <c r="BB6" s="422" t="s">
        <v>198</v>
      </c>
      <c r="BC6" s="412"/>
      <c r="BD6" s="421" t="s">
        <v>200</v>
      </c>
      <c r="BE6" s="412"/>
      <c r="BF6" s="421" t="s">
        <v>202</v>
      </c>
      <c r="BG6" s="412"/>
      <c r="BH6" s="421" t="s">
        <v>204</v>
      </c>
      <c r="BI6" s="412"/>
      <c r="BJ6" s="412"/>
      <c r="BP6" s="421" t="s">
        <v>123</v>
      </c>
      <c r="BQ6" s="421"/>
      <c r="BR6" s="421" t="s">
        <v>124</v>
      </c>
    </row>
    <row r="7" spans="1:70" ht="18" customHeight="1">
      <c r="A7" s="412"/>
      <c r="B7" s="412"/>
      <c r="C7" s="412"/>
      <c r="D7" s="427" t="s">
        <v>500</v>
      </c>
      <c r="E7" s="428" t="s">
        <v>57</v>
      </c>
      <c r="F7" s="428" t="s">
        <v>104</v>
      </c>
      <c r="G7" s="425" t="s">
        <v>167</v>
      </c>
      <c r="H7" s="425" t="s">
        <v>167</v>
      </c>
      <c r="I7" s="421"/>
      <c r="J7" s="427" t="s">
        <v>520</v>
      </c>
      <c r="K7" s="428" t="s">
        <v>57</v>
      </c>
      <c r="L7" s="428" t="s">
        <v>104</v>
      </c>
      <c r="M7" s="425" t="s">
        <v>167</v>
      </c>
      <c r="N7" s="425" t="s">
        <v>167</v>
      </c>
      <c r="O7" s="421"/>
      <c r="P7" s="427" t="s">
        <v>65</v>
      </c>
      <c r="Q7" s="428" t="s">
        <v>57</v>
      </c>
      <c r="R7" s="428" t="s">
        <v>104</v>
      </c>
      <c r="S7" s="425" t="s">
        <v>167</v>
      </c>
      <c r="T7" s="425" t="s">
        <v>167</v>
      </c>
      <c r="U7" s="421"/>
      <c r="V7" s="421"/>
      <c r="W7" s="427" t="s">
        <v>402</v>
      </c>
      <c r="X7" s="428" t="s">
        <v>57</v>
      </c>
      <c r="Y7" s="421"/>
      <c r="Z7" s="429" t="s">
        <v>54</v>
      </c>
      <c r="AA7" s="428" t="s">
        <v>57</v>
      </c>
      <c r="AB7" s="426" t="s">
        <v>167</v>
      </c>
      <c r="AC7" s="421"/>
      <c r="AD7" s="427" t="s">
        <v>52</v>
      </c>
      <c r="AE7" s="428" t="s">
        <v>57</v>
      </c>
      <c r="AF7" s="421"/>
      <c r="AG7" s="429" t="s">
        <v>54</v>
      </c>
      <c r="AH7" s="430" t="s">
        <v>57</v>
      </c>
      <c r="AI7" s="421"/>
      <c r="AJ7" s="429" t="s">
        <v>714</v>
      </c>
      <c r="AK7" s="428" t="s">
        <v>104</v>
      </c>
      <c r="AL7" s="430" t="s">
        <v>57</v>
      </c>
      <c r="AM7" s="1437"/>
      <c r="AN7" s="1438" t="s">
        <v>716</v>
      </c>
      <c r="AO7" s="428" t="s">
        <v>104</v>
      </c>
      <c r="AP7" s="430" t="s">
        <v>57</v>
      </c>
      <c r="AQ7" s="1452"/>
      <c r="AR7" s="429" t="s">
        <v>54</v>
      </c>
      <c r="AS7" s="430" t="s">
        <v>57</v>
      </c>
      <c r="AT7" s="421"/>
      <c r="AU7" s="427" t="s">
        <v>163</v>
      </c>
      <c r="AV7" s="412" t="s">
        <v>496</v>
      </c>
      <c r="AW7" s="412"/>
      <c r="AX7" s="423" t="s">
        <v>197</v>
      </c>
      <c r="AY7" s="428" t="s">
        <v>199</v>
      </c>
      <c r="AZ7" s="412"/>
      <c r="BA7" s="427" t="s">
        <v>197</v>
      </c>
      <c r="BB7" s="428" t="s">
        <v>199</v>
      </c>
      <c r="BC7" s="412"/>
      <c r="BD7" s="421" t="s">
        <v>201</v>
      </c>
      <c r="BE7" s="412"/>
      <c r="BF7" s="421" t="s">
        <v>203</v>
      </c>
      <c r="BG7" s="412"/>
      <c r="BH7" s="421" t="s">
        <v>197</v>
      </c>
      <c r="BI7" s="412"/>
      <c r="BJ7" s="412"/>
      <c r="BP7" s="421" t="s">
        <v>295</v>
      </c>
      <c r="BQ7" s="421"/>
      <c r="BR7" s="421" t="s">
        <v>295</v>
      </c>
    </row>
    <row r="8" spans="1:70" hidden="1" outlineLevel="1">
      <c r="B8" s="431">
        <f>+qtrSales!B25</f>
        <v>1996</v>
      </c>
      <c r="Z8" s="432"/>
      <c r="AA8" s="416"/>
      <c r="AB8" s="433"/>
      <c r="AG8" s="432"/>
      <c r="AH8" s="433"/>
      <c r="AJ8" s="432"/>
      <c r="AK8" s="416"/>
      <c r="AL8" s="433"/>
      <c r="AN8" s="432"/>
      <c r="AO8" s="416"/>
      <c r="AP8" s="433"/>
      <c r="AR8" s="432"/>
      <c r="AS8" s="433"/>
      <c r="AX8" s="416"/>
    </row>
    <row r="9" spans="1:70" hidden="1" outlineLevel="1">
      <c r="A9" s="410" t="str">
        <f>+qtrSales!A26</f>
        <v>1Q</v>
      </c>
      <c r="B9" s="410" t="str">
        <f>+qtrSales!B26</f>
        <v>Apr</v>
      </c>
      <c r="D9" s="434" t="s">
        <v>378</v>
      </c>
      <c r="E9" s="435"/>
      <c r="F9" s="435"/>
      <c r="G9" s="435"/>
      <c r="H9" s="435"/>
      <c r="J9" s="434" t="s">
        <v>378</v>
      </c>
      <c r="K9" s="435"/>
      <c r="L9" s="435"/>
      <c r="M9" s="435"/>
      <c r="N9" s="435"/>
      <c r="P9" s="434" t="s">
        <v>378</v>
      </c>
      <c r="Q9" s="435"/>
      <c r="R9" s="435"/>
      <c r="S9" s="435"/>
      <c r="T9" s="435"/>
      <c r="W9" s="434" t="s">
        <v>378</v>
      </c>
      <c r="X9" s="435"/>
      <c r="Z9" s="436">
        <v>26.087</v>
      </c>
      <c r="AA9" s="437"/>
      <c r="AB9" s="438"/>
      <c r="AD9" s="435">
        <v>0</v>
      </c>
      <c r="AE9" s="435"/>
      <c r="AG9" s="436">
        <f>+Z9+AD9</f>
        <v>26.087</v>
      </c>
      <c r="AH9" s="438"/>
      <c r="AJ9" s="492">
        <v>7.56</v>
      </c>
      <c r="AK9" s="437"/>
      <c r="AL9" s="438"/>
      <c r="AN9" s="492"/>
      <c r="AO9" s="437"/>
      <c r="AP9" s="438"/>
      <c r="AR9" s="436">
        <f>+AG9+AJ9</f>
        <v>33.646999999999998</v>
      </c>
      <c r="AS9" s="438"/>
      <c r="AX9" s="439">
        <f>+AJ9+AS9</f>
        <v>7.56</v>
      </c>
      <c r="AY9" s="435"/>
      <c r="BA9" s="435"/>
      <c r="BB9" s="435"/>
    </row>
    <row r="10" spans="1:70" hidden="1" outlineLevel="1">
      <c r="A10" s="410" t="str">
        <f>+qtrSales!A27</f>
        <v>2Q</v>
      </c>
      <c r="B10" s="410" t="str">
        <f>+qtrSales!B27</f>
        <v>Jul</v>
      </c>
      <c r="D10" s="434" t="s">
        <v>378</v>
      </c>
      <c r="E10" s="440"/>
      <c r="F10" s="440"/>
      <c r="G10" s="440"/>
      <c r="H10" s="440"/>
      <c r="J10" s="434" t="s">
        <v>378</v>
      </c>
      <c r="K10" s="440"/>
      <c r="L10" s="440"/>
      <c r="M10" s="440"/>
      <c r="N10" s="440"/>
      <c r="P10" s="434" t="s">
        <v>378</v>
      </c>
      <c r="Q10" s="440"/>
      <c r="R10" s="440"/>
      <c r="S10" s="440"/>
      <c r="T10" s="440"/>
      <c r="W10" s="434" t="s">
        <v>378</v>
      </c>
      <c r="X10" s="440"/>
      <c r="Z10" s="441">
        <v>29.95</v>
      </c>
      <c r="AA10" s="442"/>
      <c r="AB10" s="443"/>
      <c r="AD10" s="440">
        <v>0</v>
      </c>
      <c r="AE10" s="440"/>
      <c r="AG10" s="441">
        <f>+Z10+AD10</f>
        <v>29.95</v>
      </c>
      <c r="AH10" s="443"/>
      <c r="AJ10" s="494">
        <v>5.968</v>
      </c>
      <c r="AK10" s="442"/>
      <c r="AL10" s="443"/>
      <c r="AN10" s="494"/>
      <c r="AO10" s="442"/>
      <c r="AP10" s="443"/>
      <c r="AR10" s="441">
        <f>+AG10+AJ10</f>
        <v>35.917999999999999</v>
      </c>
      <c r="AS10" s="443"/>
      <c r="AX10" s="444">
        <f>+AJ10+AS10</f>
        <v>5.968</v>
      </c>
      <c r="AY10" s="440"/>
      <c r="BA10" s="440"/>
      <c r="BB10" s="440"/>
    </row>
    <row r="11" spans="1:70" hidden="1" outlineLevel="1">
      <c r="A11" s="410" t="str">
        <f>+qtrSales!A28</f>
        <v>3Q</v>
      </c>
      <c r="B11" s="410" t="str">
        <f>+qtrSales!B28</f>
        <v>Oct</v>
      </c>
      <c r="D11" s="434" t="s">
        <v>378</v>
      </c>
      <c r="E11" s="440"/>
      <c r="F11" s="440"/>
      <c r="G11" s="440"/>
      <c r="H11" s="440"/>
      <c r="J11" s="434" t="s">
        <v>378</v>
      </c>
      <c r="K11" s="440"/>
      <c r="L11" s="440"/>
      <c r="M11" s="440"/>
      <c r="N11" s="440"/>
      <c r="P11" s="434" t="s">
        <v>378</v>
      </c>
      <c r="Q11" s="440"/>
      <c r="R11" s="440"/>
      <c r="S11" s="440"/>
      <c r="T11" s="440"/>
      <c r="W11" s="434" t="s">
        <v>378</v>
      </c>
      <c r="X11" s="440"/>
      <c r="Z11" s="441">
        <v>35.219000000000001</v>
      </c>
      <c r="AA11" s="442"/>
      <c r="AB11" s="443"/>
      <c r="AD11" s="440">
        <v>0</v>
      </c>
      <c r="AE11" s="440"/>
      <c r="AG11" s="441">
        <f>+Z11+AD11</f>
        <v>35.219000000000001</v>
      </c>
      <c r="AH11" s="443"/>
      <c r="AJ11" s="494">
        <v>9.69</v>
      </c>
      <c r="AK11" s="442"/>
      <c r="AL11" s="443"/>
      <c r="AN11" s="494"/>
      <c r="AO11" s="442"/>
      <c r="AP11" s="443"/>
      <c r="AR11" s="441">
        <f>+AG11+AJ11</f>
        <v>44.908999999999999</v>
      </c>
      <c r="AS11" s="443"/>
      <c r="AX11" s="444">
        <f>+AJ11+AS11</f>
        <v>9.69</v>
      </c>
      <c r="AY11" s="440"/>
      <c r="BA11" s="440"/>
      <c r="BB11" s="440"/>
    </row>
    <row r="12" spans="1:70" hidden="1" outlineLevel="1">
      <c r="A12" s="410" t="str">
        <f>+qtrSales!A29</f>
        <v>4Q</v>
      </c>
      <c r="B12" s="410" t="str">
        <f>+qtrSales!B29</f>
        <v>Jan</v>
      </c>
      <c r="D12" s="445" t="s">
        <v>378</v>
      </c>
      <c r="E12" s="442"/>
      <c r="F12" s="442"/>
      <c r="G12" s="442"/>
      <c r="H12" s="442"/>
      <c r="J12" s="445" t="s">
        <v>378</v>
      </c>
      <c r="K12" s="442"/>
      <c r="L12" s="442"/>
      <c r="M12" s="442"/>
      <c r="N12" s="442"/>
      <c r="P12" s="445" t="s">
        <v>378</v>
      </c>
      <c r="Q12" s="442"/>
      <c r="R12" s="442"/>
      <c r="S12" s="442"/>
      <c r="T12" s="442"/>
      <c r="W12" s="445" t="s">
        <v>378</v>
      </c>
      <c r="X12" s="442"/>
      <c r="Z12" s="446">
        <v>36.908999999999999</v>
      </c>
      <c r="AA12" s="442"/>
      <c r="AB12" s="443"/>
      <c r="AD12" s="447">
        <v>0</v>
      </c>
      <c r="AE12" s="442"/>
      <c r="AG12" s="446">
        <f>+Z12+AD12</f>
        <v>36.908999999999999</v>
      </c>
      <c r="AH12" s="443"/>
      <c r="AJ12" s="495">
        <v>5.1150000000000002</v>
      </c>
      <c r="AK12" s="442"/>
      <c r="AL12" s="443"/>
      <c r="AN12" s="495"/>
      <c r="AO12" s="442"/>
      <c r="AP12" s="443"/>
      <c r="AR12" s="446">
        <f>+AG12+AJ12</f>
        <v>42.024000000000001</v>
      </c>
      <c r="AS12" s="443"/>
      <c r="AX12" s="444">
        <f>+AJ12+AS12</f>
        <v>5.1150000000000002</v>
      </c>
      <c r="AY12" s="442"/>
      <c r="BA12" s="447"/>
      <c r="BB12" s="442"/>
    </row>
    <row r="13" spans="1:70" hidden="1" outlineLevel="1">
      <c r="B13" s="410" t="str">
        <f>+qtrSales!B30</f>
        <v>Year</v>
      </c>
      <c r="D13" s="448" t="s">
        <v>378</v>
      </c>
      <c r="E13" s="439"/>
      <c r="F13" s="439"/>
      <c r="G13" s="439"/>
      <c r="H13" s="439"/>
      <c r="I13" s="416"/>
      <c r="J13" s="448" t="s">
        <v>378</v>
      </c>
      <c r="K13" s="449"/>
      <c r="L13" s="449"/>
      <c r="M13" s="449"/>
      <c r="N13" s="449"/>
      <c r="O13" s="416"/>
      <c r="P13" s="448" t="s">
        <v>378</v>
      </c>
      <c r="Q13" s="449"/>
      <c r="R13" s="449"/>
      <c r="S13" s="449"/>
      <c r="T13" s="449"/>
      <c r="U13" s="416"/>
      <c r="V13" s="416"/>
      <c r="W13" s="448" t="s">
        <v>378</v>
      </c>
      <c r="X13" s="449"/>
      <c r="Z13" s="436">
        <f>+SUM(Z9:Z12)</f>
        <v>128.16499999999999</v>
      </c>
      <c r="AA13" s="439"/>
      <c r="AB13" s="450"/>
      <c r="AD13" s="449">
        <f>+SUM(AD9:AD12)</f>
        <v>0</v>
      </c>
      <c r="AE13" s="449"/>
      <c r="AG13" s="436">
        <f>+SUM(AG9:AG12)</f>
        <v>128.16499999999999</v>
      </c>
      <c r="AH13" s="450"/>
      <c r="AJ13" s="436">
        <f>+SUM(AJ9:AJ12)</f>
        <v>28.332999999999998</v>
      </c>
      <c r="AK13" s="439"/>
      <c r="AL13" s="450"/>
      <c r="AN13" s="436"/>
      <c r="AO13" s="439"/>
      <c r="AP13" s="450"/>
      <c r="AR13" s="436">
        <f>+SUM(AR9:AR12)</f>
        <v>156.49799999999999</v>
      </c>
      <c r="AS13" s="450"/>
      <c r="AX13" s="439">
        <f>+SUM(AX9:AX12)</f>
        <v>28.332999999999998</v>
      </c>
      <c r="AY13" s="449"/>
      <c r="BA13" s="449"/>
      <c r="BB13" s="449"/>
    </row>
    <row r="14" spans="1:70" hidden="1" outlineLevel="1">
      <c r="Z14" s="432"/>
      <c r="AA14" s="416"/>
      <c r="AB14" s="433"/>
      <c r="AG14" s="432"/>
      <c r="AH14" s="433"/>
      <c r="AJ14" s="432"/>
      <c r="AK14" s="416"/>
      <c r="AL14" s="433"/>
      <c r="AN14" s="432"/>
      <c r="AO14" s="416"/>
      <c r="AP14" s="433"/>
      <c r="AR14" s="432"/>
      <c r="AS14" s="433"/>
      <c r="AX14" s="416"/>
    </row>
    <row r="15" spans="1:70" hidden="1" outlineLevel="1">
      <c r="B15" s="431">
        <f>+qtrSales!B32</f>
        <v>1997</v>
      </c>
      <c r="Z15" s="432"/>
      <c r="AA15" s="416"/>
      <c r="AB15" s="433"/>
      <c r="AG15" s="432"/>
      <c r="AH15" s="433"/>
      <c r="AJ15" s="432"/>
      <c r="AK15" s="416"/>
      <c r="AL15" s="433"/>
      <c r="AN15" s="432"/>
      <c r="AO15" s="416"/>
      <c r="AP15" s="433"/>
      <c r="AR15" s="432"/>
      <c r="AS15" s="433"/>
      <c r="AX15" s="416"/>
    </row>
    <row r="16" spans="1:70" hidden="1" outlineLevel="1">
      <c r="A16" s="410" t="str">
        <f>+qtrSales!A33</f>
        <v>1Q</v>
      </c>
      <c r="B16" s="410" t="str">
        <f>+qtrSales!B33</f>
        <v>Apr</v>
      </c>
      <c r="D16" s="434" t="s">
        <v>378</v>
      </c>
      <c r="E16" s="435"/>
      <c r="F16" s="435"/>
      <c r="G16" s="435"/>
      <c r="H16" s="435"/>
      <c r="J16" s="434" t="s">
        <v>378</v>
      </c>
      <c r="K16" s="435"/>
      <c r="L16" s="435"/>
      <c r="M16" s="435"/>
      <c r="N16" s="435"/>
      <c r="P16" s="434" t="s">
        <v>378</v>
      </c>
      <c r="Q16" s="435"/>
      <c r="R16" s="435"/>
      <c r="S16" s="435"/>
      <c r="T16" s="435"/>
      <c r="W16" s="434" t="s">
        <v>378</v>
      </c>
      <c r="X16" s="435"/>
      <c r="Z16" s="436">
        <v>28.759</v>
      </c>
      <c r="AA16" s="451">
        <f>(Z16/Z9-1)*100</f>
        <v>10.242649595584009</v>
      </c>
      <c r="AB16" s="452"/>
      <c r="AD16" s="435">
        <v>0</v>
      </c>
      <c r="AE16" s="453"/>
      <c r="AG16" s="436">
        <f>+Z16+AD16</f>
        <v>28.759</v>
      </c>
      <c r="AH16" s="452">
        <f>(AG16/AG9-1)*100</f>
        <v>10.242649595584009</v>
      </c>
      <c r="AJ16" s="492">
        <v>8.4710000000000001</v>
      </c>
      <c r="AK16" s="437"/>
      <c r="AL16" s="452">
        <f>(AJ16/AJ9-1)*100</f>
        <v>12.050264550264567</v>
      </c>
      <c r="AN16" s="492"/>
      <c r="AO16" s="437"/>
      <c r="AP16" s="452"/>
      <c r="AR16" s="436">
        <f>+AG16+AJ16</f>
        <v>37.230000000000004</v>
      </c>
      <c r="AS16" s="452">
        <f>(AR16/AR9-1)*100</f>
        <v>10.648794840550435</v>
      </c>
      <c r="AX16" s="439">
        <f>+AJ16+AS16</f>
        <v>19.119794840550433</v>
      </c>
      <c r="AY16" s="453"/>
      <c r="BA16" s="435"/>
      <c r="BB16" s="453"/>
    </row>
    <row r="17" spans="1:66" hidden="1" outlineLevel="1">
      <c r="A17" s="410" t="str">
        <f>+qtrSales!A34</f>
        <v>2Q</v>
      </c>
      <c r="B17" s="410" t="str">
        <f>+qtrSales!B34</f>
        <v>Jul</v>
      </c>
      <c r="D17" s="434" t="s">
        <v>378</v>
      </c>
      <c r="E17" s="440"/>
      <c r="F17" s="440"/>
      <c r="G17" s="440"/>
      <c r="H17" s="440"/>
      <c r="J17" s="434" t="s">
        <v>378</v>
      </c>
      <c r="K17" s="440"/>
      <c r="L17" s="440"/>
      <c r="M17" s="440"/>
      <c r="N17" s="440"/>
      <c r="P17" s="434" t="s">
        <v>378</v>
      </c>
      <c r="Q17" s="440"/>
      <c r="R17" s="440"/>
      <c r="S17" s="440"/>
      <c r="T17" s="440"/>
      <c r="W17" s="434" t="s">
        <v>378</v>
      </c>
      <c r="X17" s="440"/>
      <c r="Z17" s="441">
        <v>34.569000000000003</v>
      </c>
      <c r="AA17" s="451">
        <f>(Z17/Z10-1)*100</f>
        <v>15.422370617696179</v>
      </c>
      <c r="AB17" s="452"/>
      <c r="AD17" s="440">
        <v>0</v>
      </c>
      <c r="AE17" s="453"/>
      <c r="AG17" s="441">
        <f>+Z17+AD17</f>
        <v>34.569000000000003</v>
      </c>
      <c r="AH17" s="452">
        <f>(AG17/AG10-1)*100</f>
        <v>15.422370617696179</v>
      </c>
      <c r="AJ17" s="494">
        <v>6.7869999999999999</v>
      </c>
      <c r="AK17" s="442"/>
      <c r="AL17" s="452">
        <f>(AJ17/AJ10-1)*100</f>
        <v>13.72319034852547</v>
      </c>
      <c r="AN17" s="494"/>
      <c r="AO17" s="442"/>
      <c r="AP17" s="452"/>
      <c r="AR17" s="441">
        <f>+AG17+AJ17</f>
        <v>41.356000000000002</v>
      </c>
      <c r="AS17" s="452">
        <f>(AR17/AR10-1)*100</f>
        <v>15.140041204966881</v>
      </c>
      <c r="AX17" s="444">
        <f>+AJ17+AS17</f>
        <v>21.92704120496688</v>
      </c>
      <c r="AY17" s="453"/>
      <c r="BA17" s="440"/>
      <c r="BB17" s="453"/>
    </row>
    <row r="18" spans="1:66" hidden="1" outlineLevel="1">
      <c r="A18" s="410" t="str">
        <f>+qtrSales!A35</f>
        <v>3Q</v>
      </c>
      <c r="B18" s="410" t="str">
        <f>+qtrSales!B35</f>
        <v>Oct</v>
      </c>
      <c r="D18" s="434" t="s">
        <v>378</v>
      </c>
      <c r="E18" s="440"/>
      <c r="F18" s="440"/>
      <c r="G18" s="440"/>
      <c r="H18" s="440"/>
      <c r="J18" s="434" t="s">
        <v>378</v>
      </c>
      <c r="K18" s="440"/>
      <c r="L18" s="440"/>
      <c r="M18" s="440"/>
      <c r="N18" s="440"/>
      <c r="P18" s="434" t="s">
        <v>378</v>
      </c>
      <c r="Q18" s="440"/>
      <c r="R18" s="440"/>
      <c r="S18" s="440"/>
      <c r="T18" s="440"/>
      <c r="W18" s="434" t="s">
        <v>378</v>
      </c>
      <c r="X18" s="440"/>
      <c r="Z18" s="441">
        <v>38.338000000000001</v>
      </c>
      <c r="AA18" s="451">
        <f>(Z18/Z11-1)*100</f>
        <v>8.8560152190579</v>
      </c>
      <c r="AB18" s="452"/>
      <c r="AD18" s="440">
        <v>0</v>
      </c>
      <c r="AE18" s="453"/>
      <c r="AG18" s="441">
        <f>+Z18+AD18</f>
        <v>38.338000000000001</v>
      </c>
      <c r="AH18" s="452">
        <f>(AG18/AG11-1)*100</f>
        <v>8.8560152190579</v>
      </c>
      <c r="AJ18" s="494">
        <v>10.071</v>
      </c>
      <c r="AK18" s="442"/>
      <c r="AL18" s="452">
        <f>(AJ18/AJ11-1)*100</f>
        <v>3.9318885448916374</v>
      </c>
      <c r="AN18" s="494"/>
      <c r="AO18" s="442"/>
      <c r="AP18" s="452"/>
      <c r="AR18" s="441">
        <f>+AG18+AJ18</f>
        <v>48.408999999999999</v>
      </c>
      <c r="AS18" s="452">
        <f>(AR18/AR11-1)*100</f>
        <v>7.7935380435992796</v>
      </c>
      <c r="AX18" s="444">
        <f>+AJ18+AS18</f>
        <v>17.864538043599278</v>
      </c>
      <c r="AY18" s="453"/>
      <c r="BA18" s="440"/>
      <c r="BB18" s="453"/>
    </row>
    <row r="19" spans="1:66" hidden="1" outlineLevel="1">
      <c r="A19" s="410" t="str">
        <f>+qtrSales!A36</f>
        <v>4Q</v>
      </c>
      <c r="B19" s="410" t="str">
        <f>+qtrSales!B36</f>
        <v>Jan</v>
      </c>
      <c r="D19" s="445" t="s">
        <v>378</v>
      </c>
      <c r="E19" s="442"/>
      <c r="F19" s="442"/>
      <c r="G19" s="442"/>
      <c r="H19" s="442"/>
      <c r="J19" s="445" t="s">
        <v>378</v>
      </c>
      <c r="K19" s="442"/>
      <c r="L19" s="442"/>
      <c r="M19" s="442"/>
      <c r="N19" s="442"/>
      <c r="P19" s="445" t="s">
        <v>378</v>
      </c>
      <c r="Q19" s="442"/>
      <c r="R19" s="442"/>
      <c r="S19" s="442"/>
      <c r="T19" s="442"/>
      <c r="W19" s="445" t="s">
        <v>378</v>
      </c>
      <c r="X19" s="442"/>
      <c r="Z19" s="446">
        <v>41.110999999999997</v>
      </c>
      <c r="AA19" s="451">
        <f>(Z19/Z12-1)*100</f>
        <v>11.38475710531306</v>
      </c>
      <c r="AB19" s="452"/>
      <c r="AD19" s="447">
        <v>0</v>
      </c>
      <c r="AE19" s="453"/>
      <c r="AG19" s="446">
        <f>+Z19+AD19</f>
        <v>41.110999999999997</v>
      </c>
      <c r="AH19" s="452">
        <f>(AG19/AG12-1)*100</f>
        <v>11.38475710531306</v>
      </c>
      <c r="AJ19" s="495">
        <v>5.1539999999999999</v>
      </c>
      <c r="AK19" s="442"/>
      <c r="AL19" s="452">
        <f>(AJ19/AJ12-1)*100</f>
        <v>0.76246334310849928</v>
      </c>
      <c r="AN19" s="495"/>
      <c r="AO19" s="442"/>
      <c r="AP19" s="452"/>
      <c r="AR19" s="446">
        <f>+AG19+AJ19</f>
        <v>46.265000000000001</v>
      </c>
      <c r="AS19" s="452">
        <f>(AR19/AR12-1)*100</f>
        <v>10.091852274890535</v>
      </c>
      <c r="AX19" s="444">
        <f>+AJ19+AS19</f>
        <v>15.245852274890535</v>
      </c>
      <c r="AY19" s="453"/>
      <c r="BA19" s="447"/>
      <c r="BB19" s="453"/>
    </row>
    <row r="20" spans="1:66" hidden="1" outlineLevel="1">
      <c r="B20" s="410" t="str">
        <f>+qtrSales!B37</f>
        <v>Year</v>
      </c>
      <c r="D20" s="448" t="s">
        <v>378</v>
      </c>
      <c r="E20" s="439"/>
      <c r="F20" s="439"/>
      <c r="G20" s="439"/>
      <c r="H20" s="439"/>
      <c r="I20" s="416"/>
      <c r="J20" s="448" t="s">
        <v>378</v>
      </c>
      <c r="K20" s="449"/>
      <c r="L20" s="449"/>
      <c r="M20" s="449"/>
      <c r="N20" s="449"/>
      <c r="O20" s="416"/>
      <c r="P20" s="448" t="s">
        <v>378</v>
      </c>
      <c r="Q20" s="449"/>
      <c r="R20" s="449"/>
      <c r="S20" s="449"/>
      <c r="T20" s="449"/>
      <c r="U20" s="416"/>
      <c r="V20" s="416"/>
      <c r="W20" s="448" t="s">
        <v>378</v>
      </c>
      <c r="X20" s="449"/>
      <c r="Z20" s="436">
        <f>+SUM(Z16:Z19)</f>
        <v>142.77699999999999</v>
      </c>
      <c r="AA20" s="451">
        <f>(Z20/Z13-1)*100</f>
        <v>11.400928490617556</v>
      </c>
      <c r="AB20" s="452"/>
      <c r="AD20" s="449">
        <f>+SUM(AD16:AD19)</f>
        <v>0</v>
      </c>
      <c r="AE20" s="453"/>
      <c r="AG20" s="436">
        <f>+SUM(AG16:AG19)</f>
        <v>142.77699999999999</v>
      </c>
      <c r="AH20" s="452">
        <f>(AG20/AG13-1)*100</f>
        <v>11.400928490617556</v>
      </c>
      <c r="AJ20" s="436">
        <f>+SUM(AJ16:AJ19)</f>
        <v>30.483000000000001</v>
      </c>
      <c r="AK20" s="439"/>
      <c r="AL20" s="452">
        <f>(AJ20/AJ13-1)*100</f>
        <v>7.5883245685243406</v>
      </c>
      <c r="AN20" s="436"/>
      <c r="AO20" s="439"/>
      <c r="AP20" s="452"/>
      <c r="AR20" s="436">
        <f>+SUM(AR16:AR19)</f>
        <v>173.26</v>
      </c>
      <c r="AS20" s="452">
        <f>(AR20/AR13-1)*100</f>
        <v>10.710680008690199</v>
      </c>
      <c r="AX20" s="439">
        <f>+SUM(AX16:AX19)</f>
        <v>74.15722636400713</v>
      </c>
      <c r="AY20" s="453"/>
      <c r="BA20" s="449"/>
      <c r="BB20" s="453"/>
    </row>
    <row r="21" spans="1:66" hidden="1" outlineLevel="1">
      <c r="Z21" s="432"/>
      <c r="AA21" s="416"/>
      <c r="AB21" s="433"/>
      <c r="AG21" s="432"/>
      <c r="AH21" s="433"/>
      <c r="AJ21" s="432"/>
      <c r="AK21" s="416"/>
      <c r="AL21" s="433"/>
      <c r="AN21" s="432"/>
      <c r="AO21" s="416"/>
      <c r="AP21" s="433"/>
      <c r="AR21" s="432"/>
      <c r="AS21" s="433"/>
      <c r="AX21" s="416"/>
    </row>
    <row r="22" spans="1:66" hidden="1" outlineLevel="1">
      <c r="B22" s="431">
        <f>+qtrSales!B39</f>
        <v>1998</v>
      </c>
      <c r="Z22" s="432"/>
      <c r="AA22" s="416"/>
      <c r="AB22" s="433"/>
      <c r="AG22" s="432"/>
      <c r="AH22" s="433"/>
      <c r="AJ22" s="432"/>
      <c r="AK22" s="416"/>
      <c r="AL22" s="433"/>
      <c r="AN22" s="432"/>
      <c r="AO22" s="416"/>
      <c r="AP22" s="433"/>
      <c r="AR22" s="432"/>
      <c r="AS22" s="433"/>
      <c r="AX22" s="416"/>
    </row>
    <row r="23" spans="1:66" hidden="1" outlineLevel="1">
      <c r="A23" s="410" t="str">
        <f>+qtrSales!A40</f>
        <v>1Q</v>
      </c>
      <c r="B23" s="410" t="str">
        <f>+qtrSales!B40</f>
        <v>Apr</v>
      </c>
      <c r="D23" s="434" t="s">
        <v>378</v>
      </c>
      <c r="E23" s="435"/>
      <c r="F23" s="435"/>
      <c r="G23" s="435"/>
      <c r="H23" s="435"/>
      <c r="J23" s="434" t="s">
        <v>378</v>
      </c>
      <c r="K23" s="435"/>
      <c r="L23" s="435"/>
      <c r="M23" s="435"/>
      <c r="N23" s="435"/>
      <c r="P23" s="434" t="s">
        <v>378</v>
      </c>
      <c r="Q23" s="435"/>
      <c r="R23" s="435"/>
      <c r="S23" s="435"/>
      <c r="T23" s="435"/>
      <c r="W23" s="434" t="s">
        <v>378</v>
      </c>
      <c r="X23" s="435"/>
      <c r="Z23" s="436">
        <v>33.542000000000002</v>
      </c>
      <c r="AA23" s="451">
        <f>(Z23/Z16-1)*100</f>
        <v>16.631315414305092</v>
      </c>
      <c r="AB23" s="452"/>
      <c r="AD23" s="435">
        <v>0.47199999999999998</v>
      </c>
      <c r="AE23" s="453"/>
      <c r="AG23" s="436">
        <f>+Z23+AD23</f>
        <v>34.014000000000003</v>
      </c>
      <c r="AH23" s="452">
        <f>(AG23/AG16-1)*100</f>
        <v>18.272540769845968</v>
      </c>
      <c r="AJ23" s="492">
        <v>5.4619999999999997</v>
      </c>
      <c r="AK23" s="437"/>
      <c r="AL23" s="452">
        <f>(AJ23/AJ16-1)*100</f>
        <v>-35.521189942155594</v>
      </c>
      <c r="AN23" s="492"/>
      <c r="AO23" s="437"/>
      <c r="AP23" s="452"/>
      <c r="AR23" s="436">
        <f>+AG23+AJ23</f>
        <v>39.475999999999999</v>
      </c>
      <c r="AS23" s="452">
        <f>(AR23/AR16-1)*100</f>
        <v>6.0327692720923753</v>
      </c>
      <c r="AX23" s="439">
        <f>+AJ23+AS23</f>
        <v>11.494769272092375</v>
      </c>
      <c r="AY23" s="453"/>
      <c r="BA23" s="435"/>
      <c r="BB23" s="453"/>
    </row>
    <row r="24" spans="1:66" hidden="1" outlineLevel="1">
      <c r="A24" s="410" t="str">
        <f>+qtrSales!A41</f>
        <v>2Q</v>
      </c>
      <c r="B24" s="410" t="str">
        <f>+qtrSales!B41</f>
        <v>Jul</v>
      </c>
      <c r="D24" s="434" t="s">
        <v>378</v>
      </c>
      <c r="E24" s="440"/>
      <c r="F24" s="440"/>
      <c r="G24" s="440"/>
      <c r="H24" s="440"/>
      <c r="J24" s="434" t="s">
        <v>378</v>
      </c>
      <c r="K24" s="440"/>
      <c r="L24" s="440"/>
      <c r="M24" s="440"/>
      <c r="N24" s="440"/>
      <c r="P24" s="434" t="s">
        <v>378</v>
      </c>
      <c r="Q24" s="440"/>
      <c r="R24" s="440"/>
      <c r="S24" s="440"/>
      <c r="T24" s="440"/>
      <c r="W24" s="434" t="s">
        <v>378</v>
      </c>
      <c r="X24" s="440"/>
      <c r="Z24" s="441">
        <v>43.847000000000001</v>
      </c>
      <c r="AA24" s="451">
        <f>(Z24/Z17-1)*100</f>
        <v>26.839075472243913</v>
      </c>
      <c r="AB24" s="452"/>
      <c r="AD24" s="440">
        <v>8.4000000000000005E-2</v>
      </c>
      <c r="AE24" s="453"/>
      <c r="AG24" s="441">
        <f>+Z24+AD24</f>
        <v>43.931000000000004</v>
      </c>
      <c r="AH24" s="452">
        <f>(AG24/AG17-1)*100</f>
        <v>27.082067748560856</v>
      </c>
      <c r="AJ24" s="494">
        <v>4.202</v>
      </c>
      <c r="AK24" s="442"/>
      <c r="AL24" s="452">
        <f>(AJ24/AJ17-1)*100</f>
        <v>-38.087520259319284</v>
      </c>
      <c r="AN24" s="494"/>
      <c r="AO24" s="442"/>
      <c r="AP24" s="452"/>
      <c r="AR24" s="441">
        <f>+AG24+AJ24</f>
        <v>48.133000000000003</v>
      </c>
      <c r="AS24" s="452">
        <f>(AR24/AR17-1)*100</f>
        <v>16.386981332817484</v>
      </c>
      <c r="AX24" s="444">
        <f>+AJ24+AS24</f>
        <v>20.588981332817482</v>
      </c>
      <c r="AY24" s="453"/>
      <c r="BA24" s="440"/>
      <c r="BB24" s="453"/>
    </row>
    <row r="25" spans="1:66" hidden="1" outlineLevel="1">
      <c r="A25" s="410" t="str">
        <f>+qtrSales!A42</f>
        <v>3Q</v>
      </c>
      <c r="B25" s="410" t="str">
        <f>+qtrSales!B42</f>
        <v>Oct</v>
      </c>
      <c r="D25" s="434" t="s">
        <v>378</v>
      </c>
      <c r="E25" s="440"/>
      <c r="F25" s="440"/>
      <c r="G25" s="440"/>
      <c r="H25" s="440"/>
      <c r="J25" s="434" t="s">
        <v>378</v>
      </c>
      <c r="K25" s="440"/>
      <c r="L25" s="440"/>
      <c r="M25" s="440"/>
      <c r="N25" s="440"/>
      <c r="P25" s="434" t="s">
        <v>378</v>
      </c>
      <c r="Q25" s="440"/>
      <c r="R25" s="440"/>
      <c r="S25" s="440"/>
      <c r="T25" s="440"/>
      <c r="W25" s="434" t="s">
        <v>378</v>
      </c>
      <c r="X25" s="440"/>
      <c r="Z25" s="441">
        <v>50.781999999999996</v>
      </c>
      <c r="AA25" s="451">
        <f>(Z25/Z18-1)*100</f>
        <v>32.458657206948715</v>
      </c>
      <c r="AB25" s="452"/>
      <c r="AD25" s="440">
        <v>2.7280000000000002</v>
      </c>
      <c r="AE25" s="453"/>
      <c r="AG25" s="441">
        <f>+Z25+AD25</f>
        <v>53.51</v>
      </c>
      <c r="AH25" s="452">
        <f>(AG25/AG18-1)*100</f>
        <v>39.574312692367883</v>
      </c>
      <c r="AJ25" s="494">
        <v>7.2939999999999996</v>
      </c>
      <c r="AK25" s="442"/>
      <c r="AL25" s="452">
        <f>(AJ25/AJ18-1)*100</f>
        <v>-27.574223016582266</v>
      </c>
      <c r="AN25" s="494"/>
      <c r="AO25" s="442"/>
      <c r="AP25" s="452"/>
      <c r="AR25" s="441">
        <f>+AG25+AJ25</f>
        <v>60.803999999999995</v>
      </c>
      <c r="AS25" s="452">
        <f>(AR25/AR18-1)*100</f>
        <v>25.604742919705004</v>
      </c>
      <c r="AX25" s="444">
        <f>+AJ25+AS25</f>
        <v>32.898742919705001</v>
      </c>
      <c r="AY25" s="453"/>
      <c r="BA25" s="440"/>
      <c r="BB25" s="453"/>
    </row>
    <row r="26" spans="1:66" hidden="1" outlineLevel="1">
      <c r="A26" s="410" t="str">
        <f>+qtrSales!A43</f>
        <v>4Q</v>
      </c>
      <c r="B26" s="410" t="str">
        <f>+qtrSales!B43</f>
        <v>Jan</v>
      </c>
      <c r="D26" s="445" t="s">
        <v>378</v>
      </c>
      <c r="E26" s="442"/>
      <c r="F26" s="442"/>
      <c r="G26" s="442"/>
      <c r="H26" s="442"/>
      <c r="J26" s="445" t="s">
        <v>378</v>
      </c>
      <c r="K26" s="442"/>
      <c r="L26" s="442"/>
      <c r="M26" s="442"/>
      <c r="N26" s="442"/>
      <c r="P26" s="445" t="s">
        <v>378</v>
      </c>
      <c r="Q26" s="442"/>
      <c r="R26" s="442"/>
      <c r="S26" s="442"/>
      <c r="T26" s="442"/>
      <c r="W26" s="445" t="s">
        <v>378</v>
      </c>
      <c r="X26" s="442"/>
      <c r="Z26" s="446">
        <v>55.307000000000002</v>
      </c>
      <c r="AA26" s="451">
        <f>(Z26/Z19-1)*100</f>
        <v>34.530904137578759</v>
      </c>
      <c r="AB26" s="452"/>
      <c r="AD26" s="447">
        <v>3.1680000000000001</v>
      </c>
      <c r="AE26" s="453"/>
      <c r="AG26" s="446">
        <f>+Z26+AD26</f>
        <v>58.475000000000001</v>
      </c>
      <c r="AH26" s="452">
        <f>(AG26/AG19-1)*100</f>
        <v>42.236870910461931</v>
      </c>
      <c r="AJ26" s="495">
        <v>2.9769999999999999</v>
      </c>
      <c r="AK26" s="442"/>
      <c r="AL26" s="452">
        <f>(AJ26/AJ19-1)*100</f>
        <v>-42.239037640667441</v>
      </c>
      <c r="AN26" s="495"/>
      <c r="AO26" s="442"/>
      <c r="AP26" s="452"/>
      <c r="AR26" s="446">
        <f>+AG26+AJ26</f>
        <v>61.451999999999998</v>
      </c>
      <c r="AS26" s="452">
        <f>(AR26/AR19-1)*100</f>
        <v>32.826110450664636</v>
      </c>
      <c r="AX26" s="444">
        <f>+AJ26+AS26</f>
        <v>35.803110450664633</v>
      </c>
      <c r="AY26" s="453"/>
      <c r="BA26" s="447"/>
      <c r="BB26" s="453"/>
    </row>
    <row r="27" spans="1:66" hidden="1" outlineLevel="1">
      <c r="B27" s="410" t="str">
        <f>+qtrSales!B44</f>
        <v>Year</v>
      </c>
      <c r="D27" s="448" t="s">
        <v>378</v>
      </c>
      <c r="E27" s="439"/>
      <c r="F27" s="439"/>
      <c r="G27" s="439"/>
      <c r="H27" s="439"/>
      <c r="I27" s="416"/>
      <c r="J27" s="448" t="s">
        <v>378</v>
      </c>
      <c r="K27" s="449"/>
      <c r="L27" s="449"/>
      <c r="M27" s="449"/>
      <c r="N27" s="449"/>
      <c r="O27" s="416"/>
      <c r="P27" s="448" t="s">
        <v>378</v>
      </c>
      <c r="Q27" s="449"/>
      <c r="R27" s="449"/>
      <c r="S27" s="449"/>
      <c r="T27" s="449"/>
      <c r="U27" s="416"/>
      <c r="V27" s="416"/>
      <c r="W27" s="448" t="s">
        <v>378</v>
      </c>
      <c r="X27" s="449"/>
      <c r="Z27" s="436">
        <f>+SUM(Z23:Z26)</f>
        <v>183.47800000000001</v>
      </c>
      <c r="AA27" s="451">
        <f>(Z27/Z20-1)*100</f>
        <v>28.506692254354714</v>
      </c>
      <c r="AB27" s="452"/>
      <c r="AD27" s="449">
        <f>+SUM(AD23:AD26)</f>
        <v>6.452</v>
      </c>
      <c r="AE27" s="453"/>
      <c r="AG27" s="436">
        <f>+SUM(AG23:AG26)</f>
        <v>189.93</v>
      </c>
      <c r="AH27" s="452">
        <f>(AG27/AG20-1)*100</f>
        <v>33.025627376958489</v>
      </c>
      <c r="AJ27" s="436">
        <f>+SUM(AJ23:AJ26)</f>
        <v>19.934999999999999</v>
      </c>
      <c r="AK27" s="439"/>
      <c r="AL27" s="452">
        <f>(AJ27/AJ20-1)*100</f>
        <v>-34.602893416002367</v>
      </c>
      <c r="AN27" s="436"/>
      <c r="AO27" s="439"/>
      <c r="AP27" s="452"/>
      <c r="AR27" s="436">
        <f>+SUM(AR23:AR26)</f>
        <v>209.86500000000001</v>
      </c>
      <c r="AS27" s="452">
        <f>(AR27/AR20-1)*100</f>
        <v>21.127207664781267</v>
      </c>
      <c r="AX27" s="439">
        <f>+SUM(AX23:AX26)</f>
        <v>100.78560397527949</v>
      </c>
      <c r="AY27" s="453"/>
      <c r="BA27" s="449"/>
      <c r="BB27" s="453"/>
    </row>
    <row r="28" spans="1:66" hidden="1" outlineLevel="1">
      <c r="Z28" s="432"/>
      <c r="AA28" s="416"/>
      <c r="AB28" s="433"/>
      <c r="AG28" s="432"/>
      <c r="AH28" s="433"/>
      <c r="AJ28" s="432"/>
      <c r="AK28" s="416"/>
      <c r="AL28" s="433"/>
      <c r="AN28" s="432"/>
      <c r="AO28" s="416"/>
      <c r="AP28" s="433"/>
      <c r="AR28" s="432"/>
      <c r="AS28" s="433"/>
      <c r="AX28" s="416"/>
      <c r="BD28" s="454"/>
    </row>
    <row r="29" spans="1:66" hidden="1" outlineLevel="1">
      <c r="B29" s="431">
        <f>+qtrSales!B46</f>
        <v>1999</v>
      </c>
      <c r="Z29" s="432"/>
      <c r="AA29" s="416"/>
      <c r="AB29" s="433"/>
      <c r="AG29" s="432"/>
      <c r="AH29" s="433"/>
      <c r="AJ29" s="432"/>
      <c r="AK29" s="416"/>
      <c r="AL29" s="433"/>
      <c r="AN29" s="432"/>
      <c r="AO29" s="416"/>
      <c r="AP29" s="433"/>
      <c r="AR29" s="432"/>
      <c r="AS29" s="433"/>
      <c r="AX29" s="416"/>
      <c r="BD29" s="454"/>
      <c r="BF29" s="454"/>
      <c r="BL29" s="454"/>
      <c r="BM29" s="454"/>
      <c r="BN29" s="454"/>
    </row>
    <row r="30" spans="1:66" hidden="1" outlineLevel="1">
      <c r="A30" s="410" t="str">
        <f>+qtrSales!A47</f>
        <v>1Q</v>
      </c>
      <c r="B30" s="410" t="str">
        <f>+qtrSales!B47</f>
        <v>Apr</v>
      </c>
      <c r="D30" s="435">
        <v>35.484999999999999</v>
      </c>
      <c r="E30" s="449" t="s">
        <v>378</v>
      </c>
      <c r="F30" s="455">
        <f>+D30/$Z30*100</f>
        <v>72.792729958152137</v>
      </c>
      <c r="G30" s="455" t="s">
        <v>378</v>
      </c>
      <c r="H30" s="455"/>
      <c r="J30" s="435">
        <v>13.263</v>
      </c>
      <c r="K30" s="449" t="s">
        <v>378</v>
      </c>
      <c r="L30" s="455">
        <f>+J30/$Z30*100</f>
        <v>27.20727004184787</v>
      </c>
      <c r="M30" s="455" t="s">
        <v>378</v>
      </c>
      <c r="N30" s="455"/>
      <c r="P30" s="435"/>
      <c r="Q30" s="449" t="s">
        <v>378</v>
      </c>
      <c r="R30" s="455">
        <f>+P30/$Z30*100</f>
        <v>0</v>
      </c>
      <c r="S30" s="455" t="s">
        <v>378</v>
      </c>
      <c r="T30" s="455"/>
      <c r="W30" s="435"/>
      <c r="X30" s="449" t="s">
        <v>378</v>
      </c>
      <c r="Z30" s="436">
        <f>+D30+J30</f>
        <v>48.747999999999998</v>
      </c>
      <c r="AA30" s="451">
        <f>(Z30/Z23-1)*100</f>
        <v>45.334207858803865</v>
      </c>
      <c r="AB30" s="456">
        <f>qtrSales!G47</f>
        <v>17</v>
      </c>
      <c r="AD30" s="435">
        <v>4.226</v>
      </c>
      <c r="AE30" s="453">
        <f>(AD30/AD23-1)*100</f>
        <v>795.33898305084756</v>
      </c>
      <c r="AG30" s="436">
        <f>+Z30+AD30</f>
        <v>52.973999999999997</v>
      </c>
      <c r="AH30" s="452">
        <f>(AG30/AG23-1)*100</f>
        <v>55.741753395660588</v>
      </c>
      <c r="AJ30" s="492">
        <v>5.5490000000000004</v>
      </c>
      <c r="AK30" s="437"/>
      <c r="AL30" s="452">
        <f>(AJ30/AJ23-1)*100</f>
        <v>1.5928231417063454</v>
      </c>
      <c r="AN30" s="492"/>
      <c r="AO30" s="437"/>
      <c r="AP30" s="452"/>
      <c r="AR30" s="436">
        <f>+AG30+AJ30</f>
        <v>58.522999999999996</v>
      </c>
      <c r="AS30" s="452">
        <f>(AR30/AR23-1)*100</f>
        <v>48.249569358597633</v>
      </c>
      <c r="AX30" s="437"/>
      <c r="AY30" s="453"/>
      <c r="AZ30" s="454"/>
      <c r="BA30" s="435"/>
      <c r="BB30" s="453"/>
      <c r="BD30" s="454"/>
      <c r="BF30" s="454"/>
      <c r="BL30" s="454"/>
      <c r="BM30" s="454"/>
      <c r="BN30" s="454"/>
    </row>
    <row r="31" spans="1:66" hidden="1" outlineLevel="1">
      <c r="A31" s="410" t="str">
        <f>+qtrSales!A48</f>
        <v>2Q</v>
      </c>
      <c r="B31" s="410" t="str">
        <f>+qtrSales!B48</f>
        <v>Jul</v>
      </c>
      <c r="D31" s="440">
        <v>44.475000000000001</v>
      </c>
      <c r="E31" s="457" t="s">
        <v>378</v>
      </c>
      <c r="F31" s="455">
        <f>+D31/$Z31*100</f>
        <v>72.798847658487873</v>
      </c>
      <c r="G31" s="455" t="s">
        <v>378</v>
      </c>
      <c r="H31" s="455"/>
      <c r="J31" s="440">
        <v>16.617999999999999</v>
      </c>
      <c r="K31" s="457" t="s">
        <v>378</v>
      </c>
      <c r="L31" s="455">
        <f>+J31/$Z31*100</f>
        <v>27.20115234151212</v>
      </c>
      <c r="M31" s="455" t="s">
        <v>378</v>
      </c>
      <c r="N31" s="455"/>
      <c r="P31" s="440"/>
      <c r="Q31" s="457" t="s">
        <v>378</v>
      </c>
      <c r="R31" s="455">
        <f>+P31/$Z31*100</f>
        <v>0</v>
      </c>
      <c r="S31" s="455" t="s">
        <v>378</v>
      </c>
      <c r="T31" s="455"/>
      <c r="W31" s="440"/>
      <c r="X31" s="457" t="s">
        <v>378</v>
      </c>
      <c r="Z31" s="441">
        <f>+D31+J31</f>
        <v>61.093000000000004</v>
      </c>
      <c r="AA31" s="451">
        <f>(Z31/Z24-1)*100</f>
        <v>39.33222341323237</v>
      </c>
      <c r="AB31" s="456">
        <f>qtrSales!G48</f>
        <v>19</v>
      </c>
      <c r="AD31" s="440">
        <v>1.92</v>
      </c>
      <c r="AE31" s="453">
        <f>(AD31/AD24-1)*100</f>
        <v>2185.7142857142853</v>
      </c>
      <c r="AG31" s="441">
        <f>+Z31+AD31</f>
        <v>63.013000000000005</v>
      </c>
      <c r="AH31" s="452">
        <f>(AG31/AG24-1)*100</f>
        <v>43.436297830689028</v>
      </c>
      <c r="AJ31" s="494">
        <v>5.2480000000000002</v>
      </c>
      <c r="AK31" s="442"/>
      <c r="AL31" s="452">
        <f>(AJ31/AJ24-1)*100</f>
        <v>24.89290813898144</v>
      </c>
      <c r="AN31" s="494"/>
      <c r="AO31" s="442"/>
      <c r="AP31" s="452"/>
      <c r="AR31" s="441">
        <f>+AG31+AJ31</f>
        <v>68.26100000000001</v>
      </c>
      <c r="AS31" s="452">
        <f>(AR31/AR24-1)*100</f>
        <v>41.817464109862271</v>
      </c>
      <c r="AX31" s="442"/>
      <c r="AY31" s="453"/>
      <c r="AZ31" s="454"/>
      <c r="BA31" s="440"/>
      <c r="BB31" s="453"/>
      <c r="BD31" s="454"/>
      <c r="BF31" s="454"/>
      <c r="BL31" s="454"/>
      <c r="BM31" s="454"/>
      <c r="BN31" s="454"/>
    </row>
    <row r="32" spans="1:66" hidden="1" outlineLevel="1">
      <c r="A32" s="410" t="str">
        <f>+qtrSales!A49</f>
        <v>3Q</v>
      </c>
      <c r="B32" s="410" t="str">
        <f>+qtrSales!B49</f>
        <v>Oct</v>
      </c>
      <c r="D32" s="440">
        <v>46.134</v>
      </c>
      <c r="E32" s="457" t="s">
        <v>378</v>
      </c>
      <c r="F32" s="455">
        <f>+D32/$Z32*100</f>
        <v>73.328670884063968</v>
      </c>
      <c r="G32" s="455" t="s">
        <v>378</v>
      </c>
      <c r="H32" s="455"/>
      <c r="J32" s="440">
        <v>16.78</v>
      </c>
      <c r="K32" s="457" t="s">
        <v>378</v>
      </c>
      <c r="L32" s="455">
        <f>+J32/$Z32*100</f>
        <v>26.671329115936043</v>
      </c>
      <c r="M32" s="455" t="s">
        <v>378</v>
      </c>
      <c r="N32" s="455"/>
      <c r="P32" s="440"/>
      <c r="Q32" s="457" t="s">
        <v>378</v>
      </c>
      <c r="R32" s="455">
        <f>+P32/$Z32*100</f>
        <v>0</v>
      </c>
      <c r="S32" s="455" t="s">
        <v>378</v>
      </c>
      <c r="T32" s="455"/>
      <c r="W32" s="440"/>
      <c r="X32" s="457" t="s">
        <v>378</v>
      </c>
      <c r="Z32" s="441">
        <f>+D32+J32</f>
        <v>62.914000000000001</v>
      </c>
      <c r="AA32" s="451">
        <f>(Z32/Z25-1)*100</f>
        <v>23.890354850143769</v>
      </c>
      <c r="AB32" s="456">
        <f>qtrSales!G49</f>
        <v>8</v>
      </c>
      <c r="AD32" s="440">
        <v>4.8659999999999997</v>
      </c>
      <c r="AE32" s="453">
        <f>(AD32/AD25-1)*100</f>
        <v>78.372434017595282</v>
      </c>
      <c r="AG32" s="441">
        <f>+Z32+AD32</f>
        <v>67.78</v>
      </c>
      <c r="AH32" s="452">
        <f>(AG32/AG25-1)*100</f>
        <v>26.667912539712212</v>
      </c>
      <c r="AJ32" s="494">
        <v>8.1300000000000008</v>
      </c>
      <c r="AK32" s="442"/>
      <c r="AL32" s="452">
        <f>(AJ32/AJ25-1)*100</f>
        <v>11.461475185083646</v>
      </c>
      <c r="AN32" s="494"/>
      <c r="AO32" s="442"/>
      <c r="AP32" s="452"/>
      <c r="AR32" s="441">
        <f>+AG32+AJ32</f>
        <v>75.91</v>
      </c>
      <c r="AS32" s="452">
        <f>(AR32/AR25-1)*100</f>
        <v>24.843760278929029</v>
      </c>
      <c r="AX32" s="442"/>
      <c r="AY32" s="453"/>
      <c r="AZ32" s="454"/>
      <c r="BA32" s="440"/>
      <c r="BB32" s="453"/>
      <c r="BD32" s="454"/>
      <c r="BF32" s="454"/>
      <c r="BL32" s="454"/>
      <c r="BM32" s="454"/>
      <c r="BN32" s="454"/>
    </row>
    <row r="33" spans="1:66" hidden="1" outlineLevel="1">
      <c r="A33" s="410" t="str">
        <f>+qtrSales!A50</f>
        <v>4Q</v>
      </c>
      <c r="B33" s="410" t="str">
        <f>+qtrSales!B50</f>
        <v>Jan</v>
      </c>
      <c r="D33" s="447">
        <v>42.972999999999999</v>
      </c>
      <c r="E33" s="444" t="s">
        <v>378</v>
      </c>
      <c r="F33" s="455">
        <f>+D33/$Z33*100</f>
        <v>65.051468362095065</v>
      </c>
      <c r="G33" s="455" t="s">
        <v>378</v>
      </c>
      <c r="H33" s="455"/>
      <c r="J33" s="447">
        <v>23.087</v>
      </c>
      <c r="K33" s="444" t="s">
        <v>378</v>
      </c>
      <c r="L33" s="455">
        <f>+J33/$Z33*100</f>
        <v>34.948531637904935</v>
      </c>
      <c r="M33" s="455" t="s">
        <v>378</v>
      </c>
      <c r="N33" s="455"/>
      <c r="P33" s="447"/>
      <c r="Q33" s="444" t="s">
        <v>378</v>
      </c>
      <c r="R33" s="455">
        <f>+P33/$Z33*100</f>
        <v>0</v>
      </c>
      <c r="S33" s="455" t="s">
        <v>378</v>
      </c>
      <c r="T33" s="455"/>
      <c r="W33" s="447"/>
      <c r="X33" s="444" t="s">
        <v>378</v>
      </c>
      <c r="Z33" s="446">
        <f>+D33+J33</f>
        <v>66.06</v>
      </c>
      <c r="AA33" s="451">
        <f>(Z33/Z26-1)*100</f>
        <v>19.44238523152584</v>
      </c>
      <c r="AB33" s="456">
        <f>qtrSales!G50</f>
        <v>0</v>
      </c>
      <c r="AD33" s="447">
        <v>5.9550000000000001</v>
      </c>
      <c r="AE33" s="453">
        <f>(AD33/AD26-1)*100</f>
        <v>87.973484848484844</v>
      </c>
      <c r="AG33" s="446">
        <f>+Z33+AD33</f>
        <v>72.015000000000001</v>
      </c>
      <c r="AH33" s="452">
        <f>(AG33/AG26-1)*100</f>
        <v>23.155194527575883</v>
      </c>
      <c r="AJ33" s="495">
        <v>3.4039999999999999</v>
      </c>
      <c r="AK33" s="442"/>
      <c r="AL33" s="452">
        <f>(AJ33/AJ26-1)*100</f>
        <v>14.343298622774615</v>
      </c>
      <c r="AN33" s="495"/>
      <c r="AO33" s="442"/>
      <c r="AP33" s="452"/>
      <c r="AR33" s="446">
        <f>+AG33+AJ33</f>
        <v>75.418999999999997</v>
      </c>
      <c r="AS33" s="452">
        <f>(AR33/AR26-1)*100</f>
        <v>22.72830827312373</v>
      </c>
      <c r="AX33" s="442"/>
      <c r="AY33" s="453"/>
      <c r="AZ33" s="454"/>
      <c r="BA33" s="447"/>
      <c r="BB33" s="453"/>
      <c r="BD33" s="454"/>
      <c r="BF33" s="454"/>
      <c r="BL33" s="454"/>
      <c r="BM33" s="454"/>
      <c r="BN33" s="454"/>
    </row>
    <row r="34" spans="1:66" hidden="1" outlineLevel="1">
      <c r="B34" s="410" t="str">
        <f>+qtrSales!B51</f>
        <v>Year</v>
      </c>
      <c r="D34" s="449">
        <f>+SUM(D30:D33)</f>
        <v>169.06700000000001</v>
      </c>
      <c r="E34" s="449"/>
      <c r="F34" s="455">
        <f>+D34/$Z34*100</f>
        <v>70.794129346984064</v>
      </c>
      <c r="G34" s="455"/>
      <c r="H34" s="455"/>
      <c r="J34" s="449">
        <f>+SUM(J30:J33)</f>
        <v>69.748000000000005</v>
      </c>
      <c r="K34" s="449"/>
      <c r="L34" s="455">
        <f>+J34/$Z34*100</f>
        <v>29.205870653015936</v>
      </c>
      <c r="M34" s="455"/>
      <c r="N34" s="455"/>
      <c r="P34" s="449"/>
      <c r="Q34" s="449"/>
      <c r="R34" s="455">
        <f>+P34/$Z34*100</f>
        <v>0</v>
      </c>
      <c r="S34" s="455"/>
      <c r="T34" s="455"/>
      <c r="W34" s="449"/>
      <c r="X34" s="449"/>
      <c r="Z34" s="436">
        <f>+SUM(Z30:Z33)</f>
        <v>238.815</v>
      </c>
      <c r="AA34" s="451">
        <f>(Z34/Z27-1)*100</f>
        <v>30.160019184861397</v>
      </c>
      <c r="AB34" s="456">
        <f>qtrSales!G51</f>
        <v>10.3</v>
      </c>
      <c r="AD34" s="449">
        <f>+SUM(AD30:AD33)</f>
        <v>16.966999999999999</v>
      </c>
      <c r="AE34" s="453">
        <f>(AD34/AD27-1)*100</f>
        <v>162.97272163670181</v>
      </c>
      <c r="AG34" s="436">
        <f>+SUM(AG30:AG33)</f>
        <v>255.78199999999998</v>
      </c>
      <c r="AH34" s="452">
        <f>(AG34/AG27-1)*100</f>
        <v>34.671721160427516</v>
      </c>
      <c r="AJ34" s="436">
        <f>+SUM(AJ30:AJ33)</f>
        <v>22.331</v>
      </c>
      <c r="AK34" s="439"/>
      <c r="AL34" s="452">
        <f>(AJ34/AJ27-1)*100</f>
        <v>12.019061951341858</v>
      </c>
      <c r="AN34" s="436"/>
      <c r="AO34" s="439"/>
      <c r="AP34" s="452"/>
      <c r="AR34" s="436">
        <f>+SUM(AR30:AR33)</f>
        <v>278.113</v>
      </c>
      <c r="AS34" s="452">
        <f>(AR34/AR27-1)*100</f>
        <v>32.519953303314033</v>
      </c>
      <c r="AX34" s="437"/>
      <c r="AY34" s="453"/>
      <c r="AZ34" s="454"/>
      <c r="BA34" s="435"/>
      <c r="BB34" s="453"/>
      <c r="BD34" s="454"/>
      <c r="BF34" s="454"/>
      <c r="BL34" s="454"/>
      <c r="BM34" s="454"/>
      <c r="BN34" s="454"/>
    </row>
    <row r="35" spans="1:66" ht="8.25" customHeight="1" outlineLevel="1" collapsed="1">
      <c r="Z35" s="432"/>
      <c r="AA35" s="416"/>
      <c r="AB35" s="433"/>
      <c r="AC35" s="416"/>
      <c r="AD35" s="416"/>
      <c r="AE35" s="416"/>
      <c r="AF35" s="416"/>
      <c r="AG35" s="432"/>
      <c r="AH35" s="433"/>
      <c r="AI35" s="416"/>
      <c r="AJ35" s="546"/>
      <c r="AK35" s="458"/>
      <c r="AL35" s="433"/>
      <c r="AM35" s="416"/>
      <c r="AN35" s="546"/>
      <c r="AO35" s="458"/>
      <c r="AP35" s="433"/>
      <c r="AQ35" s="416"/>
      <c r="AR35" s="432"/>
      <c r="AS35" s="433"/>
      <c r="AX35" s="459"/>
      <c r="AZ35" s="454"/>
      <c r="BA35" s="460"/>
      <c r="BD35" s="454"/>
      <c r="BF35" s="454"/>
      <c r="BL35" s="454"/>
      <c r="BM35" s="454"/>
      <c r="BN35" s="454"/>
    </row>
    <row r="36" spans="1:66" hidden="1" outlineLevel="2">
      <c r="B36" s="431">
        <f>+qtrSales!B53</f>
        <v>2000</v>
      </c>
      <c r="Z36" s="432"/>
      <c r="AA36" s="416"/>
      <c r="AB36" s="433"/>
      <c r="AC36" s="416"/>
      <c r="AD36" s="416"/>
      <c r="AE36" s="416"/>
      <c r="AF36" s="416"/>
      <c r="AG36" s="432"/>
      <c r="AH36" s="433"/>
      <c r="AI36" s="416"/>
      <c r="AJ36" s="432"/>
      <c r="AK36" s="416"/>
      <c r="AL36" s="433"/>
      <c r="AM36" s="416"/>
      <c r="AN36" s="432"/>
      <c r="AO36" s="416"/>
      <c r="AP36" s="433"/>
      <c r="AQ36" s="416"/>
      <c r="AR36" s="432"/>
      <c r="AS36" s="433"/>
      <c r="AX36" s="459"/>
      <c r="AZ36" s="454"/>
      <c r="BA36" s="454"/>
      <c r="BD36" s="454"/>
      <c r="BF36" s="454"/>
      <c r="BL36" s="454"/>
      <c r="BM36" s="454"/>
      <c r="BN36" s="454"/>
    </row>
    <row r="37" spans="1:66" hidden="1" outlineLevel="2">
      <c r="A37" s="410" t="str">
        <f>+qtrSales!A54</f>
        <v>1Q</v>
      </c>
      <c r="B37" s="410" t="str">
        <f>+qtrSales!B54</f>
        <v>Apr</v>
      </c>
      <c r="D37" s="435">
        <v>33.219000000000001</v>
      </c>
      <c r="E37" s="453">
        <f>(D37/D30-1)*100</f>
        <v>-6.3857968155558664</v>
      </c>
      <c r="F37" s="455">
        <f>+D37/$Z37*100</f>
        <v>61.58623630397301</v>
      </c>
      <c r="G37" s="455">
        <v>-9.5</v>
      </c>
      <c r="H37" s="455"/>
      <c r="J37" s="435">
        <v>20.72</v>
      </c>
      <c r="K37" s="453">
        <f>(J37/J30-1)*100</f>
        <v>56.224082032722599</v>
      </c>
      <c r="L37" s="455">
        <f>+J37/$Z37*100</f>
        <v>38.41376369602699</v>
      </c>
      <c r="M37" s="455" t="s">
        <v>378</v>
      </c>
      <c r="N37" s="455"/>
      <c r="P37" s="435"/>
      <c r="Q37" s="449" t="s">
        <v>378</v>
      </c>
      <c r="R37" s="455">
        <f>+P37/$Z37*100</f>
        <v>0</v>
      </c>
      <c r="S37" s="455" t="s">
        <v>378</v>
      </c>
      <c r="T37" s="455"/>
      <c r="W37" s="435"/>
      <c r="X37" s="449" t="s">
        <v>378</v>
      </c>
      <c r="Z37" s="436">
        <f>+D37+J37</f>
        <v>53.939</v>
      </c>
      <c r="AA37" s="451">
        <f>(Z37/Z30-1)*100</f>
        <v>10.648641995569053</v>
      </c>
      <c r="AB37" s="456">
        <f>qtrSales!G54</f>
        <v>-4</v>
      </c>
      <c r="AC37" s="416"/>
      <c r="AD37" s="437">
        <v>5.6669999999999998</v>
      </c>
      <c r="AE37" s="451">
        <f>(AD37/AD30-1)*100</f>
        <v>34.098438239469942</v>
      </c>
      <c r="AF37" s="416"/>
      <c r="AG37" s="436">
        <f>+Z37+AD37</f>
        <v>59.606000000000002</v>
      </c>
      <c r="AH37" s="452">
        <f>(AG37/AG30-1)*100</f>
        <v>12.519349114660038</v>
      </c>
      <c r="AI37" s="416"/>
      <c r="AJ37" s="492">
        <v>6.3440000000000003</v>
      </c>
      <c r="AK37" s="437"/>
      <c r="AL37" s="452">
        <f>(AJ37/AJ30-1)*100</f>
        <v>14.32690574878357</v>
      </c>
      <c r="AM37" s="416"/>
      <c r="AN37" s="492"/>
      <c r="AO37" s="437"/>
      <c r="AP37" s="452"/>
      <c r="AQ37" s="416"/>
      <c r="AR37" s="436">
        <f>+AG37+AJ37</f>
        <v>65.95</v>
      </c>
      <c r="AS37" s="452">
        <f>(AR37/AR30-1)*100</f>
        <v>12.690736975206352</v>
      </c>
      <c r="AU37" s="461"/>
      <c r="AX37" s="437"/>
      <c r="AY37" s="453"/>
      <c r="AZ37" s="454"/>
      <c r="BA37" s="435"/>
      <c r="BB37" s="453"/>
      <c r="BD37" s="454"/>
      <c r="BF37" s="454"/>
      <c r="BL37" s="454"/>
      <c r="BM37" s="454"/>
      <c r="BN37" s="454"/>
    </row>
    <row r="38" spans="1:66" hidden="1" outlineLevel="2">
      <c r="A38" s="410" t="str">
        <f>+qtrSales!A55</f>
        <v>2Q</v>
      </c>
      <c r="B38" s="410" t="str">
        <f>+qtrSales!B55</f>
        <v>Jul</v>
      </c>
      <c r="D38" s="440">
        <v>37.683999999999997</v>
      </c>
      <c r="E38" s="453">
        <f>(D38/D31-1)*100</f>
        <v>-15.269252388982579</v>
      </c>
      <c r="F38" s="455">
        <f>+D38/$Z38*100</f>
        <v>64.541764433863705</v>
      </c>
      <c r="G38" s="455">
        <v>-16</v>
      </c>
      <c r="H38" s="455"/>
      <c r="J38" s="440">
        <v>20.702999999999999</v>
      </c>
      <c r="K38" s="453">
        <f>(J38/J31-1)*100</f>
        <v>24.581778794078723</v>
      </c>
      <c r="L38" s="455">
        <f>+J38/$Z38*100</f>
        <v>35.458235566136295</v>
      </c>
      <c r="M38" s="455">
        <v>-8</v>
      </c>
      <c r="N38" s="455"/>
      <c r="P38" s="440"/>
      <c r="Q38" s="457" t="s">
        <v>378</v>
      </c>
      <c r="R38" s="455">
        <f>+P38/$Z38*100</f>
        <v>0</v>
      </c>
      <c r="S38" s="455" t="s">
        <v>378</v>
      </c>
      <c r="T38" s="455"/>
      <c r="W38" s="440"/>
      <c r="X38" s="457" t="s">
        <v>378</v>
      </c>
      <c r="Z38" s="441">
        <f>+D38+J38</f>
        <v>58.387</v>
      </c>
      <c r="AA38" s="451">
        <f>(Z38/Z31-1)*100</f>
        <v>-4.4293126872145816</v>
      </c>
      <c r="AB38" s="456">
        <f>qtrSales!G55</f>
        <v>-14</v>
      </c>
      <c r="AC38" s="416"/>
      <c r="AD38" s="442">
        <v>3.294</v>
      </c>
      <c r="AE38" s="451">
        <f>(AD38/AD31-1)*100</f>
        <v>71.562500000000014</v>
      </c>
      <c r="AF38" s="416"/>
      <c r="AG38" s="436">
        <f>+Z38+AD38</f>
        <v>61.680999999999997</v>
      </c>
      <c r="AH38" s="452">
        <f>(AG38/AG31-1)*100</f>
        <v>-2.1138495231142862</v>
      </c>
      <c r="AI38" s="416"/>
      <c r="AJ38" s="547">
        <v>5.0469999999999997</v>
      </c>
      <c r="AK38" s="462"/>
      <c r="AL38" s="452">
        <f>(AJ38/AJ31-1)*100</f>
        <v>-3.8300304878048919</v>
      </c>
      <c r="AM38" s="416"/>
      <c r="AN38" s="547"/>
      <c r="AO38" s="462"/>
      <c r="AP38" s="452"/>
      <c r="AQ38" s="416"/>
      <c r="AR38" s="441">
        <f>+AG38+AJ38</f>
        <v>66.727999999999994</v>
      </c>
      <c r="AS38" s="452">
        <f>(AR38/AR31-1)*100</f>
        <v>-2.2457918870218974</v>
      </c>
      <c r="AU38" s="461"/>
      <c r="AX38" s="442"/>
      <c r="AY38" s="453"/>
      <c r="AZ38" s="454"/>
      <c r="BA38" s="440"/>
      <c r="BB38" s="453"/>
      <c r="BD38" s="454"/>
      <c r="BF38" s="454"/>
      <c r="BL38" s="454"/>
      <c r="BM38" s="454"/>
      <c r="BN38" s="454"/>
    </row>
    <row r="39" spans="1:66" hidden="1" outlineLevel="2">
      <c r="A39" s="410" t="str">
        <f>+qtrSales!A56</f>
        <v>3Q</v>
      </c>
      <c r="B39" s="410" t="str">
        <f>+qtrSales!B56</f>
        <v>Oct</v>
      </c>
      <c r="D39" s="440">
        <v>44.344000000000001</v>
      </c>
      <c r="E39" s="453">
        <f>(D39/D32-1)*100</f>
        <v>-3.8800017340789861</v>
      </c>
      <c r="F39" s="455">
        <f>+D39/$Z39*100</f>
        <v>66.03427992792578</v>
      </c>
      <c r="G39" s="455">
        <v>-8</v>
      </c>
      <c r="H39" s="455"/>
      <c r="J39" s="440">
        <v>22.809000000000001</v>
      </c>
      <c r="K39" s="453">
        <f>(J39/J32-1)*100</f>
        <v>35.929678188319429</v>
      </c>
      <c r="L39" s="455">
        <f>+J39/$Z39*100</f>
        <v>33.96572007207422</v>
      </c>
      <c r="M39" s="455">
        <v>-2.4</v>
      </c>
      <c r="N39" s="455"/>
      <c r="P39" s="440"/>
      <c r="Q39" s="457" t="s">
        <v>378</v>
      </c>
      <c r="R39" s="455">
        <f>+P39/$Z39*100</f>
        <v>0</v>
      </c>
      <c r="S39" s="455" t="s">
        <v>378</v>
      </c>
      <c r="T39" s="455"/>
      <c r="W39" s="440"/>
      <c r="X39" s="457" t="s">
        <v>378</v>
      </c>
      <c r="Z39" s="441">
        <f>+D39+J39</f>
        <v>67.153000000000006</v>
      </c>
      <c r="AA39" s="451">
        <f>(Z39/Z32-1)*100</f>
        <v>6.7377690180246086</v>
      </c>
      <c r="AB39" s="456">
        <f>qtrSales!G56</f>
        <v>-9</v>
      </c>
      <c r="AC39" s="416"/>
      <c r="AD39" s="442">
        <v>5.0750000000000002</v>
      </c>
      <c r="AE39" s="451">
        <f>(AD39/AD32-1)*100</f>
        <v>4.2951089190300218</v>
      </c>
      <c r="AF39" s="416"/>
      <c r="AG39" s="436">
        <f>+Z39+AD39</f>
        <v>72.228000000000009</v>
      </c>
      <c r="AH39" s="452">
        <f>(AG39/AG32-1)*100</f>
        <v>6.5624077899085309</v>
      </c>
      <c r="AI39" s="416"/>
      <c r="AJ39" s="547">
        <v>4.8630000000000004</v>
      </c>
      <c r="AK39" s="462"/>
      <c r="AL39" s="452">
        <f>(AJ39/AJ32-1)*100</f>
        <v>-40.184501845018453</v>
      </c>
      <c r="AM39" s="416"/>
      <c r="AN39" s="547"/>
      <c r="AO39" s="462"/>
      <c r="AP39" s="452"/>
      <c r="AQ39" s="416"/>
      <c r="AR39" s="441">
        <f>+AG39+AJ39</f>
        <v>77.091000000000008</v>
      </c>
      <c r="AS39" s="452">
        <f>(AR39/AR32-1)*100</f>
        <v>1.5557897510209528</v>
      </c>
      <c r="AU39" s="461"/>
      <c r="AX39" s="442"/>
      <c r="AY39" s="453"/>
      <c r="AZ39" s="454"/>
      <c r="BA39" s="440"/>
      <c r="BB39" s="453"/>
      <c r="BD39" s="454"/>
      <c r="BF39" s="454"/>
      <c r="BL39" s="454"/>
      <c r="BM39" s="454"/>
      <c r="BN39" s="454"/>
    </row>
    <row r="40" spans="1:66" hidden="1" outlineLevel="2">
      <c r="A40" s="410" t="str">
        <f>+qtrSales!A57</f>
        <v>4Q</v>
      </c>
      <c r="B40" s="410" t="str">
        <f>+qtrSales!B57</f>
        <v>Jan</v>
      </c>
      <c r="D40" s="447">
        <v>44.904000000000003</v>
      </c>
      <c r="E40" s="453">
        <f>(D40/D33-1)*100</f>
        <v>4.4935191864659219</v>
      </c>
      <c r="F40" s="455">
        <f>+D40/$Z40*100</f>
        <v>61.027453112258769</v>
      </c>
      <c r="G40" s="455">
        <v>-2.1</v>
      </c>
      <c r="H40" s="455"/>
      <c r="J40" s="447">
        <v>28.675999999999998</v>
      </c>
      <c r="K40" s="453">
        <f>(J40/J33-1)*100</f>
        <v>24.208428986009434</v>
      </c>
      <c r="L40" s="455">
        <f>+J40/$Z40*100</f>
        <v>38.972546887741231</v>
      </c>
      <c r="M40" s="455">
        <v>-3.9</v>
      </c>
      <c r="N40" s="455"/>
      <c r="P40" s="447"/>
      <c r="Q40" s="444" t="s">
        <v>378</v>
      </c>
      <c r="R40" s="455">
        <f>+P40/$Z40*100</f>
        <v>0</v>
      </c>
      <c r="S40" s="455" t="s">
        <v>378</v>
      </c>
      <c r="T40" s="455"/>
      <c r="W40" s="447"/>
      <c r="X40" s="444" t="s">
        <v>378</v>
      </c>
      <c r="Z40" s="441">
        <f>+D40+J40</f>
        <v>73.58</v>
      </c>
      <c r="AA40" s="451">
        <f>(Z40/Z33-1)*100</f>
        <v>11.383590675143807</v>
      </c>
      <c r="AB40" s="456">
        <f>qtrSales!G57</f>
        <v>-3</v>
      </c>
      <c r="AC40" s="416"/>
      <c r="AD40" s="442">
        <v>7.6289999999999996</v>
      </c>
      <c r="AE40" s="451">
        <f>(AD40/AD33-1)*100</f>
        <v>28.110831234256928</v>
      </c>
      <c r="AF40" s="416"/>
      <c r="AG40" s="463">
        <f>+Z40+AD40</f>
        <v>81.209000000000003</v>
      </c>
      <c r="AH40" s="452">
        <f>(AG40/AG33-1)*100</f>
        <v>12.766784697632438</v>
      </c>
      <c r="AI40" s="416"/>
      <c r="AJ40" s="464">
        <v>4.3550000000000004</v>
      </c>
      <c r="AK40" s="462"/>
      <c r="AL40" s="452">
        <f>(AJ40/AJ33-1)*100</f>
        <v>27.937720329024685</v>
      </c>
      <c r="AM40" s="416"/>
      <c r="AN40" s="464"/>
      <c r="AO40" s="462"/>
      <c r="AP40" s="452"/>
      <c r="AQ40" s="416"/>
      <c r="AR40" s="446">
        <f>+AG40+AJ40</f>
        <v>85.564000000000007</v>
      </c>
      <c r="AS40" s="452">
        <f>(AR40/AR33-1)*100</f>
        <v>13.451517522109825</v>
      </c>
      <c r="AU40" s="461"/>
      <c r="AX40" s="442"/>
      <c r="AY40" s="453"/>
      <c r="AZ40" s="454"/>
      <c r="BA40" s="447"/>
      <c r="BB40" s="453"/>
      <c r="BD40" s="454"/>
      <c r="BF40" s="454"/>
      <c r="BL40" s="454"/>
      <c r="BM40" s="454"/>
      <c r="BN40" s="454"/>
    </row>
    <row r="41" spans="1:66" hidden="1" outlineLevel="2">
      <c r="B41" s="410" t="str">
        <f>+qtrSales!B58</f>
        <v>Year</v>
      </c>
      <c r="D41" s="449">
        <f>+SUM(D37:D40)</f>
        <v>160.15099999999998</v>
      </c>
      <c r="E41" s="453">
        <f>(D41/D34-1)*100</f>
        <v>-5.2736489084209364</v>
      </c>
      <c r="F41" s="455">
        <f>+D41/$Z41*100</f>
        <v>63.286032111088716</v>
      </c>
      <c r="G41" s="455"/>
      <c r="H41" s="455"/>
      <c r="J41" s="449">
        <f>+SUM(J37:J40)</f>
        <v>92.908000000000001</v>
      </c>
      <c r="K41" s="453">
        <f>(J41/J34-1)*100</f>
        <v>33.205253197224295</v>
      </c>
      <c r="L41" s="455">
        <f>+J41/$Z41*100</f>
        <v>36.713967888911284</v>
      </c>
      <c r="M41" s="455"/>
      <c r="N41" s="455"/>
      <c r="P41" s="449"/>
      <c r="Q41" s="453"/>
      <c r="R41" s="455">
        <f>+P41/$Z41*100</f>
        <v>0</v>
      </c>
      <c r="S41" s="455"/>
      <c r="T41" s="455"/>
      <c r="W41" s="449"/>
      <c r="X41" s="453"/>
      <c r="Z41" s="436">
        <f>+SUM(Z37:Z40)</f>
        <v>253.05899999999997</v>
      </c>
      <c r="AA41" s="451">
        <f>(Z41/Z34-1)*100</f>
        <v>5.9644494692544292</v>
      </c>
      <c r="AB41" s="456">
        <f>qtrSales!G58</f>
        <v>-7.4</v>
      </c>
      <c r="AC41" s="416"/>
      <c r="AD41" s="439">
        <f>+SUM(AD37:AD40)</f>
        <v>21.664999999999999</v>
      </c>
      <c r="AE41" s="451">
        <f>(AD41/AD34-1)*100</f>
        <v>27.689043437260572</v>
      </c>
      <c r="AF41" s="416"/>
      <c r="AG41" s="436">
        <f>+SUM(AG37:AG40)</f>
        <v>274.72400000000005</v>
      </c>
      <c r="AH41" s="452">
        <f>(AG41/AG34-1)*100</f>
        <v>7.4055250173976628</v>
      </c>
      <c r="AI41" s="416"/>
      <c r="AJ41" s="436">
        <f>+SUM(AJ37:AJ40)</f>
        <v>20.609000000000002</v>
      </c>
      <c r="AK41" s="439"/>
      <c r="AL41" s="452">
        <f>(AJ41/AJ34-1)*100</f>
        <v>-7.7112534145358342</v>
      </c>
      <c r="AM41" s="416"/>
      <c r="AN41" s="436"/>
      <c r="AO41" s="439"/>
      <c r="AP41" s="452"/>
      <c r="AQ41" s="416"/>
      <c r="AR41" s="436">
        <f>+SUM(AR37:AR40)</f>
        <v>295.33300000000003</v>
      </c>
      <c r="AS41" s="452">
        <f>(AR41/AR34-1)*100</f>
        <v>6.1917278228633688</v>
      </c>
      <c r="AU41" s="461"/>
      <c r="AX41" s="437"/>
      <c r="AY41" s="453"/>
      <c r="AZ41" s="454"/>
      <c r="BA41" s="435"/>
      <c r="BB41" s="453"/>
      <c r="BD41" s="454"/>
      <c r="BF41" s="454"/>
      <c r="BL41" s="454"/>
      <c r="BM41" s="454"/>
      <c r="BN41" s="454"/>
    </row>
    <row r="42" spans="1:66" ht="8.25" hidden="1" customHeight="1" outlineLevel="2">
      <c r="Z42" s="432"/>
      <c r="AA42" s="416"/>
      <c r="AB42" s="433"/>
      <c r="AC42" s="416"/>
      <c r="AD42" s="416"/>
      <c r="AE42" s="416"/>
      <c r="AF42" s="416"/>
      <c r="AG42" s="432"/>
      <c r="AH42" s="433"/>
      <c r="AI42" s="416"/>
      <c r="AJ42" s="546"/>
      <c r="AK42" s="458"/>
      <c r="AL42" s="433"/>
      <c r="AM42" s="416"/>
      <c r="AN42" s="546"/>
      <c r="AO42" s="458"/>
      <c r="AP42" s="433"/>
      <c r="AQ42" s="416"/>
      <c r="AR42" s="432"/>
      <c r="AS42" s="433"/>
      <c r="AX42" s="459"/>
      <c r="AZ42" s="454"/>
      <c r="BA42" s="460"/>
      <c r="BD42" s="454"/>
      <c r="BF42" s="454"/>
      <c r="BL42" s="454"/>
      <c r="BM42" s="454"/>
      <c r="BN42" s="454"/>
    </row>
    <row r="43" spans="1:66" hidden="1" outlineLevel="2">
      <c r="B43" s="431">
        <f>+qtrSales!B60</f>
        <v>2001</v>
      </c>
      <c r="Z43" s="432"/>
      <c r="AA43" s="416"/>
      <c r="AB43" s="433"/>
      <c r="AC43" s="416"/>
      <c r="AD43" s="416"/>
      <c r="AE43" s="416"/>
      <c r="AF43" s="416"/>
      <c r="AG43" s="432"/>
      <c r="AH43" s="433"/>
      <c r="AI43" s="416"/>
      <c r="AJ43" s="432"/>
      <c r="AK43" s="416"/>
      <c r="AL43" s="433"/>
      <c r="AM43" s="416"/>
      <c r="AN43" s="432"/>
      <c r="AO43" s="416"/>
      <c r="AP43" s="433"/>
      <c r="AQ43" s="416"/>
      <c r="AR43" s="432"/>
      <c r="AS43" s="433"/>
      <c r="AX43" s="459"/>
      <c r="AZ43" s="454"/>
      <c r="BA43" s="454"/>
      <c r="BD43" s="454"/>
      <c r="BF43" s="454"/>
      <c r="BL43" s="454"/>
      <c r="BM43" s="454"/>
      <c r="BN43" s="454"/>
    </row>
    <row r="44" spans="1:66" hidden="1" outlineLevel="2">
      <c r="A44" s="410" t="str">
        <f>+qtrSales!A61</f>
        <v>1Q</v>
      </c>
      <c r="B44" s="410" t="str">
        <f>+qtrSales!B61</f>
        <v>Apr</v>
      </c>
      <c r="D44" s="435">
        <v>37.005000000000003</v>
      </c>
      <c r="E44" s="453">
        <f>(D44/D37-1)*100</f>
        <v>11.397092025647982</v>
      </c>
      <c r="F44" s="455">
        <f>+D44/$Z44*100</f>
        <v>60.550773963412638</v>
      </c>
      <c r="G44" s="455">
        <v>-3</v>
      </c>
      <c r="H44" s="455"/>
      <c r="J44" s="435">
        <v>24.109000000000002</v>
      </c>
      <c r="K44" s="453">
        <f>(J44/J37-1)*100</f>
        <v>16.356177606177624</v>
      </c>
      <c r="L44" s="455">
        <f>+J44/$Z44*100</f>
        <v>39.449226036587362</v>
      </c>
      <c r="M44" s="455">
        <v>-8</v>
      </c>
      <c r="N44" s="455"/>
      <c r="P44" s="435"/>
      <c r="Q44" s="449" t="s">
        <v>378</v>
      </c>
      <c r="R44" s="455">
        <f>+P44/$Z44*100</f>
        <v>0</v>
      </c>
      <c r="S44" s="455" t="s">
        <v>378</v>
      </c>
      <c r="T44" s="455"/>
      <c r="W44" s="435"/>
      <c r="X44" s="449" t="s">
        <v>378</v>
      </c>
      <c r="Z44" s="436">
        <f>+D44+J44</f>
        <v>61.114000000000004</v>
      </c>
      <c r="AA44" s="451">
        <f>(Z44/Z37-1)*100</f>
        <v>13.302063442036371</v>
      </c>
      <c r="AB44" s="456">
        <f>qtrSales!G61</f>
        <v>-5</v>
      </c>
      <c r="AC44" s="416"/>
      <c r="AD44" s="437">
        <v>6.3140000000000001</v>
      </c>
      <c r="AE44" s="451">
        <f>(AD44/AD37-1)*100</f>
        <v>11.416975472031066</v>
      </c>
      <c r="AF44" s="416"/>
      <c r="AG44" s="436">
        <f>+Z44+AD44</f>
        <v>67.427999999999997</v>
      </c>
      <c r="AH44" s="452">
        <f>(AG44/AG37-1)*100</f>
        <v>13.122839982552081</v>
      </c>
      <c r="AI44" s="416"/>
      <c r="AJ44" s="492">
        <v>4.4059999999999997</v>
      </c>
      <c r="AK44" s="437"/>
      <c r="AL44" s="452">
        <f>(AJ44/AJ37-1)*100</f>
        <v>-30.548549810844904</v>
      </c>
      <c r="AM44" s="416"/>
      <c r="AN44" s="492"/>
      <c r="AO44" s="437"/>
      <c r="AP44" s="452"/>
      <c r="AQ44" s="416"/>
      <c r="AR44" s="436">
        <f>+AG44+AJ44</f>
        <v>71.834000000000003</v>
      </c>
      <c r="AS44" s="452">
        <f>(AR44/AR37-1)*100</f>
        <v>8.9219105382865713</v>
      </c>
      <c r="AU44" s="461"/>
      <c r="AX44" s="437"/>
      <c r="AY44" s="453"/>
      <c r="AZ44" s="454"/>
      <c r="BA44" s="435"/>
      <c r="BB44" s="453"/>
      <c r="BD44" s="454"/>
      <c r="BF44" s="454"/>
      <c r="BL44" s="454"/>
      <c r="BM44" s="454"/>
      <c r="BN44" s="454"/>
    </row>
    <row r="45" spans="1:66" hidden="1" outlineLevel="2">
      <c r="A45" s="410" t="str">
        <f>+qtrSales!A62</f>
        <v>2Q</v>
      </c>
      <c r="B45" s="410" t="str">
        <f>+qtrSales!B62</f>
        <v>Jul</v>
      </c>
      <c r="D45" s="440">
        <v>42.860999999999997</v>
      </c>
      <c r="E45" s="453">
        <f>(D45/D38-1)*100</f>
        <v>13.737925910200621</v>
      </c>
      <c r="F45" s="455">
        <f>+D45/$Z45*100</f>
        <v>59.843344223841832</v>
      </c>
      <c r="G45" s="455">
        <v>0</v>
      </c>
      <c r="H45" s="455"/>
      <c r="J45" s="440">
        <v>28.760999999999999</v>
      </c>
      <c r="K45" s="453">
        <f>(J45/J38-1)*100</f>
        <v>38.921895377481519</v>
      </c>
      <c r="L45" s="455">
        <f>+J45/$Z45*100</f>
        <v>40.156655776158161</v>
      </c>
      <c r="M45" s="455">
        <v>8</v>
      </c>
      <c r="N45" s="455"/>
      <c r="P45" s="440"/>
      <c r="Q45" s="457" t="s">
        <v>378</v>
      </c>
      <c r="R45" s="455">
        <f>+P45/$Z45*100</f>
        <v>0</v>
      </c>
      <c r="S45" s="455" t="s">
        <v>378</v>
      </c>
      <c r="T45" s="455"/>
      <c r="W45" s="440"/>
      <c r="X45" s="457" t="s">
        <v>378</v>
      </c>
      <c r="Z45" s="441">
        <f>+D45+J45</f>
        <v>71.622</v>
      </c>
      <c r="AA45" s="451">
        <f>(Z45/Z38-1)*100</f>
        <v>22.667717128812924</v>
      </c>
      <c r="AB45" s="456">
        <f>qtrSales!G62</f>
        <v>2.8</v>
      </c>
      <c r="AC45" s="416"/>
      <c r="AD45" s="442">
        <v>4.1680000000000001</v>
      </c>
      <c r="AE45" s="451">
        <f>(AD45/AD38-1)*100</f>
        <v>26.533090467516708</v>
      </c>
      <c r="AF45" s="416"/>
      <c r="AG45" s="436">
        <f>+Z45+AD45</f>
        <v>75.790000000000006</v>
      </c>
      <c r="AH45" s="452">
        <f>(AG45/AG38-1)*100</f>
        <v>22.874142766816384</v>
      </c>
      <c r="AI45" s="416"/>
      <c r="AJ45" s="547">
        <v>4.6050000000000004</v>
      </c>
      <c r="AK45" s="462"/>
      <c r="AL45" s="452">
        <f>(AJ45/AJ38-1)*100</f>
        <v>-8.757677828412902</v>
      </c>
      <c r="AM45" s="416"/>
      <c r="AN45" s="547"/>
      <c r="AO45" s="462"/>
      <c r="AP45" s="452"/>
      <c r="AQ45" s="416"/>
      <c r="AR45" s="441">
        <f>+AG45+AJ45</f>
        <v>80.39500000000001</v>
      </c>
      <c r="AS45" s="452">
        <f>(AR45/AR38-1)*100</f>
        <v>20.481656875674403</v>
      </c>
      <c r="AU45" s="461"/>
      <c r="AX45" s="442"/>
      <c r="AY45" s="453"/>
      <c r="AZ45" s="454"/>
      <c r="BA45" s="440"/>
      <c r="BB45" s="453"/>
      <c r="BD45" s="454"/>
      <c r="BF45" s="454"/>
      <c r="BL45" s="454"/>
      <c r="BM45" s="454"/>
      <c r="BN45" s="454"/>
    </row>
    <row r="46" spans="1:66" hidden="1" outlineLevel="2">
      <c r="A46" s="410" t="str">
        <f>+qtrSales!A63</f>
        <v>3Q</v>
      </c>
      <c r="B46" s="410" t="str">
        <f>+qtrSales!B63</f>
        <v>Oct</v>
      </c>
      <c r="D46" s="440">
        <v>51.600999999999999</v>
      </c>
      <c r="E46" s="453">
        <f>(D46/D39-1)*100</f>
        <v>16.365235432076485</v>
      </c>
      <c r="F46" s="455">
        <f>+D46/$Z46*100</f>
        <v>64.348422496570649</v>
      </c>
      <c r="G46" s="455">
        <v>1</v>
      </c>
      <c r="H46" s="455"/>
      <c r="J46" s="440">
        <v>28.588999999999999</v>
      </c>
      <c r="K46" s="453">
        <f>(J46/J39-1)*100</f>
        <v>25.340874216318099</v>
      </c>
      <c r="L46" s="455">
        <f>+J46/$Z46*100</f>
        <v>35.651577503429351</v>
      </c>
      <c r="M46" s="455">
        <v>7</v>
      </c>
      <c r="N46" s="455"/>
      <c r="P46" s="440"/>
      <c r="Q46" s="457" t="s">
        <v>378</v>
      </c>
      <c r="R46" s="455">
        <f>+P46/$Z46*100</f>
        <v>0</v>
      </c>
      <c r="S46" s="455" t="s">
        <v>378</v>
      </c>
      <c r="T46" s="455"/>
      <c r="W46" s="440"/>
      <c r="X46" s="457" t="s">
        <v>378</v>
      </c>
      <c r="Z46" s="441">
        <f>+D46+J46</f>
        <v>80.19</v>
      </c>
      <c r="AA46" s="451">
        <f>(Z46/Z39-1)*100</f>
        <v>19.413875776212521</v>
      </c>
      <c r="AB46" s="456">
        <f>qtrSales!G63</f>
        <v>2.5</v>
      </c>
      <c r="AC46" s="416"/>
      <c r="AD46" s="442">
        <v>6.4089999999999998</v>
      </c>
      <c r="AE46" s="451">
        <f>(AD46/AD39-1)*100</f>
        <v>26.285714285714267</v>
      </c>
      <c r="AF46" s="416"/>
      <c r="AG46" s="436">
        <f>+Z46+AD46</f>
        <v>86.599000000000004</v>
      </c>
      <c r="AH46" s="452">
        <f>(AG46/AG39-1)*100</f>
        <v>19.896715955031286</v>
      </c>
      <c r="AI46" s="416"/>
      <c r="AJ46" s="547">
        <v>6.26</v>
      </c>
      <c r="AK46" s="462"/>
      <c r="AL46" s="452">
        <f>(AJ46/AJ39-1)*100</f>
        <v>28.727123174994841</v>
      </c>
      <c r="AM46" s="416"/>
      <c r="AN46" s="547"/>
      <c r="AO46" s="462"/>
      <c r="AP46" s="452"/>
      <c r="AQ46" s="416"/>
      <c r="AR46" s="441">
        <f>+AG46+AJ46</f>
        <v>92.859000000000009</v>
      </c>
      <c r="AS46" s="452">
        <f>(AR46/AR39-1)*100</f>
        <v>20.45374946491809</v>
      </c>
      <c r="AU46" s="461"/>
      <c r="AX46" s="442"/>
      <c r="AY46" s="453"/>
      <c r="AZ46" s="454"/>
      <c r="BA46" s="440"/>
      <c r="BB46" s="453"/>
      <c r="BD46" s="454"/>
      <c r="BF46" s="454"/>
      <c r="BL46" s="454"/>
      <c r="BM46" s="454"/>
      <c r="BN46" s="454"/>
    </row>
    <row r="47" spans="1:66" hidden="1" outlineLevel="2">
      <c r="A47" s="410" t="str">
        <f>+qtrSales!A64</f>
        <v>4Q</v>
      </c>
      <c r="B47" s="410" t="str">
        <f>+qtrSales!B64</f>
        <v>Jan</v>
      </c>
      <c r="D47" s="447">
        <v>53.530999999999999</v>
      </c>
      <c r="E47" s="453">
        <f>(D47/D40-1)*100</f>
        <v>19.212096917869225</v>
      </c>
      <c r="F47" s="455">
        <f>+D47/$Z47*100</f>
        <v>57.591178052716515</v>
      </c>
      <c r="G47" s="455">
        <v>2.9</v>
      </c>
      <c r="H47" s="455"/>
      <c r="J47" s="447">
        <v>39.418999999999997</v>
      </c>
      <c r="K47" s="453">
        <f>(J47/J40-1)*100</f>
        <v>37.463384014506907</v>
      </c>
      <c r="L47" s="455">
        <f>+J47/$Z47*100</f>
        <v>42.408821947283485</v>
      </c>
      <c r="M47" s="455">
        <v>16.8</v>
      </c>
      <c r="N47" s="455"/>
      <c r="P47" s="447"/>
      <c r="Q47" s="444" t="s">
        <v>378</v>
      </c>
      <c r="R47" s="455">
        <f>+P47/$Z47*100</f>
        <v>0</v>
      </c>
      <c r="S47" s="455" t="s">
        <v>378</v>
      </c>
      <c r="T47" s="455"/>
      <c r="W47" s="447"/>
      <c r="X47" s="444" t="s">
        <v>378</v>
      </c>
      <c r="Z47" s="441">
        <f>+D47+J47</f>
        <v>92.949999999999989</v>
      </c>
      <c r="AA47" s="451">
        <f>(Z47/Z40-1)*100</f>
        <v>26.325088339222603</v>
      </c>
      <c r="AB47" s="456">
        <f>qtrSales!G64</f>
        <v>8.3000000000000007</v>
      </c>
      <c r="AC47" s="416"/>
      <c r="AD47" s="442">
        <v>7.9240000000000004</v>
      </c>
      <c r="AE47" s="451">
        <f>(AD47/AD40-1)*100</f>
        <v>3.8668239612006827</v>
      </c>
      <c r="AF47" s="416"/>
      <c r="AG47" s="463">
        <f>+Z47+AD47</f>
        <v>100.874</v>
      </c>
      <c r="AH47" s="452">
        <f>(AG47/AG40-1)*100</f>
        <v>24.215296334150139</v>
      </c>
      <c r="AI47" s="416"/>
      <c r="AJ47" s="464">
        <v>2.996</v>
      </c>
      <c r="AK47" s="462"/>
      <c r="AL47" s="452">
        <f>(AJ47/AJ40-1)*100</f>
        <v>-31.205510907003454</v>
      </c>
      <c r="AM47" s="416"/>
      <c r="AN47" s="464"/>
      <c r="AO47" s="462"/>
      <c r="AP47" s="452"/>
      <c r="AQ47" s="416"/>
      <c r="AR47" s="446">
        <f>+AG47+AJ47</f>
        <v>103.86999999999999</v>
      </c>
      <c r="AS47" s="452">
        <f>(AR47/AR40-1)*100</f>
        <v>21.394511710532438</v>
      </c>
      <c r="AU47" s="461"/>
      <c r="AX47" s="442"/>
      <c r="AY47" s="453"/>
      <c r="AZ47" s="454"/>
      <c r="BA47" s="447"/>
      <c r="BB47" s="453"/>
      <c r="BD47" s="454"/>
      <c r="BF47" s="454"/>
      <c r="BL47" s="454"/>
      <c r="BM47" s="454"/>
      <c r="BN47" s="454"/>
    </row>
    <row r="48" spans="1:66" hidden="1" outlineLevel="2">
      <c r="B48" s="410" t="str">
        <f>+qtrSales!B65</f>
        <v>Year</v>
      </c>
      <c r="D48" s="449">
        <f>+SUM(D44:D47)</f>
        <v>184.99799999999999</v>
      </c>
      <c r="E48" s="453">
        <f>(D48/D41-1)*100</f>
        <v>15.51473297075885</v>
      </c>
      <c r="F48" s="455">
        <f>+D48/$Z48*100</f>
        <v>60.481371536178067</v>
      </c>
      <c r="G48" s="455"/>
      <c r="H48" s="455"/>
      <c r="J48" s="449">
        <f>+SUM(J44:J47)</f>
        <v>120.878</v>
      </c>
      <c r="K48" s="453">
        <f>(J48/J41-1)*100</f>
        <v>30.10505015714471</v>
      </c>
      <c r="L48" s="455">
        <f>+J48/$Z48*100</f>
        <v>39.51862846382194</v>
      </c>
      <c r="M48" s="455"/>
      <c r="N48" s="455"/>
      <c r="P48" s="449"/>
      <c r="Q48" s="453"/>
      <c r="R48" s="455">
        <f>+P48/$Z48*100</f>
        <v>0</v>
      </c>
      <c r="S48" s="455"/>
      <c r="T48" s="455"/>
      <c r="W48" s="449"/>
      <c r="X48" s="453"/>
      <c r="Z48" s="436">
        <f>+SUM(Z44:Z47)</f>
        <v>305.87599999999998</v>
      </c>
      <c r="AA48" s="451">
        <f>(Z48/Z41-1)*100</f>
        <v>20.871417337458851</v>
      </c>
      <c r="AB48" s="456">
        <f>qtrSales!G65</f>
        <v>2.8</v>
      </c>
      <c r="AC48" s="416"/>
      <c r="AD48" s="439">
        <f>+SUM(AD44:AD47)</f>
        <v>24.814999999999998</v>
      </c>
      <c r="AE48" s="451">
        <f>(AD48/AD41-1)*100</f>
        <v>14.53957996768982</v>
      </c>
      <c r="AF48" s="416"/>
      <c r="AG48" s="436">
        <f>+SUM(AG44:AG47)</f>
        <v>330.69100000000003</v>
      </c>
      <c r="AH48" s="452">
        <f>(AG48/AG41-1)*100</f>
        <v>20.372082526462918</v>
      </c>
      <c r="AI48" s="416"/>
      <c r="AJ48" s="436">
        <f>+SUM(AJ44:AJ47)</f>
        <v>18.266999999999999</v>
      </c>
      <c r="AK48" s="439"/>
      <c r="AL48" s="452">
        <f>(AJ48/AJ41-1)*100</f>
        <v>-11.363967198796654</v>
      </c>
      <c r="AM48" s="416"/>
      <c r="AN48" s="436"/>
      <c r="AO48" s="439"/>
      <c r="AP48" s="452"/>
      <c r="AQ48" s="416"/>
      <c r="AR48" s="436">
        <f>+SUM(AR44:AR47)</f>
        <v>348.95800000000003</v>
      </c>
      <c r="AS48" s="452">
        <f>(AR48/AR41-1)*100</f>
        <v>18.15746970369041</v>
      </c>
      <c r="AU48" s="461"/>
      <c r="AX48" s="437"/>
      <c r="AY48" s="453"/>
      <c r="AZ48" s="454"/>
      <c r="BA48" s="435"/>
      <c r="BB48" s="453"/>
      <c r="BD48" s="454"/>
      <c r="BF48" s="454"/>
      <c r="BL48" s="454"/>
      <c r="BM48" s="454"/>
      <c r="BN48" s="454"/>
    </row>
    <row r="49" spans="1:66" ht="8.25" hidden="1" customHeight="1" outlineLevel="2">
      <c r="Z49" s="432"/>
      <c r="AA49" s="416"/>
      <c r="AB49" s="433"/>
      <c r="AC49" s="416"/>
      <c r="AD49" s="465"/>
      <c r="AE49" s="416"/>
      <c r="AF49" s="416"/>
      <c r="AG49" s="432"/>
      <c r="AH49" s="433"/>
      <c r="AI49" s="416"/>
      <c r="AJ49" s="546"/>
      <c r="AK49" s="458"/>
      <c r="AL49" s="433"/>
      <c r="AM49" s="416"/>
      <c r="AN49" s="546"/>
      <c r="AO49" s="458"/>
      <c r="AP49" s="433"/>
      <c r="AQ49" s="416"/>
      <c r="AR49" s="432"/>
      <c r="AS49" s="433"/>
      <c r="AX49" s="459"/>
      <c r="AZ49" s="454"/>
      <c r="BA49" s="460"/>
      <c r="BD49" s="454"/>
      <c r="BF49" s="454"/>
      <c r="BL49" s="454"/>
      <c r="BM49" s="454"/>
      <c r="BN49" s="454"/>
    </row>
    <row r="50" spans="1:66" hidden="1" outlineLevel="2">
      <c r="B50" s="431">
        <f>+qtrSales!B67</f>
        <v>2002</v>
      </c>
      <c r="Z50" s="432"/>
      <c r="AA50" s="416"/>
      <c r="AB50" s="433"/>
      <c r="AC50" s="416"/>
      <c r="AD50" s="416"/>
      <c r="AE50" s="416"/>
      <c r="AF50" s="416"/>
      <c r="AG50" s="432"/>
      <c r="AH50" s="433"/>
      <c r="AI50" s="416"/>
      <c r="AJ50" s="432"/>
      <c r="AK50" s="416"/>
      <c r="AL50" s="433"/>
      <c r="AM50" s="416"/>
      <c r="AN50" s="432"/>
      <c r="AO50" s="416"/>
      <c r="AP50" s="433"/>
      <c r="AQ50" s="416"/>
      <c r="AR50" s="432"/>
      <c r="AS50" s="433"/>
      <c r="AX50" s="459"/>
      <c r="AZ50" s="454"/>
      <c r="BA50" s="454"/>
      <c r="BD50" s="454"/>
      <c r="BF50" s="454"/>
      <c r="BL50" s="454"/>
      <c r="BM50" s="454"/>
      <c r="BN50" s="454"/>
    </row>
    <row r="51" spans="1:66" hidden="1" outlineLevel="2">
      <c r="A51" s="410" t="str">
        <f>+qtrSales!A68</f>
        <v>1Q</v>
      </c>
      <c r="B51" s="410" t="str">
        <f>+qtrSales!B68</f>
        <v>Apr</v>
      </c>
      <c r="D51" s="435">
        <v>45.787999999999997</v>
      </c>
      <c r="E51" s="453">
        <f>(D51/D44-1)*100</f>
        <v>23.734630455343854</v>
      </c>
      <c r="F51" s="455">
        <f>+D51/$Z51*100</f>
        <v>55.565938133320394</v>
      </c>
      <c r="G51" s="455">
        <f>qtrSales!G245</f>
        <v>12.1</v>
      </c>
      <c r="H51" s="455"/>
      <c r="J51" s="435">
        <v>36.615000000000002</v>
      </c>
      <c r="K51" s="453">
        <f>(J51/J44-1)*100</f>
        <v>51.872744618192378</v>
      </c>
      <c r="L51" s="455">
        <f>+J51/$Z51*100</f>
        <v>44.43406186667962</v>
      </c>
      <c r="M51" s="455">
        <f>qtrSales!G422</f>
        <v>27.3</v>
      </c>
      <c r="N51" s="455"/>
      <c r="P51" s="435"/>
      <c r="Q51" s="449" t="s">
        <v>378</v>
      </c>
      <c r="R51" s="455">
        <f>+P51/$Z51*100</f>
        <v>0</v>
      </c>
      <c r="S51" s="455" t="s">
        <v>378</v>
      </c>
      <c r="T51" s="455"/>
      <c r="W51" s="435"/>
      <c r="X51" s="449" t="s">
        <v>378</v>
      </c>
      <c r="Z51" s="436">
        <f>+D51+J51</f>
        <v>82.402999999999992</v>
      </c>
      <c r="AA51" s="451">
        <f>(Z51/Z44-1)*100</f>
        <v>34.83489871387895</v>
      </c>
      <c r="AB51" s="456">
        <f>qtrSales!G68</f>
        <v>18</v>
      </c>
      <c r="AC51" s="416"/>
      <c r="AD51" s="437">
        <v>7.0819999999999999</v>
      </c>
      <c r="AE51" s="451">
        <f>(AD51/AD44-1)*100</f>
        <v>12.163446309787762</v>
      </c>
      <c r="AF51" s="416"/>
      <c r="AG51" s="436">
        <f>+Z51+AD51</f>
        <v>89.484999999999985</v>
      </c>
      <c r="AH51" s="452">
        <f>(AG51/AG44-1)*100</f>
        <v>32.711929762116611</v>
      </c>
      <c r="AI51" s="416"/>
      <c r="AJ51" s="492">
        <v>4.5890000000000004</v>
      </c>
      <c r="AK51" s="437"/>
      <c r="AL51" s="452">
        <f>(AJ51/AJ44-1)*100</f>
        <v>4.1534271448025573</v>
      </c>
      <c r="AM51" s="416"/>
      <c r="AN51" s="492"/>
      <c r="AO51" s="437"/>
      <c r="AP51" s="452"/>
      <c r="AQ51" s="416"/>
      <c r="AR51" s="436">
        <f>+AG51+AJ51</f>
        <v>94.073999999999984</v>
      </c>
      <c r="AS51" s="452">
        <f>(AR51/AR44-1)*100</f>
        <v>30.960269510259742</v>
      </c>
      <c r="AU51" s="461"/>
      <c r="AX51" s="437"/>
      <c r="AY51" s="453"/>
      <c r="AZ51" s="454"/>
      <c r="BA51" s="435"/>
      <c r="BB51" s="453"/>
      <c r="BD51" s="454"/>
      <c r="BF51" s="454"/>
      <c r="BL51" s="454"/>
      <c r="BM51" s="454"/>
      <c r="BN51" s="454"/>
    </row>
    <row r="52" spans="1:66" hidden="1" outlineLevel="2">
      <c r="A52" s="410" t="str">
        <f>+qtrSales!A69</f>
        <v>2Q</v>
      </c>
      <c r="B52" s="410" t="str">
        <f>+qtrSales!B69</f>
        <v>Jul</v>
      </c>
      <c r="D52" s="440">
        <v>51.142000000000003</v>
      </c>
      <c r="E52" s="453">
        <f>(D52/D45-1)*100</f>
        <v>19.320594479830167</v>
      </c>
      <c r="F52" s="455">
        <f>+D52/$Z52*100</f>
        <v>57.105530555958772</v>
      </c>
      <c r="G52" s="455">
        <f>qtrSales!G246</f>
        <v>7.9</v>
      </c>
      <c r="H52" s="455"/>
      <c r="J52" s="440">
        <v>38.414999999999999</v>
      </c>
      <c r="K52" s="453">
        <f>(J52/J45-1)*100</f>
        <v>33.566287681234996</v>
      </c>
      <c r="L52" s="455">
        <f>+J52/$Z52*100</f>
        <v>42.894469444041221</v>
      </c>
      <c r="M52" s="455">
        <f>qtrSales!G423</f>
        <v>14.6</v>
      </c>
      <c r="N52" s="455"/>
      <c r="P52" s="440"/>
      <c r="Q52" s="457" t="s">
        <v>378</v>
      </c>
      <c r="R52" s="455">
        <f>+P52/$Z52*100</f>
        <v>0</v>
      </c>
      <c r="S52" s="455" t="s">
        <v>378</v>
      </c>
      <c r="T52" s="455"/>
      <c r="W52" s="440"/>
      <c r="X52" s="457" t="s">
        <v>378</v>
      </c>
      <c r="Z52" s="441">
        <f>+D52+J52</f>
        <v>89.557000000000002</v>
      </c>
      <c r="AA52" s="451">
        <f>(Z52/Z45-1)*100</f>
        <v>25.04118846164587</v>
      </c>
      <c r="AB52" s="456">
        <f>qtrSales!G69</f>
        <v>10.6</v>
      </c>
      <c r="AC52" s="416"/>
      <c r="AD52" s="442">
        <v>6.7089999999999996</v>
      </c>
      <c r="AE52" s="451">
        <f>(AD52/AD45-1)*100</f>
        <v>60.964491362763894</v>
      </c>
      <c r="AF52" s="416"/>
      <c r="AG52" s="436">
        <f>+Z52+AD52</f>
        <v>96.266000000000005</v>
      </c>
      <c r="AH52" s="452">
        <f>(AG52/AG45-1)*100</f>
        <v>27.016756828077582</v>
      </c>
      <c r="AI52" s="416"/>
      <c r="AJ52" s="547">
        <v>4.7350000000000003</v>
      </c>
      <c r="AK52" s="462"/>
      <c r="AL52" s="452">
        <f>(AJ52/AJ45-1)*100</f>
        <v>2.8230184581976125</v>
      </c>
      <c r="AM52" s="416"/>
      <c r="AN52" s="547"/>
      <c r="AO52" s="462"/>
      <c r="AP52" s="452"/>
      <c r="AQ52" s="416"/>
      <c r="AR52" s="441">
        <f>+AG52+AJ52</f>
        <v>101.001</v>
      </c>
      <c r="AS52" s="452">
        <f>(AR52/AR45-1)*100</f>
        <v>25.630947198208844</v>
      </c>
      <c r="AU52" s="461"/>
      <c r="AX52" s="442"/>
      <c r="AY52" s="453"/>
      <c r="AZ52" s="454"/>
      <c r="BA52" s="440"/>
      <c r="BB52" s="453"/>
      <c r="BD52" s="454"/>
      <c r="BF52" s="454"/>
      <c r="BL52" s="454"/>
      <c r="BM52" s="454"/>
      <c r="BN52" s="454"/>
    </row>
    <row r="53" spans="1:66" hidden="1" outlineLevel="2">
      <c r="A53" s="410" t="str">
        <f>+qtrSales!A70</f>
        <v>3Q</v>
      </c>
      <c r="B53" s="410" t="str">
        <f>+qtrSales!B70</f>
        <v>Oct</v>
      </c>
      <c r="D53" s="440">
        <v>57.66</v>
      </c>
      <c r="E53" s="453">
        <f>(D53/D46-1)*100</f>
        <v>11.742020503478612</v>
      </c>
      <c r="F53" s="455">
        <f>+D53/$Z53*100</f>
        <v>60.56277374562795</v>
      </c>
      <c r="G53" s="455">
        <f>qtrSales!G247</f>
        <v>7.7</v>
      </c>
      <c r="H53" s="455"/>
      <c r="J53" s="440">
        <v>37.546999999999997</v>
      </c>
      <c r="K53" s="453">
        <f>(J53/J46-1)*100</f>
        <v>31.333729756199922</v>
      </c>
      <c r="L53" s="455">
        <f>+J53/$Z53*100</f>
        <v>39.437226254372057</v>
      </c>
      <c r="M53" s="455">
        <f>qtrSales!G424</f>
        <v>15.1</v>
      </c>
      <c r="N53" s="455"/>
      <c r="P53" s="440"/>
      <c r="Q53" s="457" t="s">
        <v>378</v>
      </c>
      <c r="R53" s="455">
        <f>+P53/$Z53*100</f>
        <v>0</v>
      </c>
      <c r="S53" s="455" t="s">
        <v>378</v>
      </c>
      <c r="T53" s="455"/>
      <c r="W53" s="440"/>
      <c r="X53" s="457" t="s">
        <v>378</v>
      </c>
      <c r="Z53" s="441">
        <f>+D53+J53</f>
        <v>95.206999999999994</v>
      </c>
      <c r="AA53" s="451">
        <f>(Z53/Z46-1)*100</f>
        <v>18.726773911959093</v>
      </c>
      <c r="AB53" s="456">
        <f>qtrSales!G70</f>
        <v>10.4</v>
      </c>
      <c r="AC53" s="416"/>
      <c r="AD53" s="442">
        <v>8.5830000000000002</v>
      </c>
      <c r="AE53" s="451">
        <f>(AD53/AD46-1)*100</f>
        <v>33.921048525511011</v>
      </c>
      <c r="AF53" s="416"/>
      <c r="AG53" s="436">
        <f>+Z53+AD53</f>
        <v>103.78999999999999</v>
      </c>
      <c r="AH53" s="452">
        <f>(AG53/AG46-1)*100</f>
        <v>19.851268490398265</v>
      </c>
      <c r="AI53" s="416"/>
      <c r="AJ53" s="547">
        <v>6.3159999999999998</v>
      </c>
      <c r="AK53" s="462"/>
      <c r="AL53" s="452">
        <f>(AJ53/AJ46-1)*100</f>
        <v>0.89456869009585382</v>
      </c>
      <c r="AM53" s="416"/>
      <c r="AN53" s="547"/>
      <c r="AO53" s="462"/>
      <c r="AP53" s="452"/>
      <c r="AQ53" s="416"/>
      <c r="AR53" s="441">
        <f>+AG53+AJ53</f>
        <v>110.10599999999999</v>
      </c>
      <c r="AS53" s="452">
        <f>(AR53/AR46-1)*100</f>
        <v>18.573320841275475</v>
      </c>
      <c r="AU53" s="461"/>
      <c r="AX53" s="442"/>
      <c r="AY53" s="453"/>
      <c r="AZ53" s="454"/>
      <c r="BA53" s="440"/>
      <c r="BB53" s="453"/>
      <c r="BD53" s="454"/>
      <c r="BF53" s="454"/>
      <c r="BL53" s="454"/>
      <c r="BM53" s="454"/>
      <c r="BN53" s="454"/>
    </row>
    <row r="54" spans="1:66" hidden="1" outlineLevel="2">
      <c r="A54" s="410" t="str">
        <f>+qtrSales!A71</f>
        <v>4Q</v>
      </c>
      <c r="B54" s="410" t="str">
        <f>+qtrSales!B71</f>
        <v>Jan</v>
      </c>
      <c r="D54" s="447">
        <v>59.4</v>
      </c>
      <c r="E54" s="453">
        <f>(D54/D47-1)*100</f>
        <v>10.963740636266838</v>
      </c>
      <c r="F54" s="455">
        <f>+D54/$Z54*100</f>
        <v>56.27131489200454</v>
      </c>
      <c r="G54" s="455">
        <f>qtrSales!G248</f>
        <v>5</v>
      </c>
      <c r="H54" s="455"/>
      <c r="J54" s="447">
        <v>46.16</v>
      </c>
      <c r="K54" s="453">
        <f>(J54/J47-1)*100</f>
        <v>17.100890433547278</v>
      </c>
      <c r="L54" s="455">
        <f>+J54/$Z54*100</f>
        <v>43.728685107995446</v>
      </c>
      <c r="M54" s="455">
        <f>qtrSales!G425</f>
        <v>-3</v>
      </c>
      <c r="N54" s="455"/>
      <c r="P54" s="447"/>
      <c r="Q54" s="444" t="s">
        <v>378</v>
      </c>
      <c r="R54" s="455">
        <f>+P54/$Z54*100</f>
        <v>0</v>
      </c>
      <c r="S54" s="455" t="s">
        <v>378</v>
      </c>
      <c r="T54" s="455"/>
      <c r="W54" s="447"/>
      <c r="X54" s="444" t="s">
        <v>378</v>
      </c>
      <c r="Z54" s="441">
        <f>+D54+J54</f>
        <v>105.56</v>
      </c>
      <c r="AA54" s="451">
        <f>(Z54/Z47-1)*100</f>
        <v>13.566433566433588</v>
      </c>
      <c r="AB54" s="456">
        <f>qtrSales!G71</f>
        <v>1.3</v>
      </c>
      <c r="AC54" s="416"/>
      <c r="AD54" s="442">
        <v>9.3729999999999993</v>
      </c>
      <c r="AE54" s="451">
        <f>(AD54/AD47-1)*100</f>
        <v>18.28621908127208</v>
      </c>
      <c r="AF54" s="416"/>
      <c r="AG54" s="463">
        <f>+Z54+AD54</f>
        <v>114.93300000000001</v>
      </c>
      <c r="AH54" s="452">
        <f>(AG54/AG47-1)*100</f>
        <v>13.937188968416049</v>
      </c>
      <c r="AI54" s="416"/>
      <c r="AJ54" s="464">
        <v>2.64</v>
      </c>
      <c r="AK54" s="462"/>
      <c r="AL54" s="452">
        <f>(AJ54/AJ47-1)*100</f>
        <v>-11.882510013351133</v>
      </c>
      <c r="AM54" s="416"/>
      <c r="AN54" s="464"/>
      <c r="AO54" s="462"/>
      <c r="AP54" s="452"/>
      <c r="AQ54" s="416"/>
      <c r="AR54" s="446">
        <f>+AG54+AJ54</f>
        <v>117.57300000000001</v>
      </c>
      <c r="AS54" s="452">
        <f>(AR54/AR47-1)*100</f>
        <v>13.192452103591034</v>
      </c>
      <c r="AU54" s="461"/>
      <c r="AX54" s="442"/>
      <c r="AY54" s="453"/>
      <c r="AZ54" s="454"/>
      <c r="BA54" s="447"/>
      <c r="BB54" s="453"/>
      <c r="BD54" s="454"/>
      <c r="BF54" s="454"/>
      <c r="BL54" s="454"/>
      <c r="BM54" s="454"/>
      <c r="BN54" s="454"/>
    </row>
    <row r="55" spans="1:66" hidden="1" outlineLevel="2">
      <c r="B55" s="410" t="str">
        <f>+qtrSales!B72</f>
        <v>Year</v>
      </c>
      <c r="D55" s="449">
        <f>+SUM(D51:D54)</f>
        <v>213.99</v>
      </c>
      <c r="E55" s="453">
        <f>(D55/D48-1)*100</f>
        <v>15.671520773197557</v>
      </c>
      <c r="F55" s="455">
        <f>+D55/$Z55*100</f>
        <v>57.411993228287741</v>
      </c>
      <c r="G55" s="455">
        <f>qtrSales!G249</f>
        <v>7</v>
      </c>
      <c r="H55" s="455"/>
      <c r="J55" s="449">
        <f>+SUM(J51:J54)</f>
        <v>158.73699999999999</v>
      </c>
      <c r="K55" s="453">
        <f>(J55/J48-1)*100</f>
        <v>31.320008603716133</v>
      </c>
      <c r="L55" s="455">
        <f>+J55/$Z55*100</f>
        <v>42.588006771712273</v>
      </c>
      <c r="M55" s="455">
        <f>qtrSales!G426</f>
        <v>12</v>
      </c>
      <c r="N55" s="455"/>
      <c r="P55" s="449"/>
      <c r="Q55" s="453"/>
      <c r="R55" s="455">
        <f>+P55/$Z55*100</f>
        <v>0</v>
      </c>
      <c r="S55" s="455"/>
      <c r="T55" s="455"/>
      <c r="W55" s="449"/>
      <c r="X55" s="453"/>
      <c r="Z55" s="436">
        <f>+SUM(Z51:Z54)</f>
        <v>372.72699999999998</v>
      </c>
      <c r="AA55" s="451">
        <f>(Z55/Z48-1)*100</f>
        <v>21.855588539146574</v>
      </c>
      <c r="AB55" s="456">
        <f>qtrSales!G72</f>
        <v>9.1</v>
      </c>
      <c r="AC55" s="416"/>
      <c r="AD55" s="439">
        <f>+SUM(AD51:AD54)</f>
        <v>31.747</v>
      </c>
      <c r="AE55" s="451">
        <f>(AD55/AD48-1)*100</f>
        <v>27.934716905097744</v>
      </c>
      <c r="AF55" s="416"/>
      <c r="AG55" s="436">
        <f>+SUM(AG51:AG54)</f>
        <v>404.47399999999993</v>
      </c>
      <c r="AH55" s="452">
        <f>(AG55/AG48-1)*100</f>
        <v>22.311765364040713</v>
      </c>
      <c r="AI55" s="416"/>
      <c r="AJ55" s="436">
        <f>+SUM(AJ51:AJ54)</f>
        <v>18.28</v>
      </c>
      <c r="AK55" s="439"/>
      <c r="AL55" s="452">
        <f>(AJ55/AJ48-1)*100</f>
        <v>7.1166584551396461E-2</v>
      </c>
      <c r="AM55" s="416"/>
      <c r="AN55" s="436"/>
      <c r="AO55" s="439"/>
      <c r="AP55" s="452"/>
      <c r="AQ55" s="416"/>
      <c r="AR55" s="436">
        <f>+SUM(AR51:AR54)</f>
        <v>422.75400000000002</v>
      </c>
      <c r="AS55" s="452">
        <f>(AR55/AR48-1)*100</f>
        <v>21.14753064838748</v>
      </c>
      <c r="AU55" s="461"/>
      <c r="AX55" s="437"/>
      <c r="AY55" s="453"/>
      <c r="AZ55" s="454"/>
      <c r="BA55" s="435"/>
      <c r="BB55" s="453"/>
      <c r="BD55" s="454"/>
      <c r="BF55" s="454"/>
      <c r="BL55" s="454"/>
      <c r="BM55" s="454"/>
      <c r="BN55" s="454"/>
    </row>
    <row r="56" spans="1:66" ht="8.25" hidden="1" customHeight="1" outlineLevel="2">
      <c r="M56" s="455"/>
      <c r="N56" s="455"/>
      <c r="S56" s="455"/>
      <c r="T56" s="455"/>
      <c r="Z56" s="432"/>
      <c r="AA56" s="416"/>
      <c r="AB56" s="433"/>
      <c r="AC56" s="416"/>
      <c r="AD56" s="465"/>
      <c r="AE56" s="416"/>
      <c r="AF56" s="416"/>
      <c r="AG56" s="432"/>
      <c r="AH56" s="433"/>
      <c r="AI56" s="416"/>
      <c r="AJ56" s="546"/>
      <c r="AK56" s="458"/>
      <c r="AL56" s="433"/>
      <c r="AM56" s="416"/>
      <c r="AN56" s="546"/>
      <c r="AO56" s="458"/>
      <c r="AP56" s="433"/>
      <c r="AQ56" s="416"/>
      <c r="AR56" s="432"/>
      <c r="AS56" s="433"/>
      <c r="AX56" s="459"/>
      <c r="AZ56" s="454"/>
      <c r="BA56" s="460"/>
      <c r="BD56" s="454"/>
      <c r="BF56" s="454"/>
      <c r="BL56" s="454"/>
      <c r="BM56" s="454"/>
      <c r="BN56" s="454"/>
    </row>
    <row r="57" spans="1:66" hidden="1" outlineLevel="2">
      <c r="B57" s="431">
        <f>+qtrSales!B74</f>
        <v>2003</v>
      </c>
      <c r="M57" s="455"/>
      <c r="N57" s="455"/>
      <c r="S57" s="455"/>
      <c r="T57" s="455"/>
      <c r="Z57" s="432"/>
      <c r="AA57" s="416"/>
      <c r="AB57" s="433"/>
      <c r="AC57" s="416"/>
      <c r="AD57" s="416"/>
      <c r="AE57" s="416"/>
      <c r="AF57" s="416"/>
      <c r="AG57" s="432"/>
      <c r="AH57" s="433"/>
      <c r="AI57" s="416"/>
      <c r="AJ57" s="432"/>
      <c r="AK57" s="416"/>
      <c r="AL57" s="433"/>
      <c r="AM57" s="416"/>
      <c r="AN57" s="432"/>
      <c r="AO57" s="416"/>
      <c r="AP57" s="433"/>
      <c r="AQ57" s="416"/>
      <c r="AR57" s="432"/>
      <c r="AS57" s="433"/>
      <c r="AX57" s="459"/>
      <c r="AZ57" s="454"/>
      <c r="BA57" s="454"/>
      <c r="BD57" s="454"/>
      <c r="BF57" s="454"/>
      <c r="BL57" s="454"/>
      <c r="BM57" s="454"/>
      <c r="BN57" s="454"/>
    </row>
    <row r="58" spans="1:66" hidden="1" outlineLevel="2">
      <c r="A58" s="410" t="str">
        <f>+qtrSales!A75</f>
        <v>1Q</v>
      </c>
      <c r="B58" s="410" t="str">
        <f>+qtrSales!B75</f>
        <v>Apr</v>
      </c>
      <c r="D58" s="435">
        <v>52.109000000000002</v>
      </c>
      <c r="E58" s="453">
        <f>(D58/D51-1)*100</f>
        <v>13.804927055123617</v>
      </c>
      <c r="F58" s="455">
        <f>+D58/$Z58*100</f>
        <v>55.993251883132935</v>
      </c>
      <c r="G58" s="455">
        <f>qtrSales!G252</f>
        <v>5</v>
      </c>
      <c r="H58" s="455"/>
      <c r="J58" s="435">
        <v>40.954000000000001</v>
      </c>
      <c r="K58" s="453">
        <f>(J58/J51-1)*100</f>
        <v>11.850334562337839</v>
      </c>
      <c r="L58" s="455">
        <f>+J58/$Z58*100</f>
        <v>44.006748116867065</v>
      </c>
      <c r="M58" s="455">
        <f>qtrSales!G429</f>
        <v>-2</v>
      </c>
      <c r="N58" s="455"/>
      <c r="P58" s="435"/>
      <c r="Q58" s="449" t="s">
        <v>378</v>
      </c>
      <c r="R58" s="455">
        <f>+P58/$Z58*100</f>
        <v>0</v>
      </c>
      <c r="S58" s="455" t="s">
        <v>378</v>
      </c>
      <c r="T58" s="455"/>
      <c r="W58" s="435"/>
      <c r="X58" s="449" t="s">
        <v>378</v>
      </c>
      <c r="Z58" s="436">
        <f>+D58+J58</f>
        <v>93.063000000000002</v>
      </c>
      <c r="AA58" s="451">
        <f>(Z58/Z51-1)*100</f>
        <v>12.936422217637711</v>
      </c>
      <c r="AB58" s="456">
        <f>qtrSales!G75</f>
        <v>2</v>
      </c>
      <c r="AC58" s="416"/>
      <c r="AD58" s="437">
        <v>9.5269999999999992</v>
      </c>
      <c r="AE58" s="451">
        <f>(AD58/AD51-1)*100</f>
        <v>34.524145721547583</v>
      </c>
      <c r="AF58" s="416"/>
      <c r="AG58" s="436">
        <f>+Z58+AD58</f>
        <v>102.59</v>
      </c>
      <c r="AH58" s="452">
        <f>(AG58/AG51-1)*100</f>
        <v>14.644912555176859</v>
      </c>
      <c r="AI58" s="416"/>
      <c r="AJ58" s="492">
        <v>4.4379999999999997</v>
      </c>
      <c r="AK58" s="437"/>
      <c r="AL58" s="452">
        <f>(AJ58/AJ51-1)*100</f>
        <v>-3.2904772281542982</v>
      </c>
      <c r="AM58" s="416"/>
      <c r="AN58" s="492"/>
      <c r="AO58" s="437"/>
      <c r="AP58" s="452"/>
      <c r="AQ58" s="416"/>
      <c r="AR58" s="436">
        <f>+AG58+AJ58</f>
        <v>107.02800000000001</v>
      </c>
      <c r="AS58" s="452">
        <f>(AR58/AR51-1)*100</f>
        <v>13.770010842528247</v>
      </c>
      <c r="AU58" s="461"/>
      <c r="AX58" s="437"/>
      <c r="AY58" s="453"/>
      <c r="AZ58" s="454"/>
      <c r="BA58" s="435"/>
      <c r="BB58" s="453"/>
      <c r="BD58" s="454"/>
      <c r="BF58" s="454"/>
      <c r="BL58" s="454"/>
      <c r="BM58" s="454"/>
      <c r="BN58" s="454"/>
    </row>
    <row r="59" spans="1:66" hidden="1" outlineLevel="2">
      <c r="A59" s="410" t="str">
        <f>+qtrSales!A76</f>
        <v>2Q</v>
      </c>
      <c r="B59" s="410" t="str">
        <f>+qtrSales!B76</f>
        <v>Jul</v>
      </c>
      <c r="D59" s="440">
        <v>60.75</v>
      </c>
      <c r="E59" s="453">
        <f>(D59/D52-1)*100</f>
        <v>18.786907043134793</v>
      </c>
      <c r="F59" s="455">
        <f>+D59/$Z59*100</f>
        <v>55.926866990720278</v>
      </c>
      <c r="G59" s="455">
        <f>qtrSales!G253</f>
        <v>10</v>
      </c>
      <c r="H59" s="455"/>
      <c r="J59" s="440">
        <v>47.874000000000002</v>
      </c>
      <c r="K59" s="453">
        <f>(J59/J52-1)*100</f>
        <v>24.623194064818431</v>
      </c>
      <c r="L59" s="455">
        <f>+J59/$Z59*100</f>
        <v>44.073133009279722</v>
      </c>
      <c r="M59" s="455">
        <f>qtrSales!G430</f>
        <v>12</v>
      </c>
      <c r="N59" s="455"/>
      <c r="P59" s="440"/>
      <c r="Q59" s="457" t="s">
        <v>378</v>
      </c>
      <c r="R59" s="455">
        <f>+P59/$Z59*100</f>
        <v>0</v>
      </c>
      <c r="S59" s="455" t="s">
        <v>378</v>
      </c>
      <c r="T59" s="455"/>
      <c r="W59" s="440"/>
      <c r="X59" s="457" t="s">
        <v>378</v>
      </c>
      <c r="Z59" s="441">
        <f>+D59+J59</f>
        <v>108.624</v>
      </c>
      <c r="AA59" s="451">
        <f>(Z59/Z52-1)*100</f>
        <v>21.29035139631743</v>
      </c>
      <c r="AB59" s="456">
        <f>qtrSales!G76</f>
        <v>11</v>
      </c>
      <c r="AC59" s="416"/>
      <c r="AD59" s="442">
        <v>9.2040000000000006</v>
      </c>
      <c r="AE59" s="451">
        <f>(AD59/AD52-1)*100</f>
        <v>37.188850797436302</v>
      </c>
      <c r="AF59" s="416"/>
      <c r="AG59" s="436">
        <f>+Z59+AD59</f>
        <v>117.828</v>
      </c>
      <c r="AH59" s="452">
        <f>(AG59/AG52-1)*100</f>
        <v>22.398354559242108</v>
      </c>
      <c r="AI59" s="416"/>
      <c r="AJ59" s="547">
        <v>5.0510000000000002</v>
      </c>
      <c r="AK59" s="462"/>
      <c r="AL59" s="452">
        <f>(AJ59/AJ52-1)*100</f>
        <v>6.6737064413938674</v>
      </c>
      <c r="AM59" s="416"/>
      <c r="AN59" s="547"/>
      <c r="AO59" s="462"/>
      <c r="AP59" s="452"/>
      <c r="AQ59" s="416"/>
      <c r="AR59" s="441">
        <f>+AG59+AJ59</f>
        <v>122.879</v>
      </c>
      <c r="AS59" s="452">
        <f>(AR59/AR52-1)*100</f>
        <v>21.661171671567601</v>
      </c>
      <c r="AU59" s="461"/>
      <c r="AX59" s="442"/>
      <c r="AY59" s="453"/>
      <c r="AZ59" s="454"/>
      <c r="BA59" s="440"/>
      <c r="BB59" s="453"/>
      <c r="BD59" s="454"/>
      <c r="BF59" s="454"/>
      <c r="BL59" s="454"/>
      <c r="BM59" s="454"/>
      <c r="BN59" s="454"/>
    </row>
    <row r="60" spans="1:66" hidden="1" outlineLevel="2">
      <c r="A60" s="410" t="str">
        <f>+qtrSales!A77</f>
        <v>3Q</v>
      </c>
      <c r="B60" s="410" t="str">
        <f>+qtrSales!B77</f>
        <v>Oct</v>
      </c>
      <c r="D60" s="440">
        <v>71.290000000000006</v>
      </c>
      <c r="E60" s="453">
        <f>(D60/D53-1)*100</f>
        <v>23.63857093305586</v>
      </c>
      <c r="F60" s="455">
        <f>+D60/$Z60*100</f>
        <v>57.420160283516573</v>
      </c>
      <c r="G60" s="455">
        <f>qtrSales!G254</f>
        <v>15</v>
      </c>
      <c r="H60" s="455"/>
      <c r="J60" s="440">
        <v>52.865000000000002</v>
      </c>
      <c r="K60" s="453">
        <f>(J60/J53-1)*100</f>
        <v>40.796867925533341</v>
      </c>
      <c r="L60" s="455">
        <f>+J60/$Z60*100</f>
        <v>42.579839716483434</v>
      </c>
      <c r="M60" s="455">
        <f>qtrSales!G431</f>
        <v>19</v>
      </c>
      <c r="N60" s="455"/>
      <c r="P60" s="440"/>
      <c r="Q60" s="457" t="s">
        <v>378</v>
      </c>
      <c r="R60" s="455">
        <f>+P60/$Z60*100</f>
        <v>0</v>
      </c>
      <c r="S60" s="455" t="s">
        <v>378</v>
      </c>
      <c r="T60" s="455"/>
      <c r="W60" s="440"/>
      <c r="X60" s="457" t="s">
        <v>378</v>
      </c>
      <c r="Z60" s="441">
        <f>+D60+J60</f>
        <v>124.155</v>
      </c>
      <c r="AA60" s="451">
        <f>(Z60/Z53-1)*100</f>
        <v>30.40532733937631</v>
      </c>
      <c r="AB60" s="456">
        <f>qtrSales!G77</f>
        <v>17</v>
      </c>
      <c r="AC60" s="416"/>
      <c r="AD60" s="442">
        <v>12.69</v>
      </c>
      <c r="AE60" s="451">
        <f>(AD60/AD53-1)*100</f>
        <v>47.850401957357569</v>
      </c>
      <c r="AF60" s="416"/>
      <c r="AG60" s="436">
        <f>+Z60+AD60</f>
        <v>136.845</v>
      </c>
      <c r="AH60" s="452">
        <f>(AG60/AG53-1)*100</f>
        <v>31.847962231428852</v>
      </c>
      <c r="AI60" s="416"/>
      <c r="AJ60" s="547">
        <v>5.4859999999999998</v>
      </c>
      <c r="AK60" s="462"/>
      <c r="AL60" s="452">
        <f>(AJ60/AJ53-1)*100</f>
        <v>-13.141228625712476</v>
      </c>
      <c r="AM60" s="416"/>
      <c r="AN60" s="547"/>
      <c r="AO60" s="462"/>
      <c r="AP60" s="452"/>
      <c r="AQ60" s="416"/>
      <c r="AR60" s="441">
        <f>+AG60+AJ60</f>
        <v>142.33099999999999</v>
      </c>
      <c r="AS60" s="452">
        <f>(AR60/AR53-1)*100</f>
        <v>29.267251557589958</v>
      </c>
      <c r="AU60" s="461"/>
      <c r="AX60" s="442"/>
      <c r="AY60" s="453"/>
      <c r="AZ60" s="454"/>
      <c r="BA60" s="440"/>
      <c r="BB60" s="453"/>
      <c r="BD60" s="454"/>
      <c r="BF60" s="454"/>
      <c r="BL60" s="454"/>
      <c r="BM60" s="454"/>
      <c r="BN60" s="454"/>
    </row>
    <row r="61" spans="1:66" hidden="1" outlineLevel="2">
      <c r="A61" s="410" t="str">
        <f>+qtrSales!A78</f>
        <v>4Q</v>
      </c>
      <c r="B61" s="410" t="str">
        <f>+qtrSales!B78</f>
        <v>Jan</v>
      </c>
      <c r="D61" s="447">
        <v>83.492000000000004</v>
      </c>
      <c r="E61" s="453">
        <f>(D61/D54-1)*100</f>
        <v>40.558922558922575</v>
      </c>
      <c r="F61" s="455">
        <f>+D61/$Z61*100</f>
        <v>54.590272192908472</v>
      </c>
      <c r="G61" s="455">
        <f>qtrSales!G255</f>
        <v>21</v>
      </c>
      <c r="H61" s="455"/>
      <c r="J61" s="447">
        <v>69.450999999999993</v>
      </c>
      <c r="K61" s="453">
        <f>(J61/J54-1)*100</f>
        <v>50.457105719237425</v>
      </c>
      <c r="L61" s="455">
        <f>+J61/$Z61*100</f>
        <v>45.409727807091535</v>
      </c>
      <c r="M61" s="455">
        <f>qtrSales!G432</f>
        <v>22</v>
      </c>
      <c r="N61" s="455"/>
      <c r="P61" s="447"/>
      <c r="Q61" s="444" t="s">
        <v>378</v>
      </c>
      <c r="R61" s="455">
        <f>+P61/$Z61*100</f>
        <v>0</v>
      </c>
      <c r="S61" s="455" t="s">
        <v>378</v>
      </c>
      <c r="T61" s="455"/>
      <c r="W61" s="447"/>
      <c r="X61" s="444" t="s">
        <v>378</v>
      </c>
      <c r="Z61" s="441">
        <f>+D61+J61</f>
        <v>152.94299999999998</v>
      </c>
      <c r="AA61" s="451">
        <f>(Z61/Z54-1)*100</f>
        <v>44.887267904509272</v>
      </c>
      <c r="AB61" s="456">
        <f>qtrSales!G78</f>
        <v>21</v>
      </c>
      <c r="AC61" s="416"/>
      <c r="AD61" s="442">
        <v>19.722999999999999</v>
      </c>
      <c r="AE61" s="451">
        <f>(AD61/AD54-1)*100</f>
        <v>110.42355702549878</v>
      </c>
      <c r="AF61" s="416"/>
      <c r="AG61" s="463">
        <f>+Z61+AD61</f>
        <v>172.666</v>
      </c>
      <c r="AH61" s="452">
        <f>(AG61/AG54-1)*100</f>
        <v>50.23187422237303</v>
      </c>
      <c r="AI61" s="416"/>
      <c r="AJ61" s="464">
        <v>3.4569999999999999</v>
      </c>
      <c r="AK61" s="462"/>
      <c r="AL61" s="452">
        <f>(AJ61/AJ54-1)*100</f>
        <v>30.946969696969685</v>
      </c>
      <c r="AM61" s="416"/>
      <c r="AN61" s="464"/>
      <c r="AO61" s="462"/>
      <c r="AP61" s="452"/>
      <c r="AQ61" s="416"/>
      <c r="AR61" s="446">
        <f>+AG61+AJ61</f>
        <v>176.12299999999999</v>
      </c>
      <c r="AS61" s="452">
        <f>(AR61/AR54-1)*100</f>
        <v>49.798848375052088</v>
      </c>
      <c r="AU61" s="461"/>
      <c r="AX61" s="442"/>
      <c r="AY61" s="453"/>
      <c r="AZ61" s="454"/>
      <c r="BA61" s="447"/>
      <c r="BB61" s="453"/>
      <c r="BD61" s="454"/>
      <c r="BF61" s="454"/>
      <c r="BL61" s="454"/>
      <c r="BM61" s="454"/>
      <c r="BN61" s="454"/>
    </row>
    <row r="62" spans="1:66" hidden="1" outlineLevel="2">
      <c r="B62" s="410" t="str">
        <f>+qtrSales!B79</f>
        <v>Year</v>
      </c>
      <c r="D62" s="449">
        <f>+SUM(D58:D61)</f>
        <v>267.64100000000002</v>
      </c>
      <c r="E62" s="453">
        <f>(D62/D55-1)*100</f>
        <v>25.071732323940378</v>
      </c>
      <c r="F62" s="455">
        <f>+D62/$Z62*100</f>
        <v>55.900038639472839</v>
      </c>
      <c r="G62" s="455">
        <f>qtrSales!G256</f>
        <v>13</v>
      </c>
      <c r="H62" s="455"/>
      <c r="J62" s="449">
        <f>+SUM(J58:J61)</f>
        <v>211.14400000000001</v>
      </c>
      <c r="K62" s="453">
        <f>(J62/J55-1)*100</f>
        <v>33.01498705405799</v>
      </c>
      <c r="L62" s="455">
        <f>+J62/$Z62*100</f>
        <v>44.099961360527175</v>
      </c>
      <c r="M62" s="455">
        <f>qtrSales!G433</f>
        <v>14.326417042397605</v>
      </c>
      <c r="N62" s="455"/>
      <c r="P62" s="449"/>
      <c r="Q62" s="453"/>
      <c r="R62" s="455">
        <f>+P62/$Z62*100</f>
        <v>0</v>
      </c>
      <c r="S62" s="455"/>
      <c r="T62" s="455"/>
      <c r="W62" s="449"/>
      <c r="X62" s="453"/>
      <c r="Z62" s="436">
        <f>+SUM(Z58:Z61)</f>
        <v>478.78499999999997</v>
      </c>
      <c r="AA62" s="451">
        <f>(Z62/Z55-1)*100</f>
        <v>28.454606186297205</v>
      </c>
      <c r="AB62" s="456">
        <f>qtrSales!G79</f>
        <v>13</v>
      </c>
      <c r="AC62" s="416"/>
      <c r="AD62" s="439">
        <f>+SUM(AD58:AD61)</f>
        <v>51.143999999999998</v>
      </c>
      <c r="AE62" s="451">
        <f>(AD62/AD55-1)*100</f>
        <v>61.09868649006205</v>
      </c>
      <c r="AF62" s="416"/>
      <c r="AG62" s="436">
        <f>+SUM(AG58:AG61)</f>
        <v>529.92900000000009</v>
      </c>
      <c r="AH62" s="452">
        <f>(AG62/AG55-1)*100</f>
        <v>31.016826792327869</v>
      </c>
      <c r="AI62" s="416"/>
      <c r="AJ62" s="436">
        <f>+SUM(AJ58:AJ61)</f>
        <v>18.432000000000002</v>
      </c>
      <c r="AK62" s="439"/>
      <c r="AL62" s="452">
        <f>(AJ62/AJ55-1)*100</f>
        <v>0.83150984682713869</v>
      </c>
      <c r="AM62" s="416"/>
      <c r="AN62" s="436"/>
      <c r="AO62" s="439"/>
      <c r="AP62" s="452"/>
      <c r="AQ62" s="416"/>
      <c r="AR62" s="436">
        <f>+SUM(AR58:AR61)</f>
        <v>548.36099999999999</v>
      </c>
      <c r="AS62" s="452">
        <f>(AR62/AR55-1)*100</f>
        <v>29.711605330759717</v>
      </c>
      <c r="AU62" s="461"/>
      <c r="AX62" s="437"/>
      <c r="AY62" s="453"/>
      <c r="AZ62" s="454"/>
      <c r="BA62" s="435"/>
      <c r="BB62" s="453"/>
      <c r="BD62" s="454"/>
      <c r="BF62" s="454"/>
      <c r="BL62" s="454"/>
      <c r="BM62" s="454"/>
      <c r="BN62" s="454"/>
    </row>
    <row r="63" spans="1:66" ht="8.25" hidden="1" customHeight="1" outlineLevel="2">
      <c r="G63" s="455"/>
      <c r="H63" s="455"/>
      <c r="M63" s="455"/>
      <c r="N63" s="455"/>
      <c r="S63" s="455"/>
      <c r="T63" s="455"/>
      <c r="Z63" s="432"/>
      <c r="AA63" s="416"/>
      <c r="AB63" s="433"/>
      <c r="AC63" s="416"/>
      <c r="AD63" s="465"/>
      <c r="AE63" s="416"/>
      <c r="AF63" s="416"/>
      <c r="AG63" s="432"/>
      <c r="AH63" s="433"/>
      <c r="AI63" s="416"/>
      <c r="AJ63" s="546"/>
      <c r="AK63" s="458"/>
      <c r="AL63" s="433"/>
      <c r="AM63" s="416"/>
      <c r="AN63" s="546"/>
      <c r="AO63" s="458"/>
      <c r="AP63" s="433"/>
      <c r="AQ63" s="416"/>
      <c r="AR63" s="432"/>
      <c r="AS63" s="433"/>
      <c r="AX63" s="459"/>
      <c r="AZ63" s="454"/>
      <c r="BA63" s="460"/>
      <c r="BD63" s="454"/>
      <c r="BF63" s="454"/>
      <c r="BL63" s="454"/>
      <c r="BM63" s="454"/>
      <c r="BN63" s="454"/>
    </row>
    <row r="64" spans="1:66" hidden="1" outlineLevel="2">
      <c r="B64" s="431">
        <f>+qtrSales!B81</f>
        <v>2004</v>
      </c>
      <c r="G64" s="455"/>
      <c r="H64" s="455"/>
      <c r="M64" s="455"/>
      <c r="N64" s="455"/>
      <c r="S64" s="455"/>
      <c r="T64" s="455"/>
      <c r="Z64" s="432"/>
      <c r="AA64" s="416"/>
      <c r="AB64" s="433"/>
      <c r="AC64" s="416"/>
      <c r="AD64" s="416"/>
      <c r="AE64" s="416"/>
      <c r="AF64" s="416"/>
      <c r="AG64" s="432"/>
      <c r="AH64" s="433"/>
      <c r="AI64" s="416"/>
      <c r="AJ64" s="432"/>
      <c r="AK64" s="416"/>
      <c r="AL64" s="433"/>
      <c r="AM64" s="416"/>
      <c r="AN64" s="432"/>
      <c r="AO64" s="416"/>
      <c r="AP64" s="433"/>
      <c r="AQ64" s="416"/>
      <c r="AR64" s="432"/>
      <c r="AS64" s="433"/>
      <c r="AX64" s="459"/>
      <c r="AZ64" s="454"/>
      <c r="BA64" s="454"/>
      <c r="BD64" s="454"/>
      <c r="BF64" s="454"/>
      <c r="BL64" s="454"/>
      <c r="BM64" s="454"/>
      <c r="BN64" s="454"/>
    </row>
    <row r="65" spans="1:71" hidden="1" outlineLevel="2">
      <c r="A65" s="410" t="str">
        <f>+qtrSales!A82</f>
        <v>1Q</v>
      </c>
      <c r="B65" s="410" t="str">
        <f>+qtrSales!B82</f>
        <v>Apr</v>
      </c>
      <c r="D65" s="435">
        <v>78.566000000000003</v>
      </c>
      <c r="E65" s="453">
        <f>(D65/D58-1)*100</f>
        <v>50.772419351743459</v>
      </c>
      <c r="F65" s="455">
        <f>+D65/$Z65*100</f>
        <v>54.131183684718209</v>
      </c>
      <c r="G65" s="455">
        <f>qtrSales!G259</f>
        <v>33</v>
      </c>
      <c r="H65" s="455"/>
      <c r="J65" s="435">
        <v>66.573999999999998</v>
      </c>
      <c r="K65" s="453">
        <f>(J65/J58-1)*100</f>
        <v>62.557991893343747</v>
      </c>
      <c r="L65" s="455">
        <f>+J65/$Z65*100</f>
        <v>45.868816315281805</v>
      </c>
      <c r="M65" s="455">
        <f>qtrSales!G436</f>
        <v>32</v>
      </c>
      <c r="N65" s="455"/>
      <c r="P65" s="435"/>
      <c r="Q65" s="449" t="s">
        <v>378</v>
      </c>
      <c r="R65" s="455">
        <f>+P65/$Z65*100</f>
        <v>0</v>
      </c>
      <c r="S65" s="455">
        <f>qtrSales!G543</f>
        <v>54</v>
      </c>
      <c r="T65" s="455"/>
      <c r="W65" s="435"/>
      <c r="X65" s="449" t="s">
        <v>378</v>
      </c>
      <c r="Z65" s="436">
        <f>+D65+J65</f>
        <v>145.13999999999999</v>
      </c>
      <c r="AA65" s="451">
        <f>(Z65/Z58-1)*100</f>
        <v>55.958866574256128</v>
      </c>
      <c r="AB65" s="456">
        <f>qtrSales!G82</f>
        <v>32</v>
      </c>
      <c r="AC65" s="416"/>
      <c r="AD65" s="437">
        <v>18.600999999999999</v>
      </c>
      <c r="AE65" s="451">
        <f>(AD65/AD58-1)*100</f>
        <v>95.245092893880539</v>
      </c>
      <c r="AF65" s="416"/>
      <c r="AG65" s="436">
        <f>+Z65+AD65</f>
        <v>163.74099999999999</v>
      </c>
      <c r="AH65" s="452">
        <f>(AG65/AG58-1)*100</f>
        <v>59.607174188517376</v>
      </c>
      <c r="AI65" s="416"/>
      <c r="AJ65" s="492">
        <v>6.5490000000000004</v>
      </c>
      <c r="AK65" s="437"/>
      <c r="AL65" s="452">
        <f>(AJ65/AJ58-1)*100</f>
        <v>47.566471383506091</v>
      </c>
      <c r="AM65" s="416"/>
      <c r="AN65" s="492"/>
      <c r="AO65" s="437"/>
      <c r="AP65" s="452"/>
      <c r="AQ65" s="416"/>
      <c r="AR65" s="436">
        <f>+AG65+AJ65</f>
        <v>170.29</v>
      </c>
      <c r="AS65" s="452">
        <f>(AR65/AR58-1)*100</f>
        <v>59.107896998916168</v>
      </c>
      <c r="AU65" s="461"/>
      <c r="AX65" s="437"/>
      <c r="AY65" s="453"/>
      <c r="AZ65" s="454"/>
      <c r="BA65" s="435"/>
      <c r="BB65" s="453"/>
      <c r="BD65" s="454"/>
      <c r="BF65" s="454"/>
      <c r="BL65" s="454"/>
      <c r="BM65" s="454"/>
      <c r="BN65" s="454"/>
    </row>
    <row r="66" spans="1:71" hidden="1" outlineLevel="2">
      <c r="A66" s="410" t="str">
        <f>+qtrSales!A83</f>
        <v>2Q</v>
      </c>
      <c r="B66" s="410" t="str">
        <f>+qtrSales!B83</f>
        <v>Jul</v>
      </c>
      <c r="D66" s="440">
        <v>90.840999999999994</v>
      </c>
      <c r="E66" s="453">
        <f>(D66/D59-1)*100</f>
        <v>49.532510288065822</v>
      </c>
      <c r="F66" s="455">
        <f>+D66/$Z66*100</f>
        <v>55.186595952784515</v>
      </c>
      <c r="G66" s="455">
        <f>qtrSales!G260</f>
        <v>25</v>
      </c>
      <c r="H66" s="455"/>
      <c r="J66" s="440">
        <v>73.766000000000005</v>
      </c>
      <c r="K66" s="453">
        <f>(J66/J59-1)*100</f>
        <v>54.08363621172245</v>
      </c>
      <c r="L66" s="455">
        <f>+J66/$Z66*100</f>
        <v>44.813404047215492</v>
      </c>
      <c r="M66" s="455">
        <f>qtrSales!G437</f>
        <v>27</v>
      </c>
      <c r="N66" s="455"/>
      <c r="P66" s="440"/>
      <c r="Q66" s="457" t="s">
        <v>378</v>
      </c>
      <c r="R66" s="455">
        <f>+P66/$Z66*100</f>
        <v>0</v>
      </c>
      <c r="S66" s="455">
        <f>qtrSales!G544</f>
        <v>41</v>
      </c>
      <c r="T66" s="455"/>
      <c r="W66" s="440"/>
      <c r="X66" s="457" t="s">
        <v>378</v>
      </c>
      <c r="Z66" s="441">
        <f>+D66+J66</f>
        <v>164.607</v>
      </c>
      <c r="AA66" s="451">
        <f>(Z66/Z59-1)*100</f>
        <v>51.538334069818823</v>
      </c>
      <c r="AB66" s="456">
        <f>qtrSales!G83</f>
        <v>26</v>
      </c>
      <c r="AC66" s="416"/>
      <c r="AD66" s="442">
        <v>18.373000000000001</v>
      </c>
      <c r="AE66" s="451">
        <f>(AD66/AD59-1)*100</f>
        <v>99.619730551933941</v>
      </c>
      <c r="AF66" s="416"/>
      <c r="AG66" s="436">
        <f>+Z66+AD66</f>
        <v>182.98</v>
      </c>
      <c r="AH66" s="452">
        <f>(AG66/AG59-1)*100</f>
        <v>55.294157585633272</v>
      </c>
      <c r="AI66" s="416"/>
      <c r="AJ66" s="547">
        <v>6.5039999999999996</v>
      </c>
      <c r="AK66" s="462"/>
      <c r="AL66" s="452">
        <f>(AJ66/AJ59-1)*100</f>
        <v>28.766580875074222</v>
      </c>
      <c r="AM66" s="416"/>
      <c r="AN66" s="547"/>
      <c r="AO66" s="462"/>
      <c r="AP66" s="452"/>
      <c r="AQ66" s="416"/>
      <c r="AR66" s="441">
        <f>+AG66+AJ66</f>
        <v>189.48399999999998</v>
      </c>
      <c r="AS66" s="452">
        <f>(AR66/AR59-1)*100</f>
        <v>54.20372887149145</v>
      </c>
      <c r="AU66" s="461"/>
      <c r="AX66" s="442"/>
      <c r="AY66" s="453"/>
      <c r="AZ66" s="454"/>
      <c r="BA66" s="440"/>
      <c r="BB66" s="453"/>
      <c r="BD66" s="454"/>
      <c r="BF66" s="454"/>
      <c r="BL66" s="454"/>
      <c r="BM66" s="454"/>
      <c r="BN66" s="454"/>
    </row>
    <row r="67" spans="1:71" hidden="1" outlineLevel="2">
      <c r="A67" s="410" t="str">
        <f>+qtrSales!A84</f>
        <v>3Q</v>
      </c>
      <c r="B67" s="410" t="str">
        <f>+qtrSales!B84</f>
        <v>Oct</v>
      </c>
      <c r="D67" s="440">
        <v>102.723</v>
      </c>
      <c r="E67" s="453">
        <f>(D67/D60-1)*100</f>
        <v>44.091737971665012</v>
      </c>
      <c r="F67" s="455">
        <f>+D67/$Z67*100</f>
        <v>55.770128671480535</v>
      </c>
      <c r="G67" s="455">
        <f>qtrSales!G261</f>
        <v>15</v>
      </c>
      <c r="H67" s="455"/>
      <c r="J67" s="440">
        <v>81.466999999999999</v>
      </c>
      <c r="K67" s="453">
        <f>(J67/J60-1)*100</f>
        <v>54.103849427787743</v>
      </c>
      <c r="L67" s="455">
        <f>+J67/$Z67*100</f>
        <v>44.229871328519465</v>
      </c>
      <c r="M67" s="455">
        <f>qtrSales!G438</f>
        <v>22</v>
      </c>
      <c r="N67" s="455"/>
      <c r="P67" s="440"/>
      <c r="Q67" s="457" t="s">
        <v>378</v>
      </c>
      <c r="R67" s="455">
        <f>+P67/$Z67*100</f>
        <v>0</v>
      </c>
      <c r="S67" s="455">
        <f>qtrSales!G545</f>
        <v>49</v>
      </c>
      <c r="T67" s="455"/>
      <c r="W67" s="440"/>
      <c r="X67" s="457" t="s">
        <v>378</v>
      </c>
      <c r="Z67" s="441">
        <f>+D67+J67</f>
        <v>184.19</v>
      </c>
      <c r="AA67" s="451">
        <f>(Z67/Z60-1)*100</f>
        <v>48.354878981917771</v>
      </c>
      <c r="AB67" s="456">
        <f>qtrSales!G84</f>
        <v>18</v>
      </c>
      <c r="AC67" s="416"/>
      <c r="AD67" s="442">
        <v>23.476499999999998</v>
      </c>
      <c r="AE67" s="451">
        <f>(AD67/AD60-1)*100</f>
        <v>84.999999999999986</v>
      </c>
      <c r="AF67" s="416"/>
      <c r="AG67" s="436">
        <f>+Z67+AD67</f>
        <v>207.66649999999998</v>
      </c>
      <c r="AH67" s="452">
        <f>(AG67/AG60-1)*100</f>
        <v>51.753078300266722</v>
      </c>
      <c r="AI67" s="416"/>
      <c r="AJ67" s="547">
        <v>8.6579999999999995</v>
      </c>
      <c r="AK67" s="462"/>
      <c r="AL67" s="452">
        <f>(AJ67/AJ60-1)*100</f>
        <v>57.81990521327014</v>
      </c>
      <c r="AM67" s="416"/>
      <c r="AN67" s="547"/>
      <c r="AO67" s="462"/>
      <c r="AP67" s="452"/>
      <c r="AQ67" s="416"/>
      <c r="AR67" s="441">
        <f>+AG67+AJ67</f>
        <v>216.32449999999997</v>
      </c>
      <c r="AS67" s="452">
        <f>(AR67/AR60-1)*100</f>
        <v>51.986917818324876</v>
      </c>
      <c r="AU67" s="461"/>
      <c r="AX67" s="442"/>
      <c r="AY67" s="453"/>
      <c r="AZ67" s="454"/>
      <c r="BA67" s="440"/>
      <c r="BB67" s="453"/>
      <c r="BD67" s="454"/>
      <c r="BF67" s="454"/>
      <c r="BL67" s="454"/>
      <c r="BM67" s="454"/>
      <c r="BN67" s="454"/>
    </row>
    <row r="68" spans="1:71" hidden="1" outlineLevel="2">
      <c r="A68" s="410" t="str">
        <f>+qtrSales!A85</f>
        <v>4Q</v>
      </c>
      <c r="B68" s="410" t="str">
        <f>+qtrSales!B85</f>
        <v>Jan</v>
      </c>
      <c r="D68" s="447">
        <v>112.241</v>
      </c>
      <c r="E68" s="453">
        <f>(D68/D61-1)*100</f>
        <v>34.433239112729353</v>
      </c>
      <c r="F68" s="455">
        <f>+D68/$Z68*100</f>
        <v>53.180924403591476</v>
      </c>
      <c r="G68" s="455">
        <f>qtrSales!G262</f>
        <v>10</v>
      </c>
      <c r="H68" s="455"/>
      <c r="J68" s="447">
        <v>98.813999999999993</v>
      </c>
      <c r="K68" s="453">
        <f>(J68/J61-1)*100</f>
        <v>42.278728887992976</v>
      </c>
      <c r="L68" s="455">
        <f>+J68/$Z68*100</f>
        <v>46.819075596408517</v>
      </c>
      <c r="M68" s="455">
        <f>qtrSales!G439</f>
        <v>17</v>
      </c>
      <c r="N68" s="455"/>
      <c r="P68" s="447"/>
      <c r="Q68" s="444" t="s">
        <v>378</v>
      </c>
      <c r="R68" s="455">
        <f>+P68/$Z68*100</f>
        <v>0</v>
      </c>
      <c r="S68" s="455">
        <f>qtrSales!G546</f>
        <v>58</v>
      </c>
      <c r="T68" s="455"/>
      <c r="W68" s="447"/>
      <c r="X68" s="444" t="s">
        <v>378</v>
      </c>
      <c r="Z68" s="441">
        <f>+D68+J68</f>
        <v>211.05500000000001</v>
      </c>
      <c r="AA68" s="451">
        <f>(Z68/Z61-1)*100</f>
        <v>37.995854664809791</v>
      </c>
      <c r="AB68" s="456">
        <f>qtrSales!G85</f>
        <v>13</v>
      </c>
      <c r="AC68" s="416"/>
      <c r="AD68" s="442">
        <v>33.433999999999997</v>
      </c>
      <c r="AE68" s="451">
        <f>(AD68/AD61-1)*100</f>
        <v>69.517821832378445</v>
      </c>
      <c r="AF68" s="416"/>
      <c r="AG68" s="463">
        <f>+Z68+AD68</f>
        <v>244.489</v>
      </c>
      <c r="AH68" s="452">
        <f>(AG68/AG61-1)*100</f>
        <v>41.596492650550786</v>
      </c>
      <c r="AI68" s="416"/>
      <c r="AJ68" s="464">
        <v>7.1340000000000003</v>
      </c>
      <c r="AK68" s="462"/>
      <c r="AL68" s="452">
        <f>(AJ68/AJ61-1)*100</f>
        <v>106.36389933468328</v>
      </c>
      <c r="AM68" s="416"/>
      <c r="AN68" s="464"/>
      <c r="AO68" s="462"/>
      <c r="AP68" s="452"/>
      <c r="AQ68" s="416"/>
      <c r="AR68" s="446">
        <f>+AG68+AJ68</f>
        <v>251.62299999999999</v>
      </c>
      <c r="AS68" s="452">
        <f>(AR68/AR61-1)*100</f>
        <v>42.867768548116935</v>
      </c>
      <c r="AU68" s="461"/>
      <c r="AX68" s="442"/>
      <c r="AY68" s="453"/>
      <c r="AZ68" s="454"/>
      <c r="BA68" s="447"/>
      <c r="BB68" s="453"/>
      <c r="BD68" s="454"/>
      <c r="BF68" s="454"/>
      <c r="BL68" s="454"/>
      <c r="BM68" s="454"/>
      <c r="BN68" s="454"/>
    </row>
    <row r="69" spans="1:71" hidden="1" outlineLevel="2">
      <c r="B69" s="410" t="str">
        <f>+qtrSales!B86</f>
        <v>Year</v>
      </c>
      <c r="D69" s="449">
        <f>+SUM(D65:D68)</f>
        <v>384.37099999999998</v>
      </c>
      <c r="E69" s="453">
        <f>(D69/D62-1)*100</f>
        <v>43.614393908257675</v>
      </c>
      <c r="F69" s="455">
        <f>+D69/$Z69*100</f>
        <v>54.52132790159321</v>
      </c>
      <c r="G69" s="455">
        <f>qtrSales!G263</f>
        <v>19.582533541812467</v>
      </c>
      <c r="H69" s="455"/>
      <c r="J69" s="449">
        <f>+SUM(J65:J68)</f>
        <v>320.62099999999998</v>
      </c>
      <c r="K69" s="453">
        <f>(J69/J62-1)*100</f>
        <v>51.849448717462955</v>
      </c>
      <c r="L69" s="455">
        <f>+J69/$Z69*100</f>
        <v>45.47867209840679</v>
      </c>
      <c r="M69" s="455">
        <f>qtrSales!G440</f>
        <v>23.685791011817692</v>
      </c>
      <c r="N69" s="455"/>
      <c r="P69" s="449"/>
      <c r="Q69" s="453"/>
      <c r="R69" s="455">
        <f>+P69/$Z69*100</f>
        <v>0</v>
      </c>
      <c r="S69" s="455">
        <f>qtrSales!G547</f>
        <v>51</v>
      </c>
      <c r="T69" s="455"/>
      <c r="W69" s="449"/>
      <c r="X69" s="453"/>
      <c r="Z69" s="436">
        <f>+SUM(Z65:Z68)</f>
        <v>704.99199999999996</v>
      </c>
      <c r="AA69" s="451">
        <f>(Z69/Z62-1)*100</f>
        <v>47.246049897135457</v>
      </c>
      <c r="AB69" s="456">
        <f>qtrSales!G86</f>
        <v>22</v>
      </c>
      <c r="AC69" s="416"/>
      <c r="AD69" s="439">
        <f>+SUM(AD65:AD68)</f>
        <v>93.884500000000003</v>
      </c>
      <c r="AE69" s="451">
        <f>(AD69/AD62-1)*100</f>
        <v>83.568942593461614</v>
      </c>
      <c r="AF69" s="416"/>
      <c r="AG69" s="436">
        <f>+SUM(AG65:AG68)</f>
        <v>798.87650000000008</v>
      </c>
      <c r="AH69" s="452">
        <f>(AG69/AG62-1)*100</f>
        <v>50.751610121355874</v>
      </c>
      <c r="AI69" s="416"/>
      <c r="AJ69" s="436">
        <f>+SUM(AJ65:AJ68)</f>
        <v>28.844999999999999</v>
      </c>
      <c r="AK69" s="439"/>
      <c r="AL69" s="452">
        <f>(AJ69/AJ62-1)*100</f>
        <v>56.494140624999979</v>
      </c>
      <c r="AM69" s="416"/>
      <c r="AN69" s="436"/>
      <c r="AO69" s="439"/>
      <c r="AP69" s="452"/>
      <c r="AQ69" s="416"/>
      <c r="AR69" s="436">
        <f>+SUM(AR65:AR68)</f>
        <v>827.72149999999988</v>
      </c>
      <c r="AS69" s="452">
        <f>(AR69/AR62-1)*100</f>
        <v>50.944633188720559</v>
      </c>
      <c r="AU69" s="461"/>
      <c r="AX69" s="437"/>
      <c r="AY69" s="453"/>
      <c r="AZ69" s="454"/>
      <c r="BA69" s="435"/>
      <c r="BB69" s="453"/>
      <c r="BD69" s="454"/>
      <c r="BF69" s="454"/>
      <c r="BL69" s="454"/>
      <c r="BM69" s="454"/>
      <c r="BN69" s="454"/>
    </row>
    <row r="70" spans="1:71" ht="8.25" hidden="1" customHeight="1" outlineLevel="2">
      <c r="G70" s="455"/>
      <c r="H70" s="455"/>
      <c r="M70" s="455"/>
      <c r="N70" s="455"/>
      <c r="S70" s="455"/>
      <c r="T70" s="455"/>
      <c r="Z70" s="432"/>
      <c r="AA70" s="416"/>
      <c r="AB70" s="433"/>
      <c r="AC70" s="416"/>
      <c r="AD70" s="465"/>
      <c r="AE70" s="416"/>
      <c r="AF70" s="416"/>
      <c r="AG70" s="432"/>
      <c r="AH70" s="433"/>
      <c r="AI70" s="416"/>
      <c r="AJ70" s="546"/>
      <c r="AK70" s="458"/>
      <c r="AL70" s="433"/>
      <c r="AM70" s="416"/>
      <c r="AN70" s="546"/>
      <c r="AO70" s="458"/>
      <c r="AP70" s="433"/>
      <c r="AQ70" s="416"/>
      <c r="AR70" s="432"/>
      <c r="AS70" s="433"/>
      <c r="AX70" s="459"/>
      <c r="AZ70" s="454"/>
      <c r="BA70" s="460"/>
      <c r="BD70" s="454"/>
      <c r="BF70" s="454"/>
      <c r="BL70" s="454"/>
      <c r="BM70" s="454"/>
      <c r="BN70" s="454"/>
    </row>
    <row r="71" spans="1:71" hidden="1" outlineLevel="2">
      <c r="B71" s="431">
        <f>+qtrSales!B88</f>
        <v>2005</v>
      </c>
      <c r="G71" s="455"/>
      <c r="H71" s="455"/>
      <c r="M71" s="455"/>
      <c r="N71" s="455"/>
      <c r="S71" s="455"/>
      <c r="T71" s="455"/>
      <c r="Z71" s="432"/>
      <c r="AA71" s="416"/>
      <c r="AB71" s="433"/>
      <c r="AC71" s="416"/>
      <c r="AD71" s="416"/>
      <c r="AE71" s="416"/>
      <c r="AF71" s="416"/>
      <c r="AG71" s="432"/>
      <c r="AH71" s="433"/>
      <c r="AI71" s="416"/>
      <c r="AJ71" s="432"/>
      <c r="AK71" s="416"/>
      <c r="AL71" s="433"/>
      <c r="AM71" s="416"/>
      <c r="AN71" s="432"/>
      <c r="AO71" s="416"/>
      <c r="AP71" s="433"/>
      <c r="AQ71" s="416"/>
      <c r="AR71" s="432"/>
      <c r="AS71" s="433"/>
      <c r="AX71" s="459"/>
      <c r="AZ71" s="454"/>
      <c r="BA71" s="454"/>
      <c r="BD71" s="454"/>
      <c r="BF71" s="454"/>
      <c r="BL71" s="454"/>
      <c r="BM71" s="454"/>
      <c r="BN71" s="454"/>
    </row>
    <row r="72" spans="1:71" hidden="1" outlineLevel="2">
      <c r="A72" s="410" t="str">
        <f>+qtrSales!A89</f>
        <v>1Q</v>
      </c>
      <c r="B72" s="410" t="str">
        <f>+qtrSales!B89</f>
        <v>Apr</v>
      </c>
      <c r="D72" s="437">
        <v>104.10899999999999</v>
      </c>
      <c r="E72" s="453">
        <f>(D72/D65-1)*100</f>
        <v>32.511518977674811</v>
      </c>
      <c r="F72" s="455">
        <f>+D72/$Z72*100</f>
        <v>54.388870313871351</v>
      </c>
      <c r="G72" s="455">
        <f>qtrSales!G266</f>
        <v>13</v>
      </c>
      <c r="H72" s="455"/>
      <c r="J72" s="437">
        <v>87.307000000000002</v>
      </c>
      <c r="K72" s="453">
        <f>(J72/J65-1)*100</f>
        <v>31.142788475981618</v>
      </c>
      <c r="L72" s="455">
        <f>+J72/$Z72*100</f>
        <v>45.611129686128642</v>
      </c>
      <c r="M72" s="455">
        <f>qtrSales!G443</f>
        <v>9</v>
      </c>
      <c r="N72" s="455"/>
      <c r="P72" s="437"/>
      <c r="Q72" s="449" t="s">
        <v>378</v>
      </c>
      <c r="R72" s="455">
        <f>+P72/$Z72*100</f>
        <v>0</v>
      </c>
      <c r="S72" s="455">
        <f>qtrSales!G550</f>
        <v>45</v>
      </c>
      <c r="T72" s="455"/>
      <c r="W72" s="437"/>
      <c r="X72" s="449" t="s">
        <v>378</v>
      </c>
      <c r="Z72" s="436">
        <f>+D72+J72</f>
        <v>191.416</v>
      </c>
      <c r="AA72" s="451">
        <f>(Z72/Z65-1)*100</f>
        <v>31.883698498001944</v>
      </c>
      <c r="AB72" s="456">
        <f>qtrSales!G89</f>
        <v>11</v>
      </c>
      <c r="AC72" s="416"/>
      <c r="AD72" s="437">
        <v>28.722000000000001</v>
      </c>
      <c r="AE72" s="451">
        <f>(AD72/AD65-1)*100</f>
        <v>54.411053169184463</v>
      </c>
      <c r="AF72" s="416"/>
      <c r="AG72" s="436">
        <f>+Z72+AD72</f>
        <v>220.13800000000001</v>
      </c>
      <c r="AH72" s="452">
        <f>(AG72/AG65-1)*100</f>
        <v>34.442809070422207</v>
      </c>
      <c r="AI72" s="416"/>
      <c r="AJ72" s="492">
        <v>11.186999999999999</v>
      </c>
      <c r="AK72" s="437"/>
      <c r="AL72" s="452">
        <f>(AJ72/AJ65-1)*100</f>
        <v>70.819972514887738</v>
      </c>
      <c r="AM72" s="416"/>
      <c r="AN72" s="492"/>
      <c r="AO72" s="437"/>
      <c r="AP72" s="452"/>
      <c r="AQ72" s="416"/>
      <c r="AR72" s="436">
        <f>+AG72+AJ72</f>
        <v>231.32500000000002</v>
      </c>
      <c r="AS72" s="452">
        <f>(AR72/AR65-1)*100</f>
        <v>35.841799283575092</v>
      </c>
      <c r="AU72" s="461"/>
      <c r="AX72" s="437"/>
      <c r="AY72" s="453"/>
      <c r="AZ72" s="454"/>
      <c r="BA72" s="435"/>
      <c r="BB72" s="453"/>
      <c r="BD72" s="454"/>
      <c r="BF72" s="454"/>
      <c r="BL72" s="454"/>
      <c r="BM72" s="454"/>
      <c r="BN72" s="454"/>
      <c r="BP72" s="462">
        <v>219.09200000000001</v>
      </c>
      <c r="BQ72" s="462"/>
      <c r="BR72" s="462">
        <v>12.233000000000001</v>
      </c>
    </row>
    <row r="73" spans="1:71" hidden="1" outlineLevel="2">
      <c r="A73" s="410" t="str">
        <f>+qtrSales!A90</f>
        <v>2Q</v>
      </c>
      <c r="B73" s="410" t="str">
        <f>+qtrSales!B90</f>
        <v>Jul</v>
      </c>
      <c r="D73" s="440">
        <v>122.309</v>
      </c>
      <c r="E73" s="453">
        <f>(D73/D66-1)*100</f>
        <v>34.640745918693106</v>
      </c>
      <c r="F73" s="455">
        <f>+D73/$Z73*100</f>
        <v>57.445799203426773</v>
      </c>
      <c r="G73" s="455">
        <f>qtrSales!G267</f>
        <v>13</v>
      </c>
      <c r="H73" s="455"/>
      <c r="J73" s="440">
        <v>90.602999999999994</v>
      </c>
      <c r="K73" s="453">
        <f>(J73/J66-1)*100</f>
        <v>22.824878670390135</v>
      </c>
      <c r="L73" s="455">
        <f>+J73/$Z73*100</f>
        <v>42.554200796573234</v>
      </c>
      <c r="M73" s="455">
        <f>qtrSales!G444</f>
        <v>6</v>
      </c>
      <c r="N73" s="455"/>
      <c r="P73" s="440"/>
      <c r="Q73" s="457" t="s">
        <v>378</v>
      </c>
      <c r="R73" s="455">
        <f>+P73/$Z73*100</f>
        <v>0</v>
      </c>
      <c r="S73" s="455">
        <f>qtrSales!G551</f>
        <v>36</v>
      </c>
      <c r="T73" s="455"/>
      <c r="W73" s="440"/>
      <c r="X73" s="457" t="s">
        <v>378</v>
      </c>
      <c r="Z73" s="441">
        <f>+D73+J73</f>
        <v>212.91199999999998</v>
      </c>
      <c r="AA73" s="451">
        <f>(Z73/Z66-1)*100</f>
        <v>29.345653587028476</v>
      </c>
      <c r="AB73" s="456">
        <f>qtrSales!G90</f>
        <v>10</v>
      </c>
      <c r="AC73" s="416"/>
      <c r="AD73" s="442">
        <v>28.273</v>
      </c>
      <c r="AE73" s="451">
        <f>(AD73/AD66-1)*100</f>
        <v>53.88341588200074</v>
      </c>
      <c r="AF73" s="416"/>
      <c r="AG73" s="436">
        <f>+Z73+AD73</f>
        <v>241.18499999999997</v>
      </c>
      <c r="AH73" s="452">
        <f>(AG73/AG66-1)*100</f>
        <v>31.809487375669466</v>
      </c>
      <c r="AI73" s="416"/>
      <c r="AJ73" s="547">
        <v>12.207000000000001</v>
      </c>
      <c r="AK73" s="462"/>
      <c r="AL73" s="452">
        <f>(AJ73/AJ66-1)*100</f>
        <v>87.684501845018474</v>
      </c>
      <c r="AM73" s="416"/>
      <c r="AN73" s="547"/>
      <c r="AO73" s="462"/>
      <c r="AP73" s="452"/>
      <c r="AQ73" s="416"/>
      <c r="AR73" s="441">
        <f>+AG73+AJ73</f>
        <v>253.39199999999997</v>
      </c>
      <c r="AS73" s="452">
        <f>(AR73/AR66-1)*100</f>
        <v>33.727385953431408</v>
      </c>
      <c r="AU73" s="461"/>
      <c r="AX73" s="442"/>
      <c r="AY73" s="453"/>
      <c r="AZ73" s="454"/>
      <c r="BA73" s="440"/>
      <c r="BB73" s="453"/>
      <c r="BD73" s="454"/>
      <c r="BF73" s="454"/>
      <c r="BL73" s="454"/>
      <c r="BM73" s="454"/>
      <c r="BN73" s="454"/>
      <c r="BP73" s="462">
        <v>239.06399999999999</v>
      </c>
      <c r="BQ73" s="462"/>
      <c r="BR73" s="462">
        <v>14.327999999999999</v>
      </c>
    </row>
    <row r="74" spans="1:71" hidden="1" outlineLevel="2">
      <c r="A74" s="410" t="str">
        <f>+qtrSales!A91</f>
        <v>3Q</v>
      </c>
      <c r="B74" s="410" t="str">
        <f>+qtrSales!B91</f>
        <v>Oct</v>
      </c>
      <c r="D74" s="440">
        <v>137.483</v>
      </c>
      <c r="E74" s="453">
        <f>(D74/D67-1)*100</f>
        <v>33.838575586772194</v>
      </c>
      <c r="F74" s="455">
        <f>+D74/$Z74*100</f>
        <v>57.550032859899623</v>
      </c>
      <c r="G74" s="455">
        <f>qtrSales!G268</f>
        <v>19</v>
      </c>
      <c r="H74" s="455"/>
      <c r="J74" s="440">
        <v>101.41</v>
      </c>
      <c r="K74" s="453">
        <f>(J74/J67-1)*100</f>
        <v>24.479850737108279</v>
      </c>
      <c r="L74" s="455">
        <f>+J74/$Z74*100</f>
        <v>42.449967140100384</v>
      </c>
      <c r="M74" s="455">
        <f>qtrSales!G445</f>
        <v>7</v>
      </c>
      <c r="N74" s="455"/>
      <c r="P74" s="440"/>
      <c r="Q74" s="457" t="s">
        <v>378</v>
      </c>
      <c r="R74" s="455">
        <f>+P74/$Z74*100</f>
        <v>0</v>
      </c>
      <c r="S74" s="455">
        <f>qtrSales!G552</f>
        <v>21</v>
      </c>
      <c r="T74" s="455"/>
      <c r="W74" s="440"/>
      <c r="X74" s="457" t="s">
        <v>378</v>
      </c>
      <c r="Z74" s="441">
        <f>+D74+J74</f>
        <v>238.893</v>
      </c>
      <c r="AA74" s="451">
        <f>(Z74/Z67-1)*100</f>
        <v>29.699223627775662</v>
      </c>
      <c r="AB74" s="456">
        <f>qtrSales!G91</f>
        <v>13</v>
      </c>
      <c r="AC74" s="416"/>
      <c r="AD74" s="442">
        <v>30.920999999999999</v>
      </c>
      <c r="AE74" s="451">
        <f>(AD74/AD67-1)*100</f>
        <v>31.710433838093422</v>
      </c>
      <c r="AF74" s="416"/>
      <c r="AG74" s="436">
        <f>+Z74+AD74</f>
        <v>269.81400000000002</v>
      </c>
      <c r="AH74" s="452">
        <f>(AG74/AG67-1)*100</f>
        <v>29.926589026154925</v>
      </c>
      <c r="AI74" s="416"/>
      <c r="AJ74" s="547">
        <v>18.986999999999998</v>
      </c>
      <c r="AK74" s="462"/>
      <c r="AL74" s="452">
        <f>(AJ74/AJ67-1)*100</f>
        <v>119.30006930006928</v>
      </c>
      <c r="AM74" s="416"/>
      <c r="AN74" s="547"/>
      <c r="AO74" s="462"/>
      <c r="AP74" s="452"/>
      <c r="AQ74" s="416"/>
      <c r="AR74" s="441">
        <f>+AG74+AJ74</f>
        <v>288.80100000000004</v>
      </c>
      <c r="AS74" s="452">
        <f>(AR74/AR67-1)*100</f>
        <v>33.503602227209626</v>
      </c>
      <c r="AU74" s="461"/>
      <c r="AX74" s="442"/>
      <c r="AY74" s="453"/>
      <c r="AZ74" s="454"/>
      <c r="BA74" s="440"/>
      <c r="BB74" s="453"/>
      <c r="BD74" s="454"/>
      <c r="BF74" s="454"/>
      <c r="BL74" s="454"/>
      <c r="BM74" s="454"/>
      <c r="BN74" s="454"/>
      <c r="BP74" s="462">
        <v>272.02499999999998</v>
      </c>
      <c r="BQ74" s="416"/>
      <c r="BR74" s="462">
        <v>16.776</v>
      </c>
    </row>
    <row r="75" spans="1:71" hidden="1" outlineLevel="2">
      <c r="A75" s="410" t="str">
        <f>+qtrSales!A92</f>
        <v>4Q</v>
      </c>
      <c r="B75" s="410" t="str">
        <f>+qtrSales!B92</f>
        <v>Jan</v>
      </c>
      <c r="D75" s="447">
        <v>144.20500000000001</v>
      </c>
      <c r="E75" s="453">
        <f>(D75/D68-1)*100</f>
        <v>28.478007145339056</v>
      </c>
      <c r="F75" s="455">
        <f>+D75/$Z75*100</f>
        <v>55.454503503280236</v>
      </c>
      <c r="G75" s="455">
        <f>qtrSales!G269</f>
        <v>13</v>
      </c>
      <c r="H75" s="455"/>
      <c r="J75" s="447">
        <v>115.837</v>
      </c>
      <c r="K75" s="453">
        <f>(J75/J68-1)*100</f>
        <v>17.227315967373059</v>
      </c>
      <c r="L75" s="455">
        <f>+J75/$Z75*100</f>
        <v>44.545496496719757</v>
      </c>
      <c r="M75" s="455">
        <f>qtrSales!G446</f>
        <v>2</v>
      </c>
      <c r="N75" s="455"/>
      <c r="P75" s="447"/>
      <c r="Q75" s="444" t="s">
        <v>378</v>
      </c>
      <c r="R75" s="455">
        <f>+P75/$Z75*100</f>
        <v>0</v>
      </c>
      <c r="S75" s="455">
        <f>qtrSales!G553</f>
        <v>21</v>
      </c>
      <c r="T75" s="455"/>
      <c r="W75" s="447"/>
      <c r="X75" s="444" t="s">
        <v>378</v>
      </c>
      <c r="Z75" s="441">
        <f>+D75+J75</f>
        <v>260.04200000000003</v>
      </c>
      <c r="AA75" s="451">
        <f>(Z75/Z68-1)*100</f>
        <v>23.210537537608687</v>
      </c>
      <c r="AB75" s="456">
        <f>qtrSales!G92</f>
        <v>8</v>
      </c>
      <c r="AC75" s="416"/>
      <c r="AD75" s="442">
        <v>42.664999999999999</v>
      </c>
      <c r="AE75" s="451">
        <f>(AD75/AD68-1)*100</f>
        <v>27.609618950768677</v>
      </c>
      <c r="AF75" s="416"/>
      <c r="AG75" s="463">
        <f>+Z75+AD75</f>
        <v>302.70700000000005</v>
      </c>
      <c r="AH75" s="452">
        <f>(AG75/AG68-1)*100</f>
        <v>23.812114246448736</v>
      </c>
      <c r="AI75" s="416"/>
      <c r="AJ75" s="464">
        <v>15.882</v>
      </c>
      <c r="AK75" s="462"/>
      <c r="AL75" s="452">
        <f>(AJ75/AJ68-1)*100</f>
        <v>122.62405382674513</v>
      </c>
      <c r="AM75" s="416"/>
      <c r="AN75" s="464"/>
      <c r="AO75" s="462"/>
      <c r="AP75" s="452"/>
      <c r="AQ75" s="416"/>
      <c r="AR75" s="446">
        <f>+AG75+AJ75</f>
        <v>318.58900000000006</v>
      </c>
      <c r="AS75" s="452">
        <f>(AR75/AR68-1)*100</f>
        <v>26.613624350715192</v>
      </c>
      <c r="AU75" s="461"/>
      <c r="AX75" s="442"/>
      <c r="AY75" s="453"/>
      <c r="AZ75" s="454"/>
      <c r="BA75" s="447"/>
      <c r="BB75" s="453"/>
      <c r="BD75" s="454"/>
      <c r="BF75" s="454"/>
      <c r="BL75" s="454"/>
      <c r="BM75" s="454"/>
      <c r="BN75" s="454"/>
      <c r="BP75" s="444">
        <f>BP76-SUM(BP72:BP74)</f>
        <v>296.4079999999999</v>
      </c>
      <c r="BQ75" s="442"/>
      <c r="BR75" s="444">
        <f>BR76-SUM(BR72:BR74)</f>
        <v>22.180999999999997</v>
      </c>
    </row>
    <row r="76" spans="1:71" hidden="1" outlineLevel="2">
      <c r="B76" s="410" t="str">
        <f>+qtrSales!B93</f>
        <v>Year</v>
      </c>
      <c r="D76" s="449">
        <f>+SUM(D72:D75)</f>
        <v>508.10599999999999</v>
      </c>
      <c r="E76" s="453">
        <f>(D76/D69-1)*100</f>
        <v>32.191554513738026</v>
      </c>
      <c r="F76" s="455">
        <f>+D76/$Z76*100</f>
        <v>56.252276468758268</v>
      </c>
      <c r="G76" s="455">
        <f>qtrSales!G270</f>
        <v>14.9</v>
      </c>
      <c r="H76" s="455"/>
      <c r="J76" s="449">
        <f>+SUM(J72:J75)</f>
        <v>395.15699999999998</v>
      </c>
      <c r="K76" s="453">
        <f>(J76/J69-1)*100</f>
        <v>23.247385542431729</v>
      </c>
      <c r="L76" s="455">
        <f>+J76/$Z76*100</f>
        <v>43.747723531241725</v>
      </c>
      <c r="M76" s="455">
        <f>qtrSales!G447</f>
        <v>6.4</v>
      </c>
      <c r="N76" s="455"/>
      <c r="P76" s="449"/>
      <c r="Q76" s="453"/>
      <c r="R76" s="455">
        <f>+P76/$Z76*100</f>
        <v>0</v>
      </c>
      <c r="S76" s="455">
        <f>qtrSales!G554</f>
        <v>28</v>
      </c>
      <c r="T76" s="455"/>
      <c r="W76" s="449"/>
      <c r="X76" s="453"/>
      <c r="Z76" s="436">
        <f>+SUM(Z72:Z75)</f>
        <v>903.26300000000003</v>
      </c>
      <c r="AA76" s="451">
        <f>(Z76/Z69-1)*100</f>
        <v>28.123865235350198</v>
      </c>
      <c r="AB76" s="456">
        <f>qtrSales!G93</f>
        <v>10.9</v>
      </c>
      <c r="AC76" s="416"/>
      <c r="AD76" s="439">
        <f>+SUM(AD72:AD75)</f>
        <v>130.58099999999999</v>
      </c>
      <c r="AE76" s="451">
        <f>(AD76/AD69-1)*100</f>
        <v>39.086856722888207</v>
      </c>
      <c r="AF76" s="416"/>
      <c r="AG76" s="436">
        <f>+SUM(AG72:AG75)</f>
        <v>1033.8440000000001</v>
      </c>
      <c r="AH76" s="452">
        <f>(AG76/AG69-1)*100</f>
        <v>29.412243319211417</v>
      </c>
      <c r="AI76" s="416"/>
      <c r="AJ76" s="436">
        <f>+SUM(AJ72:AJ75)</f>
        <v>58.262999999999998</v>
      </c>
      <c r="AK76" s="439"/>
      <c r="AL76" s="452">
        <f>(AJ76/AJ69-1)*100</f>
        <v>101.98647945917836</v>
      </c>
      <c r="AM76" s="416"/>
      <c r="AN76" s="436"/>
      <c r="AO76" s="439"/>
      <c r="AP76" s="452"/>
      <c r="AQ76" s="416"/>
      <c r="AR76" s="436">
        <f>+SUM(AR72:AR75)</f>
        <v>1092.107</v>
      </c>
      <c r="AS76" s="452">
        <f>(AR76/AR69-1)*100</f>
        <v>31.941359503166233</v>
      </c>
      <c r="AU76" s="461"/>
      <c r="AX76" s="437"/>
      <c r="AY76" s="453"/>
      <c r="AZ76" s="454"/>
      <c r="BA76" s="435"/>
      <c r="BB76" s="453"/>
      <c r="BD76" s="454"/>
      <c r="BF76" s="454"/>
      <c r="BL76" s="454"/>
      <c r="BM76" s="454"/>
      <c r="BN76" s="454"/>
      <c r="BP76" s="462">
        <v>1026.5889999999999</v>
      </c>
      <c r="BQ76" s="466">
        <f>BP76/AR76</f>
        <v>0.94000770986725657</v>
      </c>
      <c r="BR76" s="462">
        <v>65.518000000000001</v>
      </c>
      <c r="BS76" s="466">
        <f>BR76/AR76</f>
        <v>5.9992290132743403E-2</v>
      </c>
    </row>
    <row r="77" spans="1:71" ht="8.25" hidden="1" customHeight="1" outlineLevel="2">
      <c r="G77" s="455"/>
      <c r="H77" s="455"/>
      <c r="M77" s="455"/>
      <c r="N77" s="455"/>
      <c r="S77" s="455"/>
      <c r="T77" s="455"/>
      <c r="Z77" s="432"/>
      <c r="AA77" s="416"/>
      <c r="AB77" s="433"/>
      <c r="AC77" s="416"/>
      <c r="AD77" s="465"/>
      <c r="AE77" s="416"/>
      <c r="AF77" s="416"/>
      <c r="AG77" s="432"/>
      <c r="AH77" s="433"/>
      <c r="AI77" s="416"/>
      <c r="AJ77" s="546"/>
      <c r="AK77" s="458"/>
      <c r="AL77" s="433"/>
      <c r="AM77" s="416"/>
      <c r="AN77" s="546"/>
      <c r="AO77" s="458"/>
      <c r="AP77" s="433"/>
      <c r="AQ77" s="416"/>
      <c r="AR77" s="432"/>
      <c r="AS77" s="433"/>
      <c r="AX77" s="459"/>
      <c r="AZ77" s="454"/>
      <c r="BA77" s="460"/>
      <c r="BD77" s="454"/>
      <c r="BF77" s="454"/>
      <c r="BL77" s="454"/>
      <c r="BM77" s="454"/>
      <c r="BN77" s="454"/>
    </row>
    <row r="78" spans="1:71" hidden="1" outlineLevel="2">
      <c r="B78" s="431">
        <f>+qtrSales!B95</f>
        <v>2006</v>
      </c>
      <c r="G78" s="455"/>
      <c r="H78" s="455"/>
      <c r="M78" s="455"/>
      <c r="N78" s="455"/>
      <c r="S78" s="455"/>
      <c r="T78" s="455"/>
      <c r="Z78" s="432"/>
      <c r="AA78" s="416"/>
      <c r="AB78" s="433"/>
      <c r="AC78" s="416"/>
      <c r="AD78" s="416"/>
      <c r="AE78" s="416"/>
      <c r="AF78" s="416"/>
      <c r="AG78" s="432"/>
      <c r="AH78" s="433"/>
      <c r="AI78" s="416"/>
      <c r="AJ78" s="432"/>
      <c r="AK78" s="416"/>
      <c r="AL78" s="433"/>
      <c r="AM78" s="416"/>
      <c r="AN78" s="432"/>
      <c r="AO78" s="416"/>
      <c r="AP78" s="433"/>
      <c r="AQ78" s="416"/>
      <c r="AR78" s="432"/>
      <c r="AS78" s="433"/>
      <c r="AX78" s="459"/>
      <c r="AZ78" s="454"/>
      <c r="BA78" s="454"/>
      <c r="BD78" s="454"/>
      <c r="BF78" s="454"/>
      <c r="BL78" s="454"/>
      <c r="BM78" s="454"/>
      <c r="BN78" s="454"/>
    </row>
    <row r="79" spans="1:71" hidden="1" outlineLevel="2">
      <c r="A79" s="410" t="str">
        <f>+qtrSales!A96</f>
        <v>1Q</v>
      </c>
      <c r="B79" s="410" t="str">
        <f>+qtrSales!B96</f>
        <v>Apr</v>
      </c>
      <c r="D79" s="437">
        <v>117.113</v>
      </c>
      <c r="E79" s="453">
        <f>(D79/D72-1)*100</f>
        <v>12.490754881902632</v>
      </c>
      <c r="F79" s="455">
        <f>+D79/$Z79*100</f>
        <v>53.958929418865566</v>
      </c>
      <c r="G79" s="455">
        <f>qtrSales!G273</f>
        <v>-3.7</v>
      </c>
      <c r="H79" s="455"/>
      <c r="J79" s="437">
        <v>99.927999999999997</v>
      </c>
      <c r="K79" s="453">
        <f>(J79/J72-1)*100</f>
        <v>14.455885553277504</v>
      </c>
      <c r="L79" s="455">
        <f>+J79/$Z79*100</f>
        <v>46.041070581134441</v>
      </c>
      <c r="M79" s="455">
        <f>qtrSales!G450</f>
        <v>-2.1</v>
      </c>
      <c r="N79" s="455"/>
      <c r="P79" s="437"/>
      <c r="Q79" s="449" t="s">
        <v>378</v>
      </c>
      <c r="R79" s="455">
        <f>+P79/$Z79*100</f>
        <v>0</v>
      </c>
      <c r="S79" s="455">
        <f>qtrSales!G557</f>
        <v>13.8</v>
      </c>
      <c r="T79" s="455"/>
      <c r="W79" s="437"/>
      <c r="X79" s="449" t="s">
        <v>378</v>
      </c>
      <c r="Z79" s="436">
        <f>+D79+J79</f>
        <v>217.041</v>
      </c>
      <c r="AA79" s="451">
        <f>(Z79/Z72-1)*100</f>
        <v>13.387073180925313</v>
      </c>
      <c r="AB79" s="456">
        <f>qtrSales!G96</f>
        <v>-3</v>
      </c>
      <c r="AC79" s="416"/>
      <c r="AD79" s="437">
        <v>33.485999999999997</v>
      </c>
      <c r="AE79" s="451">
        <f>(AD79/AD72-1)*100</f>
        <v>16.586588677668669</v>
      </c>
      <c r="AF79" s="416"/>
      <c r="AG79" s="436">
        <f>+Z79+AD79</f>
        <v>250.52699999999999</v>
      </c>
      <c r="AH79" s="452">
        <f>(AG79/AG72-1)*100</f>
        <v>13.804522617630743</v>
      </c>
      <c r="AI79" s="416"/>
      <c r="AJ79" s="492">
        <v>19.48</v>
      </c>
      <c r="AK79" s="437"/>
      <c r="AL79" s="452">
        <f>(AJ79/AJ72-1)*100</f>
        <v>74.130687405023707</v>
      </c>
      <c r="AM79" s="416"/>
      <c r="AN79" s="492"/>
      <c r="AO79" s="437"/>
      <c r="AP79" s="452"/>
      <c r="AQ79" s="416"/>
      <c r="AR79" s="436">
        <f>+AG79+AJ79</f>
        <v>270.00700000000001</v>
      </c>
      <c r="AS79" s="452">
        <f>(AR79/AR72-1)*100</f>
        <v>16.721928023343779</v>
      </c>
      <c r="AU79" s="461"/>
      <c r="AX79" s="437">
        <v>30.427</v>
      </c>
      <c r="AY79" s="453"/>
      <c r="AZ79" s="454"/>
      <c r="BA79" s="435">
        <v>4.5010000000000003</v>
      </c>
      <c r="BB79" s="453"/>
      <c r="BD79" s="454">
        <v>-0.29399999999999998</v>
      </c>
      <c r="BF79" s="454">
        <v>-3.0830000000000002</v>
      </c>
      <c r="BL79" s="454"/>
      <c r="BM79" s="454"/>
      <c r="BN79" s="454"/>
      <c r="BP79" s="462">
        <v>254.71700000000001</v>
      </c>
      <c r="BQ79" s="462"/>
      <c r="BR79" s="462">
        <v>15.29</v>
      </c>
    </row>
    <row r="80" spans="1:71" hidden="1" outlineLevel="2">
      <c r="A80" s="410" t="str">
        <f>+qtrSales!A97</f>
        <v>2Q</v>
      </c>
      <c r="B80" s="410" t="str">
        <f>+qtrSales!B97</f>
        <v>Jul</v>
      </c>
      <c r="D80" s="440">
        <v>125.60899999999999</v>
      </c>
      <c r="E80" s="453">
        <f>(D80/D73-1)*100</f>
        <v>2.6980843601043247</v>
      </c>
      <c r="F80" s="455">
        <f>+D80/$Z80*100</f>
        <v>53.828814351036435</v>
      </c>
      <c r="G80" s="455">
        <f>qtrSales!G274</f>
        <v>-11</v>
      </c>
      <c r="H80" s="455"/>
      <c r="J80" s="440">
        <v>107.74</v>
      </c>
      <c r="K80" s="453">
        <f>(J80/J73-1)*100</f>
        <v>18.914384733397348</v>
      </c>
      <c r="L80" s="455">
        <f>+J80/$Z80*100</f>
        <v>46.171185648963572</v>
      </c>
      <c r="M80" s="455">
        <f>qtrSales!G451</f>
        <v>-2</v>
      </c>
      <c r="N80" s="455"/>
      <c r="P80" s="440"/>
      <c r="Q80" s="457" t="s">
        <v>378</v>
      </c>
      <c r="R80" s="455">
        <f>+P80/$Z80*100</f>
        <v>0</v>
      </c>
      <c r="S80" s="455">
        <f>qtrSales!G558</f>
        <v>8</v>
      </c>
      <c r="T80" s="455"/>
      <c r="W80" s="440"/>
      <c r="X80" s="457" t="s">
        <v>378</v>
      </c>
      <c r="Z80" s="441">
        <f>+D80+J80</f>
        <v>233.34899999999999</v>
      </c>
      <c r="AA80" s="451">
        <f>(Z80/Z73-1)*100</f>
        <v>9.5988013827309047</v>
      </c>
      <c r="AB80" s="456">
        <f>qtrSales!G97</f>
        <v>-7</v>
      </c>
      <c r="AC80" s="416"/>
      <c r="AD80" s="462">
        <v>31.518000000000001</v>
      </c>
      <c r="AE80" s="451">
        <f>(AD80/AD73-1)*100</f>
        <v>11.477381247126228</v>
      </c>
      <c r="AF80" s="416"/>
      <c r="AG80" s="436">
        <f>+Z80+AD80</f>
        <v>264.86699999999996</v>
      </c>
      <c r="AH80" s="452">
        <f>(AG80/AG73-1)*100</f>
        <v>9.819018595683815</v>
      </c>
      <c r="AI80" s="416"/>
      <c r="AJ80" s="547">
        <v>20.692</v>
      </c>
      <c r="AK80" s="462"/>
      <c r="AL80" s="452">
        <f>(AJ80/AJ73-1)*100</f>
        <v>69.509297943802721</v>
      </c>
      <c r="AM80" s="416"/>
      <c r="AN80" s="547"/>
      <c r="AO80" s="462"/>
      <c r="AP80" s="452"/>
      <c r="AQ80" s="416"/>
      <c r="AR80" s="441">
        <f>+AG80+AJ80</f>
        <v>285.55899999999997</v>
      </c>
      <c r="AS80" s="452">
        <f>(AR80/AR73-1)*100</f>
        <v>12.694560207109928</v>
      </c>
      <c r="AU80" s="461"/>
      <c r="AX80" s="442">
        <v>36.918999999999997</v>
      </c>
      <c r="AY80" s="453"/>
      <c r="AZ80" s="454"/>
      <c r="BA80" s="467">
        <v>4.8029999999999999</v>
      </c>
      <c r="BB80" s="453"/>
      <c r="BD80" s="454">
        <v>-0.50700000000000001</v>
      </c>
      <c r="BF80" s="454">
        <v>-2.5059999999999998</v>
      </c>
      <c r="BL80" s="454"/>
      <c r="BM80" s="454"/>
      <c r="BN80" s="454"/>
      <c r="BP80" s="462">
        <v>266.411</v>
      </c>
      <c r="BQ80" s="462"/>
      <c r="BR80" s="462">
        <v>19.148</v>
      </c>
    </row>
    <row r="81" spans="1:71" hidden="1" outlineLevel="2">
      <c r="A81" s="410" t="str">
        <f>+qtrSales!A98</f>
        <v>3Q</v>
      </c>
      <c r="B81" s="410" t="str">
        <f>+qtrSales!B98</f>
        <v>Oct</v>
      </c>
      <c r="D81" s="440">
        <v>143.51</v>
      </c>
      <c r="E81" s="453">
        <f>(D81/D74-1)*100</f>
        <v>4.3838147261843208</v>
      </c>
      <c r="F81" s="455">
        <f>+D81/$Z81*100</f>
        <v>57.495302540434203</v>
      </c>
      <c r="G81" s="455">
        <f>qtrSales!G275</f>
        <v>-10</v>
      </c>
      <c r="H81" s="455"/>
      <c r="J81" s="440">
        <v>106.093</v>
      </c>
      <c r="K81" s="453">
        <f>(J81/J74-1)*100</f>
        <v>4.6178877822699915</v>
      </c>
      <c r="L81" s="455">
        <f>+J81/$Z81*100</f>
        <v>42.50469745956579</v>
      </c>
      <c r="M81" s="455">
        <f>qtrSales!G452</f>
        <v>-10</v>
      </c>
      <c r="N81" s="455"/>
      <c r="P81" s="440"/>
      <c r="Q81" s="457" t="s">
        <v>378</v>
      </c>
      <c r="R81" s="455">
        <f>+P81/$Z81*100</f>
        <v>0</v>
      </c>
      <c r="S81" s="455">
        <f>qtrSales!G559</f>
        <v>9</v>
      </c>
      <c r="T81" s="455"/>
      <c r="W81" s="440"/>
      <c r="X81" s="457" t="s">
        <v>378</v>
      </c>
      <c r="Z81" s="441">
        <f>+D81+J81</f>
        <v>249.60300000000001</v>
      </c>
      <c r="AA81" s="451">
        <f>(Z81/Z74-1)*100</f>
        <v>4.4831786615765257</v>
      </c>
      <c r="AB81" s="456">
        <f>qtrSales!G98</f>
        <v>-10</v>
      </c>
      <c r="AC81" s="416"/>
      <c r="AD81" s="462">
        <v>36.07</v>
      </c>
      <c r="AE81" s="451">
        <f>(AD81/AD74-1)*100</f>
        <v>16.652113450405871</v>
      </c>
      <c r="AF81" s="416"/>
      <c r="AG81" s="436">
        <f>+Z81+AD81</f>
        <v>285.673</v>
      </c>
      <c r="AH81" s="452">
        <f>(AG81/AG74-1)*100</f>
        <v>5.8777528223146192</v>
      </c>
      <c r="AI81" s="416"/>
      <c r="AJ81" s="547">
        <v>22.681999999999999</v>
      </c>
      <c r="AK81" s="462"/>
      <c r="AL81" s="452">
        <f>(AJ81/AJ74-1)*100</f>
        <v>19.460683625638598</v>
      </c>
      <c r="AM81" s="416"/>
      <c r="AN81" s="547"/>
      <c r="AO81" s="462"/>
      <c r="AP81" s="452"/>
      <c r="AQ81" s="416"/>
      <c r="AR81" s="441">
        <f>+AG81+AJ81</f>
        <v>308.35500000000002</v>
      </c>
      <c r="AS81" s="452">
        <f>(AR81/AR74-1)*100</f>
        <v>6.7707521788359371</v>
      </c>
      <c r="AU81" s="461"/>
      <c r="AX81" s="442">
        <v>43.808999999999997</v>
      </c>
      <c r="AY81" s="453"/>
      <c r="AZ81" s="454"/>
      <c r="BA81" s="467">
        <v>5.44</v>
      </c>
      <c r="BB81" s="453"/>
      <c r="BD81" s="454">
        <v>-0.40100000000000002</v>
      </c>
      <c r="BF81" s="454">
        <v>-3.3839999999999999</v>
      </c>
      <c r="BL81" s="454"/>
      <c r="BM81" s="454"/>
      <c r="BN81" s="454"/>
      <c r="BP81" s="462">
        <v>284.798</v>
      </c>
      <c r="BQ81" s="416"/>
      <c r="BR81" s="462">
        <v>24.324000000000002</v>
      </c>
    </row>
    <row r="82" spans="1:71" hidden="1" outlineLevel="2">
      <c r="A82" s="410" t="str">
        <f>+qtrSales!A99</f>
        <v>4Q</v>
      </c>
      <c r="B82" s="410" t="str">
        <f>+qtrSales!B99</f>
        <v>Jan</v>
      </c>
      <c r="D82" s="447">
        <v>161.61500000000001</v>
      </c>
      <c r="E82" s="453">
        <f>(D82/D75-1)*100</f>
        <v>12.073090392150053</v>
      </c>
      <c r="F82" s="455">
        <f>+D82/$Z82*100</f>
        <v>56.304195597113981</v>
      </c>
      <c r="G82" s="455">
        <f>qtrSales!G276</f>
        <v>-4</v>
      </c>
      <c r="H82" s="455"/>
      <c r="J82" s="447">
        <v>125.42400000000001</v>
      </c>
      <c r="K82" s="453">
        <f>(J82/J75-1)*100</f>
        <v>8.2762847794746186</v>
      </c>
      <c r="L82" s="455">
        <f>+J82/$Z82*100</f>
        <v>43.695804402886026</v>
      </c>
      <c r="M82" s="455">
        <f>qtrSales!G453</f>
        <v>-7</v>
      </c>
      <c r="N82" s="455"/>
      <c r="P82" s="447"/>
      <c r="Q82" s="444" t="s">
        <v>378</v>
      </c>
      <c r="R82" s="455">
        <f>+P82/$Z82*100</f>
        <v>0</v>
      </c>
      <c r="S82" s="455">
        <f>qtrSales!G560</f>
        <v>4</v>
      </c>
      <c r="T82" s="455"/>
      <c r="W82" s="447"/>
      <c r="X82" s="444" t="s">
        <v>378</v>
      </c>
      <c r="Z82" s="441">
        <f>+D82+J82</f>
        <v>287.03899999999999</v>
      </c>
      <c r="AA82" s="451">
        <f>(Z82/Z75-1)*100</f>
        <v>10.381784480968449</v>
      </c>
      <c r="AB82" s="456">
        <f>qtrSales!G99</f>
        <v>-5</v>
      </c>
      <c r="AC82" s="416"/>
      <c r="AD82" s="462">
        <v>52.637999999999998</v>
      </c>
      <c r="AE82" s="451">
        <f>(AD82/AD75-1)*100</f>
        <v>23.375131841087548</v>
      </c>
      <c r="AF82" s="416"/>
      <c r="AG82" s="463">
        <f>+Z82+AD82</f>
        <v>339.67699999999996</v>
      </c>
      <c r="AH82" s="452">
        <f>(AG82/AG75-1)*100</f>
        <v>12.213130188598175</v>
      </c>
      <c r="AI82" s="416"/>
      <c r="AJ82" s="464">
        <v>21.119</v>
      </c>
      <c r="AK82" s="462"/>
      <c r="AL82" s="452">
        <f>(AJ82/AJ75-1)*100</f>
        <v>32.974436468958565</v>
      </c>
      <c r="AM82" s="416"/>
      <c r="AN82" s="464"/>
      <c r="AO82" s="462"/>
      <c r="AP82" s="452"/>
      <c r="AQ82" s="416"/>
      <c r="AR82" s="446">
        <f>+AG82+AJ82</f>
        <v>360.79599999999994</v>
      </c>
      <c r="AS82" s="452">
        <f>(AR82/AR75-1)*100</f>
        <v>13.248103355734141</v>
      </c>
      <c r="AU82" s="461"/>
      <c r="AX82" s="442"/>
      <c r="AY82" s="453"/>
      <c r="AZ82" s="454"/>
      <c r="BA82" s="468"/>
      <c r="BB82" s="453"/>
      <c r="BD82" s="469"/>
      <c r="BF82" s="469"/>
      <c r="BH82" s="415"/>
      <c r="BJ82" s="415"/>
      <c r="BL82" s="469"/>
      <c r="BM82" s="469"/>
      <c r="BN82" s="469"/>
      <c r="BP82" s="444">
        <f>BP83-SUM(BP79:BP81)</f>
        <v>326.12700000000007</v>
      </c>
      <c r="BQ82" s="442"/>
      <c r="BR82" s="444">
        <f>BR83-SUM(BR79:BR81)</f>
        <v>33.902000000000001</v>
      </c>
    </row>
    <row r="83" spans="1:71" hidden="1" outlineLevel="2">
      <c r="B83" s="410" t="str">
        <f>+qtrSales!B100</f>
        <v>Year</v>
      </c>
      <c r="D83" s="449">
        <f>+SUM(D79:D82)</f>
        <v>547.84699999999998</v>
      </c>
      <c r="E83" s="453">
        <f>(D83/D76-1)*100</f>
        <v>7.821399471763768</v>
      </c>
      <c r="F83" s="455">
        <f>+D83/$Z83*100</f>
        <v>55.504482124186453</v>
      </c>
      <c r="G83" s="455">
        <f>qtrSales!G277</f>
        <v>-7.2</v>
      </c>
      <c r="H83" s="455"/>
      <c r="J83" s="449">
        <f>+SUM(J79:J82)</f>
        <v>439.18500000000006</v>
      </c>
      <c r="K83" s="453">
        <f>(J83/J76-1)*100</f>
        <v>11.141900561042849</v>
      </c>
      <c r="L83" s="455">
        <f>+J83/$Z83*100</f>
        <v>44.495517875813562</v>
      </c>
      <c r="M83" s="455">
        <f>qtrSales!G454</f>
        <v>-5</v>
      </c>
      <c r="N83" s="455"/>
      <c r="P83" s="449"/>
      <c r="Q83" s="453"/>
      <c r="R83" s="455">
        <f>+P83/$Z83*100</f>
        <v>0</v>
      </c>
      <c r="S83" s="455">
        <f>qtrSales!G561</f>
        <v>11.5</v>
      </c>
      <c r="T83" s="455"/>
      <c r="W83" s="449"/>
      <c r="X83" s="453"/>
      <c r="Z83" s="436">
        <f>+SUM(Z79:Z82)</f>
        <v>987.03199999999993</v>
      </c>
      <c r="AA83" s="451">
        <f>(Z83/Z76-1)*100</f>
        <v>9.2740431081534282</v>
      </c>
      <c r="AB83" s="456">
        <f>qtrSales!G100</f>
        <v>-6.2</v>
      </c>
      <c r="AC83" s="416"/>
      <c r="AD83" s="439">
        <f>+SUM(AD79:AD82)</f>
        <v>153.71199999999999</v>
      </c>
      <c r="AE83" s="451">
        <f>(AD83/AD76-1)*100</f>
        <v>17.713909374258119</v>
      </c>
      <c r="AF83" s="416"/>
      <c r="AG83" s="436">
        <f>+SUM(AG79:AG82)</f>
        <v>1140.7439999999999</v>
      </c>
      <c r="AH83" s="452">
        <f>(AG83/AG76-1)*100</f>
        <v>10.340051303678299</v>
      </c>
      <c r="AI83" s="416"/>
      <c r="AJ83" s="436">
        <f>+SUM(AJ79:AJ82)</f>
        <v>83.972999999999999</v>
      </c>
      <c r="AK83" s="439"/>
      <c r="AL83" s="452">
        <f>(AJ83/AJ76-1)*100</f>
        <v>44.127490860408834</v>
      </c>
      <c r="AM83" s="416"/>
      <c r="AN83" s="436"/>
      <c r="AO83" s="439"/>
      <c r="AP83" s="452"/>
      <c r="AQ83" s="416"/>
      <c r="AR83" s="436">
        <f>+SUM(AR79:AR82)</f>
        <v>1224.7170000000001</v>
      </c>
      <c r="AS83" s="452">
        <f>(AR83/AR76-1)*100</f>
        <v>12.142583098542548</v>
      </c>
      <c r="AU83" s="461"/>
      <c r="AX83" s="437">
        <v>159.33799999999999</v>
      </c>
      <c r="AY83" s="470">
        <f>(AX83/AG83)*100</f>
        <v>13.967901650151129</v>
      </c>
      <c r="AZ83" s="454"/>
      <c r="BA83" s="435">
        <v>18.318999999999999</v>
      </c>
      <c r="BB83" s="470">
        <f>(BA83/AJ83)*100</f>
        <v>21.815345408643253</v>
      </c>
      <c r="BD83" s="435">
        <v>-1.504</v>
      </c>
      <c r="BE83" s="435"/>
      <c r="BF83" s="435">
        <v>-12.164</v>
      </c>
      <c r="BH83" s="449">
        <f>AX83+BA83+BD83+BF83</f>
        <v>163.989</v>
      </c>
      <c r="BI83" s="449"/>
      <c r="BJ83" s="449">
        <f>'qtrP&amp;L'!$BC$54</f>
        <v>163.98900000000003</v>
      </c>
      <c r="BL83" s="435">
        <v>-12.164</v>
      </c>
      <c r="BM83" s="435"/>
      <c r="BN83" s="435">
        <v>-12.164</v>
      </c>
      <c r="BP83" s="462">
        <v>1132.0530000000001</v>
      </c>
      <c r="BQ83" s="466">
        <f>BP83/AR83</f>
        <v>0.92433843900264312</v>
      </c>
      <c r="BR83" s="462">
        <v>92.664000000000001</v>
      </c>
      <c r="BS83" s="466">
        <f>BR83/AR83</f>
        <v>7.5661560997356936E-2</v>
      </c>
    </row>
    <row r="84" spans="1:71" ht="8.25" hidden="1" customHeight="1" outlineLevel="2">
      <c r="G84" s="455"/>
      <c r="H84" s="455"/>
      <c r="M84" s="455"/>
      <c r="N84" s="455"/>
      <c r="S84" s="455"/>
      <c r="T84" s="455"/>
      <c r="Z84" s="432"/>
      <c r="AA84" s="416"/>
      <c r="AB84" s="433"/>
      <c r="AC84" s="416"/>
      <c r="AD84" s="465"/>
      <c r="AE84" s="416"/>
      <c r="AF84" s="416"/>
      <c r="AG84" s="432"/>
      <c r="AH84" s="433"/>
      <c r="AI84" s="416"/>
      <c r="AJ84" s="546"/>
      <c r="AK84" s="458"/>
      <c r="AL84" s="433"/>
      <c r="AM84" s="416"/>
      <c r="AN84" s="546"/>
      <c r="AO84" s="458"/>
      <c r="AP84" s="433"/>
      <c r="AQ84" s="416"/>
      <c r="AR84" s="432"/>
      <c r="AS84" s="433"/>
      <c r="AX84" s="459"/>
      <c r="AZ84" s="454"/>
      <c r="BA84" s="460"/>
      <c r="BD84" s="454"/>
      <c r="BF84" s="454"/>
      <c r="BL84" s="454"/>
      <c r="BM84" s="454"/>
      <c r="BN84" s="454"/>
    </row>
    <row r="85" spans="1:71" hidden="1" outlineLevel="2">
      <c r="B85" s="431">
        <f>+qtrSales!B102</f>
        <v>2007</v>
      </c>
      <c r="G85" s="455"/>
      <c r="H85" s="455"/>
      <c r="J85" s="471"/>
      <c r="M85" s="455"/>
      <c r="N85" s="455"/>
      <c r="P85" s="471"/>
      <c r="S85" s="455"/>
      <c r="T85" s="455"/>
      <c r="W85" s="471"/>
      <c r="Z85" s="432"/>
      <c r="AA85" s="416"/>
      <c r="AB85" s="433"/>
      <c r="AC85" s="416"/>
      <c r="AD85" s="416"/>
      <c r="AE85" s="416"/>
      <c r="AF85" s="416"/>
      <c r="AG85" s="432"/>
      <c r="AH85" s="433"/>
      <c r="AI85" s="416"/>
      <c r="AJ85" s="432" t="s">
        <v>196</v>
      </c>
      <c r="AK85" s="416"/>
      <c r="AL85" s="433"/>
      <c r="AM85" s="416"/>
      <c r="AN85" s="432"/>
      <c r="AO85" s="416"/>
      <c r="AP85" s="433"/>
      <c r="AQ85" s="416"/>
      <c r="AR85" s="432"/>
      <c r="AS85" s="433"/>
      <c r="AX85" s="459"/>
      <c r="AZ85" s="454"/>
      <c r="BA85" s="454"/>
      <c r="BD85" s="454"/>
      <c r="BF85" s="454"/>
      <c r="BL85" s="454"/>
      <c r="BM85" s="454"/>
      <c r="BN85" s="454"/>
    </row>
    <row r="86" spans="1:71" hidden="1" outlineLevel="2">
      <c r="A86" s="410" t="str">
        <f>+qtrSales!A103</f>
        <v>1Q</v>
      </c>
      <c r="B86" s="410" t="str">
        <f>+qtrSales!B103</f>
        <v>Apr</v>
      </c>
      <c r="D86" s="437">
        <v>129.90799999999999</v>
      </c>
      <c r="E86" s="453">
        <f>(D86/D79-1)*100</f>
        <v>10.925345606380144</v>
      </c>
      <c r="F86" s="455">
        <f>+D86/$Z86*100</f>
        <v>51.715585775307815</v>
      </c>
      <c r="G86" s="455">
        <f>qtrSales!G280</f>
        <v>-5</v>
      </c>
      <c r="H86" s="455"/>
      <c r="J86" s="437">
        <v>118.599</v>
      </c>
      <c r="K86" s="453">
        <f>(J86/J79-1)*100</f>
        <v>18.684452806020335</v>
      </c>
      <c r="L86" s="455">
        <f>+J86/$Z86*100</f>
        <v>47.213541562996376</v>
      </c>
      <c r="M86" s="455">
        <f>qtrSales!G457</f>
        <v>2</v>
      </c>
      <c r="N86" s="455"/>
      <c r="P86" s="437">
        <v>2.69</v>
      </c>
      <c r="Q86" s="449" t="s">
        <v>378</v>
      </c>
      <c r="R86" s="455">
        <f>+P86/$Z86*100</f>
        <v>1.0708726616958006</v>
      </c>
      <c r="S86" s="455">
        <f>qtrSales!G564</f>
        <v>8</v>
      </c>
      <c r="T86" s="455"/>
      <c r="W86" s="437"/>
      <c r="X86" s="449" t="s">
        <v>378</v>
      </c>
      <c r="Z86" s="436">
        <f>+D86+J86+P86</f>
        <v>251.197</v>
      </c>
      <c r="AA86" s="451">
        <f>(Z86/Z79-1)*100</f>
        <v>15.737118793223392</v>
      </c>
      <c r="AB86" s="456">
        <f>qtrSales!G103</f>
        <v>-2</v>
      </c>
      <c r="AC86" s="416"/>
      <c r="AD86" s="437">
        <v>43.506999999999998</v>
      </c>
      <c r="AE86" s="451">
        <f>(AD86/AD79-1)*100</f>
        <v>29.925939198471021</v>
      </c>
      <c r="AF86" s="416"/>
      <c r="AG86" s="436">
        <f>+Z86+AD86</f>
        <v>294.70400000000001</v>
      </c>
      <c r="AH86" s="452">
        <f>(AG86/AG79-1)*100</f>
        <v>17.633628311519335</v>
      </c>
      <c r="AI86" s="416"/>
      <c r="AJ86" s="492">
        <v>19.84</v>
      </c>
      <c r="AK86" s="437"/>
      <c r="AL86" s="452">
        <f>(AJ86/AJ79-1)*100</f>
        <v>1.848049281314168</v>
      </c>
      <c r="AM86" s="416"/>
      <c r="AN86" s="492"/>
      <c r="AO86" s="437"/>
      <c r="AP86" s="452"/>
      <c r="AQ86" s="416"/>
      <c r="AR86" s="436">
        <f>+AG86+AJ86</f>
        <v>314.54399999999998</v>
      </c>
      <c r="AS86" s="452">
        <f>(AR86/AR79-1)*100</f>
        <v>16.494757543322947</v>
      </c>
      <c r="AU86" s="461">
        <v>2</v>
      </c>
      <c r="AV86" s="470">
        <f>(D79/AG79)*G86+(J79/AG79)*M86+(P79/AG79)*S86+(AD79/AG79)*AE86</f>
        <v>2.4603775241790329</v>
      </c>
      <c r="AW86" s="451"/>
      <c r="AX86" s="437">
        <f>81.218-AX87</f>
        <v>34.803000000000004</v>
      </c>
      <c r="AY86" s="470">
        <f>(AX86/AG86)*100</f>
        <v>11.809476627395625</v>
      </c>
      <c r="AZ86" s="459"/>
      <c r="BA86" s="437">
        <f>10.682-BA87</f>
        <v>5.5110000000000001</v>
      </c>
      <c r="BB86" s="470">
        <f>(BA86/AJ86)*100</f>
        <v>27.777217741935484</v>
      </c>
      <c r="BC86" s="416"/>
      <c r="BD86" s="467">
        <f>-0.629-BD87</f>
        <v>-0.311</v>
      </c>
      <c r="BF86" s="467">
        <f>-7.984-BF87</f>
        <v>-3.9870000000000001</v>
      </c>
      <c r="BH86" s="449">
        <f>AX86+BA86+BD86+BF86</f>
        <v>36.016000000000005</v>
      </c>
      <c r="BJ86" s="449">
        <f>'qtrP&amp;L'!BG50</f>
        <v>36.015999999999977</v>
      </c>
      <c r="BL86" s="467">
        <f>-7.984-BL87</f>
        <v>-3.9870000000000001</v>
      </c>
      <c r="BM86" s="467"/>
      <c r="BN86" s="467">
        <f>-7.984-BN87</f>
        <v>-3.9870000000000001</v>
      </c>
      <c r="BP86" s="462">
        <v>289.78500000000003</v>
      </c>
      <c r="BQ86" s="462"/>
      <c r="BR86" s="462">
        <v>24.759</v>
      </c>
    </row>
    <row r="87" spans="1:71" hidden="1" outlineLevel="2">
      <c r="A87" s="410" t="str">
        <f>+qtrSales!A104</f>
        <v>2Q</v>
      </c>
      <c r="B87" s="410" t="str">
        <f>+qtrSales!B104</f>
        <v>Jul</v>
      </c>
      <c r="D87" s="440">
        <v>140.93100000000001</v>
      </c>
      <c r="E87" s="453">
        <f>(D87/D80-1)*100</f>
        <v>12.19817051325942</v>
      </c>
      <c r="F87" s="455">
        <f>+D87/$Z87*100</f>
        <v>50.012952954160738</v>
      </c>
      <c r="G87" s="455">
        <f>qtrSales!G281</f>
        <v>-3</v>
      </c>
      <c r="H87" s="455"/>
      <c r="J87" s="440">
        <v>137.55799999999999</v>
      </c>
      <c r="K87" s="453">
        <f>(J87/J80-1)*100</f>
        <v>27.675886393168735</v>
      </c>
      <c r="L87" s="455">
        <f>+J87/$Z87*100</f>
        <v>48.815958039526016</v>
      </c>
      <c r="M87" s="455">
        <f>qtrSales!G458</f>
        <v>14</v>
      </c>
      <c r="N87" s="455"/>
      <c r="P87" s="440">
        <v>3.3</v>
      </c>
      <c r="Q87" s="457" t="s">
        <v>378</v>
      </c>
      <c r="R87" s="455">
        <f>+P87/$Z87*100</f>
        <v>1.1710890063132342</v>
      </c>
      <c r="S87" s="455">
        <f>qtrSales!G565</f>
        <v>28</v>
      </c>
      <c r="T87" s="455"/>
      <c r="W87" s="440"/>
      <c r="X87" s="457" t="s">
        <v>378</v>
      </c>
      <c r="Z87" s="441">
        <f>+D87+J87+P87</f>
        <v>281.78900000000004</v>
      </c>
      <c r="AA87" s="451">
        <f>(Z87/Z80-1)*100</f>
        <v>20.758606207868937</v>
      </c>
      <c r="AB87" s="456">
        <f>qtrSales!G104</f>
        <v>5</v>
      </c>
      <c r="AC87" s="416"/>
      <c r="AD87" s="462">
        <v>42.537999999999997</v>
      </c>
      <c r="AE87" s="451">
        <f>(AD87/AD80-1)*100</f>
        <v>34.964147471286246</v>
      </c>
      <c r="AF87" s="416"/>
      <c r="AG87" s="436">
        <f>+Z87+AD87</f>
        <v>324.32700000000006</v>
      </c>
      <c r="AH87" s="452">
        <f>(AG87/AG80-1)*100</f>
        <v>22.449002707019041</v>
      </c>
      <c r="AI87" s="416"/>
      <c r="AJ87" s="547">
        <f>27.422-P87</f>
        <v>24.122</v>
      </c>
      <c r="AK87" s="462"/>
      <c r="AL87" s="452">
        <f>(AJ87/AJ80-1)*100</f>
        <v>16.576454668470909</v>
      </c>
      <c r="AM87" s="416"/>
      <c r="AN87" s="547"/>
      <c r="AO87" s="462"/>
      <c r="AP87" s="452"/>
      <c r="AQ87" s="416"/>
      <c r="AR87" s="441">
        <f>+AG87+AJ87</f>
        <v>348.44900000000007</v>
      </c>
      <c r="AS87" s="452">
        <f>(AR87/AR80-1)*100</f>
        <v>22.023469755812329</v>
      </c>
      <c r="AU87" s="461">
        <v>8</v>
      </c>
      <c r="AV87" s="470">
        <f>(D80/AG80)*G87+(J80/AG80)*M87+(P80/AG80)*S87+(AD80/AG80)*AE87</f>
        <v>8.4326586550985976</v>
      </c>
      <c r="AW87" s="451"/>
      <c r="AX87" s="442">
        <v>46.414999999999999</v>
      </c>
      <c r="AY87" s="470">
        <f>(AX87/AG87)*100</f>
        <v>14.311173599484468</v>
      </c>
      <c r="AZ87" s="459"/>
      <c r="BA87" s="462">
        <v>5.1710000000000003</v>
      </c>
      <c r="BB87" s="470">
        <f>(BA87/AJ87)*100</f>
        <v>21.436862615040216</v>
      </c>
      <c r="BC87" s="416"/>
      <c r="BD87" s="467">
        <v>-0.318</v>
      </c>
      <c r="BF87" s="467">
        <v>-3.9969999999999999</v>
      </c>
      <c r="BH87" s="472">
        <f>AX87+BA87+BD87+BF87</f>
        <v>47.271000000000001</v>
      </c>
      <c r="BJ87" s="472">
        <f>'qtrP&amp;L'!BG51</f>
        <v>47.271000000000015</v>
      </c>
      <c r="BL87" s="467">
        <v>-3.9969999999999999</v>
      </c>
      <c r="BM87" s="467"/>
      <c r="BN87" s="467">
        <v>-3.9969999999999999</v>
      </c>
      <c r="BP87" s="462">
        <v>318.98</v>
      </c>
      <c r="BQ87" s="462"/>
      <c r="BR87" s="462">
        <v>29.469000000000001</v>
      </c>
    </row>
    <row r="88" spans="1:71" hidden="1" outlineLevel="2">
      <c r="A88" s="410" t="str">
        <f>+qtrSales!A105</f>
        <v>3Q</v>
      </c>
      <c r="B88" s="410" t="str">
        <f>+qtrSales!B105</f>
        <v>Oct</v>
      </c>
      <c r="D88" s="440">
        <v>160.864</v>
      </c>
      <c r="E88" s="453">
        <f>(D88/D81-1)*100</f>
        <v>12.092537105428214</v>
      </c>
      <c r="F88" s="455">
        <f>+D88/$Z88*100</f>
        <v>52.61395154115862</v>
      </c>
      <c r="G88" s="455">
        <f>qtrSales!G282</f>
        <v>0.2</v>
      </c>
      <c r="H88" s="455"/>
      <c r="J88" s="440">
        <v>139.97999999999999</v>
      </c>
      <c r="K88" s="453">
        <f>(J88/J81-1)*100</f>
        <v>31.940844353538857</v>
      </c>
      <c r="L88" s="455">
        <f>+J88/$Z88*100</f>
        <v>45.783400491914804</v>
      </c>
      <c r="M88" s="455">
        <f>qtrSales!G459</f>
        <v>17.399999999999999</v>
      </c>
      <c r="N88" s="455"/>
      <c r="P88" s="440">
        <v>4.9000000000000004</v>
      </c>
      <c r="Q88" s="457" t="s">
        <v>378</v>
      </c>
      <c r="R88" s="455">
        <f>+P88/$Z88*100</f>
        <v>1.6026479669265796</v>
      </c>
      <c r="S88" s="455">
        <f>qtrSales!G566</f>
        <v>16</v>
      </c>
      <c r="T88" s="455"/>
      <c r="W88" s="440"/>
      <c r="X88" s="457" t="s">
        <v>378</v>
      </c>
      <c r="Z88" s="441">
        <f>+D88+J88+P88</f>
        <v>305.74399999999997</v>
      </c>
      <c r="AA88" s="451">
        <f>(Z88/Z81-1)*100</f>
        <v>22.4921174825623</v>
      </c>
      <c r="AB88" s="456">
        <f>qtrSales!G105</f>
        <v>8</v>
      </c>
      <c r="AC88" s="416"/>
      <c r="AD88" s="462">
        <v>46.777000000000001</v>
      </c>
      <c r="AE88" s="451">
        <f>(AD88/AD81-1)*100</f>
        <v>29.683947879123917</v>
      </c>
      <c r="AF88" s="416"/>
      <c r="AG88" s="436">
        <f>+Z88+AD88</f>
        <v>352.52099999999996</v>
      </c>
      <c r="AH88" s="452">
        <f>(AG88/AG81-1)*100</f>
        <v>23.400181326201629</v>
      </c>
      <c r="AI88" s="416"/>
      <c r="AJ88" s="547">
        <v>26.798999999999999</v>
      </c>
      <c r="AK88" s="462"/>
      <c r="AL88" s="452">
        <f>(AJ88/AJ81-1)*100</f>
        <v>18.150956705757881</v>
      </c>
      <c r="AM88" s="416"/>
      <c r="AN88" s="547"/>
      <c r="AO88" s="462"/>
      <c r="AP88" s="452"/>
      <c r="AQ88" s="416"/>
      <c r="AR88" s="441">
        <f>+AG88+AJ88</f>
        <v>379.31999999999994</v>
      </c>
      <c r="AS88" s="452">
        <f>(AR88/AR81-1)*100</f>
        <v>23.014058471566834</v>
      </c>
      <c r="AU88" s="461">
        <v>10</v>
      </c>
      <c r="AV88" s="470">
        <f>(D81/AG81)*G88+(J81/AG81)*M88+(P81/AG81)*S88+(AD81/AG81)*AE88</f>
        <v>10.310460561551142</v>
      </c>
      <c r="AW88" s="451"/>
      <c r="AX88" s="442">
        <v>58.527999999999999</v>
      </c>
      <c r="AY88" s="470">
        <f>(AX88/AG88)*100</f>
        <v>16.602698846309867</v>
      </c>
      <c r="AZ88" s="459"/>
      <c r="BA88" s="462">
        <v>7.1269999999999998</v>
      </c>
      <c r="BB88" s="470">
        <f>(BA88/AJ88)*100</f>
        <v>26.594275905817383</v>
      </c>
      <c r="BC88" s="416"/>
      <c r="BD88" s="467">
        <v>-0.41</v>
      </c>
      <c r="BF88" s="467">
        <v>-3.9180000000000001</v>
      </c>
      <c r="BH88" s="472">
        <f>AX88+BA88+BD88+BF88</f>
        <v>61.327000000000005</v>
      </c>
      <c r="BJ88" s="472">
        <f>'qtrP&amp;L'!BG52</f>
        <v>61.326999999999984</v>
      </c>
      <c r="BL88" s="467">
        <v>-3.9180000000000001</v>
      </c>
      <c r="BM88" s="467"/>
      <c r="BN88" s="467">
        <v>-3.9180000000000001</v>
      </c>
      <c r="BP88" s="462">
        <v>345.78899999999999</v>
      </c>
      <c r="BQ88" s="416"/>
      <c r="BR88" s="462">
        <v>33.530999999999999</v>
      </c>
    </row>
    <row r="89" spans="1:71" hidden="1" outlineLevel="2">
      <c r="A89" s="410" t="str">
        <f>+qtrSales!A106</f>
        <v>4Q</v>
      </c>
      <c r="B89" s="410" t="str">
        <f>+qtrSales!B106</f>
        <v>Jan</v>
      </c>
      <c r="D89" s="447">
        <v>196.625</v>
      </c>
      <c r="E89" s="453">
        <f>(D89/D82-1)*100</f>
        <v>21.662593199888612</v>
      </c>
      <c r="F89" s="455">
        <f>+D89/$Z89*100</f>
        <v>53.317696187428822</v>
      </c>
      <c r="G89" s="455">
        <f>qtrSales!G283</f>
        <v>6</v>
      </c>
      <c r="H89" s="455"/>
      <c r="J89" s="447">
        <v>165.85300000000001</v>
      </c>
      <c r="K89" s="453">
        <f>(J89/J82-1)*100</f>
        <v>32.23386273759408</v>
      </c>
      <c r="L89" s="455">
        <f>+J89/$Z89*100</f>
        <v>44.97342589077499</v>
      </c>
      <c r="M89" s="455">
        <f>qtrSales!G460</f>
        <v>18</v>
      </c>
      <c r="N89" s="455"/>
      <c r="P89" s="447">
        <v>6.3019999999999996</v>
      </c>
      <c r="Q89" s="444" t="s">
        <v>378</v>
      </c>
      <c r="R89" s="455">
        <f>+P89/$Z89*100</f>
        <v>1.7088779217961925</v>
      </c>
      <c r="S89" s="455">
        <f>qtrSales!G567</f>
        <v>19</v>
      </c>
      <c r="T89" s="455"/>
      <c r="W89" s="447"/>
      <c r="X89" s="444" t="s">
        <v>378</v>
      </c>
      <c r="Z89" s="441">
        <f>+D89+J89+P89</f>
        <v>368.78000000000003</v>
      </c>
      <c r="AA89" s="451">
        <f>(Z89/Z82-1)*100</f>
        <v>28.477314929330166</v>
      </c>
      <c r="AB89" s="456">
        <f>qtrSales!G106</f>
        <v>11</v>
      </c>
      <c r="AC89" s="416"/>
      <c r="AD89" s="462">
        <v>72.92</v>
      </c>
      <c r="AE89" s="451">
        <f>(AD89/AD82-1)*100</f>
        <v>38.531099205896879</v>
      </c>
      <c r="AF89" s="416"/>
      <c r="AG89" s="463">
        <f>+Z89+AD89</f>
        <v>441.70000000000005</v>
      </c>
      <c r="AH89" s="452">
        <f>(AG89/AG82-1)*100</f>
        <v>30.035298239209631</v>
      </c>
      <c r="AI89" s="416"/>
      <c r="AJ89" s="464">
        <v>23.710999999999999</v>
      </c>
      <c r="AK89" s="462"/>
      <c r="AL89" s="452">
        <f>(AJ89/AJ82-1)*100</f>
        <v>12.273308395283866</v>
      </c>
      <c r="AM89" s="416"/>
      <c r="AN89" s="464"/>
      <c r="AO89" s="462"/>
      <c r="AP89" s="452"/>
      <c r="AQ89" s="416"/>
      <c r="AR89" s="446">
        <f>+AG89+AJ89</f>
        <v>465.41100000000006</v>
      </c>
      <c r="AS89" s="452">
        <f>(AR89/AR82-1)*100</f>
        <v>28.995609707424741</v>
      </c>
      <c r="AU89" s="461">
        <v>16</v>
      </c>
      <c r="AV89" s="470">
        <f>(D82/AG82)*G89+(J82/AG82)*M89+(P82/AG82)*S89+(AD82/AG82)*AE89</f>
        <v>15.472116157408362</v>
      </c>
      <c r="AW89" s="451"/>
      <c r="AX89" s="447">
        <f>AX90-AX88-AX87-AX86</f>
        <v>79.50200000000001</v>
      </c>
      <c r="AY89" s="470">
        <f>(AX89/AG89)*100</f>
        <v>17.99909440796921</v>
      </c>
      <c r="AZ89" s="459"/>
      <c r="BA89" s="468">
        <f>BA90-BA88-BA87-BA86</f>
        <v>3.6290000000000004</v>
      </c>
      <c r="BB89" s="470">
        <f>(BA89/AJ89)*100</f>
        <v>15.305132638859604</v>
      </c>
      <c r="BC89" s="416"/>
      <c r="BD89" s="468">
        <f>BD90-BD88-BD87-BD86</f>
        <v>-0.28599999999999998</v>
      </c>
      <c r="BF89" s="468">
        <f>BF90-BF88-BF87-BF86</f>
        <v>-2.5140000000000011</v>
      </c>
      <c r="BH89" s="473">
        <f>AX89+BA89+BD89+BF89</f>
        <v>80.331000000000017</v>
      </c>
      <c r="BJ89" s="473">
        <f>'qtrP&amp;L'!BG53</f>
        <v>80.331000000000003</v>
      </c>
      <c r="BL89" s="468">
        <f>BL90-BL88-BL87-BL86</f>
        <v>-2.5140000000000011</v>
      </c>
      <c r="BM89" s="468"/>
      <c r="BN89" s="468">
        <f>BN90-BN88-BN87-BN86</f>
        <v>-2.5140000000000011</v>
      </c>
      <c r="BP89" s="444">
        <f>BP90-SUM(BP86:BP88)</f>
        <v>418.60799999999995</v>
      </c>
      <c r="BQ89" s="442"/>
      <c r="BR89" s="444">
        <f>BR90-SUM(BR86:BR88)</f>
        <v>46.803000000000011</v>
      </c>
    </row>
    <row r="90" spans="1:71" hidden="1" outlineLevel="2">
      <c r="B90" s="410" t="str">
        <f>+qtrSales!B107</f>
        <v>Year</v>
      </c>
      <c r="D90" s="449">
        <f>+SUM(D86:D89)</f>
        <v>628.32799999999997</v>
      </c>
      <c r="E90" s="453">
        <f>(D90/D83-1)*100</f>
        <v>14.69041538969822</v>
      </c>
      <c r="F90" s="455">
        <f>+D90/$Z90*100</f>
        <v>52.035014202780928</v>
      </c>
      <c r="G90" s="455">
        <f>qtrSales!G284</f>
        <v>-0.9</v>
      </c>
      <c r="H90" s="455"/>
      <c r="J90" s="449">
        <f>+SUM(J86:J89)</f>
        <v>561.99</v>
      </c>
      <c r="K90" s="453">
        <f>(J90/J83-1)*100</f>
        <v>27.962020560811496</v>
      </c>
      <c r="L90" s="455">
        <f>+J90/$Z90*100</f>
        <v>46.54122947221969</v>
      </c>
      <c r="M90" s="455">
        <f>qtrSales!G461</f>
        <v>12.8</v>
      </c>
      <c r="N90" s="455"/>
      <c r="P90" s="449">
        <v>17.192</v>
      </c>
      <c r="Q90" s="453"/>
      <c r="R90" s="455">
        <f>+P90/$Z90*100</f>
        <v>1.423756324999379</v>
      </c>
      <c r="S90" s="455">
        <f>qtrSales!G568</f>
        <v>18.399999999999999</v>
      </c>
      <c r="T90" s="455"/>
      <c r="W90" s="449"/>
      <c r="X90" s="453"/>
      <c r="Z90" s="436">
        <f>+SUM(Z86:Z89)</f>
        <v>1207.51</v>
      </c>
      <c r="AA90" s="451">
        <f>(Z90/Z83-1)*100</f>
        <v>22.337472341322282</v>
      </c>
      <c r="AB90" s="456">
        <f>qtrSales!G107</f>
        <v>6.1240545094416117</v>
      </c>
      <c r="AC90" s="416"/>
      <c r="AD90" s="439">
        <f>+SUM(AD86:AD89)</f>
        <v>205.74200000000002</v>
      </c>
      <c r="AE90" s="451">
        <f>(AD90/AD83-1)*100</f>
        <v>33.849016342250458</v>
      </c>
      <c r="AF90" s="416"/>
      <c r="AG90" s="436">
        <f>+SUM(AG86:AG89)</f>
        <v>1413.252</v>
      </c>
      <c r="AH90" s="452">
        <f>(AG90/AG83-1)*100</f>
        <v>23.888620058488151</v>
      </c>
      <c r="AI90" s="416"/>
      <c r="AJ90" s="436">
        <f>+SUM(AJ86:AJ89)</f>
        <v>94.471999999999994</v>
      </c>
      <c r="AK90" s="439"/>
      <c r="AL90" s="452">
        <f>(AJ90/AJ83-1)*100</f>
        <v>12.50282829004561</v>
      </c>
      <c r="AM90" s="416"/>
      <c r="AN90" s="436"/>
      <c r="AO90" s="439"/>
      <c r="AP90" s="452"/>
      <c r="AQ90" s="416"/>
      <c r="AR90" s="436">
        <f>+SUM(AR86:AR89)</f>
        <v>1507.7240000000002</v>
      </c>
      <c r="AS90" s="452">
        <f>(AR90/AR83-1)*100</f>
        <v>23.107950653089659</v>
      </c>
      <c r="AU90" s="461">
        <v>9</v>
      </c>
      <c r="AV90" s="416"/>
      <c r="AX90" s="437">
        <v>219.24799999999999</v>
      </c>
      <c r="AY90" s="470">
        <f>(AX90/AG90)*100</f>
        <v>15.513722959528803</v>
      </c>
      <c r="AZ90" s="459"/>
      <c r="BA90" s="437">
        <v>21.437999999999999</v>
      </c>
      <c r="BB90" s="470">
        <f>(BA90/AJ90)*100</f>
        <v>22.692437971039041</v>
      </c>
      <c r="BC90" s="416"/>
      <c r="BD90" s="435">
        <v>-1.325</v>
      </c>
      <c r="BE90" s="435"/>
      <c r="BF90" s="435">
        <v>-14.416</v>
      </c>
      <c r="BH90" s="449">
        <f>AX90+BA90+BD90+BF90</f>
        <v>224.94499999999999</v>
      </c>
      <c r="BJ90" s="449">
        <f>'qtrP&amp;L'!BG54</f>
        <v>224.94499999999999</v>
      </c>
      <c r="BL90" s="435">
        <v>-14.416</v>
      </c>
      <c r="BM90" s="435"/>
      <c r="BN90" s="435">
        <v>-14.416</v>
      </c>
      <c r="BP90" s="462">
        <v>1373.162</v>
      </c>
      <c r="BQ90" s="466">
        <f>BP90/AR90</f>
        <v>0.91075156991597928</v>
      </c>
      <c r="BR90" s="462">
        <v>134.56200000000001</v>
      </c>
      <c r="BS90" s="466">
        <f>BR90/AR90</f>
        <v>8.9248430084020683E-2</v>
      </c>
    </row>
    <row r="91" spans="1:71" ht="8.25" hidden="1" customHeight="1" outlineLevel="2">
      <c r="G91" s="455"/>
      <c r="H91" s="455"/>
      <c r="M91" s="455"/>
      <c r="N91" s="455"/>
      <c r="S91" s="455"/>
      <c r="T91" s="455"/>
      <c r="Z91" s="432"/>
      <c r="AA91" s="416"/>
      <c r="AB91" s="433"/>
      <c r="AC91" s="416"/>
      <c r="AD91" s="465"/>
      <c r="AE91" s="416"/>
      <c r="AF91" s="416"/>
      <c r="AG91" s="432"/>
      <c r="AH91" s="433"/>
      <c r="AI91" s="416"/>
      <c r="AJ91" s="546"/>
      <c r="AK91" s="458"/>
      <c r="AL91" s="433"/>
      <c r="AM91" s="416"/>
      <c r="AN91" s="546"/>
      <c r="AO91" s="458"/>
      <c r="AP91" s="433"/>
      <c r="AQ91" s="416"/>
      <c r="AR91" s="432"/>
      <c r="AS91" s="433"/>
      <c r="AV91" s="416"/>
      <c r="AX91" s="459"/>
      <c r="AY91" s="416"/>
      <c r="AZ91" s="459"/>
      <c r="BA91" s="474"/>
      <c r="BB91" s="416"/>
      <c r="BC91" s="416"/>
      <c r="BD91" s="459"/>
      <c r="BF91" s="454"/>
      <c r="BL91" s="454"/>
      <c r="BM91" s="454"/>
      <c r="BN91" s="454"/>
    </row>
    <row r="92" spans="1:71" hidden="1" outlineLevel="2">
      <c r="B92" s="431">
        <f>+qtrSales!B109</f>
        <v>2008</v>
      </c>
      <c r="G92" s="455"/>
      <c r="H92" s="455"/>
      <c r="J92" s="471"/>
      <c r="M92" s="455"/>
      <c r="N92" s="455"/>
      <c r="P92" s="471"/>
      <c r="S92" s="455"/>
      <c r="T92" s="455"/>
      <c r="W92" s="471"/>
      <c r="Z92" s="432"/>
      <c r="AA92" s="416"/>
      <c r="AB92" s="433"/>
      <c r="AC92" s="416"/>
      <c r="AD92" s="416"/>
      <c r="AE92" s="416"/>
      <c r="AF92" s="416"/>
      <c r="AG92" s="432"/>
      <c r="AH92" s="433"/>
      <c r="AI92" s="416"/>
      <c r="AJ92" s="432"/>
      <c r="AK92" s="416"/>
      <c r="AL92" s="433"/>
      <c r="AM92" s="416"/>
      <c r="AN92" s="432"/>
      <c r="AO92" s="416"/>
      <c r="AP92" s="433"/>
      <c r="AQ92" s="416"/>
      <c r="AR92" s="432"/>
      <c r="AS92" s="433"/>
      <c r="AV92" s="416"/>
      <c r="AX92" s="459"/>
      <c r="AY92" s="416"/>
      <c r="AZ92" s="459"/>
      <c r="BA92" s="459"/>
      <c r="BB92" s="416"/>
      <c r="BC92" s="416"/>
      <c r="BD92" s="459"/>
      <c r="BF92" s="454"/>
      <c r="BL92" s="454"/>
      <c r="BM92" s="454"/>
      <c r="BN92" s="454"/>
    </row>
    <row r="93" spans="1:71" hidden="1" outlineLevel="2">
      <c r="A93" s="410" t="str">
        <f>+qtrSales!A110</f>
        <v>1Q</v>
      </c>
      <c r="B93" s="410" t="str">
        <f>+qtrSales!B110</f>
        <v>Apr</v>
      </c>
      <c r="D93" s="437">
        <v>159.79</v>
      </c>
      <c r="E93" s="453">
        <f>(D93/D86-1)*100</f>
        <v>23.00243249068572</v>
      </c>
      <c r="F93" s="455">
        <f>+D93/$Z93*100</f>
        <v>51.237406288678969</v>
      </c>
      <c r="G93" s="455">
        <f>qtrSales!G287</f>
        <v>9.5</v>
      </c>
      <c r="H93" s="455"/>
      <c r="J93" s="437">
        <v>145.596</v>
      </c>
      <c r="K93" s="453">
        <f>(J93/J86-1)*100</f>
        <v>22.763261073027596</v>
      </c>
      <c r="L93" s="455">
        <f>+J93/$Z93*100</f>
        <v>46.686034207437913</v>
      </c>
      <c r="M93" s="455">
        <f>qtrSales!G464</f>
        <v>10.3</v>
      </c>
      <c r="N93" s="455"/>
      <c r="P93" s="437">
        <v>5.859</v>
      </c>
      <c r="Q93" s="451">
        <f>(P93/P86-1)*100</f>
        <v>117.80669144981415</v>
      </c>
      <c r="R93" s="455">
        <f>+P93/$Z93*100</f>
        <v>1.8787155857398468</v>
      </c>
      <c r="S93" s="455">
        <f>qtrSales!G571</f>
        <v>18.600000000000001</v>
      </c>
      <c r="T93" s="455"/>
      <c r="W93" s="437">
        <v>0.61699999999999999</v>
      </c>
      <c r="X93" s="449" t="s">
        <v>378</v>
      </c>
      <c r="Z93" s="436">
        <f>+D93+J93+P93+W93</f>
        <v>311.86199999999997</v>
      </c>
      <c r="AA93" s="451">
        <f>(Z93/Z86-1)*100</f>
        <v>24.150368037834834</v>
      </c>
      <c r="AB93" s="456">
        <f>qtrSales!G110</f>
        <v>10</v>
      </c>
      <c r="AC93" s="416"/>
      <c r="AD93" s="437">
        <v>58.247999999999998</v>
      </c>
      <c r="AE93" s="451">
        <f>(AD93/AD86-1)*100</f>
        <v>33.881904061415405</v>
      </c>
      <c r="AF93" s="416"/>
      <c r="AG93" s="436">
        <f>+Z93+AD93</f>
        <v>370.10999999999996</v>
      </c>
      <c r="AH93" s="452">
        <f>(AG93/AG86-1)*100</f>
        <v>25.587029697594854</v>
      </c>
      <c r="AI93" s="416"/>
      <c r="AJ93" s="492">
        <f>24.182</f>
        <v>24.181999999999999</v>
      </c>
      <c r="AK93" s="437"/>
      <c r="AL93" s="452">
        <f>(AJ93/AJ86-1)*100</f>
        <v>21.885080645161281</v>
      </c>
      <c r="AM93" s="416"/>
      <c r="AN93" s="492"/>
      <c r="AO93" s="437"/>
      <c r="AP93" s="452"/>
      <c r="AQ93" s="416"/>
      <c r="AR93" s="436">
        <f>+AG93+AJ93</f>
        <v>394.29199999999997</v>
      </c>
      <c r="AS93" s="452">
        <f>(AR93/AR86-1)*100</f>
        <v>25.353527646370623</v>
      </c>
      <c r="AU93" s="461">
        <v>14</v>
      </c>
      <c r="AV93" s="470">
        <f>(D86/AG86)*G93+(J86/AG86)*M93+(P86/AG86)*S93+(AD86/AG86)*AE93</f>
        <v>13.504498411965905</v>
      </c>
      <c r="AW93" s="470"/>
      <c r="AX93" s="437">
        <v>60.826999999999998</v>
      </c>
      <c r="AY93" s="470">
        <f>(AX93/AG93)*100</f>
        <v>16.434843695117667</v>
      </c>
      <c r="AZ93" s="459"/>
      <c r="BA93" s="437">
        <v>6.944</v>
      </c>
      <c r="BB93" s="470">
        <f>(BA93/AJ93)*100</f>
        <v>28.715573567116039</v>
      </c>
      <c r="BC93" s="416"/>
      <c r="BD93" s="467">
        <v>-0.54300000000000004</v>
      </c>
      <c r="BF93" s="467">
        <v>-4.2859999999999996</v>
      </c>
      <c r="BH93" s="449">
        <f>AX93+BA93+BD93+BF93</f>
        <v>62.941999999999993</v>
      </c>
      <c r="BJ93" s="449">
        <f>'qtrP&amp;L'!BK50</f>
        <v>62.941999999999979</v>
      </c>
      <c r="BL93" s="467">
        <v>-4.2859999999999996</v>
      </c>
      <c r="BM93" s="467"/>
      <c r="BN93" s="467">
        <v>-4.2859999999999996</v>
      </c>
      <c r="BP93" s="462">
        <v>359.79300000000001</v>
      </c>
      <c r="BQ93" s="462"/>
      <c r="BR93" s="462">
        <v>34.499000000000002</v>
      </c>
    </row>
    <row r="94" spans="1:71" hidden="1" outlineLevel="2">
      <c r="A94" s="410" t="str">
        <f>+qtrSales!A111</f>
        <v>2Q</v>
      </c>
      <c r="B94" s="410" t="str">
        <f>+qtrSales!B111</f>
        <v>Jul</v>
      </c>
      <c r="D94" s="440">
        <v>189.81200000000001</v>
      </c>
      <c r="E94" s="453">
        <f>(D94/D87-1)*100</f>
        <v>34.684349078627122</v>
      </c>
      <c r="F94" s="455">
        <f>+D94/$Z94*100</f>
        <v>51.89040826257402</v>
      </c>
      <c r="G94" s="455">
        <f>qtrSales!G288</f>
        <v>19.399999999999999</v>
      </c>
      <c r="H94" s="455"/>
      <c r="J94" s="440">
        <v>165.61500000000001</v>
      </c>
      <c r="K94" s="453">
        <f>(J94/J87-1)*100</f>
        <v>20.396487299902599</v>
      </c>
      <c r="L94" s="455">
        <f>+J94/$Z94*100</f>
        <v>45.275482922081828</v>
      </c>
      <c r="M94" s="455">
        <f>qtrSales!G465</f>
        <v>7.1</v>
      </c>
      <c r="N94" s="455"/>
      <c r="P94" s="440">
        <v>7.7590000000000003</v>
      </c>
      <c r="Q94" s="451">
        <f>(P94/P87-1)*100</f>
        <v>135.12121212121215</v>
      </c>
      <c r="R94" s="455">
        <f>+P94/$Z94*100</f>
        <v>2.1211392204355457</v>
      </c>
      <c r="S94" s="455">
        <f>qtrSales!G572</f>
        <v>10.199999999999999</v>
      </c>
      <c r="T94" s="455"/>
      <c r="W94" s="440">
        <v>2.6080000000000001</v>
      </c>
      <c r="X94" s="457" t="s">
        <v>378</v>
      </c>
      <c r="Z94" s="441">
        <f>+D94+J94+P94+W94</f>
        <v>365.79400000000004</v>
      </c>
      <c r="AA94" s="451">
        <f>(Z94/Z87-1)*100</f>
        <v>29.811312719800974</v>
      </c>
      <c r="AB94" s="456">
        <f>qtrSales!G111</f>
        <v>13</v>
      </c>
      <c r="AC94" s="416"/>
      <c r="AD94" s="462">
        <v>60.497999999999998</v>
      </c>
      <c r="AE94" s="451">
        <f>(AD94/AD87-1)*100</f>
        <v>42.221072923033518</v>
      </c>
      <c r="AF94" s="416"/>
      <c r="AG94" s="436">
        <f>+Z94+AD94</f>
        <v>426.29200000000003</v>
      </c>
      <c r="AH94" s="452">
        <f>(AG94/AG87-1)*100</f>
        <v>31.438948962004389</v>
      </c>
      <c r="AI94" s="416"/>
      <c r="AJ94" s="547">
        <v>28.003</v>
      </c>
      <c r="AK94" s="462"/>
      <c r="AL94" s="452">
        <f>(AJ94/AJ87-1)*100</f>
        <v>16.089047342674732</v>
      </c>
      <c r="AM94" s="416"/>
      <c r="AN94" s="547"/>
      <c r="AO94" s="462"/>
      <c r="AP94" s="452"/>
      <c r="AQ94" s="416"/>
      <c r="AR94" s="441">
        <f>+AG94+AJ94</f>
        <v>454.29500000000002</v>
      </c>
      <c r="AS94" s="452">
        <f>(AR94/AR87-1)*100</f>
        <v>30.376324799324994</v>
      </c>
      <c r="AU94" s="461">
        <v>17</v>
      </c>
      <c r="AV94" s="470">
        <f>(D87/AG87)*G94+(J87/AG87)*M94+(P87/AG87)*S94+(AD87/AG87)*AE94</f>
        <v>17.082707267665036</v>
      </c>
      <c r="AW94" s="470"/>
      <c r="AX94" s="442">
        <v>80.572999999999993</v>
      </c>
      <c r="AY94" s="470">
        <f>(AX94/AG94)*100</f>
        <v>18.900894222739339</v>
      </c>
      <c r="AZ94" s="459"/>
      <c r="BA94" s="462">
        <v>6.5789999999999997</v>
      </c>
      <c r="BB94" s="470">
        <f>(BA94/AJ94)*100</f>
        <v>23.493911366639285</v>
      </c>
      <c r="BC94" s="416"/>
      <c r="BD94" s="467">
        <v>-0.432</v>
      </c>
      <c r="BF94" s="467">
        <v>-3.8</v>
      </c>
      <c r="BH94" s="472">
        <f>AX94+BA94+BD94+BF94</f>
        <v>82.919999999999987</v>
      </c>
      <c r="BJ94" s="472">
        <f>'qtrP&amp;L'!BK51</f>
        <v>82.919999999999987</v>
      </c>
      <c r="BL94" s="467">
        <v>-3.8</v>
      </c>
      <c r="BM94" s="467"/>
      <c r="BN94" s="467">
        <v>-3.8</v>
      </c>
      <c r="BP94" s="462">
        <v>411.21300000000002</v>
      </c>
      <c r="BQ94" s="462"/>
      <c r="BR94" s="462">
        <v>43.082000000000001</v>
      </c>
    </row>
    <row r="95" spans="1:71" hidden="1" outlineLevel="2">
      <c r="A95" s="410" t="str">
        <f>+qtrSales!A112</f>
        <v>3Q</v>
      </c>
      <c r="B95" s="410" t="str">
        <f>+qtrSales!B112</f>
        <v>Oct</v>
      </c>
      <c r="D95" s="440">
        <v>208.32499999999999</v>
      </c>
      <c r="E95" s="453">
        <f>(D95/D88-1)*100</f>
        <v>29.503804455937921</v>
      </c>
      <c r="F95" s="455">
        <f>+D95/$Z95*100</f>
        <v>55.091446644664458</v>
      </c>
      <c r="G95" s="455">
        <f>qtrSales!G289</f>
        <v>17</v>
      </c>
      <c r="H95" s="455"/>
      <c r="J95" s="440">
        <v>158.852</v>
      </c>
      <c r="K95" s="453">
        <f>(J95/J88-1)*100</f>
        <v>13.481925989427079</v>
      </c>
      <c r="L95" s="455">
        <f>+J95/$Z95*100</f>
        <v>42.0083354489295</v>
      </c>
      <c r="M95" s="455">
        <f>qtrSales!G466</f>
        <v>2</v>
      </c>
      <c r="N95" s="455"/>
      <c r="P95" s="440">
        <v>9.7010000000000005</v>
      </c>
      <c r="Q95" s="451">
        <f>(P95/P88-1)*100</f>
        <v>97.979591836734684</v>
      </c>
      <c r="R95" s="455">
        <f>+P95/$Z95*100</f>
        <v>2.56542481171194</v>
      </c>
      <c r="S95" s="455">
        <f>qtrSales!G573</f>
        <v>4</v>
      </c>
      <c r="T95" s="455"/>
      <c r="W95" s="440">
        <v>1.266</v>
      </c>
      <c r="X95" s="457" t="s">
        <v>378</v>
      </c>
      <c r="Z95" s="441">
        <f>+D95+J95+P95+W95</f>
        <v>378.14400000000006</v>
      </c>
      <c r="AA95" s="451">
        <f>(Z95/Z88-1)*100</f>
        <v>23.679941388874393</v>
      </c>
      <c r="AB95" s="456">
        <f>qtrSales!G112</f>
        <v>10</v>
      </c>
      <c r="AC95" s="416"/>
      <c r="AD95" s="462">
        <v>65.915999999999997</v>
      </c>
      <c r="AE95" s="451">
        <f>(AD95/AD88-1)*100</f>
        <v>40.915407144536829</v>
      </c>
      <c r="AF95" s="416"/>
      <c r="AG95" s="436">
        <f>+Z95+AD95</f>
        <v>444.06000000000006</v>
      </c>
      <c r="AH95" s="452">
        <f>(AG95/AG88-1)*100</f>
        <v>25.966963670249466</v>
      </c>
      <c r="AI95" s="416"/>
      <c r="AJ95" s="547">
        <v>33.893000000000001</v>
      </c>
      <c r="AK95" s="462"/>
      <c r="AL95" s="452">
        <f>(AJ95/AJ88-1)*100</f>
        <v>26.47113698272323</v>
      </c>
      <c r="AM95" s="416"/>
      <c r="AN95" s="547"/>
      <c r="AO95" s="462"/>
      <c r="AP95" s="452"/>
      <c r="AQ95" s="416"/>
      <c r="AR95" s="441">
        <f>+AG95+AJ95</f>
        <v>477.95300000000009</v>
      </c>
      <c r="AS95" s="452">
        <f>(AR95/AR88-1)*100</f>
        <v>26.002583570600059</v>
      </c>
      <c r="AU95" s="461">
        <v>14</v>
      </c>
      <c r="AV95" s="470">
        <f>(D88/AG88)*G95+(J88/AG88)*M95+(P88/AG88)*S95+(AD88/AG88)*AE95</f>
        <v>14.036463075958595</v>
      </c>
      <c r="AW95" s="470"/>
      <c r="AX95" s="442">
        <v>86.584000000000003</v>
      </c>
      <c r="AY95" s="470">
        <f>(AX95/AG95)*100</f>
        <v>19.498266000090076</v>
      </c>
      <c r="AZ95" s="459"/>
      <c r="BA95" s="462">
        <v>8.5830000000000002</v>
      </c>
      <c r="BB95" s="470">
        <f>(BA95/AJ95)*100</f>
        <v>25.323813176762162</v>
      </c>
      <c r="BC95" s="416"/>
      <c r="BD95" s="467">
        <v>-0.35599999999999998</v>
      </c>
      <c r="BF95" s="467">
        <v>-4.4320000000000004</v>
      </c>
      <c r="BH95" s="472">
        <f>AX95+BA95+BD95+BF95</f>
        <v>90.379000000000005</v>
      </c>
      <c r="BJ95" s="472">
        <f>'qtrP&amp;L'!BK52</f>
        <v>90.378999999999962</v>
      </c>
      <c r="BL95" s="467">
        <v>-4.4320000000000004</v>
      </c>
      <c r="BM95" s="467"/>
      <c r="BN95" s="467">
        <v>-4.4320000000000004</v>
      </c>
      <c r="BP95" s="462">
        <v>433.673</v>
      </c>
      <c r="BQ95" s="416"/>
      <c r="BR95" s="462">
        <v>44.28</v>
      </c>
    </row>
    <row r="96" spans="1:71" hidden="1" outlineLevel="2">
      <c r="A96" s="410" t="str">
        <f>+qtrSales!A113</f>
        <v>4Q</v>
      </c>
      <c r="B96" s="410" t="str">
        <f>+qtrSales!B113</f>
        <v>Jan</v>
      </c>
      <c r="D96" s="447">
        <v>213.435</v>
      </c>
      <c r="E96" s="453">
        <f>(D96/D89-1)*100</f>
        <v>8.5492689129052835</v>
      </c>
      <c r="F96" s="455">
        <f>+D96/$Z96*100</f>
        <v>53.858829229394921</v>
      </c>
      <c r="G96" s="455">
        <f>qtrSales!G290</f>
        <v>3</v>
      </c>
      <c r="H96" s="455"/>
      <c r="J96" s="447">
        <v>172.09800000000001</v>
      </c>
      <c r="K96" s="453">
        <f>(J96/J89-1)*100</f>
        <v>3.7653825978426703</v>
      </c>
      <c r="L96" s="455">
        <f>+J96/$Z96*100</f>
        <v>43.427726439995354</v>
      </c>
      <c r="M96" s="455">
        <f>qtrSales!G467</f>
        <v>-6</v>
      </c>
      <c r="N96" s="455"/>
      <c r="P96" s="447">
        <v>9.5879999999999992</v>
      </c>
      <c r="Q96" s="451">
        <f>(P96/P89-1)*100</f>
        <v>52.142177086639151</v>
      </c>
      <c r="R96" s="455">
        <f>+P96/$Z96*100</f>
        <v>2.4194647300182184</v>
      </c>
      <c r="S96" s="455">
        <f>qtrSales!G574</f>
        <v>-13</v>
      </c>
      <c r="T96" s="455"/>
      <c r="W96" s="447">
        <v>1.165</v>
      </c>
      <c r="X96" s="444" t="s">
        <v>378</v>
      </c>
      <c r="Z96" s="441">
        <f>+D96+J96+P96+W96</f>
        <v>396.28600000000006</v>
      </c>
      <c r="AA96" s="451">
        <f>(Z96/Z89-1)*100</f>
        <v>7.4586474320733398</v>
      </c>
      <c r="AB96" s="456">
        <f>qtrSales!G113</f>
        <v>-1</v>
      </c>
      <c r="AC96" s="416"/>
      <c r="AD96" s="462">
        <v>87.81</v>
      </c>
      <c r="AE96" s="451">
        <f>(AD96/AD89-1)*100</f>
        <v>20.419637959407577</v>
      </c>
      <c r="AF96" s="416"/>
      <c r="AG96" s="463">
        <f>+Z96+AD96</f>
        <v>484.09600000000006</v>
      </c>
      <c r="AH96" s="452">
        <f>(AG96/AG89-1)*100</f>
        <v>9.598369934344575</v>
      </c>
      <c r="AI96" s="416"/>
      <c r="AJ96" s="464">
        <v>23.981999999999999</v>
      </c>
      <c r="AK96" s="462"/>
      <c r="AL96" s="452">
        <f>(AJ96/AJ89-1)*100</f>
        <v>1.1429294420311376</v>
      </c>
      <c r="AM96" s="416"/>
      <c r="AN96" s="464"/>
      <c r="AO96" s="462"/>
      <c r="AP96" s="452"/>
      <c r="AQ96" s="416"/>
      <c r="AR96" s="446">
        <f>+AG96+AJ96</f>
        <v>508.07800000000009</v>
      </c>
      <c r="AS96" s="452">
        <f>(AR96/AR89-1)*100</f>
        <v>9.1675959528245023</v>
      </c>
      <c r="AU96" s="461">
        <v>3</v>
      </c>
      <c r="AV96" s="470">
        <f>(D89/AG89)*G96+(J89/AG89)*M96+(P89/AG89)*S96+(AD89/AG89)*AE96</f>
        <v>2.2681254244962652</v>
      </c>
      <c r="AW96" s="470"/>
      <c r="AX96" s="447">
        <f>AX97-AX95-AX94-AX93</f>
        <v>69.588000000000022</v>
      </c>
      <c r="AY96" s="470">
        <f>(AX96/AG96)*100</f>
        <v>14.37483474352195</v>
      </c>
      <c r="AZ96" s="459"/>
      <c r="BA96" s="468">
        <f>BA97-BA95-BA94-BA93</f>
        <v>6.0640000000000027</v>
      </c>
      <c r="BB96" s="470">
        <f>(BA96/AJ96)*100</f>
        <v>25.285630889834053</v>
      </c>
      <c r="BC96" s="416"/>
      <c r="BD96" s="468">
        <f>BD97-BD95-BD94-BD93</f>
        <v>-9.8780000000000001</v>
      </c>
      <c r="BF96" s="468">
        <f>BF97-BF95-BF94-BF93</f>
        <v>-2.580000000000001</v>
      </c>
      <c r="BH96" s="473">
        <f>BH97-BH95-BH94-BH93</f>
        <v>63.194000000000003</v>
      </c>
      <c r="BJ96" s="473">
        <f>'qtrP&amp;L'!BK53</f>
        <v>63.194000000000003</v>
      </c>
      <c r="BL96" s="468">
        <f>BL97-BL95-BL94-BL93</f>
        <v>-2.580000000000001</v>
      </c>
      <c r="BM96" s="468"/>
      <c r="BN96" s="468">
        <f>BN97-BN95-BN94-BN93</f>
        <v>-2.580000000000001</v>
      </c>
      <c r="BP96" s="444">
        <f>BP97-SUM(BP93:BP95)</f>
        <v>458.9369999999999</v>
      </c>
      <c r="BQ96" s="442"/>
      <c r="BR96" s="444">
        <f>BR97-SUM(BR93:BR95)</f>
        <v>49.141000000000005</v>
      </c>
    </row>
    <row r="97" spans="1:71" hidden="1" outlineLevel="2">
      <c r="B97" s="410" t="str">
        <f>+qtrSales!B114</f>
        <v>Year</v>
      </c>
      <c r="D97" s="449">
        <f>+SUM(D93:D96)</f>
        <v>771.36199999999985</v>
      </c>
      <c r="E97" s="453">
        <f>(D97/D90-1)*100</f>
        <v>22.764225054430142</v>
      </c>
      <c r="F97" s="455">
        <f>+D97/$Z97*100</f>
        <v>53.120958400535493</v>
      </c>
      <c r="G97" s="455">
        <f>qtrSales!G291</f>
        <v>11.9</v>
      </c>
      <c r="H97" s="455"/>
      <c r="J97" s="449">
        <f>+SUM(J93:J96)</f>
        <v>642.16100000000006</v>
      </c>
      <c r="K97" s="453">
        <f>(J97/J90-1)*100</f>
        <v>14.265556326625028</v>
      </c>
      <c r="L97" s="455">
        <f>+J97/$Z97*100</f>
        <v>44.223344898304923</v>
      </c>
      <c r="M97" s="455">
        <f>qtrSales!G468</f>
        <v>3.4</v>
      </c>
      <c r="N97" s="455"/>
      <c r="P97" s="449">
        <v>32.906999999999996</v>
      </c>
      <c r="Q97" s="475">
        <f>(P97/P90-1)*100</f>
        <v>91.408794788273596</v>
      </c>
      <c r="R97" s="455">
        <f>+P97/$Z97*100</f>
        <v>2.266188090788011</v>
      </c>
      <c r="S97" s="455">
        <f>qtrSales!G575</f>
        <v>4.0999999999999996</v>
      </c>
      <c r="T97" s="455"/>
      <c r="W97" s="449">
        <f>SUM(W93:W96)</f>
        <v>5.6559999999999997</v>
      </c>
      <c r="X97" s="453"/>
      <c r="Z97" s="436">
        <f>+SUM(Z93:Z96)</f>
        <v>1452.086</v>
      </c>
      <c r="AA97" s="451">
        <f>(Z97/Z90-1)*100</f>
        <v>20.254573461089343</v>
      </c>
      <c r="AB97" s="456">
        <f>qtrSales!G114</f>
        <v>7.7537391036068124</v>
      </c>
      <c r="AC97" s="416"/>
      <c r="AD97" s="439">
        <f>+SUM(AD93:AD96)</f>
        <v>272.47199999999998</v>
      </c>
      <c r="AE97" s="451">
        <f>(AD97/AD90-1)*100</f>
        <v>32.433824887480412</v>
      </c>
      <c r="AF97" s="416"/>
      <c r="AG97" s="436">
        <f>+SUM(AG93:AG96)</f>
        <v>1724.558</v>
      </c>
      <c r="AH97" s="452">
        <f>(AG97/AG90-1)*100</f>
        <v>22.027635552612001</v>
      </c>
      <c r="AI97" s="416"/>
      <c r="AJ97" s="436">
        <f>+SUM(AJ93:AJ96)</f>
        <v>110.06</v>
      </c>
      <c r="AK97" s="439"/>
      <c r="AL97" s="452">
        <f>(AJ97/AJ90-1)*100</f>
        <v>16.500127021763067</v>
      </c>
      <c r="AM97" s="416"/>
      <c r="AN97" s="436"/>
      <c r="AO97" s="439"/>
      <c r="AP97" s="452"/>
      <c r="AQ97" s="416"/>
      <c r="AR97" s="436">
        <f>+SUM(AR93:AR96)</f>
        <v>1834.6179999999999</v>
      </c>
      <c r="AS97" s="452">
        <f>(AR97/AR90-1)*100</f>
        <v>21.681289148411764</v>
      </c>
      <c r="AU97" s="461">
        <v>12</v>
      </c>
      <c r="AV97" s="416"/>
      <c r="AX97" s="437">
        <v>297.572</v>
      </c>
      <c r="AY97" s="470">
        <f>(AX97/AG97)*100</f>
        <v>17.254971998622256</v>
      </c>
      <c r="AZ97" s="454"/>
      <c r="BA97" s="435">
        <v>28.17</v>
      </c>
      <c r="BB97" s="470">
        <f>(BA97/AJ97)*100</f>
        <v>25.595129929129566</v>
      </c>
      <c r="BD97" s="435">
        <v>-11.209</v>
      </c>
      <c r="BE97" s="435"/>
      <c r="BF97" s="435">
        <v>-15.098000000000001</v>
      </c>
      <c r="BH97" s="449">
        <f>AX97+BA97+BD97+BF97</f>
        <v>299.435</v>
      </c>
      <c r="BI97" s="449"/>
      <c r="BJ97" s="449">
        <f>'qtrP&amp;L'!BK54</f>
        <v>299.43499999999995</v>
      </c>
      <c r="BL97" s="435">
        <v>-15.098000000000001</v>
      </c>
      <c r="BM97" s="435"/>
      <c r="BN97" s="435">
        <v>-15.098000000000001</v>
      </c>
      <c r="BP97" s="442">
        <v>1663.616</v>
      </c>
      <c r="BQ97" s="466">
        <f>BP97/AR97</f>
        <v>0.90679149555929361</v>
      </c>
      <c r="BR97" s="442">
        <v>171.00200000000001</v>
      </c>
      <c r="BS97" s="466">
        <f>BR97/AR97</f>
        <v>9.3208504440706469E-2</v>
      </c>
    </row>
    <row r="98" spans="1:71" ht="8.25" hidden="1" customHeight="1" outlineLevel="2">
      <c r="G98" s="455"/>
      <c r="H98" s="455"/>
      <c r="M98" s="455"/>
      <c r="N98" s="455"/>
      <c r="S98" s="455"/>
      <c r="T98" s="455"/>
      <c r="Z98" s="432"/>
      <c r="AA98" s="416"/>
      <c r="AB98" s="433"/>
      <c r="AC98" s="416"/>
      <c r="AD98" s="465"/>
      <c r="AE98" s="416"/>
      <c r="AF98" s="416"/>
      <c r="AG98" s="432"/>
      <c r="AH98" s="433"/>
      <c r="AI98" s="416"/>
      <c r="AJ98" s="546"/>
      <c r="AK98" s="458"/>
      <c r="AL98" s="433"/>
      <c r="AM98" s="416"/>
      <c r="AN98" s="546"/>
      <c r="AO98" s="458"/>
      <c r="AP98" s="433"/>
      <c r="AQ98" s="416"/>
      <c r="AR98" s="432"/>
      <c r="AS98" s="433"/>
      <c r="AV98" s="416"/>
      <c r="AX98" s="459"/>
      <c r="AY98" s="416"/>
      <c r="AZ98" s="459"/>
      <c r="BA98" s="474"/>
      <c r="BB98" s="416"/>
      <c r="BC98" s="416"/>
      <c r="BD98" s="459"/>
      <c r="BF98" s="454"/>
      <c r="BL98" s="454"/>
      <c r="BM98" s="454"/>
      <c r="BN98" s="454"/>
      <c r="BP98" s="462"/>
      <c r="BQ98" s="462"/>
      <c r="BR98" s="462"/>
    </row>
    <row r="99" spans="1:71" hidden="1" outlineLevel="2">
      <c r="B99" s="431">
        <f>qtrSales!B116</f>
        <v>2009</v>
      </c>
      <c r="G99" s="455"/>
      <c r="H99" s="455"/>
      <c r="J99" s="476"/>
      <c r="M99" s="455"/>
      <c r="N99" s="455"/>
      <c r="P99" s="471"/>
      <c r="S99" s="455"/>
      <c r="T99" s="455"/>
      <c r="W99" s="471"/>
      <c r="Z99" s="432"/>
      <c r="AA99" s="416"/>
      <c r="AB99" s="433"/>
      <c r="AC99" s="416"/>
      <c r="AD99" s="416"/>
      <c r="AE99" s="416"/>
      <c r="AF99" s="416"/>
      <c r="AG99" s="432"/>
      <c r="AH99" s="433"/>
      <c r="AI99" s="416"/>
      <c r="AJ99" s="548"/>
      <c r="AK99" s="477"/>
      <c r="AL99" s="433"/>
      <c r="AM99" s="416"/>
      <c r="AN99" s="548"/>
      <c r="AO99" s="477"/>
      <c r="AP99" s="433"/>
      <c r="AQ99" s="416"/>
      <c r="AR99" s="478"/>
      <c r="AS99" s="479"/>
      <c r="AV99" s="416"/>
      <c r="AX99" s="459"/>
      <c r="AY99" s="416"/>
      <c r="AZ99" s="459"/>
      <c r="BA99" s="459"/>
      <c r="BB99" s="416"/>
      <c r="BC99" s="416"/>
      <c r="BD99" s="459"/>
      <c r="BF99" s="454"/>
      <c r="BL99" s="454"/>
      <c r="BM99" s="454"/>
      <c r="BN99" s="454"/>
      <c r="BP99" s="462"/>
      <c r="BQ99" s="462"/>
      <c r="BR99" s="462"/>
    </row>
    <row r="100" spans="1:71" hidden="1" outlineLevel="2">
      <c r="A100" s="410" t="s">
        <v>247</v>
      </c>
      <c r="B100" s="410" t="s">
        <v>224</v>
      </c>
      <c r="D100" s="437">
        <v>152.83199999999999</v>
      </c>
      <c r="E100" s="453">
        <f>(D100/D93-1)*100</f>
        <v>-4.3544652356217517</v>
      </c>
      <c r="F100" s="455">
        <f>+D100/$Z100*100</f>
        <v>50.979515729291414</v>
      </c>
      <c r="G100" s="455">
        <f>qtrSales!G294</f>
        <v>-6</v>
      </c>
      <c r="H100" s="455"/>
      <c r="J100" s="437">
        <v>138.34299999999999</v>
      </c>
      <c r="K100" s="453">
        <f>(J100/J93-1)*100</f>
        <v>-4.9815929009038857</v>
      </c>
      <c r="L100" s="455">
        <f>+J100/$Z100*100</f>
        <v>46.146482049160923</v>
      </c>
      <c r="M100" s="455">
        <f>qtrSales!G471</f>
        <v>-13</v>
      </c>
      <c r="N100" s="455"/>
      <c r="P100" s="437">
        <v>7.3129999999999997</v>
      </c>
      <c r="Q100" s="451">
        <f>(P100/P93-1)*100</f>
        <v>24.816521590715123</v>
      </c>
      <c r="R100" s="455">
        <f>+P100/$Z100*100</f>
        <v>2.4393660917105588</v>
      </c>
      <c r="S100" s="455">
        <f>qtrSales!G578</f>
        <v>-23</v>
      </c>
      <c r="T100" s="455"/>
      <c r="W100" s="437">
        <v>1.3029999999999999</v>
      </c>
      <c r="X100" s="451">
        <f>(W100/W93-1)*100</f>
        <v>111.18314424635329</v>
      </c>
      <c r="Z100" s="436">
        <f>+D100+J100+P100+W100</f>
        <v>299.79099999999994</v>
      </c>
      <c r="AA100" s="451">
        <f>(Z100/Z93-1)*100</f>
        <v>-3.8706222624109499</v>
      </c>
      <c r="AB100" s="456">
        <f>qtrSales!G117</f>
        <v>-9.6</v>
      </c>
      <c r="AC100" s="416"/>
      <c r="AD100" s="437">
        <v>60.81</v>
      </c>
      <c r="AE100" s="451">
        <f>(AD100/AD93-1)*100</f>
        <v>4.39843428100537</v>
      </c>
      <c r="AF100" s="416"/>
      <c r="AG100" s="436">
        <f>+Z100+AD100</f>
        <v>360.60099999999994</v>
      </c>
      <c r="AH100" s="452">
        <f>(AG100/AG93-1)*100</f>
        <v>-2.5692361730296431</v>
      </c>
      <c r="AI100" s="416"/>
      <c r="AJ100" s="492">
        <v>24.195</v>
      </c>
      <c r="AK100" s="437"/>
      <c r="AL100" s="452">
        <f>(AJ100/AJ93-1)*100</f>
        <v>5.3758994293273688E-2</v>
      </c>
      <c r="AM100" s="416"/>
      <c r="AN100" s="492"/>
      <c r="AO100" s="437"/>
      <c r="AP100" s="452"/>
      <c r="AQ100" s="416"/>
      <c r="AR100" s="436">
        <f>+AG100+AJ100</f>
        <v>384.79599999999994</v>
      </c>
      <c r="AS100" s="452">
        <f>(AR100/AR93-1)*100</f>
        <v>-2.4083674028385182</v>
      </c>
      <c r="AU100" s="461">
        <v>-7</v>
      </c>
      <c r="AV100" s="470">
        <f>(D93/AG93)*G100+(J93/AG93)*M100+(P93/AG93)*S100+(AD93/AG93)*AE100</f>
        <v>-7.3763070438518277</v>
      </c>
      <c r="AW100" s="470"/>
      <c r="AX100" s="437">
        <v>46.667999999999999</v>
      </c>
      <c r="AY100" s="470">
        <f>(AX100/AG100)*100</f>
        <v>12.941727837693188</v>
      </c>
      <c r="AZ100" s="459"/>
      <c r="BA100" s="437">
        <v>3.702</v>
      </c>
      <c r="BB100" s="470">
        <f>(BA100/AJ100)*100</f>
        <v>15.300681959082455</v>
      </c>
      <c r="BC100" s="416"/>
      <c r="BD100" s="462">
        <v>-0.152</v>
      </c>
      <c r="BF100" s="467">
        <v>-4.0979999999999999</v>
      </c>
      <c r="BH100" s="449">
        <f>AX100+BA100+BD100+BF100</f>
        <v>46.12</v>
      </c>
      <c r="BJ100" s="449">
        <f>'qtrP&amp;L'!BO50</f>
        <v>46.119999999999976</v>
      </c>
      <c r="BL100" s="467">
        <v>-4.0979999999999999</v>
      </c>
      <c r="BM100" s="467"/>
      <c r="BN100" s="467">
        <v>-4.0979999999999999</v>
      </c>
      <c r="BP100" s="462">
        <v>351.13200000000001</v>
      </c>
      <c r="BQ100" s="416"/>
      <c r="BR100" s="462">
        <v>33.664000000000001</v>
      </c>
    </row>
    <row r="101" spans="1:71" hidden="1" outlineLevel="2">
      <c r="A101" s="410" t="s">
        <v>248</v>
      </c>
      <c r="B101" s="410" t="s">
        <v>225</v>
      </c>
      <c r="D101" s="440">
        <v>177.12100000000001</v>
      </c>
      <c r="E101" s="453">
        <f>(D101/D94-1)*100</f>
        <v>-6.6860893937158883</v>
      </c>
      <c r="F101" s="455">
        <f>+D101/$Z101*100</f>
        <v>48.956312155536033</v>
      </c>
      <c r="G101" s="455">
        <f>qtrSales!G295</f>
        <v>-7.6</v>
      </c>
      <c r="H101" s="455"/>
      <c r="J101" s="440">
        <v>173.14599999999999</v>
      </c>
      <c r="K101" s="453">
        <f>(J101/J94-1)*100</f>
        <v>4.5472934214895844</v>
      </c>
      <c r="L101" s="455">
        <f>+J101/$Z101*100</f>
        <v>47.857620634946954</v>
      </c>
      <c r="M101" s="455">
        <f>qtrSales!G472</f>
        <v>-4.0999999999999996</v>
      </c>
      <c r="N101" s="455"/>
      <c r="P101" s="440">
        <v>9.2149999999999999</v>
      </c>
      <c r="Q101" s="451">
        <f>(P101/P94-1)*100</f>
        <v>18.765304807320526</v>
      </c>
      <c r="R101" s="455">
        <f>+P101/$Z101*100</f>
        <v>2.5470295250888628</v>
      </c>
      <c r="S101" s="455">
        <f>qtrSales!G579</f>
        <v>-15.9</v>
      </c>
      <c r="T101" s="455"/>
      <c r="W101" s="440">
        <v>2.3119999999999998</v>
      </c>
      <c r="X101" s="451">
        <f>(W101/W94-1)*100</f>
        <v>-11.349693251533754</v>
      </c>
      <c r="Z101" s="441">
        <f>+D101+J101+P101+W101</f>
        <v>361.79399999999998</v>
      </c>
      <c r="AA101" s="451">
        <f>(Z101/Z94-1)*100</f>
        <v>-1.09351164863285</v>
      </c>
      <c r="AB101" s="456">
        <f>qtrSales!G118</f>
        <v>-6</v>
      </c>
      <c r="AC101" s="416"/>
      <c r="AD101" s="462">
        <v>70.926000000000002</v>
      </c>
      <c r="AE101" s="451">
        <f>(AD101/AD94-1)*100</f>
        <v>17.236933452345539</v>
      </c>
      <c r="AF101" s="416"/>
      <c r="AG101" s="436">
        <f>+Z101+AD101</f>
        <v>432.71999999999997</v>
      </c>
      <c r="AH101" s="452">
        <f>(AG101/AG94-1)*100</f>
        <v>1.5078866129319746</v>
      </c>
      <c r="AI101" s="416"/>
      <c r="AJ101" s="547">
        <v>25.905999999999999</v>
      </c>
      <c r="AK101" s="462"/>
      <c r="AL101" s="452">
        <f>(AJ101/AJ94-1)*100</f>
        <v>-7.4884833767810637</v>
      </c>
      <c r="AM101" s="416"/>
      <c r="AN101" s="547"/>
      <c r="AO101" s="462"/>
      <c r="AP101" s="452"/>
      <c r="AQ101" s="416"/>
      <c r="AR101" s="441">
        <f>+AG101+AJ101</f>
        <v>458.62599999999998</v>
      </c>
      <c r="AS101" s="452">
        <f>(AR101/AR94-1)*100</f>
        <v>0.95334529325656892</v>
      </c>
      <c r="AU101" s="461">
        <v>-3</v>
      </c>
      <c r="AV101" s="470">
        <f>(D94/AG94)*G101+(J94/AG94)*M101+(P94/AG94)*S101+(AD94/AG94)*AE101</f>
        <v>-2.8200407232601123</v>
      </c>
      <c r="AW101" s="470"/>
      <c r="AX101" s="442">
        <f>77.166</f>
        <v>77.165999999999997</v>
      </c>
      <c r="AY101" s="470">
        <f>(AX101/AG101)*100</f>
        <v>17.832778702163061</v>
      </c>
      <c r="AZ101" s="459"/>
      <c r="BA101" s="462">
        <f>6.244</f>
        <v>6.2439999999999998</v>
      </c>
      <c r="BB101" s="470">
        <f>(BA101/AJ101)*100</f>
        <v>24.102524511696132</v>
      </c>
      <c r="BC101" s="416"/>
      <c r="BD101" s="462">
        <v>1.6E-2</v>
      </c>
      <c r="BF101" s="467">
        <v>-4.9850000000000003</v>
      </c>
      <c r="BH101" s="472">
        <f>AX101+BA101+BD101+BF101</f>
        <v>78.441000000000003</v>
      </c>
      <c r="BJ101" s="472">
        <f>'qtrP&amp;L'!BO51</f>
        <v>78.440999999999946</v>
      </c>
      <c r="BL101" s="467">
        <v>-4.9850000000000003</v>
      </c>
      <c r="BM101" s="467"/>
      <c r="BN101" s="467">
        <v>-4.9850000000000003</v>
      </c>
      <c r="BP101" s="442">
        <v>414.54</v>
      </c>
      <c r="BQ101" s="442"/>
      <c r="BR101" s="442">
        <v>44.085999999999999</v>
      </c>
    </row>
    <row r="102" spans="1:71" hidden="1" outlineLevel="2">
      <c r="A102" s="410" t="s">
        <v>249</v>
      </c>
      <c r="B102" s="410" t="s">
        <v>226</v>
      </c>
      <c r="D102" s="440">
        <v>202.322</v>
      </c>
      <c r="E102" s="453">
        <f>(D102/D95-1)*100</f>
        <v>-2.8815552622104779</v>
      </c>
      <c r="F102" s="455">
        <f>+D102/$Z102*100</f>
        <v>51.138549420551769</v>
      </c>
      <c r="G102" s="455">
        <f>qtrSales!G296</f>
        <v>-5.2</v>
      </c>
      <c r="H102" s="455"/>
      <c r="J102" s="440">
        <v>181.62</v>
      </c>
      <c r="K102" s="453">
        <f>(J102/J95-1)*100</f>
        <v>14.332838113464108</v>
      </c>
      <c r="L102" s="455">
        <f>+J102/$Z102*100</f>
        <v>45.905948664804683</v>
      </c>
      <c r="M102" s="455">
        <f>qtrSales!G473</f>
        <v>2.9</v>
      </c>
      <c r="N102" s="455"/>
      <c r="P102" s="440">
        <v>10.486000000000001</v>
      </c>
      <c r="Q102" s="451">
        <f>(P102/P95-1)*100</f>
        <v>8.0919492835790141</v>
      </c>
      <c r="R102" s="455">
        <f>+P102/$Z102*100</f>
        <v>2.650422738129842</v>
      </c>
      <c r="S102" s="455">
        <f>qtrSales!G580</f>
        <v>-12.6</v>
      </c>
      <c r="T102" s="455"/>
      <c r="W102" s="440">
        <v>1.2070000000000001</v>
      </c>
      <c r="X102" s="451">
        <f>(W102/W95-1)*100</f>
        <v>-4.6603475513428023</v>
      </c>
      <c r="Z102" s="441">
        <f>+D102+J102+P102+W102</f>
        <v>395.63499999999999</v>
      </c>
      <c r="AA102" s="451">
        <f>(Z102/Z95-1)*100</f>
        <v>4.6254865871202311</v>
      </c>
      <c r="AB102" s="456">
        <f>qtrSales!G119</f>
        <v>-1.9</v>
      </c>
      <c r="AC102" s="416"/>
      <c r="AD102" s="462">
        <v>79.772000000000006</v>
      </c>
      <c r="AE102" s="451">
        <f>(AD102/AD95-1)*100</f>
        <v>21.02069300321623</v>
      </c>
      <c r="AF102" s="416"/>
      <c r="AG102" s="436">
        <f>+Z102+AD102</f>
        <v>475.40699999999998</v>
      </c>
      <c r="AH102" s="452">
        <f>(AG102/AG95-1)*100</f>
        <v>7.0591811917308345</v>
      </c>
      <c r="AI102" s="416"/>
      <c r="AJ102" s="547">
        <v>30.492999999999999</v>
      </c>
      <c r="AK102" s="462"/>
      <c r="AL102" s="452">
        <f>(AJ102/AJ95-1)*100</f>
        <v>-10.031569940695729</v>
      </c>
      <c r="AM102" s="416"/>
      <c r="AN102" s="547"/>
      <c r="AO102" s="462"/>
      <c r="AP102" s="452"/>
      <c r="AQ102" s="416"/>
      <c r="AR102" s="441">
        <f>+AG102+AJ102</f>
        <v>505.9</v>
      </c>
      <c r="AS102" s="452">
        <f>(AR102/AR95-1)*100</f>
        <v>5.8472276562758108</v>
      </c>
      <c r="AU102" s="461">
        <v>2</v>
      </c>
      <c r="AV102" s="470">
        <f>(D95/AG95)*G102+(J95/AG95)*M102+(P95/AG95)*S102+(AD95/AG95)*AE102</f>
        <v>1.4429315858217375</v>
      </c>
      <c r="AW102" s="470"/>
      <c r="AX102" s="442">
        <v>93.18</v>
      </c>
      <c r="AY102" s="470">
        <f>(AX102/AG102)*100</f>
        <v>19.600047958906792</v>
      </c>
      <c r="AZ102" s="459"/>
      <c r="BA102" s="462">
        <v>8.109</v>
      </c>
      <c r="BB102" s="470">
        <f>(BA102/AJ102)*100</f>
        <v>26.592988554750274</v>
      </c>
      <c r="BC102" s="416"/>
      <c r="BD102" s="462">
        <v>-1.4999999999999999E-2</v>
      </c>
      <c r="BF102" s="462">
        <v>-5.5129999999999999</v>
      </c>
      <c r="BH102" s="472">
        <f>AX102+BA102+BD102+BF102</f>
        <v>95.760999999999996</v>
      </c>
      <c r="BJ102" s="472">
        <f>'qtrP&amp;L'!BO52</f>
        <v>95.760999999999967</v>
      </c>
      <c r="BL102" s="462">
        <v>-5.5129999999999999</v>
      </c>
      <c r="BM102" s="462"/>
      <c r="BN102" s="462">
        <v>-5.5129999999999999</v>
      </c>
      <c r="BP102" s="442">
        <v>457.66300000000001</v>
      </c>
      <c r="BQ102" s="466"/>
      <c r="BR102" s="442">
        <v>48.237000000000002</v>
      </c>
      <c r="BS102" s="466"/>
    </row>
    <row r="103" spans="1:71" hidden="1" outlineLevel="2">
      <c r="A103" s="410" t="s">
        <v>250</v>
      </c>
      <c r="B103" s="410" t="s">
        <v>227</v>
      </c>
      <c r="D103" s="447">
        <v>227.858</v>
      </c>
      <c r="E103" s="453">
        <f>(D103/D96-1)*100</f>
        <v>6.7575608499074624</v>
      </c>
      <c r="F103" s="455">
        <f>+D103/$Z103*100</f>
        <v>50.324886146289316</v>
      </c>
      <c r="G103" s="455">
        <f>qtrSales!G297</f>
        <v>0</v>
      </c>
      <c r="H103" s="455"/>
      <c r="J103" s="447">
        <v>211.74</v>
      </c>
      <c r="K103" s="453">
        <f>(J103/J96-1)*100</f>
        <v>23.03455008193005</v>
      </c>
      <c r="L103" s="455">
        <f>+J103/$Z103*100</f>
        <v>46.765052763630422</v>
      </c>
      <c r="M103" s="455">
        <f>qtrSales!G474</f>
        <v>10</v>
      </c>
      <c r="N103" s="455"/>
      <c r="P103" s="447">
        <v>11.738</v>
      </c>
      <c r="Q103" s="451">
        <f>(P103/P96-1)*100</f>
        <v>22.423863162286196</v>
      </c>
      <c r="R103" s="455">
        <f>+P103/$Z103*100</f>
        <v>2.5924633481604511</v>
      </c>
      <c r="S103" s="455">
        <f>qtrSales!G581</f>
        <v>11</v>
      </c>
      <c r="T103" s="455"/>
      <c r="W103" s="447">
        <v>1.4379999999999999</v>
      </c>
      <c r="X103" s="451">
        <f>(W103/W96-1)*100</f>
        <v>23.433476394849784</v>
      </c>
      <c r="Z103" s="441">
        <f>+D103+J103+P103+W103</f>
        <v>452.774</v>
      </c>
      <c r="AA103" s="451">
        <f>(Z103/Z96-1)*100</f>
        <v>14.254351655117748</v>
      </c>
      <c r="AB103" s="456">
        <f>qtrSales!G120</f>
        <v>4</v>
      </c>
      <c r="AC103" s="416"/>
      <c r="AD103" s="462">
        <v>112.23099999999999</v>
      </c>
      <c r="AE103" s="451">
        <f>(AD103/AD96-1)*100</f>
        <v>27.81118323653342</v>
      </c>
      <c r="AF103" s="416"/>
      <c r="AG103" s="463">
        <f>+Z103+AD103</f>
        <v>565.005</v>
      </c>
      <c r="AH103" s="452">
        <f>(AG103/AG96-1)*100</f>
        <v>16.713420478582751</v>
      </c>
      <c r="AI103" s="416"/>
      <c r="AJ103" s="464">
        <v>23.488</v>
      </c>
      <c r="AK103" s="462"/>
      <c r="AL103" s="452">
        <f>(AJ103/AJ96-1)*100</f>
        <v>-2.0598782420148454</v>
      </c>
      <c r="AM103" s="416"/>
      <c r="AN103" s="464"/>
      <c r="AO103" s="462"/>
      <c r="AP103" s="452"/>
      <c r="AQ103" s="416"/>
      <c r="AR103" s="446">
        <f>+AG103+AJ103</f>
        <v>588.49299999999994</v>
      </c>
      <c r="AS103" s="452">
        <f>(AR103/AR96-1)*100</f>
        <v>15.827294234349809</v>
      </c>
      <c r="AU103" s="461">
        <v>9</v>
      </c>
      <c r="AV103" s="470">
        <f>(D96/AG96)*G103+(J96/AG96)*M103+(P96/AG96)*S103+(AD96/AG96)*AE103</f>
        <v>8.8175651110523514</v>
      </c>
      <c r="AW103" s="470"/>
      <c r="AX103" s="447">
        <f>AX104-AX102-AX101-AX100</f>
        <v>121.09999999999997</v>
      </c>
      <c r="AY103" s="470">
        <f>(AX103/AG103)*100</f>
        <v>21.433438642135904</v>
      </c>
      <c r="AZ103" s="459"/>
      <c r="BA103" s="468">
        <f>BA104-BA102-BA101-BA100</f>
        <v>4.1090000000000018</v>
      </c>
      <c r="BB103" s="470">
        <f>(BA103/AJ103)*100</f>
        <v>17.494039509536794</v>
      </c>
      <c r="BC103" s="416"/>
      <c r="BD103" s="468">
        <f>BD104-BD102-BD101-BD100</f>
        <v>-5.1000000000000018E-2</v>
      </c>
      <c r="BF103" s="468">
        <f>BF104-BF102-BF101-BF100</f>
        <v>-6.4959999999999978</v>
      </c>
      <c r="BH103" s="473">
        <f>BH104-BH102-BH101-BH100</f>
        <v>118.66199999999998</v>
      </c>
      <c r="BJ103" s="473">
        <f>'qtrP&amp;L'!BO53</f>
        <v>118.66200000000006</v>
      </c>
      <c r="BL103" s="468">
        <f>BL104-BL102-BL101-BL100</f>
        <v>-6.4959999999999978</v>
      </c>
      <c r="BM103" s="468"/>
      <c r="BN103" s="468">
        <f>BN104-BN102-BN101-BN100</f>
        <v>-6.4959999999999978</v>
      </c>
      <c r="BP103" s="444">
        <f>BP104-SUM(BP100:BP102)</f>
        <v>529.452</v>
      </c>
      <c r="BQ103" s="462"/>
      <c r="BR103" s="444">
        <f>BR104-SUM(BR100:BR102)</f>
        <v>59.040999999999997</v>
      </c>
    </row>
    <row r="104" spans="1:71" hidden="1" outlineLevel="2">
      <c r="B104" s="410" t="s">
        <v>251</v>
      </c>
      <c r="D104" s="449">
        <f>qtrSales!X298</f>
        <v>760.13300000000004</v>
      </c>
      <c r="E104" s="453">
        <f>(D104/D97-1)*100</f>
        <v>-1.455736735799773</v>
      </c>
      <c r="F104" s="455">
        <f>+D104/$Z104*100</f>
        <v>50.340133801856183</v>
      </c>
      <c r="G104" s="455">
        <f>qtrSales!G298</f>
        <v>-4</v>
      </c>
      <c r="H104" s="455"/>
      <c r="J104" s="449">
        <f>qtrSales!X475</f>
        <v>704.84899999999993</v>
      </c>
      <c r="K104" s="453">
        <f>(J104/J97-1)*100</f>
        <v>9.7620378690079121</v>
      </c>
      <c r="L104" s="455">
        <f>+J104/$Z104*100</f>
        <v>46.678927201035243</v>
      </c>
      <c r="M104" s="455">
        <f>qtrSales!G475</f>
        <v>-0.6</v>
      </c>
      <c r="N104" s="455"/>
      <c r="P104" s="449">
        <f>qtrSales!X582</f>
        <v>38.751999999999995</v>
      </c>
      <c r="Q104" s="453">
        <f>(P104/P97-1)*100</f>
        <v>17.762178259944683</v>
      </c>
      <c r="R104" s="455">
        <f>+P104/$Z104*100</f>
        <v>2.56636781338204</v>
      </c>
      <c r="S104" s="455">
        <f>qtrSales!G582</f>
        <v>-11</v>
      </c>
      <c r="T104" s="455"/>
      <c r="W104" s="449">
        <f>qtrSales!X725</f>
        <v>6.26</v>
      </c>
      <c r="X104" s="453">
        <f>(W104/W97-1)*100</f>
        <v>10.678925035360676</v>
      </c>
      <c r="Z104" s="436">
        <f>+SUM(Z100:Z103)</f>
        <v>1509.9939999999997</v>
      </c>
      <c r="AA104" s="451">
        <f>(Z104/Z97-1)*100</f>
        <v>3.9879180709682327</v>
      </c>
      <c r="AB104" s="456">
        <f>qtrSales!G121</f>
        <v>-2.6419761270574589</v>
      </c>
      <c r="AC104" s="416"/>
      <c r="AD104" s="439">
        <f>+SUM(AD100:AD103)</f>
        <v>323.73899999999998</v>
      </c>
      <c r="AE104" s="451">
        <f>(AD104/AD97-1)*100</f>
        <v>18.815511318594204</v>
      </c>
      <c r="AF104" s="416"/>
      <c r="AG104" s="436">
        <f>+SUM(AG100:AG103)</f>
        <v>1833.7329999999997</v>
      </c>
      <c r="AH104" s="452">
        <f>(AG104/AG97-1)*100</f>
        <v>6.330607610761696</v>
      </c>
      <c r="AI104" s="416"/>
      <c r="AJ104" s="436">
        <f>+SUM(AJ100:AJ103)</f>
        <v>104.08199999999999</v>
      </c>
      <c r="AK104" s="439"/>
      <c r="AL104" s="452">
        <f>(AJ104/AJ97-1)*100</f>
        <v>-5.4315827730328952</v>
      </c>
      <c r="AM104" s="416"/>
      <c r="AN104" s="436"/>
      <c r="AO104" s="439"/>
      <c r="AP104" s="452"/>
      <c r="AQ104" s="416"/>
      <c r="AR104" s="436">
        <f>+SUM(AR100:AR103)</f>
        <v>1937.8149999999998</v>
      </c>
      <c r="AS104" s="452">
        <f>(AR104/AR97-1)*100</f>
        <v>5.6249856918442864</v>
      </c>
      <c r="AU104" s="461">
        <v>1</v>
      </c>
      <c r="AV104" s="480"/>
      <c r="AW104" s="481"/>
      <c r="AX104" s="437">
        <v>338.11399999999998</v>
      </c>
      <c r="AY104" s="470">
        <f>(AX104/AG104)*100</f>
        <v>18.438562211619686</v>
      </c>
      <c r="AZ104" s="454"/>
      <c r="BA104" s="435">
        <v>22.164000000000001</v>
      </c>
      <c r="BB104" s="470">
        <f>(BA104/AJ104)*100</f>
        <v>21.294748371476338</v>
      </c>
      <c r="BD104" s="435">
        <v>-0.20200000000000001</v>
      </c>
      <c r="BE104" s="435"/>
      <c r="BF104" s="435">
        <v>-21.091999999999999</v>
      </c>
      <c r="BH104" s="449">
        <f>AX104+BA104+BD104+BF104</f>
        <v>338.98399999999998</v>
      </c>
      <c r="BJ104" s="449">
        <f>'qtrP&amp;L'!BO54</f>
        <v>338.98399999999992</v>
      </c>
      <c r="BL104" s="435">
        <v>-21.091999999999999</v>
      </c>
      <c r="BM104" s="435"/>
      <c r="BN104" s="435">
        <v>-21.091999999999999</v>
      </c>
      <c r="BP104" s="462">
        <v>1752.787</v>
      </c>
      <c r="BQ104" s="466">
        <f>BP104/AR104</f>
        <v>0.90451720107440603</v>
      </c>
      <c r="BR104" s="462">
        <v>185.02799999999999</v>
      </c>
      <c r="BS104" s="466">
        <f>BR104/AR104</f>
        <v>9.548279892559404E-2</v>
      </c>
    </row>
    <row r="105" spans="1:71" hidden="1" outlineLevel="2">
      <c r="D105" s="482">
        <f>D104/$AR104</f>
        <v>0.39226293531632284</v>
      </c>
      <c r="E105" s="453"/>
      <c r="F105" s="455"/>
      <c r="G105" s="455"/>
      <c r="H105" s="455"/>
      <c r="I105" s="482"/>
      <c r="J105" s="482">
        <f>J104/$AR104</f>
        <v>0.36373389616655871</v>
      </c>
      <c r="K105" s="453"/>
      <c r="L105" s="455"/>
      <c r="M105" s="455"/>
      <c r="N105" s="455"/>
      <c r="P105" s="482">
        <f>P104/$AR104</f>
        <v>1.9997781005926779E-2</v>
      </c>
      <c r="Q105" s="453"/>
      <c r="R105" s="455"/>
      <c r="S105" s="455"/>
      <c r="T105" s="455"/>
      <c r="W105" s="482">
        <f>W104/$AR104</f>
        <v>3.2304425345040678E-3</v>
      </c>
      <c r="X105" s="453"/>
      <c r="Z105" s="436"/>
      <c r="AA105" s="451"/>
      <c r="AB105" s="456"/>
      <c r="AC105" s="416"/>
      <c r="AD105" s="483">
        <f>AD104/AR104</f>
        <v>0.16706393541179113</v>
      </c>
      <c r="AE105" s="451"/>
      <c r="AF105" s="416"/>
      <c r="AG105" s="484">
        <f>AG104/$AR104</f>
        <v>0.94628899043510339</v>
      </c>
      <c r="AH105" s="452"/>
      <c r="AI105" s="483"/>
      <c r="AJ105" s="484">
        <f>AJ104/$AR104</f>
        <v>5.371100956489655E-2</v>
      </c>
      <c r="AK105" s="483"/>
      <c r="AL105" s="452"/>
      <c r="AM105" s="483"/>
      <c r="AN105" s="484"/>
      <c r="AO105" s="483"/>
      <c r="AP105" s="452"/>
      <c r="AQ105" s="483"/>
      <c r="AR105" s="436">
        <f>AR104*0.055</f>
        <v>106.57982499999999</v>
      </c>
      <c r="AS105" s="452"/>
      <c r="AV105" s="416"/>
      <c r="AX105" s="437"/>
      <c r="AY105" s="453"/>
      <c r="AZ105" s="454"/>
      <c r="BA105" s="435"/>
      <c r="BB105" s="453"/>
      <c r="BD105" s="454"/>
      <c r="BF105" s="454"/>
      <c r="BL105" s="454"/>
      <c r="BM105" s="454"/>
      <c r="BN105" s="454"/>
      <c r="BP105" s="462"/>
      <c r="BR105" s="462"/>
    </row>
    <row r="106" spans="1:71" ht="15" hidden="1" customHeight="1" outlineLevel="2" collapsed="1">
      <c r="B106" s="412"/>
      <c r="C106" s="412"/>
      <c r="D106" s="412"/>
      <c r="E106" s="412"/>
      <c r="F106" s="412"/>
      <c r="G106" s="485"/>
      <c r="H106" s="455"/>
      <c r="M106" s="455"/>
      <c r="N106" s="455"/>
      <c r="S106" s="455"/>
      <c r="T106" s="455"/>
      <c r="Z106" s="432"/>
      <c r="AA106" s="416"/>
      <c r="AB106" s="433"/>
      <c r="AC106" s="416"/>
      <c r="AD106" s="416"/>
      <c r="AE106" s="416"/>
      <c r="AF106" s="416"/>
      <c r="AG106" s="432"/>
      <c r="AH106" s="433"/>
      <c r="AI106" s="416"/>
      <c r="AJ106" s="546"/>
      <c r="AK106" s="458"/>
      <c r="AL106" s="433"/>
      <c r="AM106" s="416"/>
      <c r="AN106" s="546"/>
      <c r="AO106" s="458"/>
      <c r="AP106" s="433"/>
      <c r="AQ106" s="416"/>
      <c r="AR106" s="432"/>
      <c r="AS106" s="433"/>
      <c r="AV106" s="416"/>
      <c r="AX106" s="459"/>
      <c r="AY106" s="416"/>
      <c r="AZ106" s="459"/>
      <c r="BA106" s="474"/>
      <c r="BB106" s="416"/>
      <c r="BC106" s="416"/>
      <c r="BD106" s="459"/>
      <c r="BF106" s="454"/>
      <c r="BL106" s="454"/>
      <c r="BM106" s="454"/>
      <c r="BN106" s="454"/>
      <c r="BP106" s="442"/>
      <c r="BQ106" s="442"/>
      <c r="BR106" s="442"/>
    </row>
    <row r="107" spans="1:71" hidden="1" outlineLevel="3">
      <c r="B107" s="431">
        <f>qtrSales!B123</f>
        <v>2010</v>
      </c>
      <c r="G107" s="455"/>
      <c r="H107" s="455"/>
      <c r="J107" s="476"/>
      <c r="M107" s="455"/>
      <c r="N107" s="455"/>
      <c r="P107" s="471"/>
      <c r="S107" s="455"/>
      <c r="T107" s="455"/>
      <c r="W107" s="471"/>
      <c r="Z107" s="432" t="s">
        <v>101</v>
      </c>
      <c r="AA107" s="416"/>
      <c r="AB107" s="433"/>
      <c r="AC107" s="416"/>
      <c r="AD107" s="416"/>
      <c r="AE107" s="416"/>
      <c r="AF107" s="416"/>
      <c r="AG107" s="441"/>
      <c r="AH107" s="433"/>
      <c r="AI107" s="416"/>
      <c r="AJ107" s="478"/>
      <c r="AK107" s="465"/>
      <c r="AL107" s="433"/>
      <c r="AM107" s="416"/>
      <c r="AN107" s="478"/>
      <c r="AO107" s="465"/>
      <c r="AP107" s="433"/>
      <c r="AQ107" s="416"/>
      <c r="AR107" s="432"/>
      <c r="AS107" s="433"/>
      <c r="AV107" s="416"/>
      <c r="AX107" s="459"/>
      <c r="AY107" s="416"/>
      <c r="AZ107" s="459"/>
      <c r="BA107" s="459"/>
      <c r="BB107" s="416"/>
      <c r="BC107" s="416"/>
      <c r="BD107" s="459"/>
      <c r="BF107" s="454"/>
      <c r="BL107" s="454"/>
      <c r="BM107" s="454"/>
      <c r="BN107" s="454"/>
      <c r="BP107" s="442"/>
      <c r="BQ107" s="466"/>
      <c r="BR107" s="442"/>
      <c r="BS107" s="466"/>
    </row>
    <row r="108" spans="1:71" hidden="1" outlineLevel="3">
      <c r="A108" s="410" t="s">
        <v>247</v>
      </c>
      <c r="B108" s="410" t="s">
        <v>224</v>
      </c>
      <c r="D108" s="437">
        <v>174.25899999999999</v>
      </c>
      <c r="E108" s="453">
        <f>(D108/D100-1)*100</f>
        <v>14.019969639866003</v>
      </c>
      <c r="F108" s="455">
        <f>+D108/$AG108*100</f>
        <v>46.949832956137513</v>
      </c>
      <c r="G108" s="486">
        <f>qtrSales!G301</f>
        <v>6</v>
      </c>
      <c r="H108" s="487">
        <v>9</v>
      </c>
      <c r="J108" s="437">
        <v>182.70500000000001</v>
      </c>
      <c r="K108" s="453">
        <f>(J108/J100-1)*100</f>
        <v>32.066674858865298</v>
      </c>
      <c r="L108" s="455">
        <f>+J108/$Z108*100</f>
        <v>49.22540144412114</v>
      </c>
      <c r="M108" s="486">
        <f>qtrSales!G478</f>
        <v>15</v>
      </c>
      <c r="N108" s="487">
        <v>22</v>
      </c>
      <c r="P108" s="437">
        <v>9.9870000000000001</v>
      </c>
      <c r="Q108" s="451">
        <f>(P108/P100-1)*100</f>
        <v>36.565021195131962</v>
      </c>
      <c r="R108" s="455">
        <f>+P108/$Z108*100</f>
        <v>2.6907533139346911</v>
      </c>
      <c r="S108" s="486">
        <f>qtrSales!G585</f>
        <v>21</v>
      </c>
      <c r="T108" s="487">
        <v>25</v>
      </c>
      <c r="V108" s="449">
        <f>D108+J108+P108</f>
        <v>366.95100000000002</v>
      </c>
      <c r="W108" s="437">
        <v>4.2089999999999996</v>
      </c>
      <c r="X108" s="451"/>
      <c r="Z108" s="436">
        <v>371.16</v>
      </c>
      <c r="AA108" s="451">
        <v>23.806251688676472</v>
      </c>
      <c r="AB108" s="456">
        <v>16</v>
      </c>
      <c r="AC108" s="416"/>
      <c r="AD108" s="437">
        <v>86.266999999999996</v>
      </c>
      <c r="AE108" s="451">
        <f>(AD108/AD100-1)*100</f>
        <v>41.863180397960839</v>
      </c>
      <c r="AF108" s="416"/>
      <c r="AG108" s="436">
        <f>D108+J108+P108+W108</f>
        <v>371.16</v>
      </c>
      <c r="AH108" s="452">
        <f>(AG108/AG100-1)*100</f>
        <v>2.9281671431859779</v>
      </c>
      <c r="AI108" s="416"/>
      <c r="AJ108" s="492">
        <v>25.152999999999999</v>
      </c>
      <c r="AK108" s="466">
        <f>AJ108/AR108</f>
        <v>5.2121927970491935E-2</v>
      </c>
      <c r="AL108" s="452">
        <f>(AJ108/AJ100-1)*100</f>
        <v>3.9594957635875172</v>
      </c>
      <c r="AM108" s="416"/>
      <c r="AN108" s="492"/>
      <c r="AO108" s="466"/>
      <c r="AP108" s="452"/>
      <c r="AQ108" s="416"/>
      <c r="AR108" s="436">
        <f>+AG108+AJ108+AD108</f>
        <v>482.58000000000004</v>
      </c>
      <c r="AS108" s="452">
        <f>(AR108/AR100-1)*100</f>
        <v>25.411906568675381</v>
      </c>
      <c r="AU108" s="461">
        <v>16</v>
      </c>
      <c r="AV108" s="470">
        <f>(D100/AG100)*G108+(J100/AG100)*M108+(P100/AG100)*S108+(AD100/AG100)*AE108</f>
        <v>15.783123174921865</v>
      </c>
      <c r="AW108" s="470"/>
      <c r="AX108" s="437">
        <v>83.858000000000004</v>
      </c>
      <c r="AY108" s="470">
        <f>(AX108/AG108)*100</f>
        <v>22.593490677874769</v>
      </c>
      <c r="AZ108" s="459"/>
      <c r="BA108" s="437">
        <v>5.1630000000000003</v>
      </c>
      <c r="BB108" s="470">
        <f>(BA108/AJ108)*100</f>
        <v>20.526378563193258</v>
      </c>
      <c r="BC108" s="416"/>
      <c r="BD108" s="462">
        <v>-6.5000000000000002E-2</v>
      </c>
      <c r="BF108" s="467">
        <v>-6.7450000000000001</v>
      </c>
      <c r="BH108" s="449">
        <f>AX108+BA108+BD108+BF108</f>
        <v>82.210999999999999</v>
      </c>
      <c r="BJ108" s="449">
        <f>'qtrP&amp;L'!BS50</f>
        <v>82.210999999999999</v>
      </c>
      <c r="BL108" s="467">
        <v>-6.7450000000000001</v>
      </c>
      <c r="BM108" s="467"/>
      <c r="BN108" s="467">
        <v>-6.7450000000000001</v>
      </c>
      <c r="BP108" s="462">
        <v>433.98500000000001</v>
      </c>
      <c r="BQ108" s="462"/>
      <c r="BR108" s="462">
        <v>45.975999999999999</v>
      </c>
    </row>
    <row r="109" spans="1:71" hidden="1" outlineLevel="3">
      <c r="A109" s="410" t="s">
        <v>248</v>
      </c>
      <c r="B109" s="410" t="s">
        <v>225</v>
      </c>
      <c r="D109" s="440">
        <f>('qtrP&amp;L'!BS10+'qtrP&amp;L'!BS11)*(0.314+0.05)-D108</f>
        <v>201.43267999999998</v>
      </c>
      <c r="E109" s="453">
        <f>(D109/D101-1)*100</f>
        <v>13.726029098751692</v>
      </c>
      <c r="F109" s="455">
        <f>+D109/$AG109*100</f>
        <v>47.005353353836227</v>
      </c>
      <c r="G109" s="486">
        <f>qtrSales!G302</f>
        <v>7</v>
      </c>
      <c r="H109" s="487">
        <v>9.1999999999999993</v>
      </c>
      <c r="J109" s="440">
        <v>209.71315999999999</v>
      </c>
      <c r="K109" s="453">
        <f>(J109/J101-1)*100</f>
        <v>21.119263511718444</v>
      </c>
      <c r="L109" s="455">
        <f>+J109/$Z109*100</f>
        <v>48.937646010317657</v>
      </c>
      <c r="M109" s="486">
        <f>qtrSales!G479</f>
        <v>5</v>
      </c>
      <c r="N109" s="487">
        <v>12.7</v>
      </c>
      <c r="P109" s="440">
        <f>('qtrP&amp;L'!BS10+'qtrP&amp;L'!BS11)*(0.021)-P108</f>
        <v>11.687519999999997</v>
      </c>
      <c r="Q109" s="451">
        <f>(P109/P101-1)*100</f>
        <v>26.831470428648906</v>
      </c>
      <c r="R109" s="455">
        <f>+P109/$Z109*100</f>
        <v>2.7273429883871274</v>
      </c>
      <c r="S109" s="486">
        <f>qtrSales!G586</f>
        <v>23</v>
      </c>
      <c r="T109" s="487">
        <v>23.8</v>
      </c>
      <c r="V109" s="449">
        <f t="shared" ref="V109:V134" si="0">D109+J109+P109</f>
        <v>422.83335999999997</v>
      </c>
      <c r="W109" s="440">
        <v>5.6980000000000004</v>
      </c>
      <c r="X109" s="451"/>
      <c r="Z109" s="441">
        <v>428.53135999999995</v>
      </c>
      <c r="AA109" s="451">
        <v>18.446231833584847</v>
      </c>
      <c r="AB109" s="456">
        <v>11</v>
      </c>
      <c r="AC109" s="416"/>
      <c r="AD109" s="462">
        <v>96.570999999999998</v>
      </c>
      <c r="AE109" s="451">
        <f>(AD109/AD101-1)*100</f>
        <v>36.157403490962416</v>
      </c>
      <c r="AF109" s="416"/>
      <c r="AG109" s="436">
        <f>D109+J109+P109+W109</f>
        <v>428.53135999999995</v>
      </c>
      <c r="AH109" s="452">
        <f>(AG109/AG101-1)*100</f>
        <v>-0.96797929376964964</v>
      </c>
      <c r="AI109" s="416"/>
      <c r="AJ109" s="547">
        <v>29.933</v>
      </c>
      <c r="AK109" s="466">
        <f>AJ109/AR109</f>
        <v>5.392989736725963E-2</v>
      </c>
      <c r="AL109" s="452">
        <f>(AJ109/AJ101-1)*100</f>
        <v>15.544661468385712</v>
      </c>
      <c r="AM109" s="416"/>
      <c r="AN109" s="547"/>
      <c r="AO109" s="466"/>
      <c r="AP109" s="452"/>
      <c r="AQ109" s="416"/>
      <c r="AR109" s="441">
        <f>+AG109+AJ109+AD109</f>
        <v>555.03535999999997</v>
      </c>
      <c r="AS109" s="452">
        <f>(AR109/AR101-1)*100</f>
        <v>21.021346369372871</v>
      </c>
      <c r="AU109" s="461">
        <v>11</v>
      </c>
      <c r="AV109" s="470">
        <f>(D101/AG101)*G109+(J101/AG101)*M109+(P101/AG101)*S109+(AD101/AG101)*AE109</f>
        <v>11.282173229802183</v>
      </c>
      <c r="AW109" s="470"/>
      <c r="AX109" s="442">
        <v>108.17400000000001</v>
      </c>
      <c r="AY109" s="470">
        <f>(AX109/AG109)*100</f>
        <v>25.242960048478135</v>
      </c>
      <c r="AZ109" s="459"/>
      <c r="BA109" s="462">
        <v>6.7039999999999997</v>
      </c>
      <c r="BB109" s="470">
        <f>(BA109/AJ109)*100</f>
        <v>22.396685931914607</v>
      </c>
      <c r="BC109" s="416"/>
      <c r="BD109" s="462">
        <v>-0.11899999999999999</v>
      </c>
      <c r="BF109" s="467">
        <v>-7.89</v>
      </c>
      <c r="BH109" s="472">
        <f>AX109+BA109+BD109+BF109</f>
        <v>106.869</v>
      </c>
      <c r="BJ109" s="472">
        <f>'qtrP&amp;L'!BS51</f>
        <v>106.869</v>
      </c>
      <c r="BL109" s="467">
        <v>-7.89</v>
      </c>
      <c r="BM109" s="467"/>
      <c r="BN109" s="467">
        <v>-7.89</v>
      </c>
      <c r="BP109" s="462">
        <v>495.98</v>
      </c>
      <c r="BQ109" s="462"/>
      <c r="BR109" s="462">
        <v>56.179000000000002</v>
      </c>
    </row>
    <row r="110" spans="1:71" hidden="1" outlineLevel="3">
      <c r="A110" s="410" t="s">
        <v>249</v>
      </c>
      <c r="B110" s="410" t="s">
        <v>226</v>
      </c>
      <c r="D110" s="440">
        <f>SUM('qtrP&amp;L'!BS10:BS12)*(0.321+0.05)-segSales!D109-segSales!D108</f>
        <v>220.02747200000002</v>
      </c>
      <c r="E110" s="453">
        <f>(D110/D102-1)*100</f>
        <v>8.7511353189470231</v>
      </c>
      <c r="F110" s="455">
        <f>+D110/$AG110*100</f>
        <v>50.764831747130415</v>
      </c>
      <c r="G110" s="486">
        <f>qtrSales!G303</f>
        <v>1</v>
      </c>
      <c r="H110" s="487">
        <v>5</v>
      </c>
      <c r="J110" s="440">
        <f>433.425-D110-P110-W110</f>
        <v>195.804384</v>
      </c>
      <c r="K110" s="453">
        <f>(J110/J102-1)*100</f>
        <v>7.8099240171787265</v>
      </c>
      <c r="L110" s="455">
        <f>+J110/$Z110*100</f>
        <v>45.176070600449904</v>
      </c>
      <c r="M110" s="486">
        <f>qtrSales!G480</f>
        <v>-2</v>
      </c>
      <c r="N110" s="487">
        <v>5</v>
      </c>
      <c r="P110" s="440">
        <f>SUM('qtrP&amp;L'!BS10:BS12)*(0.022)-P109-P108</f>
        <v>13.651143999999997</v>
      </c>
      <c r="Q110" s="451">
        <f>(P110/P102-1)*100</f>
        <v>30.184474537478501</v>
      </c>
      <c r="R110" s="455">
        <f>+P110/$Z110*100</f>
        <v>3.1495977389398391</v>
      </c>
      <c r="S110" s="486">
        <f>qtrSales!G587</f>
        <v>20</v>
      </c>
      <c r="T110" s="487">
        <v>29</v>
      </c>
      <c r="V110" s="449">
        <f t="shared" si="0"/>
        <v>429.483</v>
      </c>
      <c r="W110" s="440">
        <v>3.9420000000000002</v>
      </c>
      <c r="X110" s="451"/>
      <c r="Z110" s="441">
        <v>433.42500000000001</v>
      </c>
      <c r="AA110" s="451">
        <v>9.5517332895219234</v>
      </c>
      <c r="AB110" s="456">
        <v>6</v>
      </c>
      <c r="AC110" s="416"/>
      <c r="AD110" s="462">
        <v>105.67</v>
      </c>
      <c r="AE110" s="451">
        <f>(AD110/AD102-1)*100</f>
        <v>32.465025322168174</v>
      </c>
      <c r="AF110" s="416"/>
      <c r="AG110" s="436">
        <f>D110+J110+P110+W110</f>
        <v>433.42500000000001</v>
      </c>
      <c r="AH110" s="452">
        <f>(AG110/AG102-1)*100</f>
        <v>-8.8307492317109322</v>
      </c>
      <c r="AI110" s="416"/>
      <c r="AJ110" s="547">
        <v>34.497</v>
      </c>
      <c r="AK110" s="466">
        <f>AJ110/AR110</f>
        <v>6.0142052190407122E-2</v>
      </c>
      <c r="AL110" s="452">
        <f>(AJ110/AJ102-1)*100</f>
        <v>13.130882497622419</v>
      </c>
      <c r="AM110" s="416"/>
      <c r="AN110" s="547"/>
      <c r="AO110" s="466"/>
      <c r="AP110" s="452"/>
      <c r="AQ110" s="416"/>
      <c r="AR110" s="441">
        <f>+AG110+AJ110+AD110</f>
        <v>573.59199999999998</v>
      </c>
      <c r="AS110" s="452">
        <f>(AR110/AR102-1)*100</f>
        <v>13.38050998220992</v>
      </c>
      <c r="AU110" s="461">
        <v>6</v>
      </c>
      <c r="AV110" s="470">
        <f>(D102/AG102)*G110+(J102/AG102)*M110+(P102/AG102)*S110+(AD102/AG102)*AE110</f>
        <v>5.5501959373757641</v>
      </c>
      <c r="AW110" s="470"/>
      <c r="AX110" s="442">
        <v>103.633</v>
      </c>
      <c r="AY110" s="470">
        <f>(AX110/AG110)*100</f>
        <v>23.910249754859546</v>
      </c>
      <c r="AZ110" s="459"/>
      <c r="BA110" s="462">
        <v>7.0359999999999996</v>
      </c>
      <c r="BB110" s="470">
        <f>(BA110/AJ110)*100</f>
        <v>20.395976461721308</v>
      </c>
      <c r="BC110" s="416"/>
      <c r="BD110" s="462">
        <v>-0.11799999999999999</v>
      </c>
      <c r="BF110" s="467">
        <v>-5.7510000000000003</v>
      </c>
      <c r="BH110" s="472">
        <f>AX110+BA110+BD110+BF110</f>
        <v>104.8</v>
      </c>
      <c r="BJ110" s="472">
        <f>'qtrP&amp;L'!BS52</f>
        <v>104.79999999999998</v>
      </c>
      <c r="BL110" s="467">
        <v>-5.7510000000000003</v>
      </c>
      <c r="BM110" s="467"/>
      <c r="BN110" s="467">
        <v>-5.7510000000000003</v>
      </c>
      <c r="BP110" s="462">
        <v>510.63600000000002</v>
      </c>
      <c r="BR110" s="462">
        <v>62.956000000000003</v>
      </c>
    </row>
    <row r="111" spans="1:71" hidden="1" outlineLevel="3">
      <c r="A111" s="410" t="s">
        <v>250</v>
      </c>
      <c r="B111" s="410" t="s">
        <v>227</v>
      </c>
      <c r="D111" s="488">
        <f>+D112-D108-D109-D110</f>
        <v>247.97268999999991</v>
      </c>
      <c r="E111" s="453">
        <f>(D111/D103-1)*100</f>
        <v>8.8277304286002334</v>
      </c>
      <c r="F111" s="455">
        <f>+D111/$AG111*100</f>
        <v>49.854735247568463</v>
      </c>
      <c r="G111" s="489">
        <f>qtrSales!G304</f>
        <v>-2</v>
      </c>
      <c r="H111" s="487">
        <v>5</v>
      </c>
      <c r="J111" s="488">
        <f>+J112-J108-J109-J110</f>
        <v>228.18007399999991</v>
      </c>
      <c r="K111" s="453">
        <f>(J111/J103-1)*100</f>
        <v>7.7642741097571966</v>
      </c>
      <c r="L111" s="455">
        <f>+J111/$Z111*100</f>
        <v>45.875443695193127</v>
      </c>
      <c r="M111" s="486">
        <f>qtrSales!G481</f>
        <v>-4</v>
      </c>
      <c r="N111" s="487">
        <v>1</v>
      </c>
      <c r="P111" s="488">
        <f>+P112-P108-P109-P110</f>
        <v>16.978681999999999</v>
      </c>
      <c r="Q111" s="451">
        <f>(P111/P103-1)*100</f>
        <v>44.647146021468728</v>
      </c>
      <c r="R111" s="455">
        <f>+P111/$Z111*100</f>
        <v>3.4135520970581741</v>
      </c>
      <c r="S111" s="486">
        <f>qtrSales!G588</f>
        <v>18</v>
      </c>
      <c r="T111" s="487">
        <v>28</v>
      </c>
      <c r="V111" s="449">
        <f t="shared" si="0"/>
        <v>493.13144599999981</v>
      </c>
      <c r="W111" s="447">
        <v>4.2590000000000003</v>
      </c>
      <c r="X111" s="451"/>
      <c r="Z111" s="446">
        <v>497.39044599999983</v>
      </c>
      <c r="AA111" s="451">
        <v>9.8540212114652803</v>
      </c>
      <c r="AB111" s="456">
        <v>4</v>
      </c>
      <c r="AC111" s="416"/>
      <c r="AD111" s="468">
        <v>145.28200000000001</v>
      </c>
      <c r="AE111" s="451">
        <f>(AD111/AD103-1)*100</f>
        <v>29.44908269551194</v>
      </c>
      <c r="AF111" s="416"/>
      <c r="AG111" s="463">
        <f>D111+J111+P111+W111</f>
        <v>497.39044599999983</v>
      </c>
      <c r="AH111" s="452">
        <f>(AG111/AG103-1)*100</f>
        <v>-11.967071795824847</v>
      </c>
      <c r="AI111" s="416"/>
      <c r="AJ111" s="464">
        <v>30.727</v>
      </c>
      <c r="AK111" s="466">
        <f>AJ111/AR111</f>
        <v>4.5629678168758112E-2</v>
      </c>
      <c r="AL111" s="452">
        <f>(AJ111/AJ103-1)*100</f>
        <v>30.819993188010898</v>
      </c>
      <c r="AM111" s="416"/>
      <c r="AN111" s="464"/>
      <c r="AO111" s="466"/>
      <c r="AP111" s="452"/>
      <c r="AQ111" s="416"/>
      <c r="AR111" s="446">
        <f>+AG111+AJ111+AD111</f>
        <v>673.3994459999999</v>
      </c>
      <c r="AS111" s="452">
        <f>(AR111/AR103-1)*100</f>
        <v>14.427775011767331</v>
      </c>
      <c r="AU111" s="461">
        <v>4</v>
      </c>
      <c r="AV111" s="470">
        <f>(D103/AG103)*G111+(J103/AG103)*M111+(P103/AG103)*S111+(AD103/AG103)*AE111</f>
        <v>3.9180325837824443</v>
      </c>
      <c r="AW111" s="470"/>
      <c r="AX111" s="447">
        <f>AX112-AX110-AX109-AX108</f>
        <v>122.73800000000003</v>
      </c>
      <c r="AY111" s="470">
        <f>(AX111/AG111)*100</f>
        <v>24.676388737872955</v>
      </c>
      <c r="AZ111" s="459"/>
      <c r="BA111" s="468">
        <f>BA112-BA110-BA109-BA108</f>
        <v>4.4689999999999976</v>
      </c>
      <c r="BB111" s="470">
        <f>(BA111/AJ111)*100</f>
        <v>14.544211930875118</v>
      </c>
      <c r="BC111" s="416"/>
      <c r="BD111" s="468">
        <f>BD112-BD110-BD109-BD108</f>
        <v>-8.7000000000000022E-2</v>
      </c>
      <c r="BF111" s="468">
        <f>BF112-BF110-BF109-BF108</f>
        <v>-6.7969999999999979</v>
      </c>
      <c r="BH111" s="473">
        <f>BH112-BH110-BH109-BH108</f>
        <v>120.32300000000002</v>
      </c>
      <c r="BJ111" s="473">
        <f>'qtrP&amp;L'!BS53</f>
        <v>120.32300000000001</v>
      </c>
      <c r="BL111" s="468">
        <f>BL112-BL110-BL109-BL108</f>
        <v>-6.7969999999999979</v>
      </c>
      <c r="BM111" s="468"/>
      <c r="BN111" s="468">
        <f>BN112-BN110-BN109-BN108</f>
        <v>-6.7969999999999979</v>
      </c>
      <c r="BP111" s="444">
        <f>BP112-SUM(BP108:BP110)</f>
        <v>586.47299999999996</v>
      </c>
      <c r="BQ111" s="447"/>
      <c r="BR111" s="444">
        <f>BR112-SUM(BR108:BR110)</f>
        <v>81.917000000000002</v>
      </c>
      <c r="BS111" s="466"/>
    </row>
    <row r="112" spans="1:71" hidden="1" outlineLevel="3">
      <c r="B112" s="410" t="s">
        <v>251</v>
      </c>
      <c r="D112" s="449">
        <f>(0.318+0.053)*'qtrP&amp;L'!$BS$14</f>
        <v>843.69184199999995</v>
      </c>
      <c r="E112" s="453">
        <f>(D112/D104-1)*100</f>
        <v>10.992660758051542</v>
      </c>
      <c r="F112" s="455">
        <f>+D112/$AG112*100</f>
        <v>48.754032002345099</v>
      </c>
      <c r="G112" s="486">
        <f>qtrSales!G305</f>
        <v>2.5834845656834036</v>
      </c>
      <c r="H112" s="487">
        <v>6.9</v>
      </c>
      <c r="J112" s="449">
        <f>(0.351+0.008)*'qtrP&amp;L'!$BS$14</f>
        <v>816.40261799999996</v>
      </c>
      <c r="K112" s="453">
        <f>(J112/J104-1)*100</f>
        <v>15.826598037310124</v>
      </c>
      <c r="L112" s="455">
        <f>+J112/$Z112*100</f>
        <v>47.177082180166821</v>
      </c>
      <c r="M112" s="486">
        <f>qtrSales!G482</f>
        <v>3.0436106906261786</v>
      </c>
      <c r="N112" s="487">
        <v>9.8000000000000007</v>
      </c>
      <c r="P112" s="449">
        <f>(0.023)*'qtrP&amp;L'!$BS$14</f>
        <v>52.304345999999995</v>
      </c>
      <c r="Q112" s="453">
        <f>(P112/P104-1)*100</f>
        <v>34.971991123038812</v>
      </c>
      <c r="R112" s="455">
        <f>+P112/$Z112*100</f>
        <v>3.0224871591750331</v>
      </c>
      <c r="S112" s="486">
        <f>qtrSales!G589</f>
        <v>20.212070255118</v>
      </c>
      <c r="T112" s="487">
        <v>26.7</v>
      </c>
      <c r="V112" s="449">
        <f t="shared" si="0"/>
        <v>1712.3988059999997</v>
      </c>
      <c r="W112" s="490">
        <f>SUM(W108:W111)</f>
        <v>18.108000000000001</v>
      </c>
      <c r="X112" s="453"/>
      <c r="Z112" s="436">
        <v>1730.5068059999999</v>
      </c>
      <c r="AA112" s="451">
        <v>14.603555113464051</v>
      </c>
      <c r="AB112" s="456">
        <v>8.8081229678792727</v>
      </c>
      <c r="AC112" s="416"/>
      <c r="AD112" s="439">
        <v>433.79</v>
      </c>
      <c r="AE112" s="451">
        <f>(AD112/AD104-1)*100</f>
        <v>33.993741872310743</v>
      </c>
      <c r="AF112" s="416"/>
      <c r="AG112" s="436">
        <f>SUM(AG108:AG111)</f>
        <v>1730.5068059999999</v>
      </c>
      <c r="AH112" s="452">
        <f>(AG112/AG104-1)*100</f>
        <v>-5.6292924869651095</v>
      </c>
      <c r="AI112" s="416"/>
      <c r="AJ112" s="436">
        <f>+SUM(AJ108:AJ111)</f>
        <v>120.31</v>
      </c>
      <c r="AK112" s="466">
        <f>AJ112/AR112</f>
        <v>5.2661140500865691E-2</v>
      </c>
      <c r="AL112" s="452">
        <f>(AJ112/AJ104-1)*100</f>
        <v>15.59155281412734</v>
      </c>
      <c r="AM112" s="416"/>
      <c r="AN112" s="436"/>
      <c r="AO112" s="466"/>
      <c r="AP112" s="452"/>
      <c r="AQ112" s="416"/>
      <c r="AR112" s="436">
        <f>+SUM(AR108:AR111)</f>
        <v>2284.6068059999998</v>
      </c>
      <c r="AS112" s="452">
        <f>(AR112/AR104-1)*100</f>
        <v>17.896022375716967</v>
      </c>
      <c r="AU112" s="461">
        <f>+AV112</f>
        <v>8.6694387741127716</v>
      </c>
      <c r="AV112" s="470">
        <f>(D104/AG104)*G112+(J104/AG104)*M112+(P104/AG104)*S112+(AD104/AG104)*AE112</f>
        <v>8.6694387741127716</v>
      </c>
      <c r="AX112" s="437">
        <v>418.40300000000002</v>
      </c>
      <c r="AY112" s="470">
        <f>(AX112/AG112)*100</f>
        <v>24.178061510611595</v>
      </c>
      <c r="AZ112" s="454"/>
      <c r="BA112" s="435">
        <v>23.372</v>
      </c>
      <c r="BB112" s="470">
        <f>(BA112/AJ112)*100</f>
        <v>19.42648158922783</v>
      </c>
      <c r="BD112" s="435">
        <v>-0.38900000000000001</v>
      </c>
      <c r="BE112" s="435"/>
      <c r="BF112" s="435">
        <v>-27.183</v>
      </c>
      <c r="BH112" s="449">
        <f>AX112+BA112+BD112+BF112</f>
        <v>414.20300000000003</v>
      </c>
      <c r="BJ112" s="449">
        <f>'qtrP&amp;L'!BS54</f>
        <v>414.20299999999997</v>
      </c>
      <c r="BL112" s="435">
        <v>-27.183</v>
      </c>
      <c r="BM112" s="435"/>
      <c r="BN112" s="435">
        <v>-27.183</v>
      </c>
      <c r="BP112" s="442">
        <v>2027.0740000000001</v>
      </c>
      <c r="BQ112" s="466">
        <f>BP112/AR112</f>
        <v>0.88727477948343303</v>
      </c>
      <c r="BR112" s="442">
        <v>247.02799999999999</v>
      </c>
      <c r="BS112" s="466">
        <f>BR112/AR112</f>
        <v>0.10812714001868381</v>
      </c>
    </row>
    <row r="113" spans="1:71" hidden="1" outlineLevel="3">
      <c r="D113" s="482">
        <f>D104/$AR$104</f>
        <v>0.39226293531632284</v>
      </c>
      <c r="E113" s="453"/>
      <c r="F113" s="455"/>
      <c r="G113" s="486"/>
      <c r="H113" s="486"/>
      <c r="I113" s="482"/>
      <c r="J113" s="482">
        <f>J112/$AR$112</f>
        <v>0.3573492891012599</v>
      </c>
      <c r="K113" s="453"/>
      <c r="L113" s="455"/>
      <c r="M113" s="486"/>
      <c r="N113" s="455"/>
      <c r="P113" s="482">
        <f>P112/$AR$112</f>
        <v>2.2894244148548685E-2</v>
      </c>
      <c r="Q113" s="453"/>
      <c r="R113" s="455"/>
      <c r="S113" s="486"/>
      <c r="T113" s="455"/>
      <c r="V113" s="449"/>
      <c r="X113" s="453"/>
      <c r="Z113" s="436"/>
      <c r="AA113" s="451"/>
      <c r="AB113" s="456"/>
      <c r="AC113" s="416"/>
      <c r="AD113" s="483">
        <v>0.18987512374591078</v>
      </c>
      <c r="AE113" s="416"/>
      <c r="AF113" s="416"/>
      <c r="AG113" s="491"/>
      <c r="AH113" s="452"/>
      <c r="AI113" s="483"/>
      <c r="AJ113" s="484">
        <f>AJ112/$AR$112</f>
        <v>5.2661140500865691E-2</v>
      </c>
      <c r="AK113" s="483"/>
      <c r="AL113" s="549"/>
      <c r="AM113" s="483"/>
      <c r="AN113" s="484"/>
      <c r="AO113" s="483"/>
      <c r="AP113" s="549"/>
      <c r="AQ113" s="483"/>
      <c r="AR113" s="436"/>
      <c r="AS113" s="452"/>
      <c r="AV113" s="416"/>
      <c r="AX113" s="437"/>
      <c r="AY113" s="453"/>
      <c r="AZ113" s="454"/>
      <c r="BA113" s="435"/>
      <c r="BB113" s="453"/>
      <c r="BD113" s="454"/>
      <c r="BF113" s="454"/>
      <c r="BL113" s="454"/>
      <c r="BM113" s="454"/>
      <c r="BN113" s="454"/>
    </row>
    <row r="114" spans="1:71" hidden="1" outlineLevel="2" collapsed="1">
      <c r="D114" s="482"/>
      <c r="E114" s="453"/>
      <c r="F114" s="455"/>
      <c r="G114" s="486"/>
      <c r="H114" s="486"/>
      <c r="I114" s="482"/>
      <c r="J114" s="482"/>
      <c r="K114" s="453"/>
      <c r="L114" s="455"/>
      <c r="M114" s="486"/>
      <c r="N114" s="455"/>
      <c r="P114" s="482"/>
      <c r="Q114" s="453"/>
      <c r="R114" s="455"/>
      <c r="S114" s="486"/>
      <c r="T114" s="455"/>
      <c r="V114" s="449"/>
      <c r="W114" s="471"/>
      <c r="X114" s="453"/>
      <c r="Z114" s="432" t="s">
        <v>101</v>
      </c>
      <c r="AA114" s="451"/>
      <c r="AB114" s="456"/>
      <c r="AC114" s="416"/>
      <c r="AD114" s="483"/>
      <c r="AE114" s="416"/>
      <c r="AF114" s="416"/>
      <c r="AG114" s="484"/>
      <c r="AH114" s="452"/>
      <c r="AI114" s="483"/>
      <c r="AJ114" s="484"/>
      <c r="AK114" s="483"/>
      <c r="AL114" s="550"/>
      <c r="AM114" s="483"/>
      <c r="AN114" s="484"/>
      <c r="AO114" s="483"/>
      <c r="AP114" s="550"/>
      <c r="AQ114" s="483"/>
      <c r="AR114" s="436"/>
      <c r="AS114" s="452"/>
      <c r="AV114" s="416"/>
      <c r="AX114" s="437"/>
      <c r="AY114" s="453"/>
      <c r="AZ114" s="454"/>
      <c r="BA114" s="435"/>
      <c r="BB114" s="453"/>
      <c r="BD114" s="454"/>
      <c r="BF114" s="454"/>
      <c r="BL114" s="454"/>
      <c r="BM114" s="454"/>
      <c r="BN114" s="454"/>
    </row>
    <row r="115" spans="1:71" hidden="1" outlineLevel="1" collapsed="1">
      <c r="B115" s="431">
        <f>qtrSales!B130</f>
        <v>2011</v>
      </c>
      <c r="F115" s="455"/>
      <c r="G115" s="486"/>
      <c r="H115" s="486"/>
      <c r="J115" s="476"/>
      <c r="M115" s="486"/>
      <c r="N115" s="455"/>
      <c r="P115" s="471"/>
      <c r="S115" s="486"/>
      <c r="T115" s="455"/>
      <c r="V115" s="449"/>
      <c r="Z115" s="432"/>
      <c r="AA115" s="416"/>
      <c r="AB115" s="433"/>
      <c r="AC115" s="416"/>
      <c r="AD115" s="416"/>
      <c r="AE115" s="416"/>
      <c r="AF115" s="416"/>
      <c r="AG115" s="441"/>
      <c r="AH115" s="433"/>
      <c r="AI115" s="416"/>
      <c r="AJ115" s="478"/>
      <c r="AK115" s="465"/>
      <c r="AL115" s="550"/>
      <c r="AM115" s="416"/>
      <c r="AN115" s="478"/>
      <c r="AO115" s="465"/>
      <c r="AP115" s="550"/>
      <c r="AQ115" s="416"/>
      <c r="AR115" s="432"/>
      <c r="AS115" s="433"/>
      <c r="AV115" s="416"/>
      <c r="AX115" s="459"/>
      <c r="AY115" s="416"/>
      <c r="AZ115" s="459"/>
      <c r="BA115" s="459"/>
      <c r="BB115" s="416"/>
      <c r="BC115" s="416"/>
      <c r="BD115" s="459"/>
      <c r="BF115" s="454"/>
      <c r="BL115" s="454"/>
      <c r="BM115" s="454"/>
      <c r="BN115" s="454"/>
    </row>
    <row r="116" spans="1:71" hidden="1" outlineLevel="1">
      <c r="A116" s="410" t="s">
        <v>247</v>
      </c>
      <c r="B116" s="410" t="s">
        <v>224</v>
      </c>
      <c r="D116" s="437">
        <f>qtrSales!W308</f>
        <v>235.328</v>
      </c>
      <c r="E116" s="453">
        <f>(D116/D108-1)*100</f>
        <v>35.044961809720036</v>
      </c>
      <c r="F116" s="455">
        <f>+D116/$AG116*100</f>
        <v>47.689183766936459</v>
      </c>
      <c r="G116" s="486">
        <f>qtrSales!G308</f>
        <v>-3</v>
      </c>
      <c r="H116" s="487">
        <v>1.2</v>
      </c>
      <c r="J116" s="437">
        <f>qtrSales!W485</f>
        <v>228.548</v>
      </c>
      <c r="K116" s="453">
        <f>(J116/J108-1)*100</f>
        <v>25.091267343531911</v>
      </c>
      <c r="L116" s="455">
        <f>+J116/$Z116*100</f>
        <v>58.427667167735272</v>
      </c>
      <c r="M116" s="486">
        <f>qtrSales!G485</f>
        <v>-9.5</v>
      </c>
      <c r="N116" s="487">
        <v>-5.9</v>
      </c>
      <c r="P116" s="437">
        <f>qtrSales!W592</f>
        <v>21.193999999999999</v>
      </c>
      <c r="Q116" s="451">
        <f>(P116/P108-1)*100</f>
        <v>112.21588064483829</v>
      </c>
      <c r="R116" s="455">
        <f>+P116/$Z116*100</f>
        <v>5.4181877677904913</v>
      </c>
      <c r="S116" s="486">
        <f>qtrSales!G592</f>
        <v>9</v>
      </c>
      <c r="T116" s="487">
        <v>29.8</v>
      </c>
      <c r="V116" s="449">
        <f t="shared" si="0"/>
        <v>485.07</v>
      </c>
      <c r="W116" s="437">
        <v>8.3919999999999995</v>
      </c>
      <c r="X116" s="451">
        <f>(W116/W108-1)*100</f>
        <v>99.382276075077215</v>
      </c>
      <c r="Z116" s="492">
        <v>391.16399999999999</v>
      </c>
      <c r="AA116" s="451">
        <v>5.3895893954089669</v>
      </c>
      <c r="AB116" s="456">
        <v>-1</v>
      </c>
      <c r="AC116" s="416"/>
      <c r="AD116" s="437">
        <v>102.298</v>
      </c>
      <c r="AE116" s="451">
        <f>(AD116/AD108-1)*100</f>
        <v>18.583003929660258</v>
      </c>
      <c r="AF116" s="416"/>
      <c r="AG116" s="436">
        <f>D116+J116+P116+W116</f>
        <v>493.46199999999999</v>
      </c>
      <c r="AH116" s="452">
        <f>(AG116/AG108-1)*100</f>
        <v>32.951287854294641</v>
      </c>
      <c r="AI116" s="416"/>
      <c r="AJ116" s="492">
        <f>30.557</f>
        <v>30.556999999999999</v>
      </c>
      <c r="AK116" s="466">
        <f>AJ116/AR116</f>
        <v>5.8312771101811191E-2</v>
      </c>
      <c r="AL116" s="452">
        <f>(AJ116/AJ108-1)*100</f>
        <v>21.484514769609998</v>
      </c>
      <c r="AM116" s="416"/>
      <c r="AN116" s="492"/>
      <c r="AO116" s="466"/>
      <c r="AP116" s="452"/>
      <c r="AQ116" s="416"/>
      <c r="AR116" s="436">
        <f>+AG116+AJ116</f>
        <v>524.01900000000001</v>
      </c>
      <c r="AS116" s="452">
        <f>(AR116/AR108-1)*100</f>
        <v>8.5869700360561971</v>
      </c>
      <c r="AU116" s="461">
        <v>-1</v>
      </c>
      <c r="AV116" s="493">
        <f>(D109/V109)*H116+(J109/V109)*N116+(P109/V109)*T116</f>
        <v>-1.5308639129135888</v>
      </c>
      <c r="AW116" s="470"/>
      <c r="AX116" s="437">
        <v>62.968000000000004</v>
      </c>
      <c r="AY116" s="470">
        <f>(AX116/AG116)*100</f>
        <v>12.760455718981401</v>
      </c>
      <c r="AZ116" s="459"/>
      <c r="BA116" s="437">
        <v>2.9580000000000002</v>
      </c>
      <c r="BB116" s="470">
        <f>(BA116/AJ116)*100</f>
        <v>9.6802696599797109</v>
      </c>
      <c r="BC116" s="416"/>
      <c r="BD116" s="462">
        <v>-7.0999999999999994E-2</v>
      </c>
      <c r="BE116" s="416"/>
      <c r="BF116" s="462">
        <v>-7.0179999999999998</v>
      </c>
      <c r="BG116" s="416"/>
      <c r="BH116" s="449">
        <f>AX116+BA116+BD116+BF116</f>
        <v>58.837000000000003</v>
      </c>
      <c r="BJ116" s="449">
        <f>+'qtrP&amp;L'!BW50</f>
        <v>61.636000000000024</v>
      </c>
      <c r="BP116" s="462">
        <v>466.851</v>
      </c>
      <c r="BQ116" s="466">
        <f>BP116/AR116</f>
        <v>0.89090471910369662</v>
      </c>
      <c r="BR116" s="462">
        <v>57.167999999999999</v>
      </c>
      <c r="BS116" s="466">
        <f>BR116/AR116</f>
        <v>0.10909528089630338</v>
      </c>
    </row>
    <row r="117" spans="1:71" hidden="1" outlineLevel="1">
      <c r="A117" s="410" t="s">
        <v>248</v>
      </c>
      <c r="B117" s="410" t="s">
        <v>225</v>
      </c>
      <c r="D117" s="440">
        <f>qtrSales!W309</f>
        <v>272.173</v>
      </c>
      <c r="E117" s="453">
        <f>(D117/D109-1)*100</f>
        <v>35.118591481779447</v>
      </c>
      <c r="F117" s="455">
        <f>+D117/$AG117*100</f>
        <v>47.147321413104862</v>
      </c>
      <c r="G117" s="486">
        <f>qtrSales!G309</f>
        <v>-2</v>
      </c>
      <c r="H117" s="487">
        <v>1.1000000000000001</v>
      </c>
      <c r="J117" s="440">
        <f>qtrSales!W486</f>
        <v>272.63900000000001</v>
      </c>
      <c r="K117" s="453">
        <f>(J117/J109-1)*100</f>
        <v>30.005670602646028</v>
      </c>
      <c r="L117" s="455">
        <f>+J117/$Z117*100</f>
        <v>58.673429860202461</v>
      </c>
      <c r="M117" s="486">
        <f>qtrSales!G486</f>
        <v>-2</v>
      </c>
      <c r="N117" s="487">
        <v>0</v>
      </c>
      <c r="P117" s="440">
        <f>qtrSales!W593</f>
        <v>26.808</v>
      </c>
      <c r="Q117" s="451">
        <f>(P117/P109-1)*100</f>
        <v>129.37286952236238</v>
      </c>
      <c r="R117" s="455">
        <f>+P117/$Z117*100</f>
        <v>5.7692307692307692</v>
      </c>
      <c r="S117" s="486">
        <f>qtrSales!G593</f>
        <v>3</v>
      </c>
      <c r="T117" s="487">
        <v>17.899999999999999</v>
      </c>
      <c r="V117" s="449">
        <f t="shared" si="0"/>
        <v>571.62</v>
      </c>
      <c r="W117" s="440">
        <v>5.6619999999999999</v>
      </c>
      <c r="X117" s="451">
        <f>(W117/W109-1)*100</f>
        <v>-0.63180063180063861</v>
      </c>
      <c r="Z117" s="494">
        <v>464.67200000000003</v>
      </c>
      <c r="AA117" s="451">
        <v>8.4336044857954207</v>
      </c>
      <c r="AB117" s="456">
        <v>1.2</v>
      </c>
      <c r="AC117" s="416"/>
      <c r="AD117" s="462">
        <v>112.61</v>
      </c>
      <c r="AE117" s="451">
        <f>(AD117/AD109-1)*100</f>
        <v>16.608505659048788</v>
      </c>
      <c r="AF117" s="416"/>
      <c r="AG117" s="436">
        <f>D117+J117+P117+W117</f>
        <v>577.28200000000004</v>
      </c>
      <c r="AH117" s="452">
        <f>(AG117/AG109-1)*100</f>
        <v>34.711727981821468</v>
      </c>
      <c r="AI117" s="416"/>
      <c r="AJ117" s="547">
        <v>31.899000000000001</v>
      </c>
      <c r="AK117" s="466">
        <f>AJ117/AR117</f>
        <v>5.2363747391990227E-2</v>
      </c>
      <c r="AL117" s="452">
        <f>(AJ117/AJ109-1)*100</f>
        <v>6.5680018708448973</v>
      </c>
      <c r="AM117" s="416"/>
      <c r="AN117" s="547"/>
      <c r="AO117" s="466"/>
      <c r="AP117" s="452"/>
      <c r="AQ117" s="416"/>
      <c r="AR117" s="441">
        <f>+AG117+AJ117</f>
        <v>609.18100000000004</v>
      </c>
      <c r="AS117" s="452">
        <f>(AR117/AR109-1)*100</f>
        <v>9.7553496411471929</v>
      </c>
      <c r="AU117" s="461">
        <v>1.2</v>
      </c>
      <c r="AV117" s="493">
        <f>(D110/V110)*H117+(J110/V110)*N117+(P110/V110)*T117</f>
        <v>1.1324911505228379</v>
      </c>
      <c r="AW117" s="470"/>
      <c r="AX117" s="442">
        <v>88.182000000000002</v>
      </c>
      <c r="AY117" s="470">
        <f>(AX117/AG117)*100</f>
        <v>15.275376678988778</v>
      </c>
      <c r="AZ117" s="459"/>
      <c r="BA117" s="462">
        <v>7.2779999999999996</v>
      </c>
      <c r="BB117" s="470">
        <f>(BA117/AJ117)*100</f>
        <v>22.815762249600301</v>
      </c>
      <c r="BC117" s="416"/>
      <c r="BD117" s="462">
        <v>-0.60699999999999998</v>
      </c>
      <c r="BE117" s="416"/>
      <c r="BF117" s="462">
        <v>-6.8579999999999997</v>
      </c>
      <c r="BG117" s="416"/>
      <c r="BH117" s="472">
        <f>AX117+BA117+BD117+BF117</f>
        <v>87.995000000000005</v>
      </c>
      <c r="BJ117" s="472">
        <f>+'qtrP&amp;L'!BW51</f>
        <v>87.995000000000033</v>
      </c>
      <c r="BP117" s="462">
        <v>535.05499999999995</v>
      </c>
      <c r="BQ117" s="466">
        <f>BP117/AR117</f>
        <v>0.87831859496602804</v>
      </c>
      <c r="BR117" s="462">
        <v>74.126000000000005</v>
      </c>
      <c r="BS117" s="466">
        <f>BR117/AR117</f>
        <v>0.12168140503397185</v>
      </c>
    </row>
    <row r="118" spans="1:71" hidden="1" outlineLevel="1">
      <c r="A118" s="410" t="s">
        <v>249</v>
      </c>
      <c r="B118" s="410" t="s">
        <v>226</v>
      </c>
      <c r="D118" s="440">
        <f>qtrSales!W310</f>
        <v>291.02300000000002</v>
      </c>
      <c r="E118" s="453">
        <f>(D118/D110-1)*100</f>
        <v>32.266665318956164</v>
      </c>
      <c r="F118" s="455">
        <f>+D118/$AG118*100</f>
        <v>50.960824554522013</v>
      </c>
      <c r="G118" s="486">
        <f>qtrSales!G310</f>
        <v>-4</v>
      </c>
      <c r="H118" s="487">
        <v>0.4</v>
      </c>
      <c r="J118" s="440">
        <f>qtrSales!W487</f>
        <v>244.14</v>
      </c>
      <c r="K118" s="453">
        <f>(J118/J110-1)*100</f>
        <v>24.685665873548569</v>
      </c>
      <c r="L118" s="455">
        <f>+J118/$Z118*100</f>
        <v>54.501375147337214</v>
      </c>
      <c r="M118" s="486">
        <f>qtrSales!G487</f>
        <v>-11</v>
      </c>
      <c r="N118" s="487">
        <v>-6.6</v>
      </c>
      <c r="P118" s="440">
        <f>qtrSales!W594</f>
        <v>31.209000000000003</v>
      </c>
      <c r="Q118" s="451">
        <f>(P118/P110-1)*100</f>
        <v>128.61820225469756</v>
      </c>
      <c r="R118" s="455">
        <f>+P118/$Z118*100</f>
        <v>6.9670411115476671</v>
      </c>
      <c r="S118" s="486">
        <f>qtrSales!G594</f>
        <v>-1</v>
      </c>
      <c r="T118" s="487">
        <v>14.1</v>
      </c>
      <c r="V118" s="449">
        <f t="shared" si="0"/>
        <v>566.37200000000007</v>
      </c>
      <c r="W118" s="440">
        <v>4.7</v>
      </c>
      <c r="X118" s="451">
        <f>(W118/W110-1)*100</f>
        <v>19.228817858954848</v>
      </c>
      <c r="Z118" s="494">
        <v>447.952</v>
      </c>
      <c r="AA118" s="451">
        <v>3.3516756070831155</v>
      </c>
      <c r="AB118" s="456">
        <v>-3</v>
      </c>
      <c r="AC118" s="416"/>
      <c r="AD118" s="462">
        <v>123.12</v>
      </c>
      <c r="AE118" s="451">
        <f>(AD118/AD110-1)*100</f>
        <v>16.513674647487452</v>
      </c>
      <c r="AF118" s="416"/>
      <c r="AG118" s="436">
        <f>D118+J118+P118+W118</f>
        <v>571.07200000000012</v>
      </c>
      <c r="AH118" s="452">
        <f>(AG118/AG110-1)*100</f>
        <v>31.757974274672684</v>
      </c>
      <c r="AI118" s="416"/>
      <c r="AJ118" s="547">
        <v>38.881</v>
      </c>
      <c r="AK118" s="466">
        <f>AJ118/AR118</f>
        <v>6.3744255704947753E-2</v>
      </c>
      <c r="AL118" s="452">
        <f>(AJ118/AJ110-1)*100</f>
        <v>12.708351450850808</v>
      </c>
      <c r="AM118" s="416"/>
      <c r="AN118" s="547"/>
      <c r="AO118" s="466"/>
      <c r="AP118" s="452"/>
      <c r="AQ118" s="416"/>
      <c r="AR118" s="441">
        <f>+AG118+AJ118</f>
        <v>609.95300000000009</v>
      </c>
      <c r="AS118" s="452">
        <f>(AR118/AR110-1)*100</f>
        <v>6.33917488388962</v>
      </c>
      <c r="AU118" s="461">
        <v>-3</v>
      </c>
      <c r="AV118" s="493">
        <f>(D111/V111)*H118+(J111/V111)*N118+(P111/V111)*T118</f>
        <v>-2.3673201246225126</v>
      </c>
      <c r="AW118" s="470"/>
      <c r="AX118" s="442">
        <v>69.27</v>
      </c>
      <c r="AY118" s="470">
        <f>(AX118/AG118)*100</f>
        <v>12.129819007060402</v>
      </c>
      <c r="AZ118" s="459"/>
      <c r="BA118" s="462">
        <v>10.212999999999999</v>
      </c>
      <c r="BB118" s="470">
        <f>(BA118/AJ118)*100</f>
        <v>26.267328515213084</v>
      </c>
      <c r="BC118" s="416"/>
      <c r="BD118" s="462">
        <v>3.0000000000000001E-3</v>
      </c>
      <c r="BE118" s="416"/>
      <c r="BF118" s="462">
        <v>-6.125</v>
      </c>
      <c r="BG118" s="416"/>
      <c r="BH118" s="472">
        <f>AX118+BA118+BD118+BF118</f>
        <v>73.36099999999999</v>
      </c>
      <c r="BI118" s="416"/>
      <c r="BJ118" s="472">
        <f>+'qtrP&amp;L'!BW52</f>
        <v>73.360999999999962</v>
      </c>
      <c r="BP118" s="462">
        <v>536.93700000000001</v>
      </c>
      <c r="BQ118" s="466">
        <f>BP118/AR118</f>
        <v>0.88029241597303387</v>
      </c>
      <c r="BR118" s="462">
        <v>73.016000000000005</v>
      </c>
      <c r="BS118" s="466">
        <f>BR118/AR118</f>
        <v>0.119707584026966</v>
      </c>
    </row>
    <row r="119" spans="1:71" hidden="1" outlineLevel="1">
      <c r="A119" s="410" t="s">
        <v>250</v>
      </c>
      <c r="B119" s="410" t="s">
        <v>227</v>
      </c>
      <c r="D119" s="447">
        <f>qtrSales!W311</f>
        <v>356.76900000000001</v>
      </c>
      <c r="E119" s="453">
        <f>(D119/D111-1)*100</f>
        <v>43.87431132033133</v>
      </c>
      <c r="F119" s="455">
        <f>+D119/$AG119*100</f>
        <v>51.041520620105359</v>
      </c>
      <c r="G119" s="489">
        <f>qtrSales!G311</f>
        <v>0</v>
      </c>
      <c r="H119" s="487">
        <v>3</v>
      </c>
      <c r="J119" s="447">
        <f>qtrSales!W488</f>
        <v>299.19799999999998</v>
      </c>
      <c r="K119" s="453">
        <f>(J119/J111-1)*100</f>
        <v>31.123631768127179</v>
      </c>
      <c r="L119" s="455">
        <f>+J119/$Z119*100</f>
        <v>56.235680198780926</v>
      </c>
      <c r="M119" s="486">
        <f>qtrSales!G488</f>
        <v>-2</v>
      </c>
      <c r="N119" s="487">
        <v>1</v>
      </c>
      <c r="P119" s="447">
        <f>qtrSales!W595</f>
        <v>38.194000000000003</v>
      </c>
      <c r="Q119" s="451">
        <f>(P119/P111-1)*100</f>
        <v>124.95267889462802</v>
      </c>
      <c r="R119" s="455">
        <f>+P119/$Z119*100</f>
        <v>7.1787430715186566</v>
      </c>
      <c r="S119" s="486">
        <f>qtrSales!G595</f>
        <v>-2</v>
      </c>
      <c r="T119" s="487">
        <v>9</v>
      </c>
      <c r="V119" s="449">
        <f t="shared" si="0"/>
        <v>694.16099999999994</v>
      </c>
      <c r="W119" s="447">
        <v>4.8170000000000002</v>
      </c>
      <c r="X119" s="451">
        <f>(W119/W111-1)*100</f>
        <v>13.101667057994826</v>
      </c>
      <c r="Z119" s="495">
        <v>532.04300000000001</v>
      </c>
      <c r="AA119" s="451">
        <v>6.9668716555927102</v>
      </c>
      <c r="AB119" s="456">
        <v>2</v>
      </c>
      <c r="AC119" s="416"/>
      <c r="AD119" s="468">
        <v>166.935</v>
      </c>
      <c r="AE119" s="451">
        <f>(AD119/AD111-1)*100</f>
        <v>14.904117509395508</v>
      </c>
      <c r="AF119" s="416"/>
      <c r="AG119" s="463">
        <f>D119+J119+P119+W119</f>
        <v>698.97799999999995</v>
      </c>
      <c r="AH119" s="452">
        <f>(AG119/AG111-1)*100</f>
        <v>40.529036217153269</v>
      </c>
      <c r="AI119" s="416"/>
      <c r="AJ119" s="464">
        <v>31.67</v>
      </c>
      <c r="AK119" s="466">
        <f>AJ119/AR119</f>
        <v>4.3345085458387632E-2</v>
      </c>
      <c r="AL119" s="452">
        <f>(AJ119/AJ111-1)*100</f>
        <v>3.0689621505516351</v>
      </c>
      <c r="AM119" s="416"/>
      <c r="AN119" s="464"/>
      <c r="AO119" s="466"/>
      <c r="AP119" s="452"/>
      <c r="AQ119" s="416"/>
      <c r="AR119" s="446">
        <f>+AG119+AJ119</f>
        <v>730.64799999999991</v>
      </c>
      <c r="AS119" s="452">
        <f>(AR119/AR111-1)*100</f>
        <v>8.5014257644637325</v>
      </c>
      <c r="AU119" s="461">
        <v>2</v>
      </c>
      <c r="AV119" s="493">
        <f>(D112/V112)*H119+(J112/V112)*N119+(P112/V112)*T119</f>
        <v>2.2297476759628156</v>
      </c>
      <c r="AW119" s="470"/>
      <c r="AX119" s="447">
        <f>AX120-AX118-AX117-AX116</f>
        <v>56.16100000000003</v>
      </c>
      <c r="AY119" s="470">
        <f>(AX119/AG119)*100</f>
        <v>8.0347307068319793</v>
      </c>
      <c r="AZ119" s="459"/>
      <c r="BA119" s="447">
        <f>BA120-BA118-BA117-BA116</f>
        <v>9.2700000000000014</v>
      </c>
      <c r="BB119" s="470">
        <f>(BA119/AJ119)*100</f>
        <v>29.270603094411118</v>
      </c>
      <c r="BC119" s="416"/>
      <c r="BD119" s="447">
        <f>BD120-BD118-BD117-BD116</f>
        <v>-3.3999999999999989E-2</v>
      </c>
      <c r="BE119" s="416"/>
      <c r="BF119" s="447">
        <f>BF120-BF118-BF117-BF116</f>
        <v>1.9350000000000005</v>
      </c>
      <c r="BG119" s="416"/>
      <c r="BH119" s="473">
        <f>AX119+BA119+BD119+BF119</f>
        <v>67.332000000000022</v>
      </c>
      <c r="BJ119" s="473">
        <f>+'qtrP&amp;L'!BW53</f>
        <v>61.733000000000033</v>
      </c>
      <c r="BP119" s="444">
        <f>BP120-SUM(BP116:BP118)</f>
        <v>631.13300000000027</v>
      </c>
      <c r="BQ119" s="466">
        <f>BP119/AR119</f>
        <v>0.86379898391564791</v>
      </c>
      <c r="BR119" s="444">
        <f>BR120-SUM(BR116:BR118)</f>
        <v>99.514999999999986</v>
      </c>
      <c r="BS119" s="466">
        <f>BR119/AR119</f>
        <v>0.13620101608435251</v>
      </c>
    </row>
    <row r="120" spans="1:71" hidden="1" outlineLevel="1">
      <c r="B120" s="410" t="s">
        <v>251</v>
      </c>
      <c r="D120" s="437">
        <f>qtrSales!W312</f>
        <v>1155.2930000000001</v>
      </c>
      <c r="E120" s="453">
        <f>(D120/D112-1)*100</f>
        <v>36.933053336315204</v>
      </c>
      <c r="F120" s="455">
        <f>+D120/$AG120*100</f>
        <v>49.35474885872059</v>
      </c>
      <c r="G120" s="486">
        <f>qtrSales!G312</f>
        <v>-2.1350234594055073</v>
      </c>
      <c r="H120" s="487">
        <v>1.4</v>
      </c>
      <c r="J120" s="437">
        <f>qtrSales!W489</f>
        <v>1044.5250000000001</v>
      </c>
      <c r="K120" s="453">
        <f>(J120/J112-1)*100</f>
        <v>27.942387367503542</v>
      </c>
      <c r="L120" s="455">
        <f>+J120/$Z120*100</f>
        <v>56.896577081441592</v>
      </c>
      <c r="M120" s="486">
        <f>qtrSales!G489</f>
        <v>-5.7109780540424442</v>
      </c>
      <c r="N120" s="487">
        <v>-3.2</v>
      </c>
      <c r="P120" s="437">
        <f>qtrSales!W596</f>
        <v>117.405</v>
      </c>
      <c r="Q120" s="453">
        <f>(P120/P112-1)*100</f>
        <v>124.46509511848217</v>
      </c>
      <c r="R120" s="455">
        <f>+P120/$Z120*100</f>
        <v>6.3951965077395467</v>
      </c>
      <c r="S120" s="486">
        <f>qtrSales!G596</f>
        <v>1.645923089684735</v>
      </c>
      <c r="T120" s="487">
        <v>17</v>
      </c>
      <c r="V120" s="449">
        <f t="shared" si="0"/>
        <v>2317.2230000000004</v>
      </c>
      <c r="W120" s="490">
        <f>SUM(W116:W119)</f>
        <v>23.570999999999998</v>
      </c>
      <c r="X120" s="451">
        <f>(W120/W112-1)*100</f>
        <v>30.168986083498982</v>
      </c>
      <c r="Z120" s="436">
        <v>1835.8310000000001</v>
      </c>
      <c r="AA120" s="451">
        <v>6.0863207029767885</v>
      </c>
      <c r="AB120" s="456">
        <v>-3.2789425006144124E-2</v>
      </c>
      <c r="AC120" s="416"/>
      <c r="AD120" s="439">
        <v>504.96300000000002</v>
      </c>
      <c r="AE120" s="451">
        <f>(AD120/AD112-1)*100</f>
        <v>16.407247746605492</v>
      </c>
      <c r="AF120" s="416"/>
      <c r="AG120" s="436">
        <f>SUM(AG116:AG119)</f>
        <v>2340.7940000000003</v>
      </c>
      <c r="AH120" s="452">
        <f>(AG120/AG112-1)*100</f>
        <v>35.266385077713494</v>
      </c>
      <c r="AI120" s="416"/>
      <c r="AJ120" s="436">
        <f>+SUM(AJ116:AJ119)</f>
        <v>133.00700000000001</v>
      </c>
      <c r="AK120" s="466">
        <f>AJ120/AR120</f>
        <v>5.3766248780722455E-2</v>
      </c>
      <c r="AL120" s="452">
        <f>(AJ120/AJ112-1)*100</f>
        <v>10.553569944310537</v>
      </c>
      <c r="AM120" s="416"/>
      <c r="AN120" s="436"/>
      <c r="AO120" s="466"/>
      <c r="AP120" s="452"/>
      <c r="AQ120" s="416"/>
      <c r="AR120" s="436">
        <f>+SUM(AR116:AR119)</f>
        <v>2473.8010000000004</v>
      </c>
      <c r="AS120" s="452">
        <f>(AR120/AR112-1)*100</f>
        <v>8.2812584425085767</v>
      </c>
      <c r="AU120" s="461">
        <v>0</v>
      </c>
      <c r="AV120" s="493"/>
      <c r="AW120" s="470"/>
      <c r="AX120" s="442">
        <v>276.58100000000002</v>
      </c>
      <c r="AY120" s="470">
        <f>(AX120/AG120)*100</f>
        <v>11.815691598662676</v>
      </c>
      <c r="AZ120" s="459"/>
      <c r="BA120" s="442">
        <f>26.919+2.1+0.7</f>
        <v>29.719000000000001</v>
      </c>
      <c r="BB120" s="470">
        <f>(BA120/AJ120)*100</f>
        <v>22.343936785281979</v>
      </c>
      <c r="BC120" s="416"/>
      <c r="BD120" s="442">
        <v>-0.70899999999999996</v>
      </c>
      <c r="BE120" s="416"/>
      <c r="BF120" s="442">
        <v>-18.065999999999999</v>
      </c>
      <c r="BG120" s="416"/>
      <c r="BH120" s="449">
        <f>AX120+BA120+BD120+BF120</f>
        <v>287.52500000000003</v>
      </c>
      <c r="BJ120" s="449">
        <f>+'qtrP&amp;L'!BW54</f>
        <v>284.72500000000002</v>
      </c>
      <c r="BP120" s="442">
        <v>2169.9760000000001</v>
      </c>
      <c r="BQ120" s="466">
        <f>BP120/AR120</f>
        <v>0.8771829261933356</v>
      </c>
      <c r="BR120" s="442">
        <v>303.82499999999999</v>
      </c>
      <c r="BS120" s="466">
        <f>BR120/AR120</f>
        <v>0.12281707380666429</v>
      </c>
    </row>
    <row r="121" spans="1:71" hidden="1" outlineLevel="1">
      <c r="D121" s="482"/>
      <c r="E121" s="453"/>
      <c r="F121" s="455"/>
      <c r="G121" s="486"/>
      <c r="H121" s="486"/>
      <c r="I121" s="482"/>
      <c r="J121" s="482"/>
      <c r="K121" s="453"/>
      <c r="L121" s="455"/>
      <c r="M121" s="486"/>
      <c r="N121" s="455"/>
      <c r="P121" s="482"/>
      <c r="Q121" s="453"/>
      <c r="R121" s="455"/>
      <c r="S121" s="486"/>
      <c r="T121" s="455"/>
      <c r="V121" s="449"/>
      <c r="W121" s="471"/>
      <c r="X121" s="453"/>
      <c r="Z121" s="436"/>
      <c r="AA121" s="451"/>
      <c r="AB121" s="456"/>
      <c r="AC121" s="416"/>
      <c r="AD121" s="483"/>
      <c r="AE121" s="483"/>
      <c r="AF121" s="416"/>
      <c r="AG121" s="491"/>
      <c r="AH121" s="452"/>
      <c r="AI121" s="483"/>
      <c r="AJ121" s="484"/>
      <c r="AK121" s="483"/>
      <c r="AL121" s="550"/>
      <c r="AM121" s="483"/>
      <c r="AN121" s="484"/>
      <c r="AO121" s="483"/>
      <c r="AP121" s="550"/>
      <c r="AQ121" s="483"/>
      <c r="AR121" s="436"/>
      <c r="AS121" s="452"/>
      <c r="AV121" s="416"/>
      <c r="AX121" s="437"/>
      <c r="AY121" s="470"/>
      <c r="AZ121" s="454"/>
      <c r="BA121" s="435"/>
      <c r="BB121" s="470"/>
      <c r="BD121" s="454"/>
      <c r="BF121" s="454"/>
      <c r="BP121" s="454"/>
      <c r="BQ121" s="454"/>
      <c r="BR121" s="454"/>
    </row>
    <row r="122" spans="1:71" collapsed="1">
      <c r="B122" s="431">
        <f>qtrSales!B137</f>
        <v>2012</v>
      </c>
      <c r="F122" s="455"/>
      <c r="G122" s="486"/>
      <c r="H122" s="486"/>
      <c r="J122" s="437"/>
      <c r="M122" s="486"/>
      <c r="N122" s="455"/>
      <c r="P122" s="471"/>
      <c r="S122" s="486"/>
      <c r="T122" s="455"/>
      <c r="V122" s="449"/>
      <c r="Z122" s="432"/>
      <c r="AA122" s="416"/>
      <c r="AB122" s="433"/>
      <c r="AC122" s="416"/>
      <c r="AD122" s="416"/>
      <c r="AE122" s="416"/>
      <c r="AF122" s="416"/>
      <c r="AG122" s="441"/>
      <c r="AH122" s="433"/>
      <c r="AI122" s="416"/>
      <c r="AJ122" s="478"/>
      <c r="AK122" s="465"/>
      <c r="AL122" s="550"/>
      <c r="AM122" s="416"/>
      <c r="AN122" s="478"/>
      <c r="AO122" s="465"/>
      <c r="AP122" s="550"/>
      <c r="AQ122" s="416"/>
      <c r="AR122" s="432"/>
      <c r="AS122" s="433"/>
      <c r="AV122" s="416"/>
      <c r="AX122" s="459"/>
      <c r="AY122" s="470"/>
      <c r="AZ122" s="459"/>
      <c r="BA122" s="459"/>
      <c r="BB122" s="470"/>
      <c r="BC122" s="416"/>
      <c r="BD122" s="459"/>
      <c r="BF122" s="454"/>
      <c r="BP122" s="454"/>
      <c r="BQ122" s="454"/>
      <c r="BR122" s="454"/>
    </row>
    <row r="123" spans="1:71">
      <c r="A123" s="496" t="s">
        <v>247</v>
      </c>
      <c r="B123" s="496" t="s">
        <v>224</v>
      </c>
      <c r="C123" s="496"/>
      <c r="D123" s="437">
        <f>qtrSales!W315</f>
        <v>266.39</v>
      </c>
      <c r="E123" s="497">
        <f>(D123/D116-1)*100</f>
        <v>13.199449279303765</v>
      </c>
      <c r="F123" s="455">
        <f>+D123/$AG123*100</f>
        <v>49.538257839202892</v>
      </c>
      <c r="G123" s="486">
        <f>qtrSales!G315</f>
        <v>2</v>
      </c>
      <c r="H123" s="487">
        <v>6</v>
      </c>
      <c r="I123" s="496"/>
      <c r="J123" s="437">
        <f>qtrSales!W492</f>
        <v>235.11799999999999</v>
      </c>
      <c r="K123" s="497">
        <f>(J123/J116-1)*100</f>
        <v>2.8746696536394944</v>
      </c>
      <c r="L123" s="498">
        <f>+J123/$Z123*100</f>
        <v>55.895568160746301</v>
      </c>
      <c r="M123" s="486">
        <f>qtrSales!G492</f>
        <v>-5</v>
      </c>
      <c r="N123" s="487">
        <v>-2</v>
      </c>
      <c r="O123" s="496"/>
      <c r="P123" s="437">
        <f>qtrSales!W599</f>
        <v>30.487999999999996</v>
      </c>
      <c r="Q123" s="499">
        <f>(P123/P116-1)*100</f>
        <v>43.852033594413498</v>
      </c>
      <c r="R123" s="498">
        <f>+P123/$Z123*100</f>
        <v>7.2480375049329817</v>
      </c>
      <c r="S123" s="486">
        <f>qtrSales!G599</f>
        <v>-13</v>
      </c>
      <c r="T123" s="487">
        <v>2</v>
      </c>
      <c r="U123" s="496"/>
      <c r="V123" s="449">
        <f t="shared" si="0"/>
        <v>531.99599999999998</v>
      </c>
      <c r="W123" s="437">
        <v>5.75</v>
      </c>
      <c r="X123" s="499">
        <f>(W123/W116-1)*100</f>
        <v>-31.482364156339372</v>
      </c>
      <c r="Y123" s="496"/>
      <c r="Z123" s="492">
        <v>420.63799999999998</v>
      </c>
      <c r="AA123" s="499">
        <v>7.5349469787608259</v>
      </c>
      <c r="AB123" s="500">
        <v>2</v>
      </c>
      <c r="AC123" s="501"/>
      <c r="AD123" s="437">
        <v>117.108</v>
      </c>
      <c r="AE123" s="451">
        <f>(AD123/AD116-1)*100</f>
        <v>14.477311384386793</v>
      </c>
      <c r="AF123" s="501"/>
      <c r="AG123" s="502">
        <f>D123+J123+P123+W123</f>
        <v>537.74599999999998</v>
      </c>
      <c r="AH123" s="503">
        <f>(AG123/AG116-1)*100</f>
        <v>8.9741459322095771</v>
      </c>
      <c r="AI123" s="501"/>
      <c r="AJ123" s="492">
        <v>31.184000000000001</v>
      </c>
      <c r="AK123" s="466">
        <f>AJ123/AR123</f>
        <v>5.4811664000843696E-2</v>
      </c>
      <c r="AL123" s="452">
        <f>(AJ123/AJ116-1)*100</f>
        <v>2.0519030009490624</v>
      </c>
      <c r="AM123" s="501"/>
      <c r="AN123" s="492"/>
      <c r="AO123" s="466"/>
      <c r="AP123" s="452"/>
      <c r="AQ123" s="501"/>
      <c r="AR123" s="502">
        <f>+AG123+AJ123</f>
        <v>568.92999999999995</v>
      </c>
      <c r="AS123" s="503">
        <f>(AR123/AR116-1)*100</f>
        <v>8.5704907646478432</v>
      </c>
      <c r="AT123" s="496"/>
      <c r="AU123" s="487">
        <v>2</v>
      </c>
      <c r="AV123" s="493">
        <f>(D116/V116)*H123+(J116/V116)*N123+(P116/V116)*T123</f>
        <v>2.0559094563671225</v>
      </c>
      <c r="AW123" s="504">
        <f>V123/$V$127</f>
        <v>0.20343774127343039</v>
      </c>
      <c r="AX123" s="442">
        <v>52.906999999999996</v>
      </c>
      <c r="AY123" s="470">
        <f>(AX123/AG123)*100</f>
        <v>9.8386598877536979</v>
      </c>
      <c r="AZ123" s="459"/>
      <c r="BA123" s="462">
        <v>7.9939999999999998</v>
      </c>
      <c r="BB123" s="470">
        <f>(BA123/AJ123)*100</f>
        <v>25.634940995382244</v>
      </c>
      <c r="BC123" s="416"/>
      <c r="BD123" s="462">
        <v>-0.14599999999999999</v>
      </c>
      <c r="BE123" s="416"/>
      <c r="BF123" s="462">
        <v>-7.84</v>
      </c>
      <c r="BG123" s="501"/>
      <c r="BH123" s="449">
        <f>AX123+BA123+BD123+BF123</f>
        <v>52.914999999999992</v>
      </c>
      <c r="BI123" s="496"/>
      <c r="BJ123" s="505"/>
      <c r="BP123" s="442">
        <v>500.608</v>
      </c>
      <c r="BQ123" s="466">
        <f>BP123/AR123</f>
        <v>0.87991141265182016</v>
      </c>
      <c r="BR123" s="442">
        <v>68.322000000000003</v>
      </c>
      <c r="BS123" s="466">
        <f>BR123/AR123</f>
        <v>0.12008858734817993</v>
      </c>
    </row>
    <row r="124" spans="1:71">
      <c r="A124" s="410" t="s">
        <v>248</v>
      </c>
      <c r="B124" s="410" t="s">
        <v>225</v>
      </c>
      <c r="D124" s="440">
        <f>qtrSales!W316</f>
        <v>310.66399999999999</v>
      </c>
      <c r="E124" s="453">
        <f>(D124/D117-1)*100</f>
        <v>14.142108144452227</v>
      </c>
      <c r="F124" s="455">
        <f>+D124/$AG124*100</f>
        <v>48.61485593030698</v>
      </c>
      <c r="G124" s="486">
        <f>qtrSales!G316</f>
        <v>1.5</v>
      </c>
      <c r="H124" s="487">
        <v>6</v>
      </c>
      <c r="J124" s="440">
        <f>qtrSales!W493</f>
        <v>281.80799999999999</v>
      </c>
      <c r="K124" s="453">
        <f>(J124/J117-1)*100</f>
        <v>3.3630551755251314</v>
      </c>
      <c r="L124" s="455">
        <f>+J124/$Z124*100</f>
        <v>56.212972899653316</v>
      </c>
      <c r="M124" s="486">
        <f>qtrSales!G493</f>
        <v>-4</v>
      </c>
      <c r="N124" s="487">
        <v>0</v>
      </c>
      <c r="P124" s="440">
        <f>qtrSales!W600</f>
        <v>36.549999999999997</v>
      </c>
      <c r="Q124" s="451">
        <f>(P124/P117-1)*100</f>
        <v>36.339898537749924</v>
      </c>
      <c r="R124" s="455">
        <f>+P124/$Z124*100</f>
        <v>7.2907233275220307</v>
      </c>
      <c r="S124" s="486">
        <f>qtrSales!G600</f>
        <v>-8</v>
      </c>
      <c r="T124" s="487">
        <v>12</v>
      </c>
      <c r="V124" s="449">
        <f t="shared" si="0"/>
        <v>629.02199999999993</v>
      </c>
      <c r="W124" s="440">
        <v>10.009</v>
      </c>
      <c r="X124" s="451">
        <f>(W124/W117-1)*100</f>
        <v>76.774991169198174</v>
      </c>
      <c r="Z124" s="494">
        <v>501.322</v>
      </c>
      <c r="AA124" s="451">
        <v>7.887283933613376</v>
      </c>
      <c r="AB124" s="456">
        <v>4</v>
      </c>
      <c r="AC124" s="416"/>
      <c r="AD124" s="462">
        <v>137.709</v>
      </c>
      <c r="AE124" s="451">
        <f>(AD124/AD117-1)*100</f>
        <v>22.288429091554928</v>
      </c>
      <c r="AF124" s="416"/>
      <c r="AG124" s="502">
        <f>D124+J124+P124+W124</f>
        <v>639.03099999999995</v>
      </c>
      <c r="AH124" s="452">
        <f>(AG124/AG117-1)*100</f>
        <v>10.696505347473151</v>
      </c>
      <c r="AI124" s="416"/>
      <c r="AJ124" s="547">
        <v>37.238</v>
      </c>
      <c r="AK124" s="466">
        <f>AJ124/AR124</f>
        <v>5.5063887299284749E-2</v>
      </c>
      <c r="AL124" s="452">
        <f>(AJ124/AJ117-1)*100</f>
        <v>16.737201793159649</v>
      </c>
      <c r="AM124" s="416"/>
      <c r="AN124" s="547"/>
      <c r="AO124" s="466"/>
      <c r="AP124" s="452"/>
      <c r="AQ124" s="416"/>
      <c r="AR124" s="441">
        <f>+AG124+AJ124</f>
        <v>676.26900000000001</v>
      </c>
      <c r="AS124" s="452">
        <f>(AR124/AR117-1)*100</f>
        <v>11.012818850226779</v>
      </c>
      <c r="AU124" s="487">
        <v>4</v>
      </c>
      <c r="AV124" s="493">
        <f>(D117/V117)*H124+(J117/V117)*N124+(P117/V117)*T124</f>
        <v>3.4196389209614777</v>
      </c>
      <c r="AW124" s="504">
        <f>V124/$V$127</f>
        <v>0.24054093431397178</v>
      </c>
      <c r="AX124" s="442">
        <v>94.15</v>
      </c>
      <c r="AY124" s="470">
        <f>(AX124/AG124)*100</f>
        <v>14.733244553081152</v>
      </c>
      <c r="AZ124" s="459"/>
      <c r="BA124" s="462">
        <v>9.7530000000000001</v>
      </c>
      <c r="BB124" s="470">
        <f>(BA124/AJ124)*100</f>
        <v>26.190987700735807</v>
      </c>
      <c r="BC124" s="416"/>
      <c r="BD124" s="462">
        <v>-0.11799999999999999</v>
      </c>
      <c r="BE124" s="416"/>
      <c r="BF124" s="462">
        <v>-7.8470000000000004</v>
      </c>
      <c r="BG124" s="416"/>
      <c r="BH124" s="449">
        <f>AX124+BA124+BD124+BF124</f>
        <v>95.938000000000017</v>
      </c>
      <c r="BI124" s="416"/>
      <c r="BJ124" s="477"/>
      <c r="BP124" s="442">
        <v>587.221</v>
      </c>
      <c r="BQ124" s="466">
        <f>BP124/AR124</f>
        <v>0.86832458681382707</v>
      </c>
      <c r="BR124" s="442">
        <v>89.048000000000002</v>
      </c>
      <c r="BS124" s="466">
        <f>BR124/AR124</f>
        <v>0.13167541318617296</v>
      </c>
    </row>
    <row r="125" spans="1:71">
      <c r="A125" s="410" t="s">
        <v>249</v>
      </c>
      <c r="B125" s="410" t="s">
        <v>226</v>
      </c>
      <c r="D125" s="440">
        <f>qtrSales!W317</f>
        <v>331.84500000000003</v>
      </c>
      <c r="E125" s="453">
        <f>(D125/D118-1)*100</f>
        <v>14.027070025393185</v>
      </c>
      <c r="F125" s="455">
        <f>+D125/$AG125*100</f>
        <v>50.942727138751756</v>
      </c>
      <c r="G125" s="486">
        <f>qtrSales!G317</f>
        <v>-0.1</v>
      </c>
      <c r="H125" s="487">
        <v>7</v>
      </c>
      <c r="J125" s="440">
        <f>qtrSales!W494</f>
        <v>266.89</v>
      </c>
      <c r="K125" s="453">
        <f>(J125/J118-1)*100</f>
        <v>9.318423855165058</v>
      </c>
      <c r="L125" s="455">
        <f>+J125/$Z125*100</f>
        <v>55.208035976550704</v>
      </c>
      <c r="M125" s="486">
        <f>qtrSales!G494</f>
        <v>-1</v>
      </c>
      <c r="N125" s="487">
        <v>6</v>
      </c>
      <c r="P125" s="440">
        <f>qtrSales!W601</f>
        <v>46.000000000000007</v>
      </c>
      <c r="Q125" s="451">
        <f>(P125/P118-1)*100</f>
        <v>47.393380114710503</v>
      </c>
      <c r="R125" s="455">
        <f>+P125/$Z125*100</f>
        <v>9.5154170441804968</v>
      </c>
      <c r="S125" s="486">
        <f>qtrSales!G601</f>
        <v>6</v>
      </c>
      <c r="T125" s="487">
        <v>24</v>
      </c>
      <c r="V125" s="449">
        <f t="shared" si="0"/>
        <v>644.73500000000001</v>
      </c>
      <c r="W125" s="440">
        <v>6.673</v>
      </c>
      <c r="X125" s="451">
        <f>(W125/W118-1)*100</f>
        <v>41.978723404255327</v>
      </c>
      <c r="Z125" s="494">
        <v>483.42599999999999</v>
      </c>
      <c r="AA125" s="451">
        <v>7.9191520520055736</v>
      </c>
      <c r="AB125" s="456">
        <v>8</v>
      </c>
      <c r="AC125" s="416"/>
      <c r="AD125" s="462">
        <v>167.982</v>
      </c>
      <c r="AE125" s="451">
        <f>(AD125/AD118-1)*100</f>
        <v>36.43762183235868</v>
      </c>
      <c r="AF125" s="416"/>
      <c r="AG125" s="502">
        <f>D125+J125+P125+W125</f>
        <v>651.40800000000002</v>
      </c>
      <c r="AH125" s="452">
        <f>(AG125/AG118-1)*100</f>
        <v>14.067578168777306</v>
      </c>
      <c r="AI125" s="416"/>
      <c r="AJ125" s="547">
        <v>41.485999999999997</v>
      </c>
      <c r="AK125" s="466">
        <f>AJ125/AR125</f>
        <v>5.9873516006777365E-2</v>
      </c>
      <c r="AL125" s="452">
        <f>(AJ125/AJ118-1)*100</f>
        <v>6.6999305573416157</v>
      </c>
      <c r="AM125" s="416"/>
      <c r="AN125" s="547"/>
      <c r="AO125" s="466"/>
      <c r="AP125" s="452"/>
      <c r="AQ125" s="416"/>
      <c r="AR125" s="441">
        <f>+AG125+AJ125</f>
        <v>692.89400000000001</v>
      </c>
      <c r="AS125" s="452">
        <f>(AR125/AR118-1)*100</f>
        <v>13.597932955489988</v>
      </c>
      <c r="AU125" s="487">
        <v>8</v>
      </c>
      <c r="AV125" s="493">
        <f>(D118/V118)*H125+(J118/V118)*N125+(P118/V118)*T125</f>
        <v>7.5056976686700594</v>
      </c>
      <c r="AW125" s="504">
        <f>V125/$V$127</f>
        <v>0.24654965849353222</v>
      </c>
      <c r="AX125" s="442">
        <v>90.960999999999999</v>
      </c>
      <c r="AY125" s="470">
        <f>(AX125/AG125)*100</f>
        <v>13.963752364109745</v>
      </c>
      <c r="AZ125" s="459"/>
      <c r="BA125" s="462">
        <v>10.377000000000001</v>
      </c>
      <c r="BB125" s="470">
        <f>(BA125/AJ125)*100</f>
        <v>25.013257484452588</v>
      </c>
      <c r="BC125" s="416"/>
      <c r="BD125" s="462">
        <v>-0.24399999999999999</v>
      </c>
      <c r="BE125" s="416"/>
      <c r="BF125" s="462">
        <v>-7.5839999999999996</v>
      </c>
      <c r="BG125" s="416"/>
      <c r="BH125" s="449">
        <f>AX125+BA125+BD125+BF125</f>
        <v>93.509999999999991</v>
      </c>
      <c r="BI125" s="416"/>
      <c r="BJ125" s="477"/>
      <c r="BP125" s="442">
        <v>602.80999999999995</v>
      </c>
      <c r="BQ125" s="466">
        <f>BP125/AR125</f>
        <v>0.86998877173131817</v>
      </c>
      <c r="BR125" s="442">
        <v>90.084000000000003</v>
      </c>
      <c r="BS125" s="466">
        <f>BR125/AR125</f>
        <v>0.13001122826868181</v>
      </c>
    </row>
    <row r="126" spans="1:71">
      <c r="A126" s="410" t="s">
        <v>250</v>
      </c>
      <c r="B126" s="410" t="s">
        <v>227</v>
      </c>
      <c r="D126" s="447">
        <f>qtrSales!W318</f>
        <v>415.483</v>
      </c>
      <c r="E126" s="453">
        <f>(D126/D119-1)*100</f>
        <v>16.45714734183743</v>
      </c>
      <c r="F126" s="455">
        <f>+D126/$AG126*100</f>
        <v>50.786396267444402</v>
      </c>
      <c r="G126" s="489">
        <f>qtrSales!G318</f>
        <v>5.5</v>
      </c>
      <c r="H126" s="506">
        <v>11</v>
      </c>
      <c r="J126" s="447">
        <f>qtrSales!W495</f>
        <v>334.79199999999997</v>
      </c>
      <c r="K126" s="453">
        <f>(J126/J119-1)*100</f>
        <v>11.896469896189155</v>
      </c>
      <c r="L126" s="455">
        <f>+J126/$Z126*100</f>
        <v>57.966818916887995</v>
      </c>
      <c r="M126" s="486">
        <f>qtrSales!G495</f>
        <v>1.5</v>
      </c>
      <c r="N126" s="506">
        <v>7</v>
      </c>
      <c r="P126" s="447">
        <f>qtrSales!W602</f>
        <v>59.003000000000007</v>
      </c>
      <c r="Q126" s="451">
        <f>(P126/P119-1)*100</f>
        <v>54.482379431324304</v>
      </c>
      <c r="R126" s="455">
        <f>+P126/$Z126*100</f>
        <v>10.215943680115245</v>
      </c>
      <c r="S126" s="489">
        <v>-2</v>
      </c>
      <c r="T126" s="506">
        <v>37</v>
      </c>
      <c r="V126" s="449">
        <f t="shared" si="0"/>
        <v>809.27800000000002</v>
      </c>
      <c r="W126" s="447">
        <v>8.8209999999999997</v>
      </c>
      <c r="X126" s="451">
        <f>(W126/W119-1)*100</f>
        <v>83.122275275067466</v>
      </c>
      <c r="Z126" s="494">
        <v>577.55799999999999</v>
      </c>
      <c r="AA126" s="451">
        <v>8.5547596716806673</v>
      </c>
      <c r="AB126" s="456">
        <v>11</v>
      </c>
      <c r="AC126" s="416"/>
      <c r="AD126" s="468">
        <v>240.541</v>
      </c>
      <c r="AE126" s="451">
        <f>(AD126/AD119-1)*100</f>
        <v>44.092610896456705</v>
      </c>
      <c r="AF126" s="416"/>
      <c r="AG126" s="507">
        <f>D126+J126+P126+W126</f>
        <v>818.09900000000005</v>
      </c>
      <c r="AH126" s="452">
        <f>(AG126/AG119-1)*100</f>
        <v>17.042167278512355</v>
      </c>
      <c r="AI126" s="416"/>
      <c r="AJ126" s="464">
        <v>38.732999999999997</v>
      </c>
      <c r="AK126" s="466">
        <f>AJ126/AR126</f>
        <v>4.5204894308335818E-2</v>
      </c>
      <c r="AL126" s="452">
        <f>(AJ126/AJ119-1)*100</f>
        <v>22.301862961793482</v>
      </c>
      <c r="AM126" s="416"/>
      <c r="AN126" s="464"/>
      <c r="AO126" s="466"/>
      <c r="AP126" s="452"/>
      <c r="AQ126" s="416"/>
      <c r="AR126" s="446">
        <f>+AG126+AJ126</f>
        <v>856.83199999999999</v>
      </c>
      <c r="AS126" s="452">
        <f>(AR126/AR119-1)*100</f>
        <v>17.270149237389298</v>
      </c>
      <c r="AU126" s="487">
        <v>11</v>
      </c>
      <c r="AV126" s="493">
        <f>(D119/V119)*H126+(J119/V119)*N126+(P119/V119)*T126</f>
        <v>10.70648307813317</v>
      </c>
      <c r="AW126" s="504">
        <f>V126/$V$127</f>
        <v>0.30947166591906561</v>
      </c>
      <c r="AX126" s="444">
        <f>AX127-SUM(AX123:AX125)</f>
        <v>128.12099999999998</v>
      </c>
      <c r="AY126" s="470">
        <f>(AX126/AG126)*100</f>
        <v>15.660818556189406</v>
      </c>
      <c r="BA126" s="477">
        <f>BA127-SUM(BA123:BA125)</f>
        <v>7.6589999999999989</v>
      </c>
      <c r="BB126" s="470">
        <f>(BA126/AJ126)*100</f>
        <v>19.773836263651148</v>
      </c>
      <c r="BD126" s="477">
        <f>BD127-SUM(BD123:BD125)</f>
        <v>-0.10199999999999998</v>
      </c>
      <c r="BF126" s="477">
        <f>BF127-SUM(BF123:BF125)</f>
        <v>-3.7560000000000002</v>
      </c>
      <c r="BH126" s="477">
        <f>BH127-SUM(BH123:BH125)</f>
        <v>131.92200000000003</v>
      </c>
      <c r="BP126" s="444">
        <f>BP127-SUM(BP123:BP125)</f>
        <v>732.5160000000003</v>
      </c>
      <c r="BQ126" s="466">
        <f>BP126/AR126</f>
        <v>0.85491204810277899</v>
      </c>
      <c r="BR126" s="444">
        <f>BR127-SUM(BR123:BR125)</f>
        <v>124.31599999999997</v>
      </c>
      <c r="BS126" s="466">
        <f>BR126/AR126</f>
        <v>0.14508795189722137</v>
      </c>
    </row>
    <row r="127" spans="1:71">
      <c r="B127" s="410" t="s">
        <v>251</v>
      </c>
      <c r="D127" s="437">
        <f>qtrSales!W319</f>
        <v>1324.3820000000001</v>
      </c>
      <c r="E127" s="453">
        <f>(D127/D120-1)*100</f>
        <v>14.636027397378836</v>
      </c>
      <c r="F127" s="455">
        <f>+D127/$AG127*100</f>
        <v>50.046858160348627</v>
      </c>
      <c r="G127" s="486">
        <f>qtrSales!G319</f>
        <v>2.4316214654528485</v>
      </c>
      <c r="H127" s="487">
        <f>AVERAGE(H123:H126)</f>
        <v>7.5</v>
      </c>
      <c r="J127" s="437">
        <f>qtrSales!W496</f>
        <v>1118.6079999999999</v>
      </c>
      <c r="K127" s="453">
        <f>(J127/J120-1)*100</f>
        <v>7.0925061630884745</v>
      </c>
      <c r="L127" s="455">
        <f>+J127/$Z127*100</f>
        <v>56.411477076508461</v>
      </c>
      <c r="M127" s="486">
        <f>qtrSales!G496</f>
        <v>-1.8317056110966876</v>
      </c>
      <c r="N127" s="487">
        <f>AVERAGE(N123:N126)</f>
        <v>2.75</v>
      </c>
      <c r="P127" s="437">
        <f>qtrSales!W603</f>
        <v>172.04100000000003</v>
      </c>
      <c r="Q127" s="453">
        <f>(P127/P120-1)*100</f>
        <v>46.536348537115124</v>
      </c>
      <c r="R127" s="455">
        <f>+P127/$Z127*100</f>
        <v>8.6760392628334451</v>
      </c>
      <c r="S127" s="508">
        <f>qtrSales!G603</f>
        <v>2.8258732278951157</v>
      </c>
      <c r="T127" s="487">
        <f>AVERAGE(T123:T126)</f>
        <v>18.75</v>
      </c>
      <c r="V127" s="449">
        <f t="shared" si="0"/>
        <v>2615.0309999999999</v>
      </c>
      <c r="W127" s="490">
        <f>SUM(W123:W126)</f>
        <v>31.253</v>
      </c>
      <c r="X127" s="451">
        <f>(W127/W120-1)*100</f>
        <v>32.590895592041072</v>
      </c>
      <c r="Z127" s="436">
        <v>1982.944</v>
      </c>
      <c r="AA127" s="451">
        <v>8.0134282512932753</v>
      </c>
      <c r="AB127" s="456">
        <v>-0.78738558441157702</v>
      </c>
      <c r="AC127" s="416"/>
      <c r="AD127" s="439">
        <f>SUM(AD123:AD126)</f>
        <v>663.33999999999992</v>
      </c>
      <c r="AE127" s="451">
        <f>(AD127/AD120-1)*100</f>
        <v>31.364080140525118</v>
      </c>
      <c r="AF127" s="416"/>
      <c r="AG127" s="502">
        <f>SUM(AG123:AG126)</f>
        <v>2646.2840000000001</v>
      </c>
      <c r="AH127" s="452">
        <f>(AG127/AG120-1)*100</f>
        <v>13.050699890720828</v>
      </c>
      <c r="AI127" s="416"/>
      <c r="AJ127" s="436">
        <f>+SUM(AJ123:AJ126)</f>
        <v>148.64099999999999</v>
      </c>
      <c r="AK127" s="466">
        <f>AJ127/AR127</f>
        <v>5.3182464645741827E-2</v>
      </c>
      <c r="AL127" s="452">
        <f>(AJ127/AJ120-1)*100</f>
        <v>11.754268572330773</v>
      </c>
      <c r="AM127" s="416"/>
      <c r="AN127" s="436"/>
      <c r="AO127" s="466"/>
      <c r="AP127" s="452"/>
      <c r="AQ127" s="416"/>
      <c r="AR127" s="436">
        <f>+SUM(AR123:AR126)</f>
        <v>2794.9250000000002</v>
      </c>
      <c r="AS127" s="452">
        <f>(AR127/AR120-1)*100</f>
        <v>12.980995641929161</v>
      </c>
      <c r="AU127" s="509">
        <v>7</v>
      </c>
      <c r="AV127" s="493">
        <f>(D120/V120)*H127+(J120/V120)*N127+(P120/V120)*T127</f>
        <v>5.9288575160871435</v>
      </c>
      <c r="AW127" s="504">
        <f>V127/$V$127</f>
        <v>1</v>
      </c>
      <c r="AX127" s="442">
        <v>366.13900000000001</v>
      </c>
      <c r="AY127" s="470">
        <f>(AX127/AG127)*100</f>
        <v>13.835967719262179</v>
      </c>
      <c r="AZ127" s="459"/>
      <c r="BA127" s="442">
        <v>35.783000000000001</v>
      </c>
      <c r="BB127" s="470">
        <f>(BA127/AJ127)*100</f>
        <v>24.073438687845215</v>
      </c>
      <c r="BC127" s="416"/>
      <c r="BD127" s="442">
        <v>-0.61</v>
      </c>
      <c r="BE127" s="416"/>
      <c r="BF127" s="442">
        <v>-27.027000000000001</v>
      </c>
      <c r="BG127" s="416"/>
      <c r="BH127" s="449">
        <f>AX127+BA127+BD127+BF127</f>
        <v>374.28500000000003</v>
      </c>
      <c r="BJ127" s="449"/>
      <c r="BP127" s="442">
        <v>2423.1550000000002</v>
      </c>
      <c r="BQ127" s="466">
        <f>BP127/AR127</f>
        <v>0.86698390833385508</v>
      </c>
      <c r="BR127" s="442">
        <v>371.77</v>
      </c>
      <c r="BS127" s="466">
        <f>BR127/AR127</f>
        <v>0.13301609166614486</v>
      </c>
    </row>
    <row r="128" spans="1:71" ht="13.5" customHeight="1">
      <c r="D128" s="449"/>
      <c r="E128" s="453"/>
      <c r="F128" s="455"/>
      <c r="G128" s="486"/>
      <c r="H128" s="486"/>
      <c r="J128" s="449"/>
      <c r="K128" s="453"/>
      <c r="L128" s="455"/>
      <c r="M128" s="486"/>
      <c r="N128" s="455"/>
      <c r="P128" s="449"/>
      <c r="Q128" s="453"/>
      <c r="R128" s="455"/>
      <c r="S128" s="486"/>
      <c r="T128" s="455"/>
      <c r="V128" s="449"/>
      <c r="W128" s="449"/>
      <c r="X128" s="451"/>
      <c r="Z128" s="439"/>
      <c r="AA128" s="451"/>
      <c r="AB128" s="470"/>
      <c r="AC128" s="416"/>
      <c r="AD128" s="483">
        <f>AD127/AR127</f>
        <v>0.23733731674374084</v>
      </c>
      <c r="AE128" s="451"/>
      <c r="AF128" s="416"/>
      <c r="AG128" s="436"/>
      <c r="AH128" s="452"/>
      <c r="AI128" s="416"/>
      <c r="AJ128" s="436"/>
      <c r="AK128" s="439"/>
      <c r="AL128" s="452"/>
      <c r="AM128" s="416"/>
      <c r="AN128" s="436"/>
      <c r="AO128" s="439"/>
      <c r="AP128" s="452"/>
      <c r="AQ128" s="416"/>
      <c r="AR128" s="436"/>
      <c r="AS128" s="452"/>
      <c r="AU128" s="455"/>
      <c r="AV128" s="416"/>
      <c r="AW128" s="470"/>
      <c r="AX128" s="442"/>
      <c r="AY128" s="470"/>
      <c r="AZ128" s="459"/>
      <c r="BA128" s="462"/>
      <c r="BB128" s="470"/>
      <c r="BC128" s="416"/>
      <c r="BD128" s="462"/>
      <c r="BE128" s="416"/>
      <c r="BF128" s="462"/>
      <c r="BG128" s="416"/>
      <c r="BH128" s="416"/>
      <c r="BI128" s="416"/>
      <c r="BJ128" s="416"/>
      <c r="BP128" s="442"/>
      <c r="BQ128" s="466"/>
      <c r="BR128" s="442"/>
      <c r="BS128" s="466"/>
    </row>
    <row r="129" spans="1:71">
      <c r="B129" s="431">
        <f>qtrSales!B144</f>
        <v>2013</v>
      </c>
      <c r="D129" s="449"/>
      <c r="E129" s="453"/>
      <c r="F129" s="455"/>
      <c r="G129" s="486"/>
      <c r="H129" s="486"/>
      <c r="J129" s="449"/>
      <c r="K129" s="453"/>
      <c r="L129" s="455"/>
      <c r="M129" s="486"/>
      <c r="N129" s="455"/>
      <c r="P129" s="449"/>
      <c r="Q129" s="453"/>
      <c r="R129" s="455"/>
      <c r="S129" s="486"/>
      <c r="T129" s="455"/>
      <c r="V129" s="449"/>
      <c r="W129" s="449"/>
      <c r="X129" s="451"/>
      <c r="Z129" s="439"/>
      <c r="AA129" s="451"/>
      <c r="AB129" s="470"/>
      <c r="AC129" s="416"/>
      <c r="AD129" s="510" t="s">
        <v>638</v>
      </c>
      <c r="AE129" s="451"/>
      <c r="AF129" s="416"/>
      <c r="AG129" s="436"/>
      <c r="AH129" s="452"/>
      <c r="AI129" s="416"/>
      <c r="AJ129" s="436"/>
      <c r="AK129" s="439"/>
      <c r="AL129" s="452"/>
      <c r="AM129" s="416"/>
      <c r="AN129" s="436"/>
      <c r="AO129" s="439"/>
      <c r="AP129" s="452"/>
      <c r="AQ129" s="416"/>
      <c r="AR129" s="436"/>
      <c r="AS129" s="452"/>
      <c r="AU129" s="455"/>
      <c r="AV129" s="470"/>
      <c r="AW129" s="470"/>
      <c r="AX129" s="442"/>
      <c r="AY129" s="470"/>
      <c r="AZ129" s="459"/>
      <c r="BA129" s="462"/>
      <c r="BB129" s="470"/>
      <c r="BC129" s="416"/>
      <c r="BD129" s="462"/>
      <c r="BE129" s="416"/>
      <c r="BF129" s="462"/>
      <c r="BG129" s="416"/>
      <c r="BH129" s="416"/>
      <c r="BI129" s="416"/>
      <c r="BJ129" s="416"/>
      <c r="BP129" s="442"/>
      <c r="BQ129" s="466"/>
      <c r="BR129" s="442"/>
      <c r="BS129" s="466"/>
    </row>
    <row r="130" spans="1:71">
      <c r="A130" s="496" t="s">
        <v>247</v>
      </c>
      <c r="B130" s="496" t="s">
        <v>224</v>
      </c>
      <c r="D130" s="437">
        <f>qtrSales!W322</f>
        <v>292.79000000000002</v>
      </c>
      <c r="E130" s="497">
        <f>(D130/D123-1)*100</f>
        <v>9.9102819174894172</v>
      </c>
      <c r="F130" s="455">
        <f>+D130/$AG130*100</f>
        <v>47.843692195067753</v>
      </c>
      <c r="G130" s="486">
        <f>qtrSales!G322</f>
        <v>3</v>
      </c>
      <c r="H130" s="487">
        <v>6</v>
      </c>
      <c r="J130" s="437">
        <f>qtrSales!W499</f>
        <v>265.06799999999998</v>
      </c>
      <c r="K130" s="497">
        <f>(J130/J123-1)*100</f>
        <v>12.738284606027616</v>
      </c>
      <c r="L130" s="498">
        <f>+J130/$AG130*100</f>
        <v>43.313746380553361</v>
      </c>
      <c r="M130" s="486">
        <f>qtrSales!G499</f>
        <v>-2</v>
      </c>
      <c r="N130" s="487">
        <v>8</v>
      </c>
      <c r="P130" s="437">
        <f>qtrSales!W606</f>
        <v>47.119</v>
      </c>
      <c r="Q130" s="499">
        <f>(P130/P123-1)*100</f>
        <v>54.549330884282355</v>
      </c>
      <c r="R130" s="498">
        <f>+P130/$AG130*100</f>
        <v>7.6995352728556208</v>
      </c>
      <c r="S130" s="486">
        <f>qtrSales!G606</f>
        <v>-1</v>
      </c>
      <c r="T130" s="487">
        <v>44</v>
      </c>
      <c r="V130" s="449">
        <f t="shared" si="0"/>
        <v>604.97699999999998</v>
      </c>
      <c r="W130" s="435">
        <v>6.9950000000000001</v>
      </c>
      <c r="X130" s="451">
        <f>(W130/W123-1)*100</f>
        <v>21.652173913043484</v>
      </c>
      <c r="Z130" s="441">
        <v>627.72444579423836</v>
      </c>
      <c r="AA130" s="499">
        <v>49.231511607186796</v>
      </c>
      <c r="AB130" s="470">
        <v>0.76</v>
      </c>
      <c r="AC130" s="416"/>
      <c r="AD130" s="439">
        <f>AD123*(1+AE130/100)</f>
        <v>160.43796</v>
      </c>
      <c r="AE130" s="511">
        <v>37</v>
      </c>
      <c r="AF130" s="416"/>
      <c r="AG130" s="436">
        <f>D130+J130+P130+W130</f>
        <v>611.97199999999998</v>
      </c>
      <c r="AH130" s="503">
        <f>(AG130/AG123-1)*100</f>
        <v>13.803171013824379</v>
      </c>
      <c r="AI130" s="416"/>
      <c r="AJ130" s="492">
        <v>36.206000000000003</v>
      </c>
      <c r="AK130" s="466">
        <f>AJ130/AR130</f>
        <v>5.5858113049193282E-2</v>
      </c>
      <c r="AL130" s="452">
        <f>(AJ130/AJ123-1)*100</f>
        <v>16.10441251924064</v>
      </c>
      <c r="AM130" s="416"/>
      <c r="AN130" s="492"/>
      <c r="AO130" s="466"/>
      <c r="AP130" s="452"/>
      <c r="AQ130" s="416"/>
      <c r="AR130" s="502">
        <f>+AG130+AJ130</f>
        <v>648.178</v>
      </c>
      <c r="AS130" s="503">
        <f>(AR130/AR123-1)*100</f>
        <v>13.929305890004052</v>
      </c>
      <c r="AU130" s="512">
        <v>9</v>
      </c>
      <c r="AV130" s="493">
        <f>(D123/V123)*H130+(J123/V123)*N130+(P123/V123)*T130</f>
        <v>9.0616395611997085</v>
      </c>
      <c r="AW130" s="504">
        <f>V130/$V$134</f>
        <v>0.21062553985726357</v>
      </c>
      <c r="AX130" s="442">
        <v>72.412000000000006</v>
      </c>
      <c r="AY130" s="470">
        <f>(AX130/AG130)*100</f>
        <v>11.832567503088377</v>
      </c>
      <c r="AZ130" s="459"/>
      <c r="BA130" s="462">
        <v>8.3320000000000007</v>
      </c>
      <c r="BB130" s="470">
        <f>(BA130/AJ130)*100</f>
        <v>23.012760315969729</v>
      </c>
      <c r="BC130" s="416"/>
      <c r="BD130" s="462">
        <v>-0.16800000000000001</v>
      </c>
      <c r="BE130" s="416"/>
      <c r="BF130" s="462">
        <v>-7.61</v>
      </c>
      <c r="BG130" s="416"/>
      <c r="BH130" s="449">
        <f>AX130+BA130+BD130+BF130</f>
        <v>72.965999999999994</v>
      </c>
      <c r="BI130" s="416"/>
      <c r="BJ130" s="416"/>
      <c r="BP130" s="442">
        <v>569.56700000000001</v>
      </c>
      <c r="BQ130" s="466">
        <f>BP130/AR130</f>
        <v>0.87872004295116468</v>
      </c>
      <c r="BR130" s="442">
        <v>78.61</v>
      </c>
      <c r="BS130" s="466">
        <f>BR130/AR130</f>
        <v>0.12127841426274881</v>
      </c>
    </row>
    <row r="131" spans="1:71">
      <c r="A131" s="410" t="s">
        <v>248</v>
      </c>
      <c r="B131" s="410" t="s">
        <v>225</v>
      </c>
      <c r="D131" s="440">
        <f>qtrSales!W323</f>
        <v>336.57499999999999</v>
      </c>
      <c r="E131" s="453">
        <f>(D131/D124-1)*100</f>
        <v>8.340522236242375</v>
      </c>
      <c r="F131" s="455">
        <f>+D131/$AG131*100</f>
        <v>47.074019113527307</v>
      </c>
      <c r="G131" s="486">
        <f>qtrSales!G323</f>
        <v>3</v>
      </c>
      <c r="H131" s="487">
        <v>5</v>
      </c>
      <c r="J131" s="440">
        <f>qtrSales!W500</f>
        <v>315.084</v>
      </c>
      <c r="K131" s="453">
        <f>(J131/J124-1)*100</f>
        <v>11.808039516266389</v>
      </c>
      <c r="L131" s="455">
        <f>+J131/$AG131*100</f>
        <v>44.068247012899462</v>
      </c>
      <c r="M131" s="486">
        <f>qtrSales!G500</f>
        <v>-2</v>
      </c>
      <c r="N131" s="487">
        <v>9</v>
      </c>
      <c r="P131" s="440">
        <f>qtrSales!W607</f>
        <v>53.682999999999993</v>
      </c>
      <c r="Q131" s="451">
        <f>(P131/P124-1)*100</f>
        <v>46.875512995896031</v>
      </c>
      <c r="R131" s="455">
        <f>+P131/$AG131*100</f>
        <v>7.5082063970035975</v>
      </c>
      <c r="S131" s="486">
        <f>qtrSales!G607</f>
        <v>-1</v>
      </c>
      <c r="T131" s="487">
        <v>38</v>
      </c>
      <c r="V131" s="449">
        <f t="shared" si="0"/>
        <v>705.34199999999998</v>
      </c>
      <c r="W131" s="440">
        <v>9.6489999999999991</v>
      </c>
      <c r="X131" s="451">
        <f>(W131/W124-1)*100</f>
        <v>-3.596762913377971</v>
      </c>
      <c r="Z131" s="441">
        <v>736.66938800758692</v>
      </c>
      <c r="AA131" s="451">
        <v>46.945354085315813</v>
      </c>
      <c r="AB131" s="470">
        <v>0.76</v>
      </c>
      <c r="AC131" s="416"/>
      <c r="AD131" s="477">
        <f>AD124*(1+AE131/100)</f>
        <v>185.90715000000003</v>
      </c>
      <c r="AE131" s="511">
        <v>35</v>
      </c>
      <c r="AF131" s="416"/>
      <c r="AG131" s="441">
        <f>D131+J131+P131+W131</f>
        <v>714.99099999999999</v>
      </c>
      <c r="AH131" s="452">
        <f>(AG131/AG124-1)*100</f>
        <v>11.886747278301058</v>
      </c>
      <c r="AI131" s="416"/>
      <c r="AJ131" s="547">
        <v>43.568459999999995</v>
      </c>
      <c r="AK131" s="466">
        <f>AJ131/AR131</f>
        <v>5.743578756502489E-2</v>
      </c>
      <c r="AL131" s="452">
        <f>(AJ131/AJ124-1)*100</f>
        <v>16.999999999999993</v>
      </c>
      <c r="AM131" s="416"/>
      <c r="AN131" s="547"/>
      <c r="AO131" s="466"/>
      <c r="AP131" s="452"/>
      <c r="AQ131" s="416"/>
      <c r="AR131" s="441">
        <f>+AG131+AJ131</f>
        <v>758.55945999999994</v>
      </c>
      <c r="AS131" s="452">
        <f>(AR131/AR124-1)*100</f>
        <v>12.168302849901425</v>
      </c>
      <c r="AU131" s="512">
        <v>9</v>
      </c>
      <c r="AV131" s="493">
        <f>(D124/V124)*H131+(J124/V124)*N131+(P124/V124)*T131</f>
        <v>8.7095395709530035</v>
      </c>
      <c r="AW131" s="504">
        <f>V131/$V$134</f>
        <v>0.24556807867737451</v>
      </c>
      <c r="AX131" s="442">
        <v>116.572</v>
      </c>
      <c r="AY131" s="470">
        <f>(AX131/AG131)*100</f>
        <v>16.303981448717536</v>
      </c>
      <c r="AZ131" s="459"/>
      <c r="BA131" s="462">
        <v>11.612</v>
      </c>
      <c r="BB131" s="470">
        <f>(BA131/AJ131)*100</f>
        <v>26.652307655583883</v>
      </c>
      <c r="BC131" s="416"/>
      <c r="BD131" s="462">
        <v>-0.21199999999999999</v>
      </c>
      <c r="BE131" s="416"/>
      <c r="BF131" s="462">
        <v>-8.6549999999999994</v>
      </c>
      <c r="BG131" s="416"/>
      <c r="BH131" s="449">
        <f>AX131+BA131+BD131+BF131</f>
        <v>119.31699999999999</v>
      </c>
      <c r="BI131" s="416"/>
      <c r="BJ131" s="416"/>
      <c r="BP131" s="442">
        <v>661.48599999999999</v>
      </c>
      <c r="BQ131" s="466">
        <f>BP131/AR131</f>
        <v>0.87202920124415828</v>
      </c>
      <c r="BR131" s="442">
        <v>97.037999999999997</v>
      </c>
      <c r="BS131" s="466">
        <f>BR131/AR131</f>
        <v>0.12792405225557402</v>
      </c>
    </row>
    <row r="132" spans="1:71">
      <c r="A132" s="410" t="s">
        <v>249</v>
      </c>
      <c r="B132" s="410" t="s">
        <v>226</v>
      </c>
      <c r="D132" s="440">
        <f>qtrSales!W324</f>
        <v>341.916</v>
      </c>
      <c r="E132" s="453">
        <f>(D132/D125-1)*100</f>
        <v>3.0348506079645565</v>
      </c>
      <c r="F132" s="455">
        <f>+D132/$AG132*100</f>
        <v>47.221662113674718</v>
      </c>
      <c r="G132" s="486">
        <f>qtrSales!G324</f>
        <v>3</v>
      </c>
      <c r="H132" s="487">
        <v>-1</v>
      </c>
      <c r="J132" s="440">
        <f>qtrSales!W501</f>
        <v>310.13099999999997</v>
      </c>
      <c r="K132" s="453">
        <f>(J132/J125-1)*100</f>
        <v>16.201805987485486</v>
      </c>
      <c r="L132" s="455">
        <f>+J132/$AG132*100</f>
        <v>42.831868918026807</v>
      </c>
      <c r="M132" s="486">
        <f>qtrSales!G501</f>
        <v>-2</v>
      </c>
      <c r="N132" s="487">
        <v>13</v>
      </c>
      <c r="P132" s="440">
        <f>qtrSales!W608</f>
        <v>62.985000000000007</v>
      </c>
      <c r="Q132" s="451">
        <f>(P132/P125-1)*100</f>
        <v>36.923913043478265</v>
      </c>
      <c r="R132" s="455">
        <f>+P132/$AG132*100</f>
        <v>8.6987926514986214</v>
      </c>
      <c r="S132" s="486">
        <f>qtrSales!G608</f>
        <v>-1</v>
      </c>
      <c r="T132" s="487">
        <v>30</v>
      </c>
      <c r="V132" s="449">
        <f t="shared" si="0"/>
        <v>715.03200000000004</v>
      </c>
      <c r="W132" s="440">
        <v>9.0340000000000007</v>
      </c>
      <c r="X132" s="451">
        <f>(W132/W125-1)*100</f>
        <v>35.381387681702407</v>
      </c>
      <c r="Z132" s="441">
        <v>747.63853667193291</v>
      </c>
      <c r="AA132" s="451">
        <v>54.654184233353796</v>
      </c>
      <c r="AB132" s="470">
        <v>0.76</v>
      </c>
      <c r="AC132" s="416"/>
      <c r="AD132" s="477">
        <f>AD125*(1+AE132/100)</f>
        <v>218.3766</v>
      </c>
      <c r="AE132" s="511">
        <v>30</v>
      </c>
      <c r="AF132" s="416"/>
      <c r="AG132" s="441">
        <f>(D132+J132+P132+W132)</f>
        <v>724.06600000000003</v>
      </c>
      <c r="AH132" s="452">
        <f>(AG132/AG125-1)*100</f>
        <v>11.153992582221894</v>
      </c>
      <c r="AI132" s="416"/>
      <c r="AJ132" s="547">
        <v>49.982999999999997</v>
      </c>
      <c r="AK132" s="466">
        <f>AJ132/AR132</f>
        <v>6.4573431397753886E-2</v>
      </c>
      <c r="AL132" s="452">
        <f>(AJ132/AJ125-1)*100</f>
        <v>20.481608253386696</v>
      </c>
      <c r="AM132" s="416"/>
      <c r="AN132" s="547"/>
      <c r="AO132" s="466"/>
      <c r="AP132" s="452"/>
      <c r="AQ132" s="416"/>
      <c r="AR132" s="441">
        <f>(+AG132+AJ132)</f>
        <v>774.04899999999998</v>
      </c>
      <c r="AS132" s="452">
        <f>(AR132/AR125-1)*100</f>
        <v>11.712469728414444</v>
      </c>
      <c r="AU132" s="512">
        <v>7</v>
      </c>
      <c r="AV132" s="493">
        <f>(D125/V125)*H132+(J125/V125)*N132+(P125/V125)*T132</f>
        <v>7.0071036937656554</v>
      </c>
      <c r="AW132" s="504">
        <f>V132/$V$134</f>
        <v>0.24894169698223056</v>
      </c>
      <c r="AX132" s="442">
        <v>100.877</v>
      </c>
      <c r="AY132" s="470">
        <f>(AX132/AG132)*100</f>
        <v>13.932017247046538</v>
      </c>
      <c r="AZ132" s="459"/>
      <c r="BA132" s="462">
        <v>13.337</v>
      </c>
      <c r="BB132" s="470">
        <f>(BA132/AJ132)*100</f>
        <v>26.683072244563157</v>
      </c>
      <c r="BC132" s="416"/>
      <c r="BD132" s="462">
        <v>-0.311</v>
      </c>
      <c r="BE132" s="416"/>
      <c r="BF132" s="462">
        <v>-8.4440000000000008</v>
      </c>
      <c r="BG132" s="416"/>
      <c r="BH132" s="449">
        <f>AX132+BA132+BD132+BF132</f>
        <v>105.45899999999999</v>
      </c>
      <c r="BI132" s="416"/>
      <c r="BJ132" s="416"/>
      <c r="BP132" s="442">
        <v>677.11900000000003</v>
      </c>
      <c r="BQ132" s="466">
        <f>BP132/AR132</f>
        <v>0.87477536951795043</v>
      </c>
      <c r="BR132" s="442">
        <v>96.93</v>
      </c>
      <c r="BS132" s="466">
        <f>BR132/AR132</f>
        <v>0.1252246304820496</v>
      </c>
    </row>
    <row r="133" spans="1:71">
      <c r="A133" s="410" t="s">
        <v>250</v>
      </c>
      <c r="B133" s="410" t="s">
        <v>227</v>
      </c>
      <c r="D133" s="447">
        <f>qtrSales!W325</f>
        <v>398.02100000000002</v>
      </c>
      <c r="E133" s="453">
        <f>(D133/D126-1)*100</f>
        <v>-4.2028193692641995</v>
      </c>
      <c r="F133" s="455">
        <f>+D133/$AG133*100</f>
        <v>46.391935222558814</v>
      </c>
      <c r="G133" s="489">
        <f>qtrSales!G325</f>
        <v>3</v>
      </c>
      <c r="H133" s="506">
        <v>-9</v>
      </c>
      <c r="J133" s="447">
        <f>qtrSales!W502</f>
        <v>373.959</v>
      </c>
      <c r="K133" s="453">
        <f>(J133/J126-1)*100</f>
        <v>11.698905589141928</v>
      </c>
      <c r="L133" s="455">
        <f>+J133/$AG133*100</f>
        <v>43.587352687151856</v>
      </c>
      <c r="M133" s="486">
        <f>qtrSales!G502</f>
        <v>-2</v>
      </c>
      <c r="N133" s="506">
        <v>10</v>
      </c>
      <c r="P133" s="447">
        <f>qtrSales!W609</f>
        <v>74.956000000000003</v>
      </c>
      <c r="Q133" s="451">
        <f>(P133/P126-1)*100</f>
        <v>27.037608257207246</v>
      </c>
      <c r="R133" s="455">
        <f>+P133/$AG133*100</f>
        <v>8.7366091149515164</v>
      </c>
      <c r="S133" s="486">
        <f>qtrSales!G609</f>
        <v>-1</v>
      </c>
      <c r="T133" s="506">
        <v>20</v>
      </c>
      <c r="V133" s="449">
        <f t="shared" si="0"/>
        <v>846.93600000000004</v>
      </c>
      <c r="W133" s="447">
        <v>11.016999999999999</v>
      </c>
      <c r="X133" s="451">
        <f>(W133/W126-1)*100</f>
        <v>24.895136605827005</v>
      </c>
      <c r="Z133" s="441">
        <v>925.92372560710305</v>
      </c>
      <c r="AA133" s="451">
        <v>60.317011556779242</v>
      </c>
      <c r="AB133" s="470">
        <v>1.0539999999999998</v>
      </c>
      <c r="AC133" s="416"/>
      <c r="AD133" s="473">
        <f>AD126*(1+AE133/100)</f>
        <v>312.70330000000001</v>
      </c>
      <c r="AE133" s="511">
        <v>30</v>
      </c>
      <c r="AF133" s="416"/>
      <c r="AG133" s="446">
        <f>(D133+J133+P133+W133)</f>
        <v>857.95300000000009</v>
      </c>
      <c r="AH133" s="452">
        <f>(AG133/AG126-1)*100</f>
        <v>4.8715375523011417</v>
      </c>
      <c r="AI133" s="416"/>
      <c r="AJ133" s="464">
        <v>47.905000000000001</v>
      </c>
      <c r="AK133" s="466">
        <f>AJ133/AR133</f>
        <v>5.288356453218937E-2</v>
      </c>
      <c r="AL133" s="452">
        <f>(AJ133/AJ126-1)*100</f>
        <v>23.680066093512011</v>
      </c>
      <c r="AM133" s="416"/>
      <c r="AN133" s="464"/>
      <c r="AO133" s="466"/>
      <c r="AP133" s="452"/>
      <c r="AQ133" s="416"/>
      <c r="AR133" s="446">
        <f>AJ133+AG133</f>
        <v>905.85800000000006</v>
      </c>
      <c r="AS133" s="452">
        <f>(AR133/AR126-1)*100</f>
        <v>5.7217750971018999</v>
      </c>
      <c r="AU133" s="513">
        <v>1</v>
      </c>
      <c r="AV133" s="493">
        <f>(D126/V126)*H133+(J126/V126)*N133+(P126/V126)*T133</f>
        <v>0.97448960678530749</v>
      </c>
      <c r="AW133" s="504">
        <f>V133/$V$134</f>
        <v>0.29486468448313141</v>
      </c>
      <c r="AX133" s="444">
        <f>AX134-SUM(AX130:AX132)</f>
        <v>124.87299999999999</v>
      </c>
      <c r="AY133" s="470">
        <f>(AX133/AG133)*100</f>
        <v>14.55475999268025</v>
      </c>
      <c r="AZ133" s="459"/>
      <c r="BA133" s="477">
        <f>BA134-SUM(BA130:BA132)</f>
        <v>8.9099999999999966</v>
      </c>
      <c r="BB133" s="470">
        <f>(BA133/AJ133)*100</f>
        <v>18.599311136624561</v>
      </c>
      <c r="BC133" s="416"/>
      <c r="BD133" s="477">
        <f>BD134-SUM(BD130:BD132)</f>
        <v>-0.14599999999999991</v>
      </c>
      <c r="BE133" s="416"/>
      <c r="BF133" s="477">
        <f>BF134-SUM(BF130:BF132)</f>
        <v>-4.5479999999999983</v>
      </c>
      <c r="BG133" s="416"/>
      <c r="BH133" s="477">
        <f>BH134-SUM(BH130:BH132)</f>
        <v>129.089</v>
      </c>
      <c r="BI133" s="416"/>
      <c r="BJ133" s="416"/>
      <c r="BP133" s="444">
        <f>BP134-SUM(BP130:BP132)</f>
        <v>776.86999999999989</v>
      </c>
      <c r="BQ133" s="466">
        <f>BP133/AR133</f>
        <v>0.85760682137818489</v>
      </c>
      <c r="BR133" s="444">
        <f>BR134-SUM(BR130:BR132)</f>
        <v>128.988</v>
      </c>
      <c r="BS133" s="466">
        <f>BR133/AR133</f>
        <v>0.14239317862181489</v>
      </c>
    </row>
    <row r="134" spans="1:71">
      <c r="B134" s="410" t="s">
        <v>251</v>
      </c>
      <c r="D134" s="439">
        <f>qtrSales!W326</f>
        <v>1369.3019999999999</v>
      </c>
      <c r="E134" s="453">
        <f>(D134/D127-1)*100</f>
        <v>3.3917706522740287</v>
      </c>
      <c r="F134" s="455">
        <f>+D134/$AG134*100</f>
        <v>47.071518489973471</v>
      </c>
      <c r="G134" s="486">
        <f>qtrSales!G326</f>
        <v>3</v>
      </c>
      <c r="H134" s="487">
        <f>qtrSales!F326</f>
        <v>-0.35382260450945102</v>
      </c>
      <c r="I134" s="482"/>
      <c r="J134" s="439">
        <f>qtrSales!W503</f>
        <v>1264.242</v>
      </c>
      <c r="K134" s="453">
        <f>(J134/J127-1)*100</f>
        <v>13.019216740806439</v>
      </c>
      <c r="L134" s="455">
        <f>+J134/$AG134*100</f>
        <v>43.459945781720201</v>
      </c>
      <c r="M134" s="486">
        <f>qtrSales!G503</f>
        <v>-2</v>
      </c>
      <c r="N134" s="487">
        <f>qtrSales!F503</f>
        <v>10.06737080400746</v>
      </c>
      <c r="P134" s="439">
        <f>qtrSales!W610</f>
        <v>238.74299999999999</v>
      </c>
      <c r="Q134" s="453">
        <f>(P134/P127-1)*100</f>
        <v>38.770990635953041</v>
      </c>
      <c r="R134" s="455">
        <f>+P134/$AG134*100</f>
        <v>8.2070978782268149</v>
      </c>
      <c r="S134" s="486">
        <f>qtrSales!G610</f>
        <v>-1</v>
      </c>
      <c r="T134" s="487">
        <f>qtrSales!F610</f>
        <v>31.422324424171599</v>
      </c>
      <c r="V134" s="449">
        <f t="shared" si="0"/>
        <v>2872.2869999999998</v>
      </c>
      <c r="W134" s="449">
        <f>SUM(W130:W133)</f>
        <v>36.694999999999993</v>
      </c>
      <c r="X134" s="483">
        <f>W134/W127-1</f>
        <v>0.17412728378075681</v>
      </c>
      <c r="Y134" s="416"/>
      <c r="Z134" s="436">
        <v>3037.9560960808612</v>
      </c>
      <c r="AA134" s="451">
        <v>53.204331341725307</v>
      </c>
      <c r="AB134" s="470">
        <v>0.841991007835587</v>
      </c>
      <c r="AC134" s="416"/>
      <c r="AD134" s="439">
        <f>SUM(AD130:AD133)</f>
        <v>877.42501000000004</v>
      </c>
      <c r="AE134" s="451">
        <f>(AD134/AD127-1)*100</f>
        <v>32.273797750776389</v>
      </c>
      <c r="AF134" s="416"/>
      <c r="AG134" s="436">
        <f>SUM(AG130:AG133)</f>
        <v>2908.982</v>
      </c>
      <c r="AH134" s="452">
        <f>(AG134/AG127-1)*100</f>
        <v>9.9270524252121017</v>
      </c>
      <c r="AI134" s="483"/>
      <c r="AJ134" s="436">
        <f>+SUM(AJ130:AJ133)</f>
        <v>177.66246000000001</v>
      </c>
      <c r="AK134" s="466">
        <f>AJ134/AR134</f>
        <v>5.7558446495000595E-2</v>
      </c>
      <c r="AL134" s="452">
        <f>(AJ134/AJ127-1)*100</f>
        <v>19.524532262296425</v>
      </c>
      <c r="AM134" s="483"/>
      <c r="AN134" s="436"/>
      <c r="AO134" s="466"/>
      <c r="AP134" s="452"/>
      <c r="AQ134" s="483"/>
      <c r="AR134" s="436">
        <f>+SUM(AR130:AR133)</f>
        <v>3086.64446</v>
      </c>
      <c r="AS134" s="452">
        <f>(AR134/AR127-1)*100</f>
        <v>10.437470057336062</v>
      </c>
      <c r="AU134" s="512">
        <f>AV134</f>
        <v>6.1944861640197182</v>
      </c>
      <c r="AV134" s="493">
        <f>(D127/V127)*H134+(J127/V127)*N134+(P127/V127)*T134</f>
        <v>6.1944861640197182</v>
      </c>
      <c r="AW134" s="504">
        <f>V134/$V$134</f>
        <v>1</v>
      </c>
      <c r="AX134" s="442">
        <v>414.73399999999998</v>
      </c>
      <c r="AY134" s="470">
        <f>(AX134/AG134)*100</f>
        <v>14.257014996998949</v>
      </c>
      <c r="AZ134" s="459"/>
      <c r="BA134" s="442">
        <v>42.191000000000003</v>
      </c>
      <c r="BB134" s="470">
        <f>(BA134/AJ134)*100</f>
        <v>23.747841834453943</v>
      </c>
      <c r="BC134" s="416"/>
      <c r="BD134" s="442">
        <v>-0.83699999999999997</v>
      </c>
      <c r="BE134" s="416"/>
      <c r="BF134" s="442">
        <v>-29.257000000000001</v>
      </c>
      <c r="BG134" s="416"/>
      <c r="BH134" s="449">
        <f>AX134+BA134+BD134+BF134</f>
        <v>426.83099999999996</v>
      </c>
      <c r="BJ134" s="449"/>
      <c r="BP134" s="442">
        <v>2685.0419999999999</v>
      </c>
      <c r="BQ134" s="466">
        <f>BP134/AR134</f>
        <v>0.86989027560368903</v>
      </c>
      <c r="BR134" s="442">
        <v>401.56599999999997</v>
      </c>
      <c r="BS134" s="466">
        <f>BR134/AR134</f>
        <v>0.13009791221629716</v>
      </c>
    </row>
    <row r="135" spans="1:71">
      <c r="D135" s="514"/>
      <c r="E135" s="453"/>
      <c r="F135" s="422"/>
      <c r="G135" s="455"/>
      <c r="H135" s="455"/>
      <c r="I135" s="482"/>
      <c r="J135" s="515"/>
      <c r="K135" s="453"/>
      <c r="L135" s="455"/>
      <c r="M135" s="455"/>
      <c r="N135" s="455"/>
      <c r="P135" s="515"/>
      <c r="Q135" s="453"/>
      <c r="R135" s="516"/>
      <c r="S135" s="455"/>
      <c r="T135" s="455"/>
      <c r="W135" s="483"/>
      <c r="X135" s="451"/>
      <c r="Y135" s="416"/>
      <c r="Z135" s="517"/>
      <c r="AA135" s="451"/>
      <c r="AB135" s="470"/>
      <c r="AC135" s="416"/>
      <c r="AD135" s="483"/>
      <c r="AE135" s="511"/>
      <c r="AF135" s="483"/>
      <c r="AG135" s="436"/>
      <c r="AH135" s="452"/>
      <c r="AI135" s="483"/>
      <c r="AJ135" s="544"/>
      <c r="AK135" s="483"/>
      <c r="AL135" s="551"/>
      <c r="AM135" s="483"/>
      <c r="AN135" s="544"/>
      <c r="AO135" s="483"/>
      <c r="AP135" s="551"/>
      <c r="AQ135" s="483"/>
      <c r="AR135" s="436"/>
      <c r="AS135" s="452"/>
      <c r="AV135" s="416"/>
      <c r="AX135" s="437"/>
      <c r="AY135" s="453"/>
      <c r="AZ135" s="454"/>
      <c r="BA135" s="435"/>
      <c r="BB135" s="453"/>
      <c r="BD135" s="454"/>
      <c r="BF135" s="454"/>
      <c r="BP135" s="442"/>
      <c r="BQ135" s="466"/>
      <c r="BR135" s="442"/>
      <c r="BS135" s="466"/>
    </row>
    <row r="136" spans="1:71">
      <c r="B136" s="431">
        <f>qtrSales!B151</f>
        <v>2014</v>
      </c>
      <c r="D136" s="449"/>
      <c r="E136" s="453"/>
      <c r="F136" s="455"/>
      <c r="G136" s="486"/>
      <c r="H136" s="486"/>
      <c r="J136" s="449"/>
      <c r="K136" s="453"/>
      <c r="L136" s="455"/>
      <c r="M136" s="486"/>
      <c r="N136" s="455"/>
      <c r="P136" s="449"/>
      <c r="Q136" s="453"/>
      <c r="R136" s="455"/>
      <c r="S136" s="486"/>
      <c r="T136" s="455"/>
      <c r="V136" s="449"/>
      <c r="W136" s="449"/>
      <c r="X136" s="451"/>
      <c r="Z136" s="439"/>
      <c r="AA136" s="451"/>
      <c r="AB136" s="470"/>
      <c r="AC136" s="416"/>
      <c r="AD136" s="439"/>
      <c r="AE136" s="451"/>
      <c r="AF136" s="416"/>
      <c r="AG136" s="436"/>
      <c r="AH136" s="452"/>
      <c r="AI136" s="416"/>
      <c r="AJ136" s="436"/>
      <c r="AK136" s="458"/>
      <c r="AL136" s="452"/>
      <c r="AM136" s="416"/>
      <c r="AN136" s="436"/>
      <c r="AO136" s="458"/>
      <c r="AP136" s="452"/>
      <c r="AQ136" s="416"/>
      <c r="AR136" s="436"/>
      <c r="AS136" s="452"/>
      <c r="AU136" s="455"/>
      <c r="AV136" s="470"/>
      <c r="AW136" s="470"/>
      <c r="AX136" s="442"/>
      <c r="AY136" s="470"/>
      <c r="AZ136" s="459"/>
      <c r="BA136" s="462"/>
      <c r="BB136" s="470"/>
      <c r="BC136" s="416"/>
      <c r="BD136" s="462"/>
      <c r="BE136" s="416"/>
      <c r="BF136" s="462"/>
      <c r="BG136" s="416"/>
      <c r="BH136" s="416"/>
      <c r="BI136" s="416"/>
      <c r="BJ136" s="416"/>
      <c r="BP136" s="442"/>
      <c r="BQ136" s="466"/>
      <c r="BR136" s="442"/>
      <c r="BS136" s="466"/>
    </row>
    <row r="137" spans="1:71">
      <c r="A137" s="496" t="s">
        <v>247</v>
      </c>
      <c r="B137" s="496" t="s">
        <v>224</v>
      </c>
      <c r="D137" s="437">
        <f>qtrSales!W329</f>
        <v>277.65600000000001</v>
      </c>
      <c r="E137" s="497">
        <f>(D137/D130-1)*100</f>
        <v>-5.1688923802042481</v>
      </c>
      <c r="F137" s="455">
        <f>+D137/$AG137*100</f>
        <v>43.336384685800439</v>
      </c>
      <c r="G137" s="486">
        <f>qtrSales!G329</f>
        <v>0</v>
      </c>
      <c r="H137" s="487">
        <v>-12</v>
      </c>
      <c r="J137" s="437">
        <f>qtrSales!W506</f>
        <v>295.83800000000002</v>
      </c>
      <c r="K137" s="497">
        <f>(J137/J130-1)*100</f>
        <v>11.608342010352079</v>
      </c>
      <c r="L137" s="498">
        <f>+J137/$AG137*100</f>
        <v>46.174220519916119</v>
      </c>
      <c r="M137" s="486">
        <f>qtrSales!G506</f>
        <v>0</v>
      </c>
      <c r="N137" s="487">
        <v>8</v>
      </c>
      <c r="P137" s="437">
        <f>qtrSales!W613</f>
        <v>62.791000000000004</v>
      </c>
      <c r="Q137" s="499">
        <f>(P137/P130-1)*100</f>
        <v>33.260468176319534</v>
      </c>
      <c r="R137" s="498">
        <f>+P137/$AG137*100</f>
        <v>9.8003822384752919</v>
      </c>
      <c r="S137" s="486">
        <f>qtrSales!G613</f>
        <v>0</v>
      </c>
      <c r="T137" s="487">
        <v>25</v>
      </c>
      <c r="V137" s="449">
        <f>D137+J137+P137</f>
        <v>636.28500000000008</v>
      </c>
      <c r="W137" s="435">
        <v>4.4145000000000003</v>
      </c>
      <c r="X137" s="451">
        <f>(W137/W130-1)*100</f>
        <v>-36.890636168691913</v>
      </c>
      <c r="Z137" s="441">
        <v>627.72444579423836</v>
      </c>
      <c r="AA137" s="499">
        <v>49.231511607186796</v>
      </c>
      <c r="AB137" s="470">
        <v>0.76</v>
      </c>
      <c r="AC137" s="416"/>
      <c r="AD137" s="439">
        <f>AD130*(1+AE137/100)</f>
        <v>184.50365399999998</v>
      </c>
      <c r="AE137" s="511">
        <v>15</v>
      </c>
      <c r="AF137" s="416"/>
      <c r="AG137" s="436">
        <f>D137+J137+P137+W137</f>
        <v>640.69950000000006</v>
      </c>
      <c r="AH137" s="503">
        <f>(AG137/AG130-1)*100</f>
        <v>4.694250717353099</v>
      </c>
      <c r="AI137" s="416"/>
      <c r="AJ137" s="492">
        <v>45.88</v>
      </c>
      <c r="AK137" s="466">
        <f>AJ137/AR137</f>
        <v>6.6824016738047082E-2</v>
      </c>
      <c r="AL137" s="452">
        <f>(AJ137/AJ130-1)*100</f>
        <v>26.719328288129041</v>
      </c>
      <c r="AM137" s="416"/>
      <c r="AN137" s="492"/>
      <c r="AO137" s="466"/>
      <c r="AP137" s="452"/>
      <c r="AQ137" s="416"/>
      <c r="AR137" s="502">
        <f>+AG137+AJ137</f>
        <v>686.57950000000005</v>
      </c>
      <c r="AS137" s="503">
        <f>(AR137/AR130-1)*100</f>
        <v>5.924529990218752</v>
      </c>
      <c r="AU137" s="512">
        <v>0</v>
      </c>
      <c r="AV137" s="493">
        <f>(D130/V130)*H137+(J130/V130)*N137+(P130/V130)*T137</f>
        <v>-0.35532094608555398</v>
      </c>
      <c r="AW137" s="504">
        <f>V137/$V$141</f>
        <v>0.20744234479601839</v>
      </c>
      <c r="AX137" s="442">
        <v>60.649000000000001</v>
      </c>
      <c r="AY137" s="470">
        <f>(AX137/AG137)*100</f>
        <v>9.4660601420790851</v>
      </c>
      <c r="AZ137" s="459"/>
      <c r="BA137" s="462">
        <v>9.9909999999999997</v>
      </c>
      <c r="BB137" s="470">
        <f>(BA137/AJ137)*100</f>
        <v>21.776373147340887</v>
      </c>
      <c r="BC137" s="416"/>
      <c r="BD137" s="462">
        <v>-0.24</v>
      </c>
      <c r="BE137" s="416"/>
      <c r="BF137" s="462">
        <v>-10.579000000000001</v>
      </c>
      <c r="BG137" s="416"/>
      <c r="BH137" s="449">
        <f>AX137+BA137+BD137+BF137</f>
        <v>59.821000000000005</v>
      </c>
      <c r="BI137" s="416"/>
      <c r="BJ137" s="416"/>
      <c r="BP137" s="442">
        <v>600.91300000000001</v>
      </c>
      <c r="BQ137" s="466">
        <f>BP137/AR137</f>
        <v>0.87522712227790078</v>
      </c>
      <c r="BR137" s="442">
        <v>85.397000000000006</v>
      </c>
      <c r="BS137" s="466">
        <f>BR137/AR137</f>
        <v>0.1243803521660638</v>
      </c>
    </row>
    <row r="138" spans="1:71">
      <c r="A138" s="410" t="s">
        <v>248</v>
      </c>
      <c r="B138" s="410" t="s">
        <v>225</v>
      </c>
      <c r="D138" s="440">
        <f>qtrSales!W330</f>
        <v>328.63200000000001</v>
      </c>
      <c r="E138" s="453">
        <f>(D138/D131-1)*100</f>
        <v>-2.3599494911980989</v>
      </c>
      <c r="F138" s="455">
        <f>+D138/$AG138*100</f>
        <v>43.694323747932501</v>
      </c>
      <c r="G138" s="486">
        <f>qtrSales!G330</f>
        <v>0</v>
      </c>
      <c r="H138" s="487">
        <v>-10</v>
      </c>
      <c r="J138" s="440">
        <f>qtrSales!W507</f>
        <v>347.733</v>
      </c>
      <c r="K138" s="453">
        <f>(J138/J131-1)*100</f>
        <v>10.361998705107212</v>
      </c>
      <c r="L138" s="455">
        <f>+J138/$AG138*100</f>
        <v>46.233958591493867</v>
      </c>
      <c r="M138" s="486">
        <f>qtrSales!G507</f>
        <v>0</v>
      </c>
      <c r="N138" s="487">
        <v>6</v>
      </c>
      <c r="P138" s="440">
        <f>qtrSales!W614</f>
        <v>69.168000000000006</v>
      </c>
      <c r="Q138" s="451">
        <f>(P138/P131-1)*100</f>
        <v>28.845258275431739</v>
      </c>
      <c r="R138" s="455">
        <f>+P138/$AG138*100</f>
        <v>9.1964537385190592</v>
      </c>
      <c r="S138" s="486">
        <f>qtrSales!G614</f>
        <v>0</v>
      </c>
      <c r="T138" s="487">
        <v>21</v>
      </c>
      <c r="V138" s="449">
        <f>D138+J138+P138</f>
        <v>745.53300000000002</v>
      </c>
      <c r="W138" s="440">
        <v>6.5830000000000002</v>
      </c>
      <c r="X138" s="451">
        <f>(W138/W131-1)*100</f>
        <v>-31.775313503990045</v>
      </c>
      <c r="Z138" s="441">
        <v>736.66938800758692</v>
      </c>
      <c r="AA138" s="451">
        <v>46.945354085315813</v>
      </c>
      <c r="AB138" s="470">
        <v>0.76</v>
      </c>
      <c r="AC138" s="416"/>
      <c r="AD138" s="477">
        <f>AD131*(1+AE138/100)</f>
        <v>213.79322250000001</v>
      </c>
      <c r="AE138" s="511">
        <v>15</v>
      </c>
      <c r="AF138" s="416"/>
      <c r="AG138" s="441">
        <f>D138+J138+P138+W138</f>
        <v>752.11599999999999</v>
      </c>
      <c r="AH138" s="452">
        <f>(AG138/AG131-1)*100</f>
        <v>5.1923730508495858</v>
      </c>
      <c r="AI138" s="416"/>
      <c r="AJ138" s="547">
        <v>59.137</v>
      </c>
      <c r="AK138" s="466">
        <f>AJ138/AR138</f>
        <v>7.2895878351143237E-2</v>
      </c>
      <c r="AL138" s="452">
        <f>(AJ138/AJ131-1)*100</f>
        <v>35.733509974876341</v>
      </c>
      <c r="AM138" s="416"/>
      <c r="AN138" s="547"/>
      <c r="AO138" s="466"/>
      <c r="AP138" s="452"/>
      <c r="AQ138" s="416"/>
      <c r="AR138" s="441">
        <f>+AG138+AJ138</f>
        <v>811.25299999999993</v>
      </c>
      <c r="AS138" s="452">
        <f>(AR138/AR131-1)*100</f>
        <v>6.9465273032123243</v>
      </c>
      <c r="AU138" s="512">
        <v>0</v>
      </c>
      <c r="AV138" s="493">
        <f>(D131/V131)*H138+(J131/V131)*N138+(P131/V131)*T138</f>
        <v>-0.49324015867479876</v>
      </c>
      <c r="AW138" s="504">
        <f>V138/$V$141</f>
        <v>0.24305949950542596</v>
      </c>
      <c r="AX138" s="442">
        <v>100.13</v>
      </c>
      <c r="AY138" s="470">
        <f>(AX138/AG138)*100</f>
        <v>13.313105957059815</v>
      </c>
      <c r="AZ138" s="459"/>
      <c r="BA138" s="462">
        <v>15.175000000000001</v>
      </c>
      <c r="BB138" s="470">
        <f>(BA138/AJ138)*100</f>
        <v>25.660753842771872</v>
      </c>
      <c r="BC138" s="416"/>
      <c r="BD138" s="462">
        <v>-0.25900000000000001</v>
      </c>
      <c r="BE138" s="416"/>
      <c r="BF138" s="462">
        <v>-9.9290000000000003</v>
      </c>
      <c r="BG138" s="416"/>
      <c r="BH138" s="449">
        <f>AX138+BA138+BD138+BF138</f>
        <v>105.11699999999999</v>
      </c>
      <c r="BI138" s="416"/>
      <c r="BJ138" s="416"/>
      <c r="BP138" s="442">
        <v>701.76300000000003</v>
      </c>
      <c r="BQ138" s="466">
        <f>BP138/AR138</f>
        <v>0.86503593823381864</v>
      </c>
      <c r="BR138" s="442">
        <v>109.49</v>
      </c>
      <c r="BS138" s="466">
        <f>BR138/AR138</f>
        <v>0.13496406176618145</v>
      </c>
    </row>
    <row r="139" spans="1:71">
      <c r="A139" s="410" t="s">
        <v>249</v>
      </c>
      <c r="B139" s="410" t="s">
        <v>226</v>
      </c>
      <c r="D139" s="519">
        <v>340.41300000000001</v>
      </c>
      <c r="E139" s="453">
        <f>(D139/D132-1)*100</f>
        <v>-0.43958165163373586</v>
      </c>
      <c r="F139" s="455">
        <f>+D139/$AG139*100</f>
        <v>45.300758133264843</v>
      </c>
      <c r="G139" s="486">
        <f>qtrSales!G331</f>
        <v>0</v>
      </c>
      <c r="H139" s="487">
        <v>-7</v>
      </c>
      <c r="J139" s="519">
        <v>332.87200000000001</v>
      </c>
      <c r="K139" s="453">
        <f>(J139/J132-1)*100</f>
        <v>7.3327077912237248</v>
      </c>
      <c r="L139" s="455">
        <f>+J139/$AG139*100</f>
        <v>44.297232953312992</v>
      </c>
      <c r="M139" s="486">
        <f>qtrSales!G508</f>
        <v>0</v>
      </c>
      <c r="N139" s="487">
        <v>2</v>
      </c>
      <c r="P139" s="519">
        <f>141.185-63.019</f>
        <v>78.165999999999997</v>
      </c>
      <c r="Q139" s="451">
        <f>(P139/P132-1)*100</f>
        <v>24.102564102564084</v>
      </c>
      <c r="R139" s="455">
        <f>+P139/$AG139*100</f>
        <v>10.402008913422165</v>
      </c>
      <c r="S139" s="486">
        <f>qtrSales!G615</f>
        <v>0</v>
      </c>
      <c r="T139" s="487">
        <v>15</v>
      </c>
      <c r="V139" s="449">
        <f>D139+J139+P139</f>
        <v>751.45100000000002</v>
      </c>
      <c r="W139" s="701">
        <v>0</v>
      </c>
      <c r="X139" s="451">
        <f>(W139/W132-1)*100</f>
        <v>-100</v>
      </c>
      <c r="Z139" s="441">
        <v>747.63853667193291</v>
      </c>
      <c r="AA139" s="451">
        <v>54.654184233353796</v>
      </c>
      <c r="AB139" s="470">
        <v>0.76</v>
      </c>
      <c r="AC139" s="416"/>
      <c r="AD139" s="477">
        <f>AD132*(1+AE139/100)</f>
        <v>251.13308999999998</v>
      </c>
      <c r="AE139" s="511">
        <v>15</v>
      </c>
      <c r="AF139" s="416"/>
      <c r="AG139" s="441">
        <f>(D139+J139+P139+W139)</f>
        <v>751.45100000000002</v>
      </c>
      <c r="AH139" s="452">
        <f>(AG139/AG132-1)*100</f>
        <v>3.7821137852074305</v>
      </c>
      <c r="AI139" s="416"/>
      <c r="AJ139" s="552">
        <v>63.018999999999998</v>
      </c>
      <c r="AK139" s="466">
        <f>AJ139/AR139</f>
        <v>7.7374243372991022E-2</v>
      </c>
      <c r="AL139" s="452">
        <f>(AJ139/AJ132-1)*100</f>
        <v>26.08086749494829</v>
      </c>
      <c r="AM139" s="416"/>
      <c r="AN139" s="552"/>
      <c r="AO139" s="466"/>
      <c r="AP139" s="452"/>
      <c r="AQ139" s="416"/>
      <c r="AR139" s="441">
        <f>(+AG139+AJ139)</f>
        <v>814.47</v>
      </c>
      <c r="AS139" s="452">
        <f>(AR139/AR132-1)*100</f>
        <v>5.2220208281387848</v>
      </c>
      <c r="AU139" s="512">
        <v>-1</v>
      </c>
      <c r="AV139" s="493">
        <f>(D132/V132)*H139+(J132/V132)*N139+(P132/V132)*T139</f>
        <v>-1.1585145839626758</v>
      </c>
      <c r="AW139" s="504">
        <f>V139/$V$141</f>
        <v>0.24498889246063132</v>
      </c>
      <c r="AX139" s="442">
        <v>72.891999999999996</v>
      </c>
      <c r="AY139" s="470">
        <f>(AX139/AG139)*100</f>
        <v>9.700166744072467</v>
      </c>
      <c r="AZ139" s="459"/>
      <c r="BA139" s="462">
        <v>15.884</v>
      </c>
      <c r="BB139" s="470">
        <f>(BA139/AJ139)*100</f>
        <v>25.205096875545475</v>
      </c>
      <c r="BC139" s="416"/>
      <c r="BD139" s="462">
        <v>-0.37</v>
      </c>
      <c r="BE139" s="416"/>
      <c r="BF139" s="462">
        <v>-11.941000000000001</v>
      </c>
      <c r="BG139" s="416"/>
      <c r="BH139" s="449">
        <f>AX139+BA139+BD139+BF139</f>
        <v>76.464999999999989</v>
      </c>
      <c r="BI139" s="416"/>
      <c r="BJ139" s="416"/>
      <c r="BP139" s="442">
        <v>706.09</v>
      </c>
      <c r="BQ139" s="466">
        <f>BP139/AR139</f>
        <v>0.86693186980490378</v>
      </c>
      <c r="BR139" s="442">
        <v>108.38</v>
      </c>
      <c r="BS139" s="466">
        <f>BR139/AR139</f>
        <v>0.1330681301950962</v>
      </c>
    </row>
    <row r="140" spans="1:71">
      <c r="A140" s="410" t="s">
        <v>250</v>
      </c>
      <c r="B140" s="410" t="s">
        <v>227</v>
      </c>
      <c r="D140" s="520">
        <v>438.36900000000003</v>
      </c>
      <c r="E140" s="453">
        <f>(D140/D133-1)*100</f>
        <v>10.137153567274094</v>
      </c>
      <c r="F140" s="455">
        <f>+D140/$AG140*100</f>
        <v>45.985479561554513</v>
      </c>
      <c r="G140" s="489">
        <f>qtrSales!G332</f>
        <v>0</v>
      </c>
      <c r="H140" s="506">
        <v>4</v>
      </c>
      <c r="J140" s="520">
        <f>413.004+7.041</f>
        <v>420.04500000000002</v>
      </c>
      <c r="K140" s="453">
        <f>(J140/J133-1)*100</f>
        <v>12.323810899055786</v>
      </c>
      <c r="L140" s="455">
        <f>+J140/$AG140*100</f>
        <v>44.063268074232361</v>
      </c>
      <c r="M140" s="486">
        <f>qtrSales!G509</f>
        <v>0</v>
      </c>
      <c r="N140" s="506">
        <v>6</v>
      </c>
      <c r="P140" s="520">
        <v>94.863</v>
      </c>
      <c r="Q140" s="451">
        <f>(P140/P133-1)*100</f>
        <v>26.558247505203035</v>
      </c>
      <c r="R140" s="455">
        <f>+P140/$AG140*100</f>
        <v>9.9512523642131292</v>
      </c>
      <c r="S140" s="486">
        <f>qtrSales!G616</f>
        <v>0</v>
      </c>
      <c r="T140" s="506">
        <v>18</v>
      </c>
      <c r="V140" s="449">
        <f>D140+J140+P140</f>
        <v>953.27700000000004</v>
      </c>
      <c r="W140" s="702">
        <v>0</v>
      </c>
      <c r="X140" s="451">
        <f>(W140/W133-1)*100</f>
        <v>-100</v>
      </c>
      <c r="Z140" s="441">
        <v>925.92372560710305</v>
      </c>
      <c r="AA140" s="451">
        <v>60.317011556779242</v>
      </c>
      <c r="AB140" s="470">
        <v>1.0539999999999998</v>
      </c>
      <c r="AC140" s="416"/>
      <c r="AD140" s="473">
        <f>AD133*(1+AE140/100)</f>
        <v>359.60879499999999</v>
      </c>
      <c r="AE140" s="511">
        <v>15</v>
      </c>
      <c r="AF140" s="416"/>
      <c r="AG140" s="446">
        <f>(D140+J140+P140+W140)</f>
        <v>953.27700000000004</v>
      </c>
      <c r="AH140" s="452">
        <f>(AG140/AG133-1)*100</f>
        <v>11.110631934383353</v>
      </c>
      <c r="AI140" s="416"/>
      <c r="AJ140" s="552">
        <v>57.767000000000003</v>
      </c>
      <c r="AK140" s="466">
        <f>AJ140/AR140</f>
        <v>5.713599012505885E-2</v>
      </c>
      <c r="AL140" s="452">
        <f>(AJ140/AJ133-1)*100</f>
        <v>20.586577601502974</v>
      </c>
      <c r="AM140" s="416"/>
      <c r="AN140" s="552"/>
      <c r="AO140" s="466"/>
      <c r="AP140" s="452"/>
      <c r="AQ140" s="416"/>
      <c r="AR140" s="446">
        <f>(+AG140+AJ140)</f>
        <v>1011.0440000000001</v>
      </c>
      <c r="AS140" s="452">
        <f>(AR140/AR133-1)*100</f>
        <v>11.611753718573992</v>
      </c>
      <c r="AU140" s="513">
        <f>AV140</f>
        <v>6.122122568883599</v>
      </c>
      <c r="AV140" s="493">
        <f>(D133/V133)*H140+(J133/V133)*N140+(P133/V133)*T140</f>
        <v>6.122122568883599</v>
      </c>
      <c r="AW140" s="504">
        <f>V140/$V$141</f>
        <v>0.31078842990187416</v>
      </c>
      <c r="AX140" s="442"/>
      <c r="AY140" s="470"/>
      <c r="AZ140" s="459"/>
      <c r="BA140" s="462"/>
      <c r="BB140" s="470"/>
      <c r="BC140" s="416"/>
      <c r="BD140" s="462"/>
      <c r="BE140" s="416"/>
      <c r="BF140" s="462"/>
      <c r="BG140" s="416"/>
      <c r="BH140" s="416"/>
      <c r="BI140" s="416"/>
      <c r="BJ140" s="416"/>
      <c r="BP140" s="442"/>
      <c r="BQ140" s="466"/>
      <c r="BR140" s="442"/>
      <c r="BS140" s="466"/>
    </row>
    <row r="141" spans="1:71">
      <c r="B141" s="410" t="s">
        <v>251</v>
      </c>
      <c r="D141" s="439">
        <f>qtrSales!W333</f>
        <v>1385.0700000000002</v>
      </c>
      <c r="E141" s="453">
        <f>(D141/D134-1)*100</f>
        <v>1.1515355998896082</v>
      </c>
      <c r="F141" s="455">
        <f>+D141/$AG141*100</f>
        <v>44.715110538399223</v>
      </c>
      <c r="G141" s="486">
        <f>qtrSales!G333</f>
        <v>0</v>
      </c>
      <c r="H141" s="487">
        <f>qtrSales!F333</f>
        <v>-5.2326647750655191</v>
      </c>
      <c r="I141" s="482"/>
      <c r="J141" s="439">
        <f>qtrSales!W510</f>
        <v>1377.2280000000001</v>
      </c>
      <c r="K141" s="453">
        <f>(J141/J134-1)*100</f>
        <v>8.937054772741293</v>
      </c>
      <c r="L141" s="455">
        <f>+J141/$AG141*100</f>
        <v>44.461942180957266</v>
      </c>
      <c r="M141" s="486">
        <f>qtrSales!G510</f>
        <v>0</v>
      </c>
      <c r="N141" s="487">
        <f>qtrSales!F510</f>
        <v>5.4778642316304929</v>
      </c>
      <c r="P141" s="439">
        <f>qtrSales!W617</f>
        <v>304.988</v>
      </c>
      <c r="Q141" s="453">
        <f>(P141/P134-1)*100</f>
        <v>27.747410395278614</v>
      </c>
      <c r="R141" s="455">
        <f>+P141/$AG141*100</f>
        <v>9.8461248405389608</v>
      </c>
      <c r="S141" s="486">
        <f>qtrSales!G617</f>
        <v>0</v>
      </c>
      <c r="T141" s="487">
        <f>qtrSales!F617</f>
        <v>19.35265321914305</v>
      </c>
      <c r="V141" s="449">
        <f>D141+J141+P141</f>
        <v>3067.2860000000001</v>
      </c>
      <c r="W141" s="439">
        <f>SUM(W137:W140)</f>
        <v>10.9975</v>
      </c>
      <c r="X141" s="483">
        <f>W141/W134-1</f>
        <v>-0.70029976836081209</v>
      </c>
      <c r="Y141" s="416"/>
      <c r="Z141" s="436">
        <v>3037.9560960808612</v>
      </c>
      <c r="AA141" s="451">
        <v>53.204331341725307</v>
      </c>
      <c r="AB141" s="470">
        <v>0.841991007835587</v>
      </c>
      <c r="AC141" s="416"/>
      <c r="AD141" s="439">
        <f>SUM(AD137:AD140)</f>
        <v>1009.0387615</v>
      </c>
      <c r="AE141" s="451">
        <f>(AD141/AD134-1)*100</f>
        <v>14.999999999999991</v>
      </c>
      <c r="AF141" s="416"/>
      <c r="AG141" s="436">
        <f>SUM(AG137:AG140)</f>
        <v>3097.5435000000002</v>
      </c>
      <c r="AH141" s="452">
        <f>(AG141/AG134-1)*100</f>
        <v>6.4820442340310258</v>
      </c>
      <c r="AI141" s="483"/>
      <c r="AJ141" s="436">
        <f>+SUM(AJ137:AJ140)</f>
        <v>225.803</v>
      </c>
      <c r="AK141" s="466">
        <f>AJ141/AR141</f>
        <v>6.7944465014406416E-2</v>
      </c>
      <c r="AL141" s="452">
        <f>(AJ141/AJ134-1)*100</f>
        <v>27.096630317963609</v>
      </c>
      <c r="AM141" s="483"/>
      <c r="AN141" s="436"/>
      <c r="AO141" s="466"/>
      <c r="AP141" s="452"/>
      <c r="AQ141" s="483"/>
      <c r="AR141" s="436">
        <f>+SUM(AR137:AR140)</f>
        <v>3323.3464999999997</v>
      </c>
      <c r="AS141" s="452">
        <f>(AR141/AR134-1)*100</f>
        <v>7.6685877841596195</v>
      </c>
      <c r="AU141" s="512">
        <f>AV141</f>
        <v>1.5251115844607805</v>
      </c>
      <c r="AV141" s="493">
        <f>(D134/V134)*H141+(J134/V134)*N141+(P134/V134)*T141</f>
        <v>1.5251115844607805</v>
      </c>
      <c r="AW141" s="504">
        <f>V141/$V$141</f>
        <v>1</v>
      </c>
      <c r="AX141" s="437"/>
      <c r="AY141" s="453"/>
      <c r="AZ141" s="454"/>
      <c r="BA141" s="435"/>
      <c r="BB141" s="453"/>
      <c r="BD141" s="454"/>
      <c r="BF141" s="454"/>
    </row>
    <row r="142" spans="1:71">
      <c r="D142" s="521"/>
      <c r="E142" s="453"/>
      <c r="F142" s="522"/>
      <c r="G142" s="455"/>
      <c r="H142" s="455"/>
      <c r="I142" s="482"/>
      <c r="J142" s="521"/>
      <c r="K142" s="453"/>
      <c r="L142" s="455"/>
      <c r="M142" s="455"/>
      <c r="N142" s="455"/>
      <c r="P142" s="521"/>
      <c r="Q142" s="453"/>
      <c r="R142" s="516"/>
      <c r="S142" s="455"/>
      <c r="T142" s="455"/>
      <c r="W142" s="483"/>
      <c r="X142" s="451"/>
      <c r="Y142" s="416"/>
      <c r="Z142" s="517"/>
      <c r="AA142" s="451"/>
      <c r="AB142" s="470"/>
      <c r="AC142" s="416"/>
      <c r="AD142" s="458"/>
      <c r="AE142" s="511"/>
      <c r="AF142" s="416"/>
      <c r="AG142" s="441"/>
      <c r="AH142" s="452"/>
      <c r="AI142" s="483"/>
      <c r="AJ142" s="545"/>
      <c r="AK142" s="458"/>
      <c r="AL142" s="551"/>
      <c r="AM142" s="483"/>
      <c r="AN142" s="545"/>
      <c r="AO142" s="458"/>
      <c r="AP142" s="551"/>
      <c r="AQ142" s="483"/>
      <c r="AR142" s="441"/>
      <c r="AS142" s="452"/>
      <c r="AV142" s="416"/>
      <c r="AX142" s="437"/>
      <c r="AY142" s="453"/>
      <c r="AZ142" s="454"/>
      <c r="BA142" s="435"/>
      <c r="BB142" s="453"/>
      <c r="BD142" s="454"/>
      <c r="BF142" s="454"/>
    </row>
    <row r="143" spans="1:71">
      <c r="B143" s="431">
        <f>qtrSales!B158</f>
        <v>2015</v>
      </c>
      <c r="D143" s="449"/>
      <c r="E143" s="453"/>
      <c r="F143" s="455"/>
      <c r="G143" s="486"/>
      <c r="H143" s="486"/>
      <c r="J143" s="449"/>
      <c r="K143" s="453"/>
      <c r="L143" s="455"/>
      <c r="M143" s="486"/>
      <c r="N143" s="455"/>
      <c r="P143" s="449"/>
      <c r="Q143" s="453"/>
      <c r="R143" s="455"/>
      <c r="S143" s="486"/>
      <c r="T143" s="455"/>
      <c r="V143" s="449"/>
      <c r="W143" s="449"/>
      <c r="X143" s="451"/>
      <c r="Z143" s="439"/>
      <c r="AA143" s="451"/>
      <c r="AB143" s="470"/>
      <c r="AC143" s="416"/>
      <c r="AD143" s="439"/>
      <c r="AE143" s="451"/>
      <c r="AF143" s="416"/>
      <c r="AG143" s="436"/>
      <c r="AH143" s="452"/>
      <c r="AI143" s="416"/>
      <c r="AJ143" s="553"/>
      <c r="AK143" s="458"/>
      <c r="AL143" s="452"/>
      <c r="AM143" s="416"/>
      <c r="AN143" s="553"/>
      <c r="AO143" s="458"/>
      <c r="AP143" s="452"/>
      <c r="AQ143" s="416"/>
      <c r="AR143" s="436"/>
      <c r="AS143" s="452"/>
      <c r="AU143" s="455"/>
      <c r="AV143" s="470"/>
      <c r="AW143" s="470"/>
      <c r="AX143" s="442"/>
      <c r="AY143" s="470"/>
      <c r="AZ143" s="459"/>
      <c r="BA143" s="462"/>
      <c r="BB143" s="470"/>
      <c r="BC143" s="416"/>
      <c r="BD143" s="462"/>
      <c r="BE143" s="416"/>
      <c r="BF143" s="462"/>
      <c r="BG143" s="416"/>
      <c r="BH143" s="416"/>
      <c r="BI143" s="416"/>
      <c r="BJ143" s="416"/>
    </row>
    <row r="144" spans="1:71">
      <c r="A144" s="496" t="s">
        <v>247</v>
      </c>
      <c r="B144" s="496" t="s">
        <v>224</v>
      </c>
      <c r="D144" s="437">
        <f>qtrSales!W336</f>
        <v>295.67500000000001</v>
      </c>
      <c r="E144" s="497">
        <f>(D144/D137-1)*100</f>
        <v>6.4896850779381676</v>
      </c>
      <c r="F144" s="455">
        <f>+D144/$AG144*100</f>
        <v>43.163666462776405</v>
      </c>
      <c r="G144" s="486">
        <f>qtrSales!G336</f>
        <v>0</v>
      </c>
      <c r="H144" s="487">
        <v>5</v>
      </c>
      <c r="J144" s="437">
        <f>qtrSales!W513</f>
        <v>311.37599999999998</v>
      </c>
      <c r="K144" s="497">
        <f>(J144/J137-1)*100</f>
        <v>5.2521988385535234</v>
      </c>
      <c r="L144" s="498">
        <f>+J144/$AG144*100</f>
        <v>45.455753136090188</v>
      </c>
      <c r="M144" s="486">
        <f>qtrSales!G513</f>
        <v>0</v>
      </c>
      <c r="N144" s="487">
        <v>1</v>
      </c>
      <c r="P144" s="437">
        <f>qtrSales!W620</f>
        <v>77.957999999999998</v>
      </c>
      <c r="Q144" s="499">
        <f>(P144/P137-1)*100</f>
        <v>24.154735551273255</v>
      </c>
      <c r="R144" s="498">
        <f>+P144/$AG144*100</f>
        <v>11.380580401133416</v>
      </c>
      <c r="S144" s="486">
        <f>qtrSales!G620</f>
        <v>0</v>
      </c>
      <c r="T144" s="487">
        <v>17</v>
      </c>
      <c r="V144" s="449">
        <f>D144+J144+P144</f>
        <v>685.0089999999999</v>
      </c>
      <c r="W144" s="449"/>
      <c r="X144" s="523">
        <v>-0.3</v>
      </c>
      <c r="Z144" s="441">
        <v>627.72444579423836</v>
      </c>
      <c r="AA144" s="499">
        <v>49.231511607186796</v>
      </c>
      <c r="AB144" s="470">
        <v>0.76</v>
      </c>
      <c r="AC144" s="416"/>
      <c r="AD144" s="439">
        <f>AD137*(1+AE144/100)</f>
        <v>202.95401939999999</v>
      </c>
      <c r="AE144" s="511">
        <v>10</v>
      </c>
      <c r="AF144" s="416"/>
      <c r="AG144" s="436">
        <f>D144+J144+P144</f>
        <v>685.0089999999999</v>
      </c>
      <c r="AH144" s="503">
        <f>(AG144/AG137-1)*100</f>
        <v>6.9158006210399581</v>
      </c>
      <c r="AI144" s="416"/>
      <c r="AJ144" s="492">
        <v>54.000999999999998</v>
      </c>
      <c r="AK144" s="466">
        <f>AJ144/AR144</f>
        <v>7.3072082921746676E-2</v>
      </c>
      <c r="AL144" s="452">
        <f>(AJ144/AJ137-1)*100</f>
        <v>17.7005231037489</v>
      </c>
      <c r="AM144" s="416"/>
      <c r="AN144" s="492"/>
      <c r="AO144" s="466"/>
      <c r="AP144" s="452"/>
      <c r="AQ144" s="416"/>
      <c r="AR144" s="502">
        <f>+AG144+AJ144</f>
        <v>739.00999999999988</v>
      </c>
      <c r="AS144" s="503">
        <f>(AR144/AR137-1)*100</f>
        <v>7.636479096739679</v>
      </c>
      <c r="AU144" s="512">
        <v>4</v>
      </c>
      <c r="AV144" s="493">
        <f>(D137/V137)*H144+(J137/V137)*N144+(P137/V137)*T144</f>
        <v>4.3244222321758325</v>
      </c>
      <c r="AW144" s="504">
        <f>V144/$V$148</f>
        <v>0.21507650814532694</v>
      </c>
      <c r="AX144" s="442"/>
      <c r="AY144" s="470"/>
      <c r="AZ144" s="459"/>
      <c r="BA144" s="462"/>
      <c r="BB144" s="470"/>
      <c r="BC144" s="416"/>
      <c r="BD144" s="462"/>
      <c r="BE144" s="416"/>
      <c r="BF144" s="462"/>
      <c r="BG144" s="416"/>
      <c r="BH144" s="449"/>
      <c r="BI144" s="416"/>
      <c r="BJ144" s="416"/>
    </row>
    <row r="145" spans="1:62">
      <c r="A145" s="410" t="s">
        <v>248</v>
      </c>
      <c r="B145" s="410" t="s">
        <v>225</v>
      </c>
      <c r="D145" s="440">
        <f>qtrSales!W337</f>
        <v>342.20699999999999</v>
      </c>
      <c r="E145" s="453">
        <f>(D145/D138-1)*100</f>
        <v>4.1307602424596412</v>
      </c>
      <c r="F145" s="455">
        <f>+D145/$AG145*100</f>
        <v>43.004875964511022</v>
      </c>
      <c r="G145" s="486">
        <f>qtrSales!G337</f>
        <v>0</v>
      </c>
      <c r="H145" s="487">
        <v>4</v>
      </c>
      <c r="J145" s="440">
        <f>qtrSales!W514</f>
        <v>370.67200000000003</v>
      </c>
      <c r="K145" s="453">
        <f>(J145/J138-1)*100</f>
        <v>6.5967279493174491</v>
      </c>
      <c r="L145" s="455">
        <f>+J145/$AG145*100</f>
        <v>46.582049413124892</v>
      </c>
      <c r="M145" s="486">
        <f>qtrSales!G514</f>
        <v>0</v>
      </c>
      <c r="N145" s="487">
        <v>2</v>
      </c>
      <c r="P145" s="440">
        <f>qtrSales!W621</f>
        <v>82.86099999999999</v>
      </c>
      <c r="Q145" s="451">
        <f>(P145/P138-1)*100</f>
        <v>19.796726810085573</v>
      </c>
      <c r="R145" s="455">
        <f>+P145/$AG145*100</f>
        <v>10.413074622364087</v>
      </c>
      <c r="S145" s="486">
        <f>qtrSales!G621</f>
        <v>0</v>
      </c>
      <c r="T145" s="487">
        <v>14</v>
      </c>
      <c r="V145" s="457">
        <f>D145+J145+P145</f>
        <v>795.74</v>
      </c>
      <c r="W145" s="457"/>
      <c r="X145" s="523">
        <v>-0.3</v>
      </c>
      <c r="Z145" s="441">
        <v>736.66938800758692</v>
      </c>
      <c r="AA145" s="451">
        <v>46.945354085315813</v>
      </c>
      <c r="AB145" s="470">
        <v>0.76</v>
      </c>
      <c r="AC145" s="416"/>
      <c r="AD145" s="477">
        <f>AD138*(1+AE145/100)</f>
        <v>235.17254475000004</v>
      </c>
      <c r="AE145" s="511">
        <v>10</v>
      </c>
      <c r="AF145" s="416"/>
      <c r="AG145" s="441">
        <f>D145+J145+P145</f>
        <v>795.74</v>
      </c>
      <c r="AH145" s="452">
        <f>(AG145/AG138-1)*100</f>
        <v>5.8001691228480645</v>
      </c>
      <c r="AI145" s="416"/>
      <c r="AJ145" s="547">
        <v>71.72</v>
      </c>
      <c r="AK145" s="466">
        <f>AJ145/AR145</f>
        <v>8.2678163834643673E-2</v>
      </c>
      <c r="AL145" s="452">
        <f>(AJ145/AJ138-1)*100</f>
        <v>21.277711077667117</v>
      </c>
      <c r="AM145" s="416"/>
      <c r="AN145" s="547"/>
      <c r="AO145" s="466"/>
      <c r="AP145" s="452"/>
      <c r="AQ145" s="416"/>
      <c r="AR145" s="441">
        <f>+AG145+AJ145</f>
        <v>867.46</v>
      </c>
      <c r="AS145" s="452">
        <f>(AR145/AR138-1)*100</f>
        <v>6.9284181383612919</v>
      </c>
      <c r="AU145" s="512">
        <v>4</v>
      </c>
      <c r="AV145" s="493">
        <f>(D138/V138)*H145+(J138/V138)*N145+(P138/V138)*T145</f>
        <v>3.9949217539666253</v>
      </c>
      <c r="AW145" s="504">
        <f>V145/$V$148</f>
        <v>0.2498434043809096</v>
      </c>
      <c r="AX145" s="442"/>
      <c r="AY145" s="470"/>
      <c r="AZ145" s="459"/>
      <c r="BA145" s="462"/>
      <c r="BB145" s="470"/>
      <c r="BC145" s="416"/>
      <c r="BD145" s="462"/>
      <c r="BE145" s="416"/>
      <c r="BF145" s="462"/>
      <c r="BG145" s="416"/>
      <c r="BH145" s="416"/>
      <c r="BI145" s="416"/>
      <c r="BJ145" s="416"/>
    </row>
    <row r="146" spans="1:62">
      <c r="A146" s="410" t="s">
        <v>249</v>
      </c>
      <c r="B146" s="410" t="s">
        <v>226</v>
      </c>
      <c r="D146" s="440">
        <f>qtrSales!W338</f>
        <v>339.61599999999999</v>
      </c>
      <c r="E146" s="453">
        <f>(D146/D139-1)*100</f>
        <v>-0.23412736881377461</v>
      </c>
      <c r="F146" s="455">
        <f>+D146/$AG146*100</f>
        <v>44.363802619117592</v>
      </c>
      <c r="G146" s="486">
        <f>qtrSales!G338</f>
        <v>0</v>
      </c>
      <c r="H146" s="487">
        <v>1</v>
      </c>
      <c r="J146" s="440">
        <f>qtrSales!W515</f>
        <v>341.11200000000002</v>
      </c>
      <c r="K146" s="453">
        <f>(J146/J139-1)*100</f>
        <v>2.4754259895695574</v>
      </c>
      <c r="L146" s="455">
        <f>+J146/$AG146*100</f>
        <v>44.559224061918293</v>
      </c>
      <c r="M146" s="486">
        <f>qtrSales!G515</f>
        <v>0</v>
      </c>
      <c r="N146" s="487">
        <v>0</v>
      </c>
      <c r="P146" s="440">
        <f>qtrSales!W622</f>
        <v>84.796999999999997</v>
      </c>
      <c r="Q146" s="451">
        <f>(P146/P139-1)*100</f>
        <v>8.4832280019445871</v>
      </c>
      <c r="R146" s="455">
        <f>+P146/$AG146*100</f>
        <v>11.076973318964107</v>
      </c>
      <c r="S146" s="486">
        <f>qtrSales!G622</f>
        <v>0</v>
      </c>
      <c r="T146" s="487">
        <v>3</v>
      </c>
      <c r="V146" s="457">
        <f>D146+J146+P146</f>
        <v>765.52500000000009</v>
      </c>
      <c r="W146" s="519"/>
      <c r="X146" s="523">
        <v>-0.15</v>
      </c>
      <c r="Z146" s="441">
        <v>747.63853667193291</v>
      </c>
      <c r="AA146" s="451">
        <v>54.654184233353796</v>
      </c>
      <c r="AB146" s="470">
        <v>0.76</v>
      </c>
      <c r="AC146" s="416"/>
      <c r="AD146" s="477">
        <f>AD139*(1+AE146/100)</f>
        <v>276.246399</v>
      </c>
      <c r="AE146" s="511">
        <v>10</v>
      </c>
      <c r="AF146" s="416"/>
      <c r="AG146" s="441">
        <f>(D146+J146+P146+W146)</f>
        <v>765.52500000000009</v>
      </c>
      <c r="AH146" s="452">
        <f>(AG146/AG139-1)*100</f>
        <v>1.8729098770245978</v>
      </c>
      <c r="AI146" s="416"/>
      <c r="AJ146" s="547">
        <v>59.732999999999997</v>
      </c>
      <c r="AK146" s="466">
        <f>AJ146/AR146</f>
        <v>7.2381000850643071E-2</v>
      </c>
      <c r="AL146" s="452">
        <f>(AJ146/AJ139-1)*100</f>
        <v>-5.2143004490709188</v>
      </c>
      <c r="AM146" s="416"/>
      <c r="AN146" s="547"/>
      <c r="AO146" s="466"/>
      <c r="AP146" s="452"/>
      <c r="AQ146" s="416"/>
      <c r="AR146" s="441">
        <f>(+AG146+AJ146)</f>
        <v>825.25800000000004</v>
      </c>
      <c r="AS146" s="452">
        <f>(AR146/AR139-1)*100</f>
        <v>1.3245423404177004</v>
      </c>
      <c r="AU146" s="512">
        <v>1</v>
      </c>
      <c r="AV146" s="493">
        <f>(D139/V139)*H146+(J139/V139)*N146+(P139/V139)*T146</f>
        <v>0.76506784873531342</v>
      </c>
      <c r="AW146" s="504">
        <f>V146/$V$148</f>
        <v>0.24035661414368492</v>
      </c>
      <c r="AX146" s="442"/>
      <c r="AY146" s="524"/>
      <c r="AZ146" s="459"/>
      <c r="BA146" s="462"/>
      <c r="BB146" s="470"/>
      <c r="BC146" s="416"/>
      <c r="BD146" s="462"/>
      <c r="BE146" s="416"/>
      <c r="BF146" s="462"/>
      <c r="BG146" s="416"/>
      <c r="BH146" s="416"/>
      <c r="BI146" s="416"/>
      <c r="BJ146" s="416"/>
    </row>
    <row r="147" spans="1:62">
      <c r="A147" s="410" t="s">
        <v>250</v>
      </c>
      <c r="B147" s="410" t="s">
        <v>227</v>
      </c>
      <c r="D147" s="520">
        <f>qtrSales!W339</f>
        <v>415.83</v>
      </c>
      <c r="E147" s="453">
        <f>(D147/D140-1)*100</f>
        <v>-5.1415588237307075</v>
      </c>
      <c r="F147" s="455">
        <f>+D147/$AG147*100</f>
        <v>44.299394576006115</v>
      </c>
      <c r="G147" s="489">
        <f>qtrSales!G339</f>
        <v>0</v>
      </c>
      <c r="H147" s="506">
        <v>-3</v>
      </c>
      <c r="J147" s="520">
        <f>qtrSales!W516</f>
        <v>419.09399999999999</v>
      </c>
      <c r="K147" s="453">
        <f>(J147/J140-1)*100</f>
        <v>-0.22640431382352499</v>
      </c>
      <c r="L147" s="455">
        <f>+J147/$AG147*100</f>
        <v>44.64711653905853</v>
      </c>
      <c r="M147" s="486">
        <f>qtrSales!G516</f>
        <v>0</v>
      </c>
      <c r="N147" s="506">
        <v>-2</v>
      </c>
      <c r="P147" s="520">
        <f>qtrSales!W623</f>
        <v>103.75700000000001</v>
      </c>
      <c r="Q147" s="451">
        <f>(P147/P140-1)*100</f>
        <v>9.3756259026174682</v>
      </c>
      <c r="R147" s="455">
        <f>+P147/$AG147*100</f>
        <v>11.05348888493535</v>
      </c>
      <c r="S147" s="486">
        <f>qtrSales!G623</f>
        <v>0</v>
      </c>
      <c r="T147" s="506">
        <v>2</v>
      </c>
      <c r="V147" s="488">
        <f>D147+J147+P147</f>
        <v>938.68100000000004</v>
      </c>
      <c r="W147" s="520"/>
      <c r="X147" s="523">
        <v>-0.1</v>
      </c>
      <c r="Z147" s="441">
        <v>925.92372560710305</v>
      </c>
      <c r="AA147" s="451">
        <v>60.317011556779242</v>
      </c>
      <c r="AB147" s="470">
        <v>1.0539999999999998</v>
      </c>
      <c r="AC147" s="416"/>
      <c r="AD147" s="473">
        <f>AD140*(1+AE147/100)</f>
        <v>395.56967450000002</v>
      </c>
      <c r="AE147" s="511">
        <v>10</v>
      </c>
      <c r="AF147" s="416"/>
      <c r="AG147" s="446">
        <f>(D147+J147+P147)</f>
        <v>938.68100000000004</v>
      </c>
      <c r="AH147" s="452">
        <f>(AG147/AG140-1)*100</f>
        <v>-1.5311394274696633</v>
      </c>
      <c r="AI147" s="416"/>
      <c r="AJ147" s="552">
        <v>74.724999999999994</v>
      </c>
      <c r="AK147" s="466">
        <f>AJ147/AR147</f>
        <v>7.3736488633380892E-2</v>
      </c>
      <c r="AL147" s="452">
        <f>(AJ147/AJ140-1)*100</f>
        <v>29.355860612460383</v>
      </c>
      <c r="AM147" s="416"/>
      <c r="AN147" s="552"/>
      <c r="AO147" s="466"/>
      <c r="AP147" s="452"/>
      <c r="AQ147" s="416"/>
      <c r="AR147" s="446">
        <f>(+AG147+AJ147)</f>
        <v>1013.4060000000001</v>
      </c>
      <c r="AS147" s="452">
        <f>(AR147/AR140-1)*100</f>
        <v>0.23361990180446046</v>
      </c>
      <c r="AU147" s="513">
        <v>-2</v>
      </c>
      <c r="AV147" s="493">
        <f>(D140/V140)*H147+(J140/V140)*N147+(P140/V140)*T147</f>
        <v>-2.06180470104702</v>
      </c>
      <c r="AW147" s="504">
        <f>V147/$V$148</f>
        <v>0.29472347333007842</v>
      </c>
      <c r="AX147" s="442"/>
      <c r="AY147" s="524"/>
      <c r="AZ147" s="459"/>
      <c r="BA147" s="462"/>
      <c r="BB147" s="470"/>
      <c r="BC147" s="416"/>
      <c r="BD147" s="462"/>
      <c r="BE147" s="416"/>
      <c r="BF147" s="462"/>
      <c r="BG147" s="416"/>
      <c r="BH147" s="416"/>
      <c r="BI147" s="416"/>
      <c r="BJ147" s="416"/>
    </row>
    <row r="148" spans="1:62">
      <c r="B148" s="410" t="s">
        <v>251</v>
      </c>
      <c r="D148" s="439">
        <f>qtrSales!W340</f>
        <v>1393.328</v>
      </c>
      <c r="E148" s="453">
        <f>(D148/D141-1)*100</f>
        <v>0.59621535373661771</v>
      </c>
      <c r="F148" s="455">
        <f>+D148/$AG148*100</f>
        <v>43.747180101445707</v>
      </c>
      <c r="G148" s="486">
        <f>qtrSales!G340</f>
        <v>0</v>
      </c>
      <c r="H148" s="487">
        <f>qtrSales!F340</f>
        <v>1.391868246385632</v>
      </c>
      <c r="I148" s="482"/>
      <c r="J148" s="439">
        <f>qtrSales!W517</f>
        <v>1442.2540000000001</v>
      </c>
      <c r="K148" s="453">
        <f>(J148/J141-1)*100</f>
        <v>4.7215130682791928</v>
      </c>
      <c r="L148" s="455">
        <f>+J148/$AG148*100</f>
        <v>45.283339952997771</v>
      </c>
      <c r="M148" s="486">
        <f>qtrSales!G517</f>
        <v>0</v>
      </c>
      <c r="N148" s="487">
        <f>qtrSales!F517</f>
        <v>0.14874772404860714</v>
      </c>
      <c r="P148" s="439">
        <f>qtrSales!W624</f>
        <v>349.37299999999999</v>
      </c>
      <c r="Q148" s="453">
        <f>(P148/P141-1)*100</f>
        <v>14.553031594685685</v>
      </c>
      <c r="R148" s="455">
        <f>+P148/$AG148*100</f>
        <v>10.969479945556531</v>
      </c>
      <c r="S148" s="486">
        <f>qtrSales!G624</f>
        <v>0</v>
      </c>
      <c r="T148" s="487">
        <f>qtrSales!F624</f>
        <v>8.4358121549175227</v>
      </c>
      <c r="V148" s="449">
        <f>D148+J148+P148</f>
        <v>3184.9550000000004</v>
      </c>
      <c r="W148" s="439">
        <f>SUM(W144:W147)</f>
        <v>0</v>
      </c>
      <c r="X148" s="483">
        <f>W148/W141-1</f>
        <v>-1</v>
      </c>
      <c r="Y148" s="416"/>
      <c r="Z148" s="436">
        <v>3037.9560960808612</v>
      </c>
      <c r="AA148" s="451">
        <v>53.204331341725307</v>
      </c>
      <c r="AB148" s="470">
        <v>0.841991007835587</v>
      </c>
      <c r="AC148" s="416"/>
      <c r="AD148" s="439">
        <f>SUM(AD144:AD147)</f>
        <v>1109.9426376500001</v>
      </c>
      <c r="AE148" s="451">
        <f>(AD148/AD141-1)*100</f>
        <v>10.000000000000009</v>
      </c>
      <c r="AF148" s="416"/>
      <c r="AG148" s="436">
        <f>SUM(AG144:AG147)</f>
        <v>3184.9549999999999</v>
      </c>
      <c r="AH148" s="452">
        <f>(AG148/AG141-1)*100</f>
        <v>2.8219619837461352</v>
      </c>
      <c r="AI148" s="483"/>
      <c r="AJ148" s="436">
        <f>+SUM(AJ144:AJ147)</f>
        <v>260.17899999999997</v>
      </c>
      <c r="AK148" s="466">
        <f>AJ148/AR148</f>
        <v>7.5520719948774115E-2</v>
      </c>
      <c r="AL148" s="452">
        <f>(AJ148/AJ141-1)*100</f>
        <v>15.223889850887717</v>
      </c>
      <c r="AM148" s="483"/>
      <c r="AN148" s="436"/>
      <c r="AO148" s="466"/>
      <c r="AP148" s="452"/>
      <c r="AQ148" s="483"/>
      <c r="AR148" s="436">
        <f>+SUM(AR144:AR147)</f>
        <v>3445.134</v>
      </c>
      <c r="AS148" s="452">
        <f>(AR148/AR141-1)*100</f>
        <v>3.6646043378263604</v>
      </c>
      <c r="AU148" s="512">
        <f>AV148</f>
        <v>1.5340975572611579</v>
      </c>
      <c r="AV148" s="493">
        <f>(D141/V141)*H148+(J141/V141)*N148+(P141/V141)*T148</f>
        <v>1.5340975572611579</v>
      </c>
      <c r="AW148" s="504">
        <f>V148/$V$148</f>
        <v>1</v>
      </c>
      <c r="AX148" s="437"/>
      <c r="AY148" s="453"/>
      <c r="AZ148" s="454"/>
      <c r="BA148" s="435"/>
      <c r="BB148" s="453"/>
      <c r="BD148" s="454"/>
      <c r="BF148" s="454"/>
    </row>
    <row r="149" spans="1:62">
      <c r="D149" s="482"/>
      <c r="E149" s="453"/>
      <c r="F149" s="522"/>
      <c r="G149" s="455"/>
      <c r="H149" s="455"/>
      <c r="I149" s="482"/>
      <c r="J149" s="482"/>
      <c r="K149" s="453"/>
      <c r="L149" s="455"/>
      <c r="M149" s="455"/>
      <c r="N149" s="455"/>
      <c r="P149" s="482"/>
      <c r="Q149" s="453"/>
      <c r="R149" s="455"/>
      <c r="S149" s="455"/>
      <c r="T149" s="455"/>
      <c r="W149" s="483"/>
      <c r="X149" s="451"/>
      <c r="Y149" s="416"/>
      <c r="Z149" s="517"/>
      <c r="AA149" s="451"/>
      <c r="AB149" s="470"/>
      <c r="AC149" s="416"/>
      <c r="AD149" s="458"/>
      <c r="AE149" s="511"/>
      <c r="AF149" s="416"/>
      <c r="AG149" s="436"/>
      <c r="AH149" s="452"/>
      <c r="AI149" s="483"/>
      <c r="AJ149" s="484"/>
      <c r="AK149" s="483"/>
      <c r="AL149" s="551"/>
      <c r="AM149" s="483"/>
      <c r="AN149" s="484"/>
      <c r="AO149" s="483"/>
      <c r="AP149" s="551"/>
      <c r="AQ149" s="483"/>
      <c r="AR149" s="436"/>
      <c r="AS149" s="452"/>
      <c r="AV149" s="416"/>
      <c r="AX149" s="437"/>
      <c r="AY149" s="453"/>
      <c r="AZ149" s="454"/>
      <c r="BA149" s="435"/>
      <c r="BB149" s="453"/>
      <c r="BD149" s="454"/>
      <c r="BF149" s="454"/>
    </row>
    <row r="150" spans="1:62" s="416" customFormat="1">
      <c r="B150" s="431">
        <f>qtrSales!B165</f>
        <v>2016</v>
      </c>
      <c r="D150" s="439"/>
      <c r="E150" s="451"/>
      <c r="F150" s="470"/>
      <c r="G150" s="508"/>
      <c r="H150" s="508"/>
      <c r="J150" s="439"/>
      <c r="K150" s="451"/>
      <c r="L150" s="470"/>
      <c r="M150" s="508"/>
      <c r="N150" s="470"/>
      <c r="P150" s="439"/>
      <c r="Q150" s="451"/>
      <c r="R150" s="470"/>
      <c r="S150" s="508"/>
      <c r="T150" s="470"/>
      <c r="V150" s="439"/>
      <c r="W150" s="439"/>
      <c r="X150" s="451"/>
      <c r="Z150" s="439"/>
      <c r="AA150" s="451"/>
      <c r="AB150" s="470"/>
      <c r="AD150" s="439"/>
      <c r="AE150" s="451"/>
      <c r="AG150" s="436"/>
      <c r="AH150" s="452"/>
      <c r="AJ150" s="553"/>
      <c r="AK150" s="458"/>
      <c r="AL150" s="452"/>
      <c r="AN150" s="553"/>
      <c r="AO150" s="458"/>
      <c r="AP150" s="452"/>
      <c r="AR150" s="436"/>
      <c r="AS150" s="452"/>
      <c r="AU150" s="470"/>
      <c r="AV150" s="470"/>
      <c r="AW150" s="470"/>
      <c r="AX150" s="442"/>
      <c r="AY150" s="470"/>
      <c r="AZ150" s="459"/>
      <c r="BA150" s="462"/>
      <c r="BB150" s="470"/>
      <c r="BD150" s="462"/>
      <c r="BF150" s="462"/>
    </row>
    <row r="151" spans="1:62" s="416" customFormat="1">
      <c r="A151" s="501" t="s">
        <v>247</v>
      </c>
      <c r="B151" s="501" t="s">
        <v>224</v>
      </c>
      <c r="D151" s="437">
        <f>qtrSales!W343</f>
        <v>298.88900000000001</v>
      </c>
      <c r="E151" s="499">
        <f>(D151/D144-1)*100</f>
        <v>1.0870043121670836</v>
      </c>
      <c r="F151" s="470">
        <f>+D151/$AG151*100</f>
        <v>42.686659249664025</v>
      </c>
      <c r="G151" s="508">
        <f>qtrSales!G343</f>
        <v>0</v>
      </c>
      <c r="H151" s="461">
        <v>2</v>
      </c>
      <c r="J151" s="437">
        <f>qtrSales!W520</f>
        <v>314.07299999999998</v>
      </c>
      <c r="K151" s="499">
        <f>(J151/J144-1)*100</f>
        <v>0.86615538769847511</v>
      </c>
      <c r="L151" s="493">
        <f>+J151/$AG151*100</f>
        <v>44.855204207982652</v>
      </c>
      <c r="M151" s="508">
        <f>qtrSales!G520</f>
        <v>0</v>
      </c>
      <c r="N151" s="461">
        <v>0</v>
      </c>
      <c r="P151" s="437">
        <f>qtrSales!W627</f>
        <v>82.13000000000001</v>
      </c>
      <c r="Q151" s="499">
        <f>(P151/P144-1)*100</f>
        <v>5.3515995792606352</v>
      </c>
      <c r="R151" s="493">
        <f>+P151/$AG151*100</f>
        <v>11.729623118197413</v>
      </c>
      <c r="S151" s="508">
        <f>qtrSales!G627</f>
        <v>0</v>
      </c>
      <c r="T151" s="461">
        <v>-2</v>
      </c>
      <c r="V151" s="439">
        <f>D151+J151+P151</f>
        <v>695.09199999999998</v>
      </c>
      <c r="W151" s="439">
        <f>W144*(1+X151)</f>
        <v>0</v>
      </c>
      <c r="X151" s="523">
        <v>-0.3</v>
      </c>
      <c r="Z151" s="444">
        <v>627.72444579423836</v>
      </c>
      <c r="AA151" s="499">
        <v>49.231511607186796</v>
      </c>
      <c r="AB151" s="470">
        <v>0.76</v>
      </c>
      <c r="AD151" s="439">
        <f>AD144*(1+AE151/100)</f>
        <v>233.39712230999999</v>
      </c>
      <c r="AE151" s="511">
        <v>15</v>
      </c>
      <c r="AG151" s="436">
        <f>D151+J151+P151+AN151</f>
        <v>700.19299999999998</v>
      </c>
      <c r="AH151" s="503">
        <f>(AG151/AG144-1)*100</f>
        <v>2.2166132123811577</v>
      </c>
      <c r="AJ151" s="492">
        <f>62.384</f>
        <v>62.384</v>
      </c>
      <c r="AK151" s="466">
        <f>AJ151/AR151</f>
        <v>8.1806820819405782E-2</v>
      </c>
      <c r="AL151" s="452">
        <f>(AJ151/AJ144-1)*100</f>
        <v>15.52378659654452</v>
      </c>
      <c r="AN151" s="492">
        <v>5.101</v>
      </c>
      <c r="AO151" s="466"/>
      <c r="AP151" s="452"/>
      <c r="AR151" s="1636">
        <f>+AG151+AJ151</f>
        <v>762.577</v>
      </c>
      <c r="AS151" s="503">
        <f>(AR151/AR144-1)*100</f>
        <v>3.1889960893628055</v>
      </c>
      <c r="AU151" s="512">
        <v>1</v>
      </c>
      <c r="AV151" s="493">
        <f>(D144/V144)*H151+(J144/V144)*N151+(P144/V144)*T151</f>
        <v>0.6356617212328598</v>
      </c>
      <c r="AW151" s="504">
        <f>V151/$V$155</f>
        <v>0.21491843610794958</v>
      </c>
      <c r="AX151" s="442"/>
      <c r="AY151" s="470"/>
      <c r="AZ151" s="459"/>
      <c r="BA151" s="462"/>
      <c r="BB151" s="470"/>
      <c r="BD151" s="462"/>
      <c r="BF151" s="462"/>
      <c r="BH151" s="439"/>
    </row>
    <row r="152" spans="1:62" s="416" customFormat="1">
      <c r="A152" s="416" t="s">
        <v>248</v>
      </c>
      <c r="B152" s="416" t="s">
        <v>225</v>
      </c>
      <c r="D152" s="442">
        <f>qtrSales!W344</f>
        <v>353.83699999999999</v>
      </c>
      <c r="E152" s="451">
        <f>(D152/D145-1)*100</f>
        <v>3.3985277916582568</v>
      </c>
      <c r="F152" s="470">
        <f>+D152/$AG152*100</f>
        <v>43.375028500959836</v>
      </c>
      <c r="G152" s="508">
        <f>qtrSales!G344</f>
        <v>0</v>
      </c>
      <c r="H152" s="461">
        <v>5</v>
      </c>
      <c r="J152" s="442">
        <f>qtrSales!W521</f>
        <v>366.61</v>
      </c>
      <c r="K152" s="451">
        <f>(J152/J145-1)*100</f>
        <v>-1.0958475417619962</v>
      </c>
      <c r="L152" s="470">
        <f>+J152/$AG152*100</f>
        <v>44.940803812876794</v>
      </c>
      <c r="M152" s="508">
        <f>qtrSales!G521</f>
        <v>0</v>
      </c>
      <c r="N152" s="461">
        <v>-3</v>
      </c>
      <c r="P152" s="442">
        <f>qtrSales!W628</f>
        <v>89.614999999999995</v>
      </c>
      <c r="Q152" s="451">
        <f>(P152/P145-1)*100</f>
        <v>8.1509998672475668</v>
      </c>
      <c r="R152" s="470">
        <f>+P152/$AG152*100</f>
        <v>10.985434477212715</v>
      </c>
      <c r="S152" s="508">
        <f>qtrSales!G628</f>
        <v>0</v>
      </c>
      <c r="T152" s="461">
        <v>0</v>
      </c>
      <c r="V152" s="444">
        <f>D152+J152+P152</f>
        <v>810.06200000000001</v>
      </c>
      <c r="W152" s="444">
        <f>W145*(1+X152)</f>
        <v>0</v>
      </c>
      <c r="X152" s="523">
        <v>-0.3</v>
      </c>
      <c r="Z152" s="444">
        <v>736.66938800758692</v>
      </c>
      <c r="AA152" s="451">
        <v>46.945354085315813</v>
      </c>
      <c r="AB152" s="470">
        <v>0.76</v>
      </c>
      <c r="AD152" s="477">
        <f>AD145*(1+AE152/100)</f>
        <v>270.44842646250004</v>
      </c>
      <c r="AE152" s="511">
        <v>15</v>
      </c>
      <c r="AG152" s="441">
        <f>D152+J152+P152+AN152</f>
        <v>815.76200000000006</v>
      </c>
      <c r="AH152" s="452">
        <f>(AG152/AG145-1)*100</f>
        <v>2.5161484907130438</v>
      </c>
      <c r="AJ152" s="547">
        <f>74.806</f>
        <v>74.805999999999997</v>
      </c>
      <c r="AK152" s="466">
        <f>AJ152/AR152</f>
        <v>8.3998077631354362E-2</v>
      </c>
      <c r="AL152" s="452">
        <f>(AJ152/AJ145-1)*100</f>
        <v>4.3028443948689432</v>
      </c>
      <c r="AN152" s="547">
        <v>5.7</v>
      </c>
      <c r="AO152" s="466"/>
      <c r="AP152" s="452"/>
      <c r="AR152" s="441">
        <f>+AG152+AJ152</f>
        <v>890.5680000000001</v>
      </c>
      <c r="AS152" s="452">
        <f>(AR152/AR145-1)*100</f>
        <v>2.6638692273995401</v>
      </c>
      <c r="AU152" s="512">
        <v>1</v>
      </c>
      <c r="AV152" s="493">
        <f>(D145/V145)*H152+(J145/V145)*N152+(P145/V145)*T152</f>
        <v>0.75278231583180433</v>
      </c>
      <c r="AW152" s="504">
        <f>V152/$V$155</f>
        <v>0.25046649679535637</v>
      </c>
      <c r="AX152" s="442"/>
      <c r="AY152" s="470"/>
      <c r="AZ152" s="459"/>
      <c r="BA152" s="462"/>
      <c r="BB152" s="470"/>
      <c r="BD152" s="462"/>
      <c r="BF152" s="462"/>
    </row>
    <row r="153" spans="1:62" s="416" customFormat="1">
      <c r="A153" s="416" t="s">
        <v>249</v>
      </c>
      <c r="B153" s="416" t="s">
        <v>226</v>
      </c>
      <c r="D153" s="442">
        <f>qtrSales!W345</f>
        <v>348.471</v>
      </c>
      <c r="E153" s="451">
        <f>(D153/D146-1)*100</f>
        <v>2.6073565438613056</v>
      </c>
      <c r="F153" s="470">
        <f>+D153/$AG153*100</f>
        <v>44.389739957657461</v>
      </c>
      <c r="G153" s="508">
        <f>qtrSales!G345</f>
        <v>0</v>
      </c>
      <c r="H153" s="461">
        <v>5.2</v>
      </c>
      <c r="J153" s="442">
        <f>qtrSales!W522</f>
        <v>340.72699999999998</v>
      </c>
      <c r="K153" s="451">
        <f>(J153/J146-1)*100</f>
        <v>-0.11286615539765066</v>
      </c>
      <c r="L153" s="470">
        <f>+J153/$AG153*100</f>
        <v>43.40327581506854</v>
      </c>
      <c r="M153" s="508">
        <f>qtrSales!G522</f>
        <v>0</v>
      </c>
      <c r="N153" s="461">
        <v>-2.7</v>
      </c>
      <c r="P153" s="442">
        <f>qtrSales!W629</f>
        <v>89.97999999999999</v>
      </c>
      <c r="Q153" s="451">
        <f>(P153/P146-1)*100</f>
        <v>6.1122445369529599</v>
      </c>
      <c r="R153" s="470">
        <f>+P153/$AG153*100</f>
        <v>11.462040747694981</v>
      </c>
      <c r="S153" s="508">
        <f>qtrSales!G629</f>
        <v>0</v>
      </c>
      <c r="T153" s="461">
        <v>-1.5</v>
      </c>
      <c r="V153" s="444">
        <f>D153+J153+P153</f>
        <v>779.178</v>
      </c>
      <c r="W153" s="444">
        <f>W146*(1+X153)</f>
        <v>0</v>
      </c>
      <c r="X153" s="523">
        <v>-0.15</v>
      </c>
      <c r="Z153" s="444">
        <v>747.63853667193291</v>
      </c>
      <c r="AA153" s="451">
        <v>54.654184233353796</v>
      </c>
      <c r="AB153" s="470">
        <v>0.76</v>
      </c>
      <c r="AD153" s="477">
        <f>AD146*(1+AE153/100)</f>
        <v>317.68335884999999</v>
      </c>
      <c r="AE153" s="511">
        <v>15</v>
      </c>
      <c r="AG153" s="441">
        <f>D153+J153+P153+AN153</f>
        <v>785.02599999999995</v>
      </c>
      <c r="AH153" s="452">
        <f>(AG153/AG146-1)*100</f>
        <v>2.5474021096632882</v>
      </c>
      <c r="AJ153" s="547">
        <v>77.465000000000003</v>
      </c>
      <c r="AK153" s="466">
        <f>AJ153/AR153</f>
        <v>8.9815429958109719E-2</v>
      </c>
      <c r="AL153" s="452">
        <f>(AJ153/AJ146-1)*100</f>
        <v>29.685433512463799</v>
      </c>
      <c r="AN153" s="547">
        <v>5.8479999999999999</v>
      </c>
      <c r="AO153" s="466"/>
      <c r="AP153" s="452"/>
      <c r="AR153" s="441">
        <f>+AG153+AJ153</f>
        <v>862.49099999999999</v>
      </c>
      <c r="AS153" s="452">
        <f>(AR153/AR146-1)*100</f>
        <v>4.5116799837141786</v>
      </c>
      <c r="AU153" s="512">
        <v>1</v>
      </c>
      <c r="AV153" s="493">
        <f>(D146/V146)*H153+(J146/V146)*N153+(P146/V146)*T153</f>
        <v>0.93766408673785939</v>
      </c>
      <c r="AW153" s="504">
        <f>V153/$V$155</f>
        <v>0.24091734217876187</v>
      </c>
      <c r="AX153" s="442"/>
      <c r="AY153" s="470"/>
      <c r="AZ153" s="459"/>
      <c r="BA153" s="462"/>
      <c r="BB153" s="470"/>
      <c r="BD153" s="462"/>
      <c r="BF153" s="462"/>
    </row>
    <row r="154" spans="1:62" s="416" customFormat="1">
      <c r="A154" s="416" t="s">
        <v>250</v>
      </c>
      <c r="B154" s="416" t="s">
        <v>227</v>
      </c>
      <c r="D154" s="447">
        <f>qtrSales!W346</f>
        <v>413.79899999999998</v>
      </c>
      <c r="E154" s="451">
        <f>(D154/D147-1)*100</f>
        <v>-0.488420748863716</v>
      </c>
      <c r="F154" s="470">
        <f>+D154/$AG154*100</f>
        <v>43.288534787307157</v>
      </c>
      <c r="G154" s="508">
        <f>qtrSales!G346</f>
        <v>0</v>
      </c>
      <c r="H154" s="506">
        <v>2</v>
      </c>
      <c r="J154" s="447">
        <f>qtrSales!W523</f>
        <v>423.98500000000001</v>
      </c>
      <c r="K154" s="451">
        <f>(J154/J147-1)*100</f>
        <v>1.1670412842942124</v>
      </c>
      <c r="L154" s="470">
        <f>+J154/$AG154*100</f>
        <v>44.354117389835231</v>
      </c>
      <c r="M154" s="508">
        <f>qtrSales!G523</f>
        <v>0</v>
      </c>
      <c r="N154" s="506">
        <v>-2.9</v>
      </c>
      <c r="P154" s="447">
        <f>qtrSales!W630</f>
        <v>112.09700000000001</v>
      </c>
      <c r="Q154" s="451">
        <f>(P154/P147-1)*100</f>
        <v>8.0380118931734792</v>
      </c>
      <c r="R154" s="470">
        <f>+P154/$AG154*100</f>
        <v>11.726743863694139</v>
      </c>
      <c r="S154" s="508">
        <f>qtrSales!G630</f>
        <v>0</v>
      </c>
      <c r="T154" s="506">
        <v>1.2</v>
      </c>
      <c r="V154" s="444">
        <f>D154+J154+P154</f>
        <v>949.88099999999997</v>
      </c>
      <c r="W154" s="444">
        <f>W147*(1+X154)</f>
        <v>0</v>
      </c>
      <c r="X154" s="523">
        <v>-0.1</v>
      </c>
      <c r="Z154" s="444">
        <v>925.92372560710305</v>
      </c>
      <c r="AA154" s="451">
        <v>60.317011556779242</v>
      </c>
      <c r="AB154" s="470">
        <v>1.0539999999999998</v>
      </c>
      <c r="AD154" s="477">
        <f>AD147*(1+AE154/100)</f>
        <v>454.90512567499997</v>
      </c>
      <c r="AE154" s="511">
        <v>15</v>
      </c>
      <c r="AG154" s="441">
        <f>D154+J154+P154+AN154</f>
        <v>955.90899999999999</v>
      </c>
      <c r="AH154" s="452">
        <f>(AG154/AG147-1)*100</f>
        <v>1.8353412927288426</v>
      </c>
      <c r="AJ154" s="547">
        <v>74.248999999999995</v>
      </c>
      <c r="AK154" s="466">
        <f>AJ154/AR154</f>
        <v>7.2075351548014963E-2</v>
      </c>
      <c r="AL154" s="452">
        <f>(AJ154/AJ147-1)*100</f>
        <v>-0.63700234192037852</v>
      </c>
      <c r="AN154" s="1608">
        <v>6.0279999999999996</v>
      </c>
      <c r="AO154" s="466"/>
      <c r="AP154" s="551"/>
      <c r="AR154" s="441">
        <f>+AG154+AJ154</f>
        <v>1030.1579999999999</v>
      </c>
      <c r="AS154" s="452">
        <f>(AR154/AR147-1)*100</f>
        <v>1.6530393544146982</v>
      </c>
      <c r="AU154" s="1630">
        <v>0</v>
      </c>
      <c r="AV154" s="493">
        <f>(D147/V147)*H154+(J147/V147)*N154+(P147/V147)*T154</f>
        <v>-0.27613662149335083</v>
      </c>
      <c r="AW154" s="504">
        <f>V154/$V$155</f>
        <v>0.29369772491793211</v>
      </c>
      <c r="AX154" s="442"/>
      <c r="AY154" s="470"/>
      <c r="AZ154" s="459"/>
      <c r="BA154" s="462"/>
      <c r="BB154" s="470"/>
      <c r="BD154" s="462"/>
      <c r="BF154" s="462"/>
    </row>
    <row r="155" spans="1:62" s="416" customFormat="1">
      <c r="B155" s="416" t="s">
        <v>251</v>
      </c>
      <c r="D155" s="439">
        <f>qtrSales!$W$347</f>
        <v>1414.9960000000001</v>
      </c>
      <c r="E155" s="451">
        <f>(D155/D148-1)*100</f>
        <v>1.5551255698586397</v>
      </c>
      <c r="F155" s="470">
        <f>+D155/$AG155*100</f>
        <v>43.446232448747125</v>
      </c>
      <c r="G155" s="508">
        <f>qtrSales!G347</f>
        <v>0</v>
      </c>
      <c r="H155" s="1629">
        <f>qtrSales!F347</f>
        <v>3.5382504261496144</v>
      </c>
      <c r="I155" s="483"/>
      <c r="J155" s="439">
        <f>qtrSales!W524</f>
        <v>1445.395</v>
      </c>
      <c r="K155" s="451">
        <f>(J155/J148-1)*100</f>
        <v>0.217784107376362</v>
      </c>
      <c r="L155" s="470">
        <f>+J155/$AG155*100</f>
        <v>44.379607539708125</v>
      </c>
      <c r="M155" s="508">
        <f>qtrSales!G524</f>
        <v>0</v>
      </c>
      <c r="N155" s="1617">
        <f>qtrSales!F524</f>
        <v>-2.2480701815074773</v>
      </c>
      <c r="O155" s="483"/>
      <c r="P155" s="439">
        <f>qtrSales!W631</f>
        <v>373.822</v>
      </c>
      <c r="Q155" s="451">
        <f>(P155/P148-1)*100</f>
        <v>6.9979649257383869</v>
      </c>
      <c r="R155" s="470">
        <f>+P155/$AG155*100</f>
        <v>11.477882274194094</v>
      </c>
      <c r="S155" s="508">
        <f>qtrSales!G631</f>
        <v>0</v>
      </c>
      <c r="T155" s="1617">
        <f>qtrSales!F631</f>
        <v>-0.44062040222351806</v>
      </c>
      <c r="U155" s="483"/>
      <c r="V155" s="439">
        <f>D155+J155+P155</f>
        <v>3234.2130000000002</v>
      </c>
      <c r="W155" s="439">
        <f>SUM(W151:W154)</f>
        <v>0</v>
      </c>
      <c r="X155" s="483" t="e">
        <f>W155/W148-1</f>
        <v>#DIV/0!</v>
      </c>
      <c r="Z155" s="439">
        <v>3037.9560960808612</v>
      </c>
      <c r="AA155" s="451">
        <v>53.204331341725307</v>
      </c>
      <c r="AB155" s="470">
        <v>0.841991007835587</v>
      </c>
      <c r="AD155" s="439">
        <f>SUM(AD151:AD154)</f>
        <v>1276.4340332975</v>
      </c>
      <c r="AE155" s="451">
        <f>(AD155/AD148-1)*100</f>
        <v>14.999999999999991</v>
      </c>
      <c r="AG155" s="436">
        <f>SUM(AG151:AG154)</f>
        <v>3256.89</v>
      </c>
      <c r="AH155" s="452">
        <f>(AG155/AG148-1)*100</f>
        <v>2.2585876409556782</v>
      </c>
      <c r="AI155" s="483"/>
      <c r="AJ155" s="436">
        <f>+SUM(AJ151:AJ154)</f>
        <v>288.904</v>
      </c>
      <c r="AK155" s="466">
        <f>AJ155/AR155</f>
        <v>8.1477942599034237E-2</v>
      </c>
      <c r="AL155" s="452">
        <f>(AJ155/AJ148-1)*100</f>
        <v>11.040475979998398</v>
      </c>
      <c r="AM155" s="483"/>
      <c r="AN155" s="436">
        <f>SUM(AN151:AN154)</f>
        <v>22.677</v>
      </c>
      <c r="AO155" s="466"/>
      <c r="AP155" s="452"/>
      <c r="AQ155" s="483"/>
      <c r="AR155" s="436">
        <f>+SUM(AR151:AR154)</f>
        <v>3545.7939999999999</v>
      </c>
      <c r="AS155" s="452">
        <f>(AR155/AR148-1)*100</f>
        <v>2.9218021708299347</v>
      </c>
      <c r="AU155" s="1629">
        <v>1</v>
      </c>
      <c r="AV155" s="493">
        <f>(D148/V148)*H155+(J148/V148)*N155+(P148/V148)*T155</f>
        <v>0.48154975703589753</v>
      </c>
      <c r="AW155" s="504">
        <f>V155/$V$155</f>
        <v>1</v>
      </c>
      <c r="AX155" s="437"/>
      <c r="AY155" s="451"/>
      <c r="AZ155" s="459"/>
      <c r="BA155" s="437"/>
      <c r="BB155" s="451"/>
      <c r="BD155" s="459"/>
      <c r="BF155" s="459"/>
    </row>
    <row r="156" spans="1:62" s="416" customFormat="1">
      <c r="D156" s="483"/>
      <c r="E156" s="451"/>
      <c r="F156" s="1455"/>
      <c r="G156" s="470"/>
      <c r="H156" s="470"/>
      <c r="I156" s="483"/>
      <c r="J156" s="483"/>
      <c r="K156" s="451"/>
      <c r="L156" s="470"/>
      <c r="M156" s="470"/>
      <c r="N156" s="470"/>
      <c r="P156" s="483"/>
      <c r="Q156" s="451"/>
      <c r="R156" s="470"/>
      <c r="S156" s="470"/>
      <c r="T156" s="470"/>
      <c r="W156" s="483"/>
      <c r="X156" s="451"/>
      <c r="Z156" s="517"/>
      <c r="AA156" s="451"/>
      <c r="AB156" s="470"/>
      <c r="AD156" s="458"/>
      <c r="AE156" s="511"/>
      <c r="AG156" s="436"/>
      <c r="AH156" s="452"/>
      <c r="AI156" s="483"/>
      <c r="AJ156" s="484"/>
      <c r="AK156" s="483"/>
      <c r="AL156" s="551"/>
      <c r="AM156" s="483"/>
      <c r="AN156" s="484"/>
      <c r="AO156" s="483"/>
      <c r="AP156" s="551"/>
      <c r="AQ156" s="483"/>
      <c r="AR156" s="436"/>
      <c r="AS156" s="452"/>
      <c r="AX156" s="437"/>
      <c r="AY156" s="451"/>
      <c r="AZ156" s="459"/>
      <c r="BA156" s="437"/>
      <c r="BB156" s="451"/>
      <c r="BD156" s="459"/>
      <c r="BF156" s="459"/>
    </row>
    <row r="157" spans="1:62" s="416" customFormat="1">
      <c r="B157" s="431">
        <f>qtrSales!$B$172</f>
        <v>2017</v>
      </c>
      <c r="D157" s="439"/>
      <c r="E157" s="451"/>
      <c r="F157" s="470"/>
      <c r="G157" s="508"/>
      <c r="H157" s="461"/>
      <c r="J157" s="439"/>
      <c r="K157" s="451"/>
      <c r="L157" s="470"/>
      <c r="M157" s="508"/>
      <c r="N157" s="470"/>
      <c r="P157" s="439"/>
      <c r="Q157" s="451"/>
      <c r="R157" s="470"/>
      <c r="S157" s="508"/>
      <c r="T157" s="470"/>
      <c r="V157" s="439"/>
      <c r="W157" s="439"/>
      <c r="X157" s="451"/>
      <c r="Z157" s="439"/>
      <c r="AA157" s="451"/>
      <c r="AB157" s="470"/>
      <c r="AD157" s="439"/>
      <c r="AE157" s="451"/>
      <c r="AG157" s="436"/>
      <c r="AH157" s="452"/>
      <c r="AJ157" s="553"/>
      <c r="AK157" s="458"/>
      <c r="AL157" s="452"/>
      <c r="AN157" s="553"/>
      <c r="AO157" s="458"/>
      <c r="AP157" s="452"/>
      <c r="AR157" s="436"/>
      <c r="AS157" s="452"/>
      <c r="AU157" s="470"/>
      <c r="AV157" s="470"/>
      <c r="AW157" s="470"/>
      <c r="AX157" s="442"/>
      <c r="AY157" s="470"/>
      <c r="AZ157" s="459"/>
      <c r="BA157" s="462"/>
      <c r="BB157" s="470"/>
      <c r="BD157" s="462"/>
      <c r="BF157" s="462"/>
    </row>
    <row r="158" spans="1:62" s="416" customFormat="1">
      <c r="A158" s="501" t="s">
        <v>247</v>
      </c>
      <c r="B158" s="501" t="s">
        <v>224</v>
      </c>
      <c r="D158" s="437">
        <f>qtrSales!W350</f>
        <v>284.78699999999998</v>
      </c>
      <c r="E158" s="499">
        <f>(D158/D151-1)*100</f>
        <v>-4.7181395099853196</v>
      </c>
      <c r="F158" s="470">
        <f>+D158/$AG158*100</f>
        <v>41.252433541150019</v>
      </c>
      <c r="G158" s="508">
        <f>qtrSales!G365</f>
        <v>0</v>
      </c>
      <c r="H158" s="461">
        <v>-3.1</v>
      </c>
      <c r="J158" s="437">
        <f>qtrSales!W527</f>
        <v>311.05599999999998</v>
      </c>
      <c r="K158" s="499">
        <f>(J158/J151-1)*100</f>
        <v>-0.96060470018116684</v>
      </c>
      <c r="L158" s="493">
        <f>+J158/$AG158*100</f>
        <v>45.057593807217188</v>
      </c>
      <c r="M158" s="508">
        <f>qtrSales!G541</f>
        <v>0</v>
      </c>
      <c r="N158" s="461">
        <v>-4.4000000000000004</v>
      </c>
      <c r="P158" s="437">
        <f>qtrSales!W634</f>
        <v>88.669000000000011</v>
      </c>
      <c r="Q158" s="499">
        <f>(P158/P151-1)*100</f>
        <v>7.9617679288932264</v>
      </c>
      <c r="R158" s="493">
        <f>+P158/$AG158*100</f>
        <v>12.844027394720376</v>
      </c>
      <c r="S158" s="508">
        <f>qtrSales!G648</f>
        <v>0</v>
      </c>
      <c r="T158" s="461">
        <v>1.5</v>
      </c>
      <c r="V158" s="439">
        <f>D158+J158+P158</f>
        <v>684.51199999999994</v>
      </c>
      <c r="W158" s="439">
        <f>W151*(1+X158)</f>
        <v>0</v>
      </c>
      <c r="X158" s="523">
        <v>-0.3</v>
      </c>
      <c r="Z158" s="444">
        <v>627.72444579423836</v>
      </c>
      <c r="AA158" s="499">
        <v>49.231511607186796</v>
      </c>
      <c r="AB158" s="470">
        <v>0.76</v>
      </c>
      <c r="AD158" s="439">
        <f>AD151*(1+AE158/100)</f>
        <v>268.40669065649996</v>
      </c>
      <c r="AE158" s="511">
        <v>15</v>
      </c>
      <c r="AG158" s="436">
        <f>D158+J158+P158+AN158</f>
        <v>690.35199999999998</v>
      </c>
      <c r="AH158" s="503">
        <f>(AG158/AG151-1)*100</f>
        <v>-1.4054696348006934</v>
      </c>
      <c r="AJ158" s="492">
        <v>70.837999999999994</v>
      </c>
      <c r="AK158" s="466">
        <f>AJ158/AR158</f>
        <v>9.3062178956633684E-2</v>
      </c>
      <c r="AL158" s="452">
        <f>(AJ158/AJ151-1)*100</f>
        <v>13.551551679917928</v>
      </c>
      <c r="AN158" s="492">
        <v>5.84</v>
      </c>
      <c r="AO158" s="466">
        <f>AN158/AR158</f>
        <v>7.6721974802611706E-3</v>
      </c>
      <c r="AP158" s="452">
        <f>(AN158/AN151-1)*100</f>
        <v>14.487355420505788</v>
      </c>
      <c r="AR158" s="1636">
        <f>+AG158+AJ158</f>
        <v>761.18999999999994</v>
      </c>
      <c r="AS158" s="503">
        <f>(AR158/AR151-1)*100</f>
        <v>-0.1818832721154795</v>
      </c>
      <c r="AU158" s="512">
        <v>-3.1</v>
      </c>
      <c r="AV158" s="493">
        <f>(D151/V151)*H158+(J151/V151)*N158+(P151/V151)*T158</f>
        <v>-3.1438746237908077</v>
      </c>
      <c r="AW158" s="504">
        <f>V158/$V$155</f>
        <v>0.2116471611486318</v>
      </c>
      <c r="AX158" s="442"/>
      <c r="AY158" s="470"/>
      <c r="AZ158" s="459"/>
      <c r="BA158" s="462"/>
      <c r="BB158" s="470"/>
      <c r="BD158" s="462"/>
      <c r="BF158" s="462"/>
      <c r="BH158" s="439"/>
    </row>
    <row r="159" spans="1:62" s="416" customFormat="1">
      <c r="A159" s="416" t="s">
        <v>248</v>
      </c>
      <c r="B159" s="416" t="s">
        <v>225</v>
      </c>
      <c r="D159" s="442">
        <f>qtrSales!W351</f>
        <v>323.82799999999997</v>
      </c>
      <c r="E159" s="451">
        <f>(D159/D152-1)*100</f>
        <v>-8.481023748223059</v>
      </c>
      <c r="F159" s="470">
        <f>+D159/$AG159*100</f>
        <v>40.958326798443764</v>
      </c>
      <c r="G159" s="508">
        <f>qtrSales!G366</f>
        <v>0</v>
      </c>
      <c r="H159" s="461">
        <v>-7.9</v>
      </c>
      <c r="J159" s="442">
        <f>qtrSales!W528</f>
        <v>362.44900000000001</v>
      </c>
      <c r="K159" s="451">
        <f>(J159/J152-1)*100</f>
        <v>-1.1349935899184427</v>
      </c>
      <c r="L159" s="470">
        <f>+J159/$AG159*100</f>
        <v>45.843177828258042</v>
      </c>
      <c r="M159" s="508">
        <f>qtrSales!G542</f>
        <v>0</v>
      </c>
      <c r="N159" s="461">
        <v>-4</v>
      </c>
      <c r="P159" s="442">
        <f>qtrSales!W635</f>
        <v>97.925000000000011</v>
      </c>
      <c r="Q159" s="451">
        <f>(P159/P152-1)*100</f>
        <v>9.2730011716788638</v>
      </c>
      <c r="R159" s="470">
        <f>+P159/$AG159*100</f>
        <v>12.385723753775482</v>
      </c>
      <c r="S159" s="508">
        <f>qtrSales!G649</f>
        <v>0</v>
      </c>
      <c r="T159" s="461">
        <v>2.9</v>
      </c>
      <c r="V159" s="444">
        <f>D159+J159+P159</f>
        <v>784.202</v>
      </c>
      <c r="W159" s="444">
        <f>W152*(1+X159)</f>
        <v>0</v>
      </c>
      <c r="X159" s="523">
        <v>-0.3</v>
      </c>
      <c r="Z159" s="444">
        <v>736.66938800758692</v>
      </c>
      <c r="AA159" s="451">
        <v>46.945354085315813</v>
      </c>
      <c r="AB159" s="470">
        <v>0.76</v>
      </c>
      <c r="AD159" s="477">
        <f>AD152*(1+AE159/100)</f>
        <v>311.01569043187504</v>
      </c>
      <c r="AE159" s="511">
        <v>15</v>
      </c>
      <c r="AG159" s="441">
        <f>D159+J159+P159+AN159</f>
        <v>790.62800000000004</v>
      </c>
      <c r="AH159" s="452">
        <f>(AG159/AG152-1)*100</f>
        <v>-3.0810456971518629</v>
      </c>
      <c r="AJ159" s="547">
        <v>82.302999999999997</v>
      </c>
      <c r="AK159" s="466">
        <f>AJ159/AR159</f>
        <v>9.4283511526111446E-2</v>
      </c>
      <c r="AL159" s="452">
        <f>(AJ159/AJ152-1)*100</f>
        <v>10.021923375130349</v>
      </c>
      <c r="AN159" s="547">
        <v>6.4260000000000002</v>
      </c>
      <c r="AO159" s="466">
        <f>AN159/AR159</f>
        <v>7.3614065716534295E-3</v>
      </c>
      <c r="AP159" s="452">
        <f>(AN159/AN152-1)*100</f>
        <v>12.736842105263158</v>
      </c>
      <c r="AR159" s="441">
        <f>+AG159+AJ159</f>
        <v>872.93100000000004</v>
      </c>
      <c r="AS159" s="452">
        <f>(AR159/AR152-1)*100</f>
        <v>-1.9804214838170742</v>
      </c>
      <c r="AU159" s="512">
        <v>-4.9000000000000004</v>
      </c>
      <c r="AV159" s="493">
        <f>(D152/V152)*H159+(J152/V152)*N159+(P152/V152)*T159</f>
        <v>-4.9402006266187035</v>
      </c>
      <c r="AW159" s="504">
        <f>V159/$V$155</f>
        <v>0.24247073399309196</v>
      </c>
      <c r="AX159" s="442"/>
      <c r="AY159" s="470"/>
      <c r="AZ159" s="459"/>
      <c r="BA159" s="462"/>
      <c r="BB159" s="470"/>
      <c r="BD159" s="462"/>
      <c r="BF159" s="462"/>
    </row>
    <row r="160" spans="1:62" s="416" customFormat="1">
      <c r="A160" s="416" t="s">
        <v>249</v>
      </c>
      <c r="B160" s="416" t="s">
        <v>226</v>
      </c>
      <c r="D160" s="1761">
        <v>353.88099999999997</v>
      </c>
      <c r="E160" s="451">
        <f>(D160/D153-1)*100</f>
        <v>1.5524964774687122</v>
      </c>
      <c r="F160" s="470">
        <f>+D160/$AG160*100</f>
        <v>43.767577849621411</v>
      </c>
      <c r="G160" s="508">
        <f>qtrSales!G367</f>
        <v>0</v>
      </c>
      <c r="H160" s="461">
        <v>1</v>
      </c>
      <c r="J160" s="1761">
        <v>352.08</v>
      </c>
      <c r="K160" s="451">
        <f>(J160/J153-1)*100</f>
        <v>3.331993061894134</v>
      </c>
      <c r="L160" s="470">
        <f>+J160/$AG160*100</f>
        <v>43.5448323286492</v>
      </c>
      <c r="M160" s="508">
        <f>qtrSales!G543</f>
        <v>54</v>
      </c>
      <c r="N160" s="461">
        <v>2</v>
      </c>
      <c r="P160" s="1761">
        <f>qtrSales!W636</f>
        <v>96.344000000000008</v>
      </c>
      <c r="Q160" s="451">
        <f>(P160/P153-1)*100</f>
        <v>7.0726828184041191</v>
      </c>
      <c r="R160" s="470">
        <f>+P160/$AG160*100</f>
        <v>11.915710423402007</v>
      </c>
      <c r="S160" s="508">
        <f>qtrSales!G650</f>
        <v>0</v>
      </c>
      <c r="T160" s="461">
        <v>5</v>
      </c>
      <c r="V160" s="444">
        <f>D160+J160+P160</f>
        <v>802.30500000000006</v>
      </c>
      <c r="W160" s="444">
        <f>W153*(1+X160)</f>
        <v>0</v>
      </c>
      <c r="X160" s="523">
        <v>-0.15</v>
      </c>
      <c r="Z160" s="444">
        <v>747.63853667193291</v>
      </c>
      <c r="AA160" s="451">
        <v>54.654184233353796</v>
      </c>
      <c r="AB160" s="470">
        <v>0.76</v>
      </c>
      <c r="AD160" s="477">
        <f>AD153*(1+AE160/100)</f>
        <v>365.33586267749996</v>
      </c>
      <c r="AE160" s="511">
        <v>15</v>
      </c>
      <c r="AG160" s="441">
        <f>D160+J160+P160+AN160</f>
        <v>808.54600000000005</v>
      </c>
      <c r="AH160" s="452">
        <f>(AG160/AG153-1)*100</f>
        <v>2.9960791107555895</v>
      </c>
      <c r="AJ160" s="552">
        <v>84.227999999999994</v>
      </c>
      <c r="AK160" s="466">
        <f>AJ160/AR160</f>
        <v>9.4344145326812831E-2</v>
      </c>
      <c r="AL160" s="1764">
        <f>(AJ160/AJ153-1)*100</f>
        <v>8.7303943716517054</v>
      </c>
      <c r="AN160" s="552">
        <v>6.2409999999999997</v>
      </c>
      <c r="AO160" s="466">
        <f>AN160/AR160</f>
        <v>6.9905709619679781E-3</v>
      </c>
      <c r="AP160" s="452">
        <f>(AN160/AN153-1)*100</f>
        <v>6.720246238030092</v>
      </c>
      <c r="AR160" s="441">
        <f>+AG160+AJ160</f>
        <v>892.774</v>
      </c>
      <c r="AS160" s="452">
        <f>(AR160/AR153-1)*100</f>
        <v>3.5111091014283113</v>
      </c>
      <c r="AU160" s="1778">
        <v>2</v>
      </c>
      <c r="AV160" s="493">
        <f>(D153/V153)*H160+(J153/V153)*N160+(P153/V153)*T160</f>
        <v>1.899213016794622</v>
      </c>
      <c r="AW160" s="504">
        <f>V160/$V$155</f>
        <v>0.24806807714890763</v>
      </c>
      <c r="AX160" s="442"/>
      <c r="AY160" s="470"/>
      <c r="AZ160" s="459"/>
      <c r="BA160" s="462"/>
      <c r="BB160" s="470"/>
      <c r="BD160" s="462"/>
      <c r="BF160" s="462"/>
    </row>
    <row r="161" spans="1:60" s="416" customFormat="1">
      <c r="A161" s="416" t="s">
        <v>250</v>
      </c>
      <c r="B161" s="416" t="s">
        <v>227</v>
      </c>
      <c r="D161" s="520">
        <v>433.92399999999998</v>
      </c>
      <c r="E161" s="451">
        <f>(D161/D154-1)*100</f>
        <v>4.8634723621854947</v>
      </c>
      <c r="F161" s="470">
        <f>+D161/$AG161*100</f>
        <v>42.954776734627615</v>
      </c>
      <c r="G161" s="508">
        <f>qtrSales!G368</f>
        <v>0</v>
      </c>
      <c r="H161" s="1777">
        <v>2</v>
      </c>
      <c r="J161" s="520">
        <v>447.18400000000003</v>
      </c>
      <c r="K161" s="451">
        <f>(J161/J154-1)*100</f>
        <v>5.4716558368810286</v>
      </c>
      <c r="L161" s="470">
        <f>+J161/$AG161*100</f>
        <v>44.267403691194126</v>
      </c>
      <c r="M161" s="508">
        <f>qtrSales!G544</f>
        <v>41</v>
      </c>
      <c r="N161" s="1777">
        <v>5</v>
      </c>
      <c r="P161" s="520">
        <f>qtrSales!W637</f>
        <v>122.72799999999999</v>
      </c>
      <c r="Q161" s="451">
        <f>(P161/P154-1)*100</f>
        <v>9.4837506802144524</v>
      </c>
      <c r="R161" s="470">
        <f>+P161/$AG161*100</f>
        <v>12.149025725904487</v>
      </c>
      <c r="S161" s="508">
        <f>qtrSales!G651</f>
        <v>0</v>
      </c>
      <c r="T161" s="1777">
        <v>8</v>
      </c>
      <c r="V161" s="444">
        <f>D161+J161+P161</f>
        <v>1003.8359999999999</v>
      </c>
      <c r="W161" s="444">
        <f>W154*(1+X161)</f>
        <v>0</v>
      </c>
      <c r="X161" s="523">
        <v>-0.1</v>
      </c>
      <c r="Z161" s="444">
        <v>925.92372560710305</v>
      </c>
      <c r="AA161" s="451">
        <v>60.317011556779242</v>
      </c>
      <c r="AB161" s="470">
        <v>1.0539999999999998</v>
      </c>
      <c r="AD161" s="477">
        <f>AD154*(1+AE161/100)</f>
        <v>523.14089452624989</v>
      </c>
      <c r="AE161" s="511">
        <v>15</v>
      </c>
      <c r="AG161" s="441">
        <f>D161+J161+P161+AN161</f>
        <v>1010.1879999999999</v>
      </c>
      <c r="AH161" s="452">
        <f>(AG161/AG154-1)*100</f>
        <v>5.6782601691165002</v>
      </c>
      <c r="AJ161" s="552">
        <v>78.930999999999997</v>
      </c>
      <c r="AK161" s="466">
        <f>AJ161/AR161</f>
        <v>7.2472337733525904E-2</v>
      </c>
      <c r="AL161" s="1764">
        <f>(AJ161/AJ154-1)*100</f>
        <v>6.3058088324421835</v>
      </c>
      <c r="AN161" s="552">
        <v>6.3520000000000003</v>
      </c>
      <c r="AO161" s="466">
        <f>AN161/AR161</f>
        <v>5.8322368813692538E-3</v>
      </c>
      <c r="AP161" s="452">
        <f>(AN161/AN154-1)*100</f>
        <v>5.3749170537491731</v>
      </c>
      <c r="AR161" s="441">
        <f>+AG161+AJ161</f>
        <v>1089.1189999999999</v>
      </c>
      <c r="AS161" s="452">
        <f>(AR161/AR154-1)*100</f>
        <v>5.7234909596391992</v>
      </c>
      <c r="AU161" s="1778">
        <v>4</v>
      </c>
      <c r="AV161" s="493">
        <f>(D154/V154)*H161+(J154/V154)*N161+(P154/V154)*T161</f>
        <v>4.0471374835374112</v>
      </c>
      <c r="AW161" s="504">
        <f>V161/$V$155</f>
        <v>0.31038029962776104</v>
      </c>
      <c r="AX161" s="442"/>
      <c r="AY161" s="470"/>
      <c r="AZ161" s="459"/>
      <c r="BA161" s="462"/>
      <c r="BB161" s="470"/>
      <c r="BD161" s="462"/>
      <c r="BF161" s="462"/>
    </row>
    <row r="162" spans="1:60" s="416" customFormat="1">
      <c r="B162" s="416" t="s">
        <v>251</v>
      </c>
      <c r="D162" s="439">
        <f>qtrSales!$W$354</f>
        <v>1396.42</v>
      </c>
      <c r="E162" s="451">
        <f>(D162/D155-1)*100</f>
        <v>-1.3127952305165502</v>
      </c>
      <c r="F162" s="470">
        <f>+D162/$AG162*100</f>
        <v>42.319425259280052</v>
      </c>
      <c r="G162" s="508">
        <f>qtrSales!G369</f>
        <v>0</v>
      </c>
      <c r="H162" s="1454">
        <f>qtrSales!$F$354</f>
        <v>-1.589315463828934</v>
      </c>
      <c r="I162" s="483"/>
      <c r="J162" s="439">
        <f>qtrSales!$W$531</f>
        <v>1472.769</v>
      </c>
      <c r="K162" s="451">
        <f>(J162/J155-1)*100</f>
        <v>1.8938767603319473</v>
      </c>
      <c r="L162" s="470">
        <f>+J162/$AG162*100</f>
        <v>44.633231849790619</v>
      </c>
      <c r="M162" s="508">
        <f>qtrSales!G545</f>
        <v>49</v>
      </c>
      <c r="N162" s="1454">
        <f>qtrSales!$F$531</f>
        <v>8.2591092017824996E-2</v>
      </c>
      <c r="O162" s="483"/>
      <c r="P162" s="439">
        <f>qtrSales!$W$638</f>
        <v>405.66600000000005</v>
      </c>
      <c r="Q162" s="451">
        <f>(P162/P155-1)*100</f>
        <v>8.5184927585856496</v>
      </c>
      <c r="R162" s="470">
        <f>+P162/$AG162*100</f>
        <v>12.293974568705048</v>
      </c>
      <c r="S162" s="508">
        <f>qtrSales!G652</f>
        <v>0</v>
      </c>
      <c r="T162" s="1454">
        <f>qtrSales!$F$638</f>
        <v>4.6356608638633752</v>
      </c>
      <c r="U162" s="483"/>
      <c r="V162" s="439">
        <f>D162+J162+P162</f>
        <v>3274.8550000000005</v>
      </c>
      <c r="W162" s="439">
        <f>SUM(W158:W161)</f>
        <v>0</v>
      </c>
      <c r="X162" s="483" t="e">
        <f>W162/W155-1</f>
        <v>#DIV/0!</v>
      </c>
      <c r="Z162" s="439">
        <v>3037.9560960808612</v>
      </c>
      <c r="AA162" s="451">
        <v>53.204331341725307</v>
      </c>
      <c r="AB162" s="470">
        <v>0.841991007835587</v>
      </c>
      <c r="AD162" s="439">
        <f>SUM(AD158:AD161)</f>
        <v>1467.8991382921249</v>
      </c>
      <c r="AE162" s="451">
        <f>(AD162/AD155-1)*100</f>
        <v>14.999999999999991</v>
      </c>
      <c r="AG162" s="542">
        <f>SUM(AG158:AG161)</f>
        <v>3299.7139999999999</v>
      </c>
      <c r="AH162" s="543">
        <f>(AG162/AG155-1)*100</f>
        <v>1.3148740055697328</v>
      </c>
      <c r="AI162" s="483"/>
      <c r="AJ162" s="542">
        <f>+SUM(AJ158:AJ161)</f>
        <v>316.29999999999995</v>
      </c>
      <c r="AK162" s="554">
        <f>AJ162/AR162</f>
        <v>8.7472006469001481E-2</v>
      </c>
      <c r="AL162" s="543">
        <f>(AJ162/AJ155-1)*100</f>
        <v>9.4827347492592473</v>
      </c>
      <c r="AM162" s="483"/>
      <c r="AN162" s="542">
        <f>+SUM(AN158:AN161)</f>
        <v>24.858999999999998</v>
      </c>
      <c r="AO162" s="554">
        <f>AN162/AR162</f>
        <v>6.8746968346914579E-3</v>
      </c>
      <c r="AP162" s="543">
        <f>(AN162/AN155-1)*100</f>
        <v>9.6220840499184224</v>
      </c>
      <c r="AQ162" s="483"/>
      <c r="AR162" s="542">
        <f>+SUM(AR158:AR161)</f>
        <v>3616.0140000000001</v>
      </c>
      <c r="AS162" s="543">
        <f>(AR162/AR155-1)*100</f>
        <v>1.9803744944009827</v>
      </c>
      <c r="AU162" s="1778">
        <v>0</v>
      </c>
      <c r="AV162" s="493">
        <f>(D155/V155)*H162+(J155/V155)*N162+(P155/V155)*T162</f>
        <v>-0.12262218263232749</v>
      </c>
      <c r="AW162" s="504">
        <f>V162/$V$155</f>
        <v>1.0125662719183925</v>
      </c>
      <c r="AX162" s="437"/>
      <c r="AY162" s="451"/>
      <c r="AZ162" s="459"/>
      <c r="BA162" s="437"/>
      <c r="BB162" s="451"/>
      <c r="BD162" s="459"/>
      <c r="BF162" s="459"/>
    </row>
    <row r="163" spans="1:60" s="416" customFormat="1">
      <c r="D163" s="483"/>
      <c r="E163" s="451"/>
      <c r="F163" s="1455"/>
      <c r="G163" s="470"/>
      <c r="H163" s="470"/>
      <c r="I163" s="483"/>
      <c r="J163" s="483"/>
      <c r="K163" s="451"/>
      <c r="L163" s="470"/>
      <c r="M163" s="470"/>
      <c r="N163" s="470"/>
      <c r="P163" s="483"/>
      <c r="Q163" s="451"/>
      <c r="R163" s="470"/>
      <c r="S163" s="470"/>
      <c r="T163" s="470"/>
      <c r="W163" s="483"/>
      <c r="X163" s="451"/>
      <c r="Z163" s="517"/>
      <c r="AA163" s="451"/>
      <c r="AB163" s="470"/>
      <c r="AD163" s="458"/>
      <c r="AE163" s="511"/>
      <c r="AG163" s="436"/>
      <c r="AH163" s="452"/>
      <c r="AI163" s="483"/>
      <c r="AJ163" s="484"/>
      <c r="AK163" s="483"/>
      <c r="AL163" s="551"/>
      <c r="AM163" s="483"/>
      <c r="AN163" s="484"/>
      <c r="AO163" s="483"/>
      <c r="AP163" s="551"/>
      <c r="AQ163" s="483"/>
      <c r="AR163" s="436"/>
      <c r="AS163" s="452"/>
      <c r="AX163" s="437"/>
      <c r="AY163" s="451"/>
      <c r="AZ163" s="459"/>
      <c r="BA163" s="437"/>
      <c r="BB163" s="451"/>
      <c r="BD163" s="459"/>
      <c r="BF163" s="459"/>
    </row>
    <row r="164" spans="1:60" s="416" customFormat="1">
      <c r="B164" s="1453">
        <f>qtrSales!$B$179</f>
        <v>2018</v>
      </c>
      <c r="D164" s="439"/>
      <c r="E164" s="451"/>
      <c r="F164" s="470"/>
      <c r="G164" s="508"/>
      <c r="H164" s="461"/>
      <c r="J164" s="439"/>
      <c r="K164" s="451"/>
      <c r="L164" s="470"/>
      <c r="M164" s="508"/>
      <c r="N164" s="470"/>
      <c r="P164" s="439"/>
      <c r="Q164" s="451"/>
      <c r="R164" s="470"/>
      <c r="S164" s="508"/>
      <c r="T164" s="470"/>
      <c r="V164" s="439"/>
      <c r="W164" s="439"/>
      <c r="X164" s="451"/>
      <c r="Z164" s="439"/>
      <c r="AA164" s="451"/>
      <c r="AB164" s="470"/>
      <c r="AD164" s="439"/>
      <c r="AE164" s="451"/>
      <c r="AG164" s="436"/>
      <c r="AH164" s="452"/>
      <c r="AJ164" s="553"/>
      <c r="AK164" s="458"/>
      <c r="AL164" s="452"/>
      <c r="AN164" s="553"/>
      <c r="AO164" s="458"/>
      <c r="AP164" s="452"/>
      <c r="AR164" s="436"/>
      <c r="AS164" s="452"/>
      <c r="AU164" s="470"/>
      <c r="AV164" s="470"/>
      <c r="AW164" s="470"/>
      <c r="AX164" s="442"/>
      <c r="AY164" s="470"/>
      <c r="AZ164" s="459"/>
      <c r="BA164" s="462"/>
      <c r="BB164" s="470"/>
      <c r="BD164" s="462"/>
      <c r="BF164" s="462"/>
    </row>
    <row r="165" spans="1:60" s="416" customFormat="1">
      <c r="A165" s="501" t="s">
        <v>247</v>
      </c>
      <c r="B165" s="501" t="s">
        <v>224</v>
      </c>
      <c r="D165" s="1719">
        <f>qtrSales!W357</f>
        <v>312.52431235537182</v>
      </c>
      <c r="E165" s="499">
        <f>(D165/D158-1)*100</f>
        <v>9.7396694214875836</v>
      </c>
      <c r="F165" s="470">
        <f>+D165/$AG165*100</f>
        <v>41.101973046914111</v>
      </c>
      <c r="G165" s="508">
        <f>qtrSales!G372</f>
        <v>0</v>
      </c>
      <c r="H165" s="1454">
        <v>8.5</v>
      </c>
      <c r="J165" s="1719">
        <f>qtrSales!W534</f>
        <v>339.77683733333328</v>
      </c>
      <c r="K165" s="499">
        <f>(J165/J158-1)*100</f>
        <v>9.2333333333333165</v>
      </c>
      <c r="L165" s="493">
        <f>+J165/$AG165*100</f>
        <v>44.686118352802573</v>
      </c>
      <c r="M165" s="508">
        <f>qtrSales!G548</f>
        <v>0</v>
      </c>
      <c r="N165" s="1454">
        <v>8.5</v>
      </c>
      <c r="P165" s="1719">
        <f>qtrSales!W641</f>
        <v>101.63813505836578</v>
      </c>
      <c r="Q165" s="499">
        <f>(P165/P158-1)*100</f>
        <v>14.626459143968873</v>
      </c>
      <c r="R165" s="493">
        <f>+P165/$AG165*100</f>
        <v>13.367049290415824</v>
      </c>
      <c r="S165" s="508">
        <f>qtrSales!G655</f>
        <v>0</v>
      </c>
      <c r="T165" s="1454">
        <v>12</v>
      </c>
      <c r="V165" s="439">
        <f>D165+J165+P165</f>
        <v>753.93928474707081</v>
      </c>
      <c r="W165" s="439">
        <f>W158*(1+X165)</f>
        <v>0</v>
      </c>
      <c r="X165" s="523">
        <v>-0.3</v>
      </c>
      <c r="Z165" s="444">
        <v>627.72444579423836</v>
      </c>
      <c r="AA165" s="499">
        <v>49.231511607186796</v>
      </c>
      <c r="AB165" s="470">
        <v>0.76</v>
      </c>
      <c r="AD165" s="439">
        <f>AD158*(1+AE165/100)</f>
        <v>308.66769425497495</v>
      </c>
      <c r="AE165" s="511">
        <v>15</v>
      </c>
      <c r="AG165" s="436">
        <f>D165+J165+P165+AN165</f>
        <v>760.36328474707079</v>
      </c>
      <c r="AH165" s="503">
        <f>(AG165/AG158-1)*100</f>
        <v>10.141389428446757</v>
      </c>
      <c r="AJ165" s="1723">
        <f t="shared" ref="AJ165:AJ166" si="1">(AJ158*(1+AL165/100))</f>
        <v>77.921800000000005</v>
      </c>
      <c r="AK165" s="466">
        <f>AJ165/AR165</f>
        <v>9.2953818954694567E-2</v>
      </c>
      <c r="AL165" s="1637">
        <v>10</v>
      </c>
      <c r="AN165" s="1723">
        <f t="shared" ref="AN165:AN166" si="2">(AN158*(1+AP165/100))</f>
        <v>6.4240000000000004</v>
      </c>
      <c r="AO165" s="466">
        <f>AN165/AR165</f>
        <v>7.6632641053589355E-3</v>
      </c>
      <c r="AP165" s="1637">
        <v>10</v>
      </c>
      <c r="AR165" s="1636">
        <f>+AG165+AJ165</f>
        <v>838.28508474707075</v>
      </c>
      <c r="AS165" s="503">
        <f>(AR165/AR158-1)*100</f>
        <v>10.128231420154087</v>
      </c>
      <c r="AU165" s="470">
        <f t="shared" ref="AU165:AU166" si="3">AV165</f>
        <v>8.953376273900238</v>
      </c>
      <c r="AV165" s="493">
        <f>(D158/V158)*H165+(J158/V158)*N165+(P158/V158)*T165</f>
        <v>8.953376273900238</v>
      </c>
      <c r="AW165" s="504">
        <f>V165/$V$155</f>
        <v>0.23311367703582628</v>
      </c>
      <c r="AX165" s="442"/>
      <c r="AY165" s="470"/>
      <c r="AZ165" s="459"/>
      <c r="BA165" s="462"/>
      <c r="BB165" s="470"/>
      <c r="BD165" s="462"/>
      <c r="BF165" s="462"/>
      <c r="BH165" s="439"/>
    </row>
    <row r="166" spans="1:60" s="416" customFormat="1">
      <c r="A166" s="416" t="s">
        <v>248</v>
      </c>
      <c r="B166" s="416" t="s">
        <v>225</v>
      </c>
      <c r="D166" s="1720">
        <f>qtrSales!W358</f>
        <v>339.99263735537187</v>
      </c>
      <c r="E166" s="451">
        <f>(D166/D159-1)*100</f>
        <v>4.9917355371900785</v>
      </c>
      <c r="F166" s="470">
        <f>+D166/$AG166*100</f>
        <v>40.725046482115985</v>
      </c>
      <c r="G166" s="508">
        <f>qtrSales!G373</f>
        <v>0</v>
      </c>
      <c r="H166" s="1454">
        <v>4</v>
      </c>
      <c r="J166" s="1720">
        <f>qtrSales!W535</f>
        <v>380.9741711111111</v>
      </c>
      <c r="K166" s="451">
        <f>(J166/J159-1)*100</f>
        <v>5.1111111111111107</v>
      </c>
      <c r="L166" s="470">
        <f>+J166/$AG166*100</f>
        <v>45.633902391740918</v>
      </c>
      <c r="M166" s="508">
        <f>qtrSales!G549</f>
        <v>0</v>
      </c>
      <c r="N166" s="1454">
        <v>4</v>
      </c>
      <c r="P166" s="1720">
        <f>qtrSales!W642</f>
        <v>106.81357692307694</v>
      </c>
      <c r="Q166" s="451">
        <f>(P166/P159-1)*100</f>
        <v>9.0769230769230713</v>
      </c>
      <c r="R166" s="470">
        <f>+P166/$AG166*100</f>
        <v>12.794359074801445</v>
      </c>
      <c r="S166" s="508">
        <f>qtrSales!G656</f>
        <v>0</v>
      </c>
      <c r="T166" s="1454">
        <v>6</v>
      </c>
      <c r="V166" s="444">
        <f>D166+J166+P166</f>
        <v>827.7803853895598</v>
      </c>
      <c r="W166" s="444">
        <f>W159*(1+X166)</f>
        <v>0</v>
      </c>
      <c r="X166" s="523">
        <v>-0.3</v>
      </c>
      <c r="Z166" s="444">
        <v>736.66938800758692</v>
      </c>
      <c r="AA166" s="451">
        <v>46.945354085315813</v>
      </c>
      <c r="AB166" s="470">
        <v>0.76</v>
      </c>
      <c r="AD166" s="477">
        <f>AD159*(1+AE166/100)</f>
        <v>357.66804399665625</v>
      </c>
      <c r="AE166" s="511">
        <v>15</v>
      </c>
      <c r="AG166" s="441">
        <f>D166+J166+P166+AN166</f>
        <v>834.84898538955974</v>
      </c>
      <c r="AH166" s="452">
        <f>(AG166/AG159-1)*100</f>
        <v>5.5931468895055181</v>
      </c>
      <c r="AJ166" s="1724">
        <f t="shared" si="1"/>
        <v>90.533300000000011</v>
      </c>
      <c r="AK166" s="466">
        <f>AJ166/AR166</f>
        <v>9.7833405101209664E-2</v>
      </c>
      <c r="AL166" s="1637">
        <v>10</v>
      </c>
      <c r="AN166" s="1724">
        <f t="shared" si="2"/>
        <v>7.0686000000000009</v>
      </c>
      <c r="AO166" s="466">
        <f>AN166/AR166</f>
        <v>7.638572848867882E-3</v>
      </c>
      <c r="AP166" s="1637">
        <v>10</v>
      </c>
      <c r="AR166" s="441">
        <f>+AG166+AJ166</f>
        <v>925.3822853895598</v>
      </c>
      <c r="AS166" s="452">
        <f>(AR166/AR159-1)*100</f>
        <v>6.0086404755427036</v>
      </c>
      <c r="AU166" s="470">
        <f t="shared" si="3"/>
        <v>4.2497443260792505</v>
      </c>
      <c r="AV166" s="493">
        <f>(D159/V159)*H166+(J159/V159)*N166+(P159/V159)*T166</f>
        <v>4.2497443260792505</v>
      </c>
      <c r="AW166" s="504">
        <f>V166/$V$155</f>
        <v>0.25594491933263508</v>
      </c>
      <c r="AX166" s="442"/>
      <c r="AY166" s="470"/>
      <c r="AZ166" s="459"/>
      <c r="BA166" s="462"/>
      <c r="BB166" s="470"/>
      <c r="BD166" s="462"/>
      <c r="BF166" s="462"/>
    </row>
    <row r="167" spans="1:60" s="416" customFormat="1">
      <c r="A167" s="416" t="s">
        <v>249</v>
      </c>
      <c r="B167" s="416" t="s">
        <v>226</v>
      </c>
      <c r="D167" s="444">
        <f>qtrSales!W359</f>
        <v>357.51427515400405</v>
      </c>
      <c r="E167" s="451">
        <f>(D167/D160-1)*100</f>
        <v>1.0266940451745254</v>
      </c>
      <c r="F167" s="470">
        <f>+D167/$AG167*100</f>
        <v>43.585865451398597</v>
      </c>
      <c r="G167" s="508">
        <f>qtrSales!G374</f>
        <v>0</v>
      </c>
      <c r="H167" s="1454">
        <v>0</v>
      </c>
      <c r="J167" s="1720">
        <f>qtrSales!W536</f>
        <v>355.62416814159292</v>
      </c>
      <c r="K167" s="451">
        <f>(J167/J160-1)*100</f>
        <v>1.0066371681415998</v>
      </c>
      <c r="L167" s="470">
        <f>+J167/$AG167*100</f>
        <v>43.355435631788708</v>
      </c>
      <c r="M167" s="508">
        <f>qtrSales!G550</f>
        <v>45</v>
      </c>
      <c r="N167" s="1454">
        <v>0</v>
      </c>
      <c r="P167" s="1720">
        <f>qtrSales!W643</f>
        <v>100.24924152671757</v>
      </c>
      <c r="Q167" s="451">
        <f>(P167/P160-1)*100</f>
        <v>4.0534351145038228</v>
      </c>
      <c r="R167" s="470">
        <f>+P167/$AG167*100</f>
        <v>12.221749609595516</v>
      </c>
      <c r="S167" s="508">
        <f>qtrSales!G657</f>
        <v>0</v>
      </c>
      <c r="T167" s="1454">
        <v>1</v>
      </c>
      <c r="V167" s="444">
        <f>D167+J167+P167</f>
        <v>813.38768482231455</v>
      </c>
      <c r="W167" s="444">
        <f>W160*(1+X167)</f>
        <v>0</v>
      </c>
      <c r="X167" s="523">
        <v>-0.15</v>
      </c>
      <c r="Z167" s="444">
        <v>747.63853667193291</v>
      </c>
      <c r="AA167" s="451">
        <v>54.654184233353796</v>
      </c>
      <c r="AB167" s="470">
        <v>0.76</v>
      </c>
      <c r="AD167" s="477">
        <f>AD160*(1+AE167/100)</f>
        <v>420.13624207912494</v>
      </c>
      <c r="AE167" s="511">
        <v>15</v>
      </c>
      <c r="AG167" s="441">
        <f>D167+J167+P167+AN167</f>
        <v>820.25278482231454</v>
      </c>
      <c r="AH167" s="452">
        <f>(AG167/AG160-1)*100</f>
        <v>1.4478811128018076</v>
      </c>
      <c r="AJ167" s="548">
        <f>(AJ160*(1+AL167/100))</f>
        <v>92.650800000000004</v>
      </c>
      <c r="AK167" s="466">
        <f>AJ167/AR167</f>
        <v>0.10149023570548618</v>
      </c>
      <c r="AL167" s="1637">
        <v>10</v>
      </c>
      <c r="AN167" s="548">
        <f>(AN160*(1+AP167/100))</f>
        <v>6.8651</v>
      </c>
      <c r="AO167" s="466">
        <f>AN167/AR167</f>
        <v>7.520071247541664E-3</v>
      </c>
      <c r="AP167" s="1637">
        <v>10</v>
      </c>
      <c r="AR167" s="1451">
        <f>+AG167+AJ167</f>
        <v>912.90358482231454</v>
      </c>
      <c r="AS167" s="452">
        <f>(AR167/AR160-1)*100</f>
        <v>2.2547234599478161</v>
      </c>
      <c r="AU167" s="470">
        <f>AV167</f>
        <v>0.12008400795208805</v>
      </c>
      <c r="AV167" s="493">
        <f>(D160/V160)*H167+(J160/V160)*N167+(P160/V160)*T167</f>
        <v>0.12008400795208805</v>
      </c>
      <c r="AW167" s="504">
        <f>V167/$V$155</f>
        <v>0.2514947793550748</v>
      </c>
      <c r="AX167" s="442"/>
      <c r="AY167" s="470"/>
      <c r="AZ167" s="459"/>
      <c r="BA167" s="462"/>
      <c r="BB167" s="470"/>
      <c r="BD167" s="462"/>
      <c r="BF167" s="462"/>
    </row>
    <row r="168" spans="1:60" s="416" customFormat="1">
      <c r="A168" s="416" t="s">
        <v>250</v>
      </c>
      <c r="B168" s="416" t="s">
        <v>227</v>
      </c>
      <c r="D168" s="488">
        <f>qtrSales!W360</f>
        <v>437.46623673469389</v>
      </c>
      <c r="E168" s="451">
        <f>(D168/D161-1)*100</f>
        <v>0.81632653061225469</v>
      </c>
      <c r="F168" s="470">
        <f>+D168/$AG168*100</f>
        <v>42.995408958340796</v>
      </c>
      <c r="G168" s="508">
        <f>qtrSales!G375</f>
        <v>0</v>
      </c>
      <c r="H168" s="1618">
        <v>0</v>
      </c>
      <c r="J168" s="488">
        <f>qtrSales!W537</f>
        <v>447.20374322295811</v>
      </c>
      <c r="K168" s="451">
        <f>(J168/J161-1)*100</f>
        <v>4.4150110375396068E-3</v>
      </c>
      <c r="L168" s="470">
        <f>+J168/$AG168*100</f>
        <v>43.952438412367719</v>
      </c>
      <c r="M168" s="508">
        <f>qtrSales!G551</f>
        <v>36</v>
      </c>
      <c r="N168" s="1618">
        <v>-1</v>
      </c>
      <c r="P168" s="1721">
        <f>qtrSales!W644</f>
        <v>125.81479515151514</v>
      </c>
      <c r="Q168" s="451">
        <f>(P168/P161-1)*100</f>
        <v>2.5151515151515147</v>
      </c>
      <c r="R168" s="470">
        <f>+P168/$AG168*100</f>
        <v>12.365431012290648</v>
      </c>
      <c r="S168" s="508">
        <f>qtrSales!G658</f>
        <v>0</v>
      </c>
      <c r="T168" s="1618">
        <v>1</v>
      </c>
      <c r="V168" s="444">
        <f>D168+J168+P168</f>
        <v>1010.4847751091671</v>
      </c>
      <c r="W168" s="444">
        <f>W161*(1+X168)</f>
        <v>0</v>
      </c>
      <c r="X168" s="523">
        <v>-0.1</v>
      </c>
      <c r="Z168" s="444">
        <v>925.92372560710305</v>
      </c>
      <c r="AA168" s="451">
        <v>60.317011556779242</v>
      </c>
      <c r="AB168" s="470">
        <v>1.0539999999999998</v>
      </c>
      <c r="AD168" s="477">
        <f>AD161*(1+AE168/100)</f>
        <v>601.6120287051873</v>
      </c>
      <c r="AE168" s="511">
        <v>15</v>
      </c>
      <c r="AG168" s="441">
        <f>D168+J168+P168+AN168</f>
        <v>1017.4719751091671</v>
      </c>
      <c r="AH168" s="452">
        <f>(AG168/AG161-1)*100</f>
        <v>0.7210514388576561</v>
      </c>
      <c r="AJ168" s="548">
        <f>(AJ161*(1+AL168/100))</f>
        <v>86.824100000000001</v>
      </c>
      <c r="AK168" s="466">
        <f>AJ168/AR168</f>
        <v>7.8623932437156277E-2</v>
      </c>
      <c r="AL168" s="1637">
        <v>10</v>
      </c>
      <c r="AN168" s="548">
        <f>(AN161*(1+AP168/100))</f>
        <v>6.9872000000000005</v>
      </c>
      <c r="AO168" s="466">
        <f>AN168/AR168</f>
        <v>6.3272886298262618E-3</v>
      </c>
      <c r="AP168" s="1637">
        <v>10</v>
      </c>
      <c r="AR168" s="441">
        <f>+AG168+AJ168</f>
        <v>1104.2960751091671</v>
      </c>
      <c r="AS168" s="452">
        <f>(AR168/AR161-1)*100</f>
        <v>1.393518532792748</v>
      </c>
      <c r="AU168" s="470">
        <f>AV168</f>
        <v>-0.32321614287592798</v>
      </c>
      <c r="AV168" s="493">
        <f>(D161/V161)*H168+(J161/V161)*N168+(P161/V161)*T168</f>
        <v>-0.32321614287592798</v>
      </c>
      <c r="AW168" s="504">
        <f>V168/$V$155</f>
        <v>0.31243606253180206</v>
      </c>
      <c r="AX168" s="442"/>
      <c r="AY168" s="470"/>
      <c r="AZ168" s="459"/>
      <c r="BA168" s="462"/>
      <c r="BB168" s="470"/>
      <c r="BD168" s="462"/>
      <c r="BF168" s="462"/>
    </row>
    <row r="169" spans="1:60" s="416" customFormat="1">
      <c r="B169" s="416" t="s">
        <v>251</v>
      </c>
      <c r="D169" s="439">
        <f>qtrSales!W361</f>
        <v>1447.4974615994415</v>
      </c>
      <c r="E169" s="451">
        <f>(D169/D162-1)*100</f>
        <v>3.6577434868765524</v>
      </c>
      <c r="F169" s="470">
        <f>+D169/$AG169*100</f>
        <v>42.164987266624053</v>
      </c>
      <c r="G169" s="508">
        <f>qtrSales!G376</f>
        <v>0</v>
      </c>
      <c r="H169" s="1454">
        <f>qtrSales!$F$361</f>
        <v>2.7747386859000884</v>
      </c>
      <c r="I169" s="483"/>
      <c r="J169" s="439">
        <f>qtrSales!$W$538</f>
        <v>1523.5789198089954</v>
      </c>
      <c r="K169" s="451">
        <f>(J169/J162-1)*100</f>
        <v>3.4499585345016959</v>
      </c>
      <c r="L169" s="470">
        <f>+J169/$AG169*100</f>
        <v>44.381207883057684</v>
      </c>
      <c r="M169" s="508">
        <f>qtrSales!G552</f>
        <v>21</v>
      </c>
      <c r="N169" s="1454">
        <f>qtrSales!$F$538</f>
        <v>2.6022912282429509</v>
      </c>
      <c r="O169" s="483"/>
      <c r="P169" s="439">
        <f>qtrSales!$W$645</f>
        <v>434.51574865967541</v>
      </c>
      <c r="Q169" s="451">
        <f>(P169/P162-1)*100</f>
        <v>7.1116999353348254</v>
      </c>
      <c r="R169" s="470">
        <f>+P169/$AG169*100</f>
        <v>12.657259508516363</v>
      </c>
      <c r="S169" s="508">
        <f>qtrSales!G659</f>
        <v>0</v>
      </c>
      <c r="T169" s="1454">
        <f>qtrSales!$F$645</f>
        <v>4.8021346184885187</v>
      </c>
      <c r="U169" s="483"/>
      <c r="V169" s="439">
        <f>D169+J169+P169</f>
        <v>3405.5921300681121</v>
      </c>
      <c r="W169" s="439">
        <f>SUM(W165:W168)</f>
        <v>0</v>
      </c>
      <c r="X169" s="483" t="e">
        <f>W169/W162-1</f>
        <v>#DIV/0!</v>
      </c>
      <c r="Z169" s="439">
        <v>3037.9560960808612</v>
      </c>
      <c r="AA169" s="451">
        <v>53.204331341725307</v>
      </c>
      <c r="AB169" s="470">
        <v>0.841991007835587</v>
      </c>
      <c r="AD169" s="439">
        <f>SUM(AD165:AD168)</f>
        <v>1688.0840090359434</v>
      </c>
      <c r="AE169" s="451">
        <f>(AD169/AD162-1)*100</f>
        <v>14.999999999999991</v>
      </c>
      <c r="AG169" s="542">
        <f>SUM(AG165:AG168)</f>
        <v>3432.9370300681121</v>
      </c>
      <c r="AH169" s="543">
        <f>(AG169/AG162-1)*100</f>
        <v>4.0374114262057947</v>
      </c>
      <c r="AI169" s="483"/>
      <c r="AJ169" s="542">
        <f>+SUM(AJ165:AJ168)</f>
        <v>347.93</v>
      </c>
      <c r="AK169" s="554">
        <f>AJ169/AR169</f>
        <v>9.2023865751695591E-2</v>
      </c>
      <c r="AL169" s="543">
        <f>(AJ169/AJ162-1)*100</f>
        <v>10.000000000000009</v>
      </c>
      <c r="AM169" s="483"/>
      <c r="AN169" s="542">
        <f>+SUM(AN165:AN168)</f>
        <v>27.344900000000003</v>
      </c>
      <c r="AO169" s="554">
        <f>AN169/AR169</f>
        <v>7.2324416020278243E-3</v>
      </c>
      <c r="AP169" s="543">
        <f>(AN169/AN162-1)*100</f>
        <v>10.000000000000009</v>
      </c>
      <c r="AQ169" s="483"/>
      <c r="AR169" s="542">
        <f>+SUM(AR165:AR168)</f>
        <v>3780.8670300681124</v>
      </c>
      <c r="AS169" s="543">
        <f>(AR169/AR162-1)*100</f>
        <v>4.5589710125047089</v>
      </c>
      <c r="AU169" s="470">
        <f>AV169</f>
        <v>2.948325097702496</v>
      </c>
      <c r="AV169" s="493">
        <f>(D162/V162)*H169+(J162/V162)*N169+(P162/V162)*T169</f>
        <v>2.948325097702496</v>
      </c>
      <c r="AW169" s="504">
        <f>V169/$V$155</f>
        <v>1.0529894382553382</v>
      </c>
      <c r="AX169" s="437"/>
      <c r="AY169" s="451"/>
      <c r="AZ169" s="459"/>
      <c r="BA169" s="437"/>
      <c r="BB169" s="451"/>
      <c r="BD169" s="459"/>
      <c r="BF169" s="459"/>
    </row>
    <row r="170" spans="1:60">
      <c r="D170" s="439"/>
      <c r="E170" s="453"/>
      <c r="F170" s="522"/>
      <c r="G170" s="455"/>
      <c r="H170" s="455"/>
      <c r="I170" s="482"/>
      <c r="J170" s="439"/>
      <c r="K170" s="453"/>
      <c r="L170" s="455"/>
      <c r="M170" s="455"/>
      <c r="N170" s="455"/>
      <c r="P170" s="490"/>
      <c r="Q170" s="453"/>
      <c r="R170" s="455"/>
      <c r="S170" s="455"/>
      <c r="T170" s="455"/>
      <c r="W170" s="483"/>
      <c r="X170" s="451"/>
      <c r="Y170" s="416"/>
      <c r="Z170" s="517"/>
      <c r="AA170" s="451"/>
      <c r="AB170" s="470"/>
      <c r="AC170" s="416"/>
      <c r="AD170" s="458"/>
      <c r="AE170" s="511"/>
      <c r="AF170" s="416"/>
      <c r="AG170" s="439"/>
      <c r="AH170" s="451"/>
      <c r="AI170" s="483"/>
      <c r="AJ170" s="1234"/>
      <c r="AK170" s="483"/>
      <c r="AL170" s="511"/>
      <c r="AM170" s="483"/>
      <c r="AN170" s="1234"/>
      <c r="AO170" s="483"/>
      <c r="AP170" s="511"/>
      <c r="AQ170" s="483"/>
      <c r="AR170" s="439"/>
      <c r="AS170" s="451"/>
      <c r="AV170" s="416"/>
      <c r="AX170" s="437"/>
      <c r="AY170" s="453"/>
      <c r="AZ170" s="454"/>
      <c r="BA170" s="435"/>
      <c r="BB170" s="453"/>
      <c r="BD170" s="454"/>
      <c r="BF170" s="454"/>
    </row>
    <row r="171" spans="1:60">
      <c r="D171" s="439"/>
      <c r="E171" s="1775">
        <v>2017</v>
      </c>
      <c r="F171" s="1754" t="s">
        <v>247</v>
      </c>
      <c r="G171" s="1755"/>
      <c r="H171" s="1756">
        <f>H158+H151</f>
        <v>-1.1000000000000001</v>
      </c>
      <c r="I171" s="1757"/>
      <c r="J171" s="1757"/>
      <c r="K171" s="1775">
        <v>2017</v>
      </c>
      <c r="L171" s="1754" t="s">
        <v>247</v>
      </c>
      <c r="M171" s="1755"/>
      <c r="N171" s="1756">
        <f>N158+N151</f>
        <v>-4.4000000000000004</v>
      </c>
      <c r="O171" s="652"/>
      <c r="P171" s="1757"/>
      <c r="Q171" s="1775">
        <v>2017</v>
      </c>
      <c r="R171" s="1754" t="s">
        <v>247</v>
      </c>
      <c r="S171" s="1755"/>
      <c r="T171" s="1756">
        <f>T158+T151</f>
        <v>-0.5</v>
      </c>
      <c r="W171" s="483"/>
      <c r="X171" s="451"/>
      <c r="Y171" s="416"/>
      <c r="Z171" s="517"/>
      <c r="AA171" s="451"/>
      <c r="AB171" s="470"/>
      <c r="AC171" s="416"/>
      <c r="AD171" s="458"/>
      <c r="AE171" s="511"/>
      <c r="AF171" s="416"/>
      <c r="AG171" s="439"/>
      <c r="AH171" s="451"/>
      <c r="AI171" s="483"/>
      <c r="AJ171" s="1234"/>
      <c r="AK171" s="483"/>
      <c r="AL171" s="511"/>
      <c r="AM171" s="483"/>
      <c r="AN171" s="1234"/>
      <c r="AO171" s="483"/>
      <c r="AP171" s="511"/>
      <c r="AQ171" s="483"/>
      <c r="AR171" s="1260"/>
      <c r="AS171" s="451"/>
      <c r="AV171" s="416"/>
      <c r="AX171" s="437"/>
      <c r="AY171" s="453"/>
      <c r="AZ171" s="454"/>
      <c r="BA171" s="435"/>
      <c r="BB171" s="453"/>
      <c r="BD171" s="454"/>
      <c r="BF171" s="454"/>
    </row>
    <row r="172" spans="1:60">
      <c r="A172" s="410" t="s">
        <v>689</v>
      </c>
      <c r="D172" s="482"/>
      <c r="E172" s="453"/>
      <c r="F172" s="1754" t="s">
        <v>248</v>
      </c>
      <c r="G172" s="1755"/>
      <c r="H172" s="1756">
        <f>H159+H152</f>
        <v>-2.9000000000000004</v>
      </c>
      <c r="I172" s="1757"/>
      <c r="J172" s="1757"/>
      <c r="K172" s="1758"/>
      <c r="L172" s="1754" t="s">
        <v>248</v>
      </c>
      <c r="M172" s="1755"/>
      <c r="N172" s="1756">
        <f>N159+N152</f>
        <v>-7</v>
      </c>
      <c r="O172" s="652"/>
      <c r="P172" s="1757"/>
      <c r="Q172" s="1758"/>
      <c r="R172" s="1754" t="s">
        <v>248</v>
      </c>
      <c r="S172" s="1755"/>
      <c r="T172" s="1756">
        <f>T159+T152</f>
        <v>2.9</v>
      </c>
      <c r="W172" s="483"/>
      <c r="X172" s="451"/>
      <c r="Y172" s="416"/>
      <c r="Z172" s="517"/>
      <c r="AA172" s="451"/>
      <c r="AB172" s="470"/>
      <c r="AC172" s="416"/>
      <c r="AD172" s="458"/>
      <c r="AE172" s="511"/>
      <c r="AF172" s="416"/>
      <c r="AG172" s="439"/>
      <c r="AH172" s="451"/>
      <c r="AI172" s="483"/>
      <c r="AJ172" s="483"/>
      <c r="AK172" s="483"/>
      <c r="AL172" s="511"/>
      <c r="AM172" s="483"/>
      <c r="AN172" s="483"/>
      <c r="AO172" s="483"/>
      <c r="AP172" s="511"/>
      <c r="AQ172" s="483"/>
      <c r="AR172" s="439"/>
      <c r="AS172" s="451"/>
      <c r="AU172" s="455"/>
      <c r="AV172" s="416"/>
      <c r="AX172" s="437"/>
      <c r="AY172" s="453"/>
      <c r="AZ172" s="454"/>
      <c r="BA172" s="435"/>
      <c r="BB172" s="453"/>
      <c r="BD172" s="454"/>
      <c r="BF172" s="454"/>
    </row>
    <row r="173" spans="1:60">
      <c r="D173" s="482"/>
      <c r="E173" s="453"/>
      <c r="F173" s="1754" t="s">
        <v>249</v>
      </c>
      <c r="G173" s="455"/>
      <c r="H173" s="1756">
        <f>H160+H153</f>
        <v>6.2</v>
      </c>
      <c r="I173" s="482"/>
      <c r="J173" s="482"/>
      <c r="K173" s="453"/>
      <c r="L173" s="1754" t="s">
        <v>249</v>
      </c>
      <c r="M173" s="455"/>
      <c r="N173" s="1756">
        <f>N160+N153</f>
        <v>-0.70000000000000018</v>
      </c>
      <c r="P173" s="482"/>
      <c r="Q173" s="453"/>
      <c r="R173" s="1754" t="s">
        <v>249</v>
      </c>
      <c r="S173" s="455"/>
      <c r="T173" s="1756">
        <f>T160+T153</f>
        <v>3.5</v>
      </c>
      <c r="W173" s="483"/>
      <c r="X173" s="451"/>
      <c r="Y173" s="416"/>
      <c r="Z173" s="517"/>
      <c r="AA173" s="451"/>
      <c r="AB173" s="470"/>
      <c r="AC173" s="416"/>
      <c r="AD173" s="458"/>
      <c r="AE173" s="511"/>
      <c r="AF173" s="416"/>
      <c r="AG173" s="439"/>
      <c r="AH173" s="451"/>
      <c r="AI173" s="483"/>
      <c r="AJ173" s="1261"/>
      <c r="AK173" s="483"/>
      <c r="AL173" s="511"/>
      <c r="AM173" s="483"/>
      <c r="AN173" s="1261"/>
      <c r="AO173" s="483"/>
      <c r="AP173" s="511"/>
      <c r="AQ173" s="483"/>
      <c r="AR173" s="439"/>
      <c r="AS173" s="451"/>
      <c r="AU173" s="455"/>
      <c r="AV173" s="416"/>
      <c r="AX173" s="437"/>
      <c r="AY173" s="453"/>
      <c r="AZ173" s="454"/>
      <c r="BA173" s="435"/>
      <c r="BB173" s="453"/>
      <c r="BD173" s="454"/>
      <c r="BF173" s="454"/>
    </row>
    <row r="174" spans="1:60" ht="12" customHeight="1">
      <c r="D174" s="482"/>
      <c r="E174" s="453"/>
      <c r="F174" s="1754" t="s">
        <v>250</v>
      </c>
      <c r="G174" s="455"/>
      <c r="H174" s="1756">
        <f>H161+H154</f>
        <v>4</v>
      </c>
      <c r="I174" s="482"/>
      <c r="J174" s="482"/>
      <c r="K174" s="453"/>
      <c r="L174" s="1754" t="s">
        <v>250</v>
      </c>
      <c r="M174" s="455"/>
      <c r="N174" s="1756">
        <f>N161+N154</f>
        <v>2.1</v>
      </c>
      <c r="P174" s="482"/>
      <c r="Q174" s="453"/>
      <c r="R174" s="1754" t="s">
        <v>250</v>
      </c>
      <c r="S174" s="455"/>
      <c r="T174" s="1756">
        <f>T161+T154</f>
        <v>9.1999999999999993</v>
      </c>
      <c r="W174" s="483"/>
      <c r="X174" s="451"/>
      <c r="Y174" s="416"/>
      <c r="Z174" s="517"/>
      <c r="AA174" s="451"/>
      <c r="AB174" s="470"/>
      <c r="AC174" s="416"/>
      <c r="AD174" s="458"/>
      <c r="AE174" s="511"/>
      <c r="AF174" s="416"/>
      <c r="AG174" s="439"/>
      <c r="AH174" s="451"/>
      <c r="AI174" s="483"/>
      <c r="AJ174" s="483"/>
      <c r="AK174" s="483"/>
      <c r="AL174" s="511"/>
      <c r="AM174" s="483"/>
      <c r="AN174" s="483"/>
      <c r="AO174" s="483"/>
      <c r="AP174" s="511"/>
      <c r="AQ174" s="483"/>
      <c r="AR174" s="439"/>
      <c r="AS174" s="451"/>
      <c r="AU174" s="455"/>
      <c r="AV174" s="416"/>
      <c r="AX174" s="437"/>
      <c r="AY174" s="453"/>
      <c r="AZ174" s="454"/>
      <c r="BA174" s="435"/>
      <c r="BB174" s="453"/>
      <c r="BD174" s="454"/>
      <c r="BF174" s="454"/>
    </row>
    <row r="175" spans="1:60" ht="12" customHeight="1">
      <c r="D175" s="482"/>
      <c r="E175" s="453"/>
      <c r="F175" s="522" t="s">
        <v>251</v>
      </c>
      <c r="G175" s="455"/>
      <c r="H175" s="1714">
        <f>H162+H155</f>
        <v>1.9489349623206804</v>
      </c>
      <c r="I175" s="482"/>
      <c r="J175" s="482"/>
      <c r="K175" s="453"/>
      <c r="L175" s="522" t="s">
        <v>251</v>
      </c>
      <c r="M175" s="455"/>
      <c r="N175" s="1714">
        <f>N162+N155</f>
        <v>-2.1654790894896525</v>
      </c>
      <c r="P175" s="482"/>
      <c r="Q175" s="453"/>
      <c r="R175" s="522" t="s">
        <v>251</v>
      </c>
      <c r="S175" s="455"/>
      <c r="T175" s="1714">
        <f>T162+T155</f>
        <v>4.1950404616398576</v>
      </c>
      <c r="W175" s="483"/>
      <c r="X175" s="451"/>
      <c r="Y175" s="416"/>
      <c r="Z175" s="517"/>
      <c r="AA175" s="451"/>
      <c r="AB175" s="470"/>
      <c r="AC175" s="416"/>
      <c r="AD175" s="458"/>
      <c r="AE175" s="511"/>
      <c r="AF175" s="416"/>
      <c r="AG175" s="439"/>
      <c r="AH175" s="451"/>
      <c r="AI175" s="483"/>
      <c r="AJ175" s="483"/>
      <c r="AK175" s="483"/>
      <c r="AL175" s="511"/>
      <c r="AM175" s="483"/>
      <c r="AN175" s="483"/>
      <c r="AO175" s="483"/>
      <c r="AP175" s="511"/>
      <c r="AQ175" s="483"/>
      <c r="AR175" s="439"/>
      <c r="AS175" s="451"/>
      <c r="AU175" s="455"/>
      <c r="AV175" s="416"/>
      <c r="AX175" s="437"/>
      <c r="AY175" s="453"/>
      <c r="AZ175" s="454"/>
      <c r="BA175" s="435"/>
      <c r="BB175" s="453"/>
      <c r="BD175" s="454"/>
      <c r="BF175" s="454"/>
    </row>
    <row r="176" spans="1:60" ht="12" customHeight="1">
      <c r="D176" s="482"/>
      <c r="E176" s="1766"/>
      <c r="F176" s="1767" t="s">
        <v>671</v>
      </c>
      <c r="G176" s="1770"/>
      <c r="H176" s="1770"/>
      <c r="I176" s="1771"/>
      <c r="J176" s="1771"/>
      <c r="K176" s="1772"/>
      <c r="L176" s="1773" t="s">
        <v>494</v>
      </c>
      <c r="M176" s="1770"/>
      <c r="N176" s="1770"/>
      <c r="O176" s="1774"/>
      <c r="P176" s="1771"/>
      <c r="Q176" s="1772"/>
      <c r="R176" s="1773" t="s">
        <v>63</v>
      </c>
      <c r="S176" s="1768"/>
      <c r="T176" s="1768"/>
      <c r="U176" s="1769"/>
      <c r="W176" s="483"/>
      <c r="X176" s="451"/>
      <c r="Y176" s="416"/>
      <c r="Z176" s="517"/>
      <c r="AA176" s="451"/>
      <c r="AB176" s="470"/>
      <c r="AC176" s="416"/>
      <c r="AD176" s="458"/>
      <c r="AE176" s="511"/>
      <c r="AF176" s="416"/>
      <c r="AG176" s="439"/>
      <c r="AH176" s="451"/>
      <c r="AI176" s="483"/>
      <c r="AJ176" s="483"/>
      <c r="AK176" s="483"/>
      <c r="AL176" s="511"/>
      <c r="AM176" s="483"/>
      <c r="AN176" s="483"/>
      <c r="AO176" s="483"/>
      <c r="AP176" s="511"/>
      <c r="AQ176" s="483"/>
      <c r="AR176" s="439"/>
      <c r="AS176" s="451"/>
      <c r="AU176" s="455"/>
      <c r="AV176" s="416"/>
      <c r="AX176" s="437"/>
      <c r="AY176" s="453"/>
      <c r="AZ176" s="454"/>
      <c r="BA176" s="435"/>
      <c r="BB176" s="453"/>
      <c r="BD176" s="454"/>
      <c r="BF176" s="454"/>
    </row>
    <row r="177" spans="4:58" ht="12" customHeight="1">
      <c r="D177" s="482"/>
      <c r="E177" s="453"/>
      <c r="F177" s="522"/>
      <c r="G177" s="455"/>
      <c r="H177" s="1714"/>
      <c r="I177" s="482"/>
      <c r="J177" s="482"/>
      <c r="K177" s="453"/>
      <c r="L177" s="455"/>
      <c r="M177" s="455"/>
      <c r="N177" s="455"/>
      <c r="P177" s="482"/>
      <c r="Q177" s="453"/>
      <c r="R177" s="455"/>
      <c r="S177" s="455"/>
      <c r="T177" s="455"/>
      <c r="W177" s="483"/>
      <c r="X177" s="451"/>
      <c r="Y177" s="416"/>
      <c r="Z177" s="517"/>
      <c r="AA177" s="451"/>
      <c r="AB177" s="470"/>
      <c r="AC177" s="416"/>
      <c r="AD177" s="458"/>
      <c r="AE177" s="511"/>
      <c r="AF177" s="416"/>
      <c r="AG177" s="439"/>
      <c r="AH177" s="451"/>
      <c r="AI177" s="483"/>
      <c r="AJ177" s="483"/>
      <c r="AK177" s="483"/>
      <c r="AL177" s="511"/>
      <c r="AM177" s="483"/>
      <c r="AN177" s="483"/>
      <c r="AO177" s="483"/>
      <c r="AP177" s="511"/>
      <c r="AQ177" s="483"/>
      <c r="AR177" s="439"/>
      <c r="AS177" s="451"/>
      <c r="AU177" s="455"/>
      <c r="AV177" s="416"/>
      <c r="AX177" s="437"/>
      <c r="AY177" s="453"/>
      <c r="AZ177" s="454"/>
      <c r="BA177" s="435"/>
      <c r="BB177" s="453"/>
      <c r="BD177" s="454"/>
      <c r="BF177" s="454"/>
    </row>
    <row r="178" spans="4:58" ht="12" customHeight="1">
      <c r="D178" s="482"/>
      <c r="E178" s="1722">
        <v>2018</v>
      </c>
      <c r="F178" s="522" t="s">
        <v>247</v>
      </c>
      <c r="G178" s="455"/>
      <c r="H178" s="1714">
        <f>H165+H158</f>
        <v>5.4</v>
      </c>
      <c r="I178" s="482"/>
      <c r="J178" s="482"/>
      <c r="K178" s="1722">
        <v>2018</v>
      </c>
      <c r="L178" s="522" t="s">
        <v>247</v>
      </c>
      <c r="M178" s="455"/>
      <c r="N178" s="1714">
        <f>N165+N158</f>
        <v>4.0999999999999996</v>
      </c>
      <c r="P178" s="482"/>
      <c r="Q178" s="1722">
        <v>2018</v>
      </c>
      <c r="R178" s="522" t="s">
        <v>247</v>
      </c>
      <c r="S178" s="455"/>
      <c r="T178" s="1714">
        <f>T165+T158</f>
        <v>13.5</v>
      </c>
      <c r="W178" s="483"/>
      <c r="X178" s="451"/>
      <c r="Y178" s="416"/>
      <c r="Z178" s="517"/>
      <c r="AA178" s="451"/>
      <c r="AB178" s="470"/>
      <c r="AC178" s="416"/>
      <c r="AD178" s="458"/>
      <c r="AE178" s="511"/>
      <c r="AF178" s="416"/>
      <c r="AG178" s="439"/>
      <c r="AH178" s="451"/>
      <c r="AI178" s="483"/>
      <c r="AJ178" s="483"/>
      <c r="AK178" s="483"/>
      <c r="AL178" s="511"/>
      <c r="AM178" s="483"/>
      <c r="AN178" s="483"/>
      <c r="AO178" s="483"/>
      <c r="AP178" s="511"/>
      <c r="AQ178" s="483"/>
      <c r="AR178" s="439"/>
      <c r="AS178" s="451"/>
      <c r="AU178" s="455"/>
      <c r="AV178" s="416"/>
      <c r="AX178" s="437"/>
      <c r="AY178" s="453"/>
      <c r="AZ178" s="454"/>
      <c r="BA178" s="435"/>
      <c r="BB178" s="453"/>
      <c r="BD178" s="454"/>
      <c r="BF178" s="454"/>
    </row>
    <row r="179" spans="4:58" ht="12" customHeight="1">
      <c r="D179" s="482"/>
      <c r="E179" s="453"/>
      <c r="F179" s="522" t="s">
        <v>248</v>
      </c>
      <c r="G179" s="455"/>
      <c r="H179" s="1714">
        <f>H166+H159</f>
        <v>-3.9000000000000004</v>
      </c>
      <c r="I179" s="482"/>
      <c r="J179" s="482"/>
      <c r="K179" s="453"/>
      <c r="L179" s="522" t="s">
        <v>248</v>
      </c>
      <c r="M179" s="455"/>
      <c r="N179" s="1714">
        <f>N166+N159</f>
        <v>0</v>
      </c>
      <c r="P179" s="482"/>
      <c r="Q179" s="453"/>
      <c r="R179" s="522" t="s">
        <v>248</v>
      </c>
      <c r="S179" s="455"/>
      <c r="T179" s="1714">
        <f>T166+T159</f>
        <v>8.9</v>
      </c>
      <c r="W179" s="483"/>
      <c r="X179" s="451"/>
      <c r="Y179" s="416"/>
      <c r="Z179" s="517"/>
      <c r="AA179" s="451"/>
      <c r="AB179" s="470"/>
      <c r="AC179" s="416"/>
      <c r="AD179" s="458"/>
      <c r="AE179" s="511"/>
      <c r="AF179" s="416"/>
      <c r="AG179" s="439"/>
      <c r="AH179" s="451"/>
      <c r="AI179" s="483"/>
      <c r="AJ179" s="483"/>
      <c r="AK179" s="483"/>
      <c r="AL179" s="511"/>
      <c r="AM179" s="483"/>
      <c r="AN179" s="483"/>
      <c r="AO179" s="483"/>
      <c r="AP179" s="511"/>
      <c r="AQ179" s="483"/>
      <c r="AR179" s="439"/>
      <c r="AS179" s="451"/>
      <c r="AU179" s="455"/>
      <c r="AV179" s="416"/>
      <c r="AX179" s="437"/>
      <c r="AY179" s="453"/>
      <c r="AZ179" s="454"/>
      <c r="BA179" s="435"/>
      <c r="BB179" s="475"/>
      <c r="BD179" s="454"/>
      <c r="BF179" s="454"/>
    </row>
    <row r="180" spans="4:58" ht="12" customHeight="1">
      <c r="D180" s="482"/>
      <c r="E180" s="453"/>
      <c r="F180" s="522" t="s">
        <v>249</v>
      </c>
      <c r="G180" s="455"/>
      <c r="H180" s="1714">
        <f>H167+H160</f>
        <v>1</v>
      </c>
      <c r="I180" s="482"/>
      <c r="J180" s="482"/>
      <c r="K180" s="453"/>
      <c r="L180" s="522" t="s">
        <v>249</v>
      </c>
      <c r="M180" s="455"/>
      <c r="N180" s="1714">
        <f>N167+N160</f>
        <v>2</v>
      </c>
      <c r="P180" s="482"/>
      <c r="Q180" s="453"/>
      <c r="R180" s="522" t="s">
        <v>249</v>
      </c>
      <c r="S180" s="455"/>
      <c r="T180" s="1714">
        <f>T167+T160</f>
        <v>6</v>
      </c>
      <c r="W180" s="483"/>
      <c r="X180" s="451"/>
      <c r="Y180" s="416"/>
      <c r="Z180" s="517"/>
      <c r="AA180" s="451"/>
      <c r="AB180" s="470"/>
      <c r="AC180" s="416"/>
      <c r="AD180" s="458"/>
      <c r="AE180" s="511"/>
      <c r="AF180" s="416"/>
      <c r="AG180" s="439"/>
      <c r="AH180" s="451"/>
      <c r="AI180" s="483"/>
      <c r="AJ180" s="483"/>
      <c r="AK180" s="483"/>
      <c r="AL180" s="511"/>
      <c r="AM180" s="483"/>
      <c r="AN180" s="483"/>
      <c r="AO180" s="483"/>
      <c r="AP180" s="511"/>
      <c r="AQ180" s="483"/>
      <c r="AR180" s="439"/>
      <c r="AS180" s="451"/>
      <c r="AU180" s="455"/>
      <c r="AV180" s="416"/>
      <c r="AX180" s="437"/>
      <c r="AY180" s="453"/>
      <c r="AZ180" s="454"/>
      <c r="BA180" s="435"/>
      <c r="BB180" s="453"/>
      <c r="BD180" s="454"/>
      <c r="BF180" s="454"/>
    </row>
    <row r="181" spans="4:58" ht="12" customHeight="1">
      <c r="D181" s="482"/>
      <c r="E181" s="453"/>
      <c r="F181" s="522" t="s">
        <v>250</v>
      </c>
      <c r="G181" s="455"/>
      <c r="H181" s="1714">
        <f>H168+H161</f>
        <v>2</v>
      </c>
      <c r="I181" s="482"/>
      <c r="J181" s="482"/>
      <c r="K181" s="453"/>
      <c r="L181" s="522" t="s">
        <v>250</v>
      </c>
      <c r="M181" s="455"/>
      <c r="N181" s="1714">
        <f>N168+N161</f>
        <v>4</v>
      </c>
      <c r="P181" s="482"/>
      <c r="Q181" s="453"/>
      <c r="R181" s="522" t="s">
        <v>250</v>
      </c>
      <c r="S181" s="455"/>
      <c r="T181" s="1714">
        <f>T168+T161</f>
        <v>9</v>
      </c>
      <c r="W181" s="483"/>
      <c r="X181" s="451"/>
      <c r="Y181" s="416"/>
      <c r="Z181" s="517"/>
      <c r="AA181" s="451"/>
      <c r="AB181" s="470"/>
      <c r="AC181" s="416"/>
      <c r="AD181" s="458"/>
      <c r="AE181" s="511"/>
      <c r="AF181" s="416"/>
      <c r="AG181" s="439"/>
      <c r="AH181" s="451"/>
      <c r="AI181" s="483"/>
      <c r="AJ181" s="483"/>
      <c r="AK181" s="483"/>
      <c r="AL181" s="511"/>
      <c r="AM181" s="483"/>
      <c r="AN181" s="483"/>
      <c r="AO181" s="483"/>
      <c r="AP181" s="511"/>
      <c r="AQ181" s="483"/>
      <c r="AR181" s="439"/>
      <c r="AS181" s="451"/>
      <c r="AV181" s="416"/>
      <c r="AX181" s="437"/>
      <c r="AY181" s="453"/>
      <c r="AZ181" s="454"/>
      <c r="BA181" s="435"/>
      <c r="BB181" s="453"/>
      <c r="BD181" s="454"/>
      <c r="BF181" s="454"/>
    </row>
    <row r="182" spans="4:58">
      <c r="D182" s="482"/>
      <c r="E182" s="453"/>
      <c r="F182" s="522" t="s">
        <v>251</v>
      </c>
      <c r="G182" s="455"/>
      <c r="H182" s="1714">
        <f>H169+H162</f>
        <v>1.1854232220711545</v>
      </c>
      <c r="I182" s="482"/>
      <c r="J182" s="482"/>
      <c r="K182" s="453"/>
      <c r="L182" s="522" t="s">
        <v>251</v>
      </c>
      <c r="M182" s="455"/>
      <c r="N182" s="1714">
        <f>N169+N162</f>
        <v>2.6848823202607761</v>
      </c>
      <c r="P182" s="482"/>
      <c r="Q182" s="453"/>
      <c r="R182" s="522" t="s">
        <v>251</v>
      </c>
      <c r="S182" s="455"/>
      <c r="T182" s="1714">
        <f>T169+T162</f>
        <v>9.4377954823518948</v>
      </c>
      <c r="W182" s="483"/>
      <c r="X182" s="451"/>
      <c r="Y182" s="416"/>
      <c r="Z182" s="517"/>
      <c r="AA182" s="451"/>
      <c r="AB182" s="470"/>
      <c r="AC182" s="416"/>
      <c r="AD182" s="458"/>
      <c r="AE182" s="511"/>
      <c r="AF182" s="416"/>
      <c r="AG182" s="439"/>
      <c r="AH182" s="451"/>
      <c r="AI182" s="483"/>
      <c r="AJ182" s="483"/>
      <c r="AK182" s="483"/>
      <c r="AL182" s="511"/>
      <c r="AM182" s="483"/>
      <c r="AN182" s="483"/>
      <c r="AO182" s="483"/>
      <c r="AP182" s="511"/>
      <c r="AQ182" s="483"/>
      <c r="AR182" s="439"/>
      <c r="AS182" s="451"/>
      <c r="AV182" s="416"/>
      <c r="AX182" s="437"/>
      <c r="AY182" s="453"/>
      <c r="AZ182" s="454"/>
      <c r="BA182" s="435"/>
      <c r="BB182" s="453"/>
      <c r="BD182" s="454"/>
      <c r="BF182" s="454"/>
    </row>
    <row r="183" spans="4:58">
      <c r="D183" s="482"/>
      <c r="E183" s="453"/>
      <c r="F183" s="522"/>
      <c r="G183" s="455"/>
      <c r="H183" s="455"/>
      <c r="I183" s="482"/>
      <c r="J183" s="482"/>
      <c r="K183" s="453"/>
      <c r="L183" s="455"/>
      <c r="M183" s="455"/>
      <c r="N183" s="455"/>
      <c r="P183" s="482"/>
      <c r="Q183" s="453"/>
      <c r="R183" s="455"/>
      <c r="S183" s="455"/>
      <c r="T183" s="455"/>
      <c r="W183" s="483"/>
      <c r="X183" s="451"/>
      <c r="Y183" s="416"/>
      <c r="Z183" s="517"/>
      <c r="AA183" s="451"/>
      <c r="AB183" s="470"/>
      <c r="AC183" s="416"/>
      <c r="AD183" s="458"/>
      <c r="AE183" s="511"/>
      <c r="AF183" s="416"/>
      <c r="AG183" s="439"/>
      <c r="AH183" s="451"/>
      <c r="AI183" s="483"/>
      <c r="AJ183" s="483"/>
      <c r="AK183" s="483"/>
      <c r="AL183" s="511"/>
      <c r="AM183" s="483"/>
      <c r="AN183" s="483"/>
      <c r="AO183" s="483"/>
      <c r="AP183" s="511"/>
      <c r="AQ183" s="483"/>
      <c r="AR183" s="439"/>
      <c r="AS183" s="451"/>
      <c r="AV183" s="416"/>
      <c r="AX183" s="437"/>
      <c r="AY183" s="453"/>
      <c r="AZ183" s="454"/>
      <c r="BA183" s="435"/>
      <c r="BB183" s="453"/>
      <c r="BD183" s="454"/>
      <c r="BF183" s="454"/>
    </row>
    <row r="184" spans="4:58">
      <c r="D184" s="482"/>
      <c r="E184" s="453"/>
      <c r="F184" s="522"/>
      <c r="G184" s="455"/>
      <c r="H184" s="455"/>
      <c r="I184" s="482"/>
      <c r="J184" s="482"/>
      <c r="K184" s="453"/>
      <c r="L184" s="455"/>
      <c r="M184" s="455"/>
      <c r="N184" s="455"/>
      <c r="P184" s="482"/>
      <c r="Q184" s="453"/>
      <c r="R184" s="455"/>
      <c r="S184" s="455"/>
      <c r="T184" s="455"/>
      <c r="W184" s="483"/>
      <c r="X184" s="451"/>
      <c r="Y184" s="416"/>
      <c r="Z184" s="517"/>
      <c r="AA184" s="451"/>
      <c r="AB184" s="470"/>
      <c r="AC184" s="416"/>
      <c r="AD184" s="458"/>
      <c r="AE184" s="511"/>
      <c r="AF184" s="416"/>
      <c r="AG184" s="439"/>
      <c r="AH184" s="451"/>
      <c r="AI184" s="483"/>
      <c r="AJ184" s="483"/>
      <c r="AK184" s="483"/>
      <c r="AL184" s="511"/>
      <c r="AM184" s="483"/>
      <c r="AN184" s="483"/>
      <c r="AO184" s="483"/>
      <c r="AP184" s="511"/>
      <c r="AQ184" s="483"/>
      <c r="AR184" s="439"/>
      <c r="AS184" s="451"/>
      <c r="AV184" s="416"/>
      <c r="AX184" s="437"/>
      <c r="AY184" s="453"/>
      <c r="AZ184" s="454"/>
      <c r="BA184" s="435"/>
      <c r="BB184" s="453"/>
      <c r="BD184" s="454"/>
      <c r="BF184" s="454"/>
    </row>
    <row r="185" spans="4:58">
      <c r="D185" s="482"/>
      <c r="E185" s="453"/>
      <c r="F185" s="522"/>
      <c r="G185" s="455"/>
      <c r="H185" s="455"/>
      <c r="I185" s="482"/>
      <c r="J185" s="482"/>
      <c r="K185" s="453"/>
      <c r="L185" s="455"/>
      <c r="M185" s="455"/>
      <c r="N185" s="455"/>
      <c r="P185" s="482"/>
      <c r="Q185" s="453"/>
      <c r="R185" s="455"/>
      <c r="S185" s="455"/>
      <c r="T185" s="455"/>
      <c r="W185" s="483"/>
      <c r="X185" s="451"/>
      <c r="Y185" s="416"/>
      <c r="Z185" s="517"/>
      <c r="AA185" s="451"/>
      <c r="AB185" s="470"/>
      <c r="AC185" s="416"/>
      <c r="AD185" s="458"/>
      <c r="AE185" s="511"/>
      <c r="AF185" s="416"/>
      <c r="AG185" s="439"/>
      <c r="AH185" s="451"/>
      <c r="AI185" s="483"/>
      <c r="AJ185" s="483"/>
      <c r="AK185" s="483"/>
      <c r="AL185" s="511"/>
      <c r="AM185" s="483"/>
      <c r="AN185" s="483"/>
      <c r="AO185" s="483"/>
      <c r="AP185" s="511"/>
      <c r="AQ185" s="483"/>
      <c r="AR185" s="439"/>
      <c r="AS185" s="451"/>
      <c r="AV185" s="416"/>
      <c r="AX185" s="437"/>
      <c r="AY185" s="453"/>
      <c r="AZ185" s="454"/>
      <c r="BA185" s="435"/>
      <c r="BB185" s="453">
        <f>15.2</f>
        <v>15.2</v>
      </c>
      <c r="BD185" s="454"/>
      <c r="BF185" s="454"/>
    </row>
    <row r="186" spans="4:58">
      <c r="D186" s="482"/>
      <c r="E186" s="453"/>
      <c r="F186" s="522"/>
      <c r="G186" s="455"/>
      <c r="H186" s="455"/>
      <c r="I186" s="482"/>
      <c r="J186" s="482"/>
      <c r="K186" s="453"/>
      <c r="L186" s="455"/>
      <c r="M186" s="455"/>
      <c r="N186" s="455"/>
      <c r="P186" s="525"/>
      <c r="Q186" s="453"/>
      <c r="R186" s="455"/>
      <c r="S186" s="455"/>
      <c r="T186" s="455"/>
      <c r="W186" s="483"/>
      <c r="X186" s="451"/>
      <c r="Y186" s="416"/>
      <c r="Z186" s="517"/>
      <c r="AA186" s="451"/>
      <c r="AB186" s="470"/>
      <c r="AC186" s="416"/>
      <c r="AD186" s="458"/>
      <c r="AE186" s="511"/>
      <c r="AF186" s="416"/>
      <c r="AG186" s="439"/>
      <c r="AH186" s="451"/>
      <c r="AI186" s="483"/>
      <c r="AJ186" s="483"/>
      <c r="AK186" s="483"/>
      <c r="AL186" s="511"/>
      <c r="AM186" s="483"/>
      <c r="AN186" s="483"/>
      <c r="AO186" s="483"/>
      <c r="AP186" s="511"/>
      <c r="AQ186" s="483"/>
      <c r="AR186" s="439"/>
      <c r="AS186" s="451"/>
      <c r="AV186" s="416"/>
      <c r="AX186" s="437"/>
      <c r="AY186" s="453"/>
      <c r="AZ186" s="454"/>
      <c r="BA186" s="435"/>
      <c r="BB186" s="453"/>
      <c r="BD186" s="454"/>
      <c r="BF186" s="454"/>
    </row>
    <row r="187" spans="4:58">
      <c r="D187" s="482"/>
      <c r="E187" s="453"/>
      <c r="F187" s="522"/>
      <c r="G187" s="455"/>
      <c r="H187" s="455"/>
      <c r="I187" s="482"/>
      <c r="J187" s="482"/>
      <c r="K187" s="453"/>
      <c r="L187" s="455"/>
      <c r="M187" s="455"/>
      <c r="N187" s="455"/>
      <c r="P187" s="525"/>
      <c r="Q187" s="453"/>
      <c r="R187" s="455"/>
      <c r="S187" s="455"/>
      <c r="T187" s="455"/>
      <c r="W187" s="483"/>
      <c r="X187" s="451"/>
      <c r="Y187" s="416"/>
      <c r="Z187" s="517"/>
      <c r="AA187" s="451"/>
      <c r="AB187" s="470"/>
      <c r="AC187" s="416"/>
      <c r="AD187" s="458"/>
      <c r="AE187" s="511"/>
      <c r="AF187" s="416"/>
      <c r="AG187" s="439"/>
      <c r="AH187" s="451"/>
      <c r="AI187" s="483"/>
      <c r="AJ187" s="483"/>
      <c r="AK187" s="483"/>
      <c r="AL187" s="511"/>
      <c r="AM187" s="483"/>
      <c r="AN187" s="483"/>
      <c r="AO187" s="483"/>
      <c r="AP187" s="511"/>
      <c r="AQ187" s="483"/>
      <c r="AR187" s="439"/>
      <c r="AS187" s="451"/>
      <c r="AV187" s="416"/>
      <c r="AX187" s="437"/>
      <c r="AY187" s="453"/>
      <c r="AZ187" s="454"/>
      <c r="BA187" s="435"/>
      <c r="BB187" s="453"/>
      <c r="BD187" s="454"/>
      <c r="BF187" s="454"/>
    </row>
    <row r="188" spans="4:58">
      <c r="D188" s="482"/>
      <c r="E188" s="453"/>
      <c r="F188" s="522"/>
      <c r="G188" s="455"/>
      <c r="H188" s="455"/>
      <c r="I188" s="482"/>
      <c r="J188" s="482"/>
      <c r="K188" s="453"/>
      <c r="L188" s="455"/>
      <c r="M188" s="455"/>
      <c r="N188" s="455"/>
      <c r="P188" s="525"/>
      <c r="Q188" s="453"/>
      <c r="R188" s="455"/>
      <c r="S188" s="455"/>
      <c r="T188" s="455"/>
      <c r="W188" s="483"/>
      <c r="X188" s="451"/>
      <c r="Y188" s="416"/>
      <c r="Z188" s="517"/>
      <c r="AA188" s="451"/>
      <c r="AB188" s="470"/>
      <c r="AC188" s="416"/>
      <c r="AD188" s="458"/>
      <c r="AE188" s="511"/>
      <c r="AF188" s="416"/>
      <c r="AG188" s="439"/>
      <c r="AH188" s="451"/>
      <c r="AI188" s="483"/>
      <c r="AJ188" s="483"/>
      <c r="AK188" s="483"/>
      <c r="AL188" s="511"/>
      <c r="AM188" s="483"/>
      <c r="AN188" s="483"/>
      <c r="AO188" s="483"/>
      <c r="AP188" s="511"/>
      <c r="AQ188" s="483"/>
      <c r="AR188" s="439"/>
      <c r="AS188" s="451"/>
      <c r="AV188" s="416"/>
      <c r="AX188" s="437"/>
      <c r="AY188" s="453"/>
      <c r="AZ188" s="454"/>
      <c r="BA188" s="435"/>
      <c r="BB188" s="453"/>
      <c r="BD188" s="454"/>
      <c r="BF188" s="454"/>
    </row>
    <row r="189" spans="4:58">
      <c r="D189" s="482"/>
      <c r="E189" s="453"/>
      <c r="F189" s="522"/>
      <c r="G189" s="455"/>
      <c r="H189" s="455"/>
      <c r="I189" s="482"/>
      <c r="J189" s="482"/>
      <c r="K189" s="453"/>
      <c r="L189" s="455"/>
      <c r="M189" s="455"/>
      <c r="N189" s="455"/>
      <c r="P189" s="525"/>
      <c r="Q189" s="453"/>
      <c r="R189" s="455"/>
      <c r="S189" s="455"/>
      <c r="T189" s="455"/>
      <c r="W189" s="483"/>
      <c r="X189" s="451"/>
      <c r="Y189" s="416"/>
      <c r="Z189" s="517"/>
      <c r="AA189" s="451"/>
      <c r="AB189" s="470"/>
      <c r="AC189" s="416"/>
      <c r="AD189" s="458"/>
      <c r="AE189" s="511"/>
      <c r="AF189" s="416"/>
      <c r="AG189" s="439"/>
      <c r="AH189" s="451"/>
      <c r="AI189" s="483"/>
      <c r="AJ189" s="483"/>
      <c r="AK189" s="483"/>
      <c r="AL189" s="511"/>
      <c r="AM189" s="483"/>
      <c r="AN189" s="483"/>
      <c r="AO189" s="483"/>
      <c r="AP189" s="511"/>
      <c r="AQ189" s="483"/>
      <c r="AR189" s="439"/>
      <c r="AS189" s="451"/>
      <c r="AV189" s="416"/>
      <c r="AX189" s="437"/>
      <c r="AY189" s="453"/>
      <c r="AZ189" s="454"/>
      <c r="BA189" s="435"/>
      <c r="BB189" s="453"/>
      <c r="BD189" s="454"/>
      <c r="BF189" s="454"/>
    </row>
    <row r="190" spans="4:58">
      <c r="D190" s="482"/>
      <c r="E190" s="453"/>
      <c r="F190" s="522"/>
      <c r="G190" s="455"/>
      <c r="H190" s="455"/>
      <c r="I190" s="482"/>
      <c r="J190" s="482"/>
      <c r="K190" s="453"/>
      <c r="L190" s="455"/>
      <c r="M190" s="455"/>
      <c r="N190" s="455"/>
      <c r="P190" s="525"/>
      <c r="Q190" s="453"/>
      <c r="R190" s="455"/>
      <c r="S190" s="455"/>
      <c r="T190" s="455"/>
      <c r="W190" s="483"/>
      <c r="X190" s="451"/>
      <c r="Y190" s="416"/>
      <c r="Z190" s="517"/>
      <c r="AA190" s="451"/>
      <c r="AB190" s="470"/>
      <c r="AC190" s="416"/>
      <c r="AD190" s="458"/>
      <c r="AE190" s="511"/>
      <c r="AF190" s="416"/>
      <c r="AG190" s="439"/>
      <c r="AH190" s="451"/>
      <c r="AI190" s="483"/>
      <c r="AJ190" s="483"/>
      <c r="AK190" s="483"/>
      <c r="AL190" s="511"/>
      <c r="AM190" s="483"/>
      <c r="AN190" s="483"/>
      <c r="AO190" s="483"/>
      <c r="AP190" s="511"/>
      <c r="AQ190" s="483"/>
      <c r="AR190" s="439"/>
      <c r="AS190" s="451"/>
      <c r="AV190" s="416"/>
      <c r="AX190" s="437"/>
      <c r="AY190" s="453"/>
      <c r="AZ190" s="454"/>
      <c r="BA190" s="435"/>
      <c r="BB190" s="453"/>
      <c r="BD190" s="454"/>
      <c r="BF190" s="454"/>
    </row>
    <row r="191" spans="4:58">
      <c r="D191" s="482"/>
      <c r="E191" s="453"/>
      <c r="F191" s="522"/>
      <c r="G191" s="455"/>
      <c r="H191" s="455"/>
      <c r="I191" s="482"/>
      <c r="J191" s="482"/>
      <c r="K191" s="453"/>
      <c r="L191" s="455"/>
      <c r="M191" s="455"/>
      <c r="N191" s="455"/>
      <c r="P191" s="525"/>
      <c r="Q191" s="453"/>
      <c r="R191" s="455"/>
      <c r="S191" s="455"/>
      <c r="T191" s="455"/>
      <c r="W191" s="483"/>
      <c r="X191" s="451"/>
      <c r="Y191" s="416"/>
      <c r="Z191" s="517"/>
      <c r="AA191" s="451"/>
      <c r="AB191" s="470"/>
      <c r="AC191" s="416"/>
      <c r="AD191" s="458"/>
      <c r="AE191" s="511"/>
      <c r="AF191" s="416"/>
      <c r="AG191" s="439"/>
      <c r="AH191" s="451"/>
      <c r="AI191" s="483"/>
      <c r="AJ191" s="483"/>
      <c r="AK191" s="483"/>
      <c r="AL191" s="511"/>
      <c r="AM191" s="483"/>
      <c r="AN191" s="483"/>
      <c r="AO191" s="483"/>
      <c r="AP191" s="511"/>
      <c r="AQ191" s="483"/>
      <c r="AR191" s="439"/>
      <c r="AS191" s="451"/>
      <c r="AV191" s="416"/>
      <c r="AX191" s="437"/>
      <c r="AY191" s="453"/>
      <c r="AZ191" s="454"/>
      <c r="BA191" s="435"/>
      <c r="BB191" s="453"/>
      <c r="BD191" s="454"/>
      <c r="BF191" s="454"/>
    </row>
    <row r="192" spans="4:58">
      <c r="D192" s="482"/>
      <c r="E192" s="453"/>
      <c r="F192" s="522"/>
      <c r="G192" s="455"/>
      <c r="H192" s="455"/>
      <c r="I192" s="482"/>
      <c r="J192" s="482"/>
      <c r="K192" s="453"/>
      <c r="L192" s="455"/>
      <c r="M192" s="455"/>
      <c r="N192" s="455"/>
      <c r="P192" s="525"/>
      <c r="Q192" s="453"/>
      <c r="R192" s="455"/>
      <c r="S192" s="455"/>
      <c r="T192" s="455"/>
      <c r="W192" s="483"/>
      <c r="X192" s="451"/>
      <c r="Y192" s="416"/>
      <c r="Z192" s="517"/>
      <c r="AA192" s="451"/>
      <c r="AB192" s="470"/>
      <c r="AC192" s="416"/>
      <c r="AD192" s="458"/>
      <c r="AE192" s="511"/>
      <c r="AF192" s="416"/>
      <c r="AG192" s="439"/>
      <c r="AH192" s="451"/>
      <c r="AI192" s="483"/>
      <c r="AJ192" s="483"/>
      <c r="AK192" s="483"/>
      <c r="AL192" s="511"/>
      <c r="AM192" s="483"/>
      <c r="AN192" s="483"/>
      <c r="AO192" s="483"/>
      <c r="AP192" s="511"/>
      <c r="AQ192" s="483"/>
      <c r="AR192" s="439"/>
      <c r="AS192" s="451"/>
      <c r="AV192" s="416"/>
      <c r="AX192" s="437"/>
      <c r="AY192" s="453"/>
      <c r="AZ192" s="454"/>
      <c r="BA192" s="435"/>
      <c r="BB192" s="453"/>
      <c r="BD192" s="454"/>
      <c r="BF192" s="454"/>
    </row>
    <row r="193" spans="1:62">
      <c r="D193" s="482"/>
      <c r="E193" s="453"/>
      <c r="F193" s="522"/>
      <c r="G193" s="455"/>
      <c r="H193" s="455"/>
      <c r="I193" s="482"/>
      <c r="J193" s="482"/>
      <c r="K193" s="453"/>
      <c r="L193" s="455"/>
      <c r="M193" s="455"/>
      <c r="N193" s="455"/>
      <c r="P193" s="525"/>
      <c r="Q193" s="453"/>
      <c r="R193" s="455"/>
      <c r="S193" s="455"/>
      <c r="T193" s="455"/>
      <c r="W193" s="483"/>
      <c r="X193" s="451"/>
      <c r="Y193" s="416"/>
      <c r="Z193" s="517"/>
      <c r="AA193" s="451"/>
      <c r="AB193" s="470"/>
      <c r="AC193" s="416"/>
      <c r="AD193" s="458"/>
      <c r="AE193" s="511"/>
      <c r="AF193" s="416"/>
      <c r="AG193" s="439"/>
      <c r="AH193" s="451"/>
      <c r="AI193" s="483"/>
      <c r="AJ193" s="483"/>
      <c r="AK193" s="483"/>
      <c r="AL193" s="511"/>
      <c r="AM193" s="483"/>
      <c r="AN193" s="483"/>
      <c r="AO193" s="483"/>
      <c r="AP193" s="511"/>
      <c r="AQ193" s="483"/>
      <c r="AR193" s="439"/>
      <c r="AS193" s="451"/>
      <c r="AV193" s="416"/>
      <c r="AX193" s="437"/>
      <c r="AY193" s="453"/>
      <c r="AZ193" s="454"/>
      <c r="BA193" s="435"/>
      <c r="BB193" s="453"/>
      <c r="BD193" s="454"/>
      <c r="BF193" s="454"/>
    </row>
    <row r="194" spans="1:62" ht="15" hidden="1" customHeight="1" outlineLevel="1" collapsed="1">
      <c r="B194" s="412" t="s">
        <v>153</v>
      </c>
      <c r="C194" s="412"/>
      <c r="D194" s="412"/>
      <c r="E194" s="412"/>
      <c r="F194" s="412"/>
      <c r="G194" s="485"/>
      <c r="H194" s="455"/>
      <c r="M194" s="455"/>
      <c r="N194" s="455"/>
      <c r="Q194" s="526"/>
      <c r="S194" s="455"/>
      <c r="T194" s="455"/>
      <c r="Z194" s="432"/>
      <c r="AA194" s="416"/>
      <c r="AB194" s="433"/>
      <c r="AC194" s="416"/>
      <c r="AD194" s="458"/>
      <c r="AE194" s="416"/>
      <c r="AF194" s="416"/>
      <c r="AG194" s="432"/>
      <c r="AH194" s="433"/>
      <c r="AI194" s="416"/>
      <c r="AJ194" s="458"/>
      <c r="AK194" s="458"/>
      <c r="AL194" s="416"/>
      <c r="AM194" s="416"/>
      <c r="AN194" s="458"/>
      <c r="AO194" s="458"/>
      <c r="AP194" s="416"/>
      <c r="AQ194" s="416"/>
      <c r="AR194" s="432"/>
      <c r="AS194" s="433"/>
      <c r="AV194" s="416"/>
      <c r="AX194" s="459"/>
      <c r="AY194" s="416"/>
      <c r="AZ194" s="459"/>
      <c r="BA194" s="474"/>
      <c r="BB194" s="416"/>
      <c r="BC194" s="416"/>
      <c r="BD194" s="459"/>
      <c r="BE194" s="416"/>
      <c r="BF194" s="459"/>
      <c r="BG194" s="416"/>
      <c r="BH194" s="416"/>
      <c r="BI194" s="416"/>
      <c r="BJ194" s="416"/>
    </row>
    <row r="195" spans="1:62" ht="15" hidden="1" customHeight="1" outlineLevel="1">
      <c r="B195" s="412"/>
      <c r="C195" s="412"/>
      <c r="D195" s="412"/>
      <c r="E195" s="412"/>
      <c r="F195" s="412"/>
      <c r="G195" s="485"/>
      <c r="H195" s="455"/>
      <c r="M195" s="455"/>
      <c r="N195" s="455"/>
      <c r="Q195" s="526"/>
      <c r="S195" s="455"/>
      <c r="T195" s="455"/>
      <c r="Z195" s="416"/>
      <c r="AA195" s="416"/>
      <c r="AB195" s="416"/>
      <c r="AC195" s="416"/>
      <c r="AD195" s="458"/>
      <c r="AE195" s="416"/>
      <c r="AF195" s="416"/>
      <c r="AG195" s="416"/>
      <c r="AH195" s="416"/>
      <c r="AI195" s="416"/>
      <c r="AJ195" s="458"/>
      <c r="AK195" s="458"/>
      <c r="AL195" s="416"/>
      <c r="AM195" s="416"/>
      <c r="AN195" s="458"/>
      <c r="AO195" s="458"/>
      <c r="AP195" s="416"/>
      <c r="AQ195" s="416"/>
      <c r="AR195" s="416"/>
      <c r="AS195" s="416"/>
      <c r="AV195" s="416"/>
      <c r="AX195" s="459"/>
      <c r="AY195" s="416"/>
      <c r="AZ195" s="459"/>
      <c r="BA195" s="474"/>
      <c r="BB195" s="416"/>
      <c r="BC195" s="416"/>
      <c r="BD195" s="459"/>
      <c r="BE195" s="416"/>
      <c r="BF195" s="459"/>
      <c r="BG195" s="416"/>
      <c r="BH195" s="416"/>
      <c r="BI195" s="416"/>
      <c r="BJ195" s="416"/>
    </row>
    <row r="196" spans="1:62" hidden="1" outlineLevel="1">
      <c r="D196" s="421" t="s">
        <v>495</v>
      </c>
      <c r="E196" s="422" t="s">
        <v>208</v>
      </c>
      <c r="F196" s="422"/>
      <c r="G196" s="422"/>
      <c r="H196" s="422"/>
      <c r="I196" s="482"/>
      <c r="J196" s="421"/>
      <c r="K196" s="422"/>
      <c r="L196" s="422"/>
      <c r="M196" s="422"/>
      <c r="N196" s="422"/>
      <c r="P196" s="421"/>
      <c r="Q196" s="453"/>
      <c r="R196" s="455"/>
      <c r="S196" s="455"/>
      <c r="T196" s="455"/>
      <c r="W196" s="483"/>
      <c r="X196" s="451"/>
      <c r="Y196" s="416"/>
      <c r="Z196" s="439"/>
      <c r="AA196" s="451"/>
      <c r="AB196" s="470"/>
      <c r="AC196" s="416"/>
      <c r="AD196" s="458"/>
      <c r="AE196" s="511"/>
      <c r="AF196" s="416"/>
      <c r="AG196" s="483"/>
      <c r="AH196" s="451"/>
      <c r="AI196" s="483"/>
      <c r="AJ196" s="483"/>
      <c r="AK196" s="483"/>
      <c r="AL196" s="451"/>
      <c r="AM196" s="483"/>
      <c r="AN196" s="483"/>
      <c r="AO196" s="483"/>
      <c r="AP196" s="451"/>
      <c r="AQ196" s="483"/>
      <c r="AR196" s="439"/>
      <c r="AS196" s="451"/>
      <c r="AV196" s="416"/>
      <c r="AX196" s="437"/>
      <c r="AY196" s="453"/>
      <c r="AZ196" s="454"/>
      <c r="BA196" s="435"/>
      <c r="BB196" s="453"/>
      <c r="BD196" s="454"/>
      <c r="BF196" s="454"/>
    </row>
    <row r="197" spans="1:62" hidden="1" outlineLevel="1">
      <c r="D197" s="427" t="s">
        <v>330</v>
      </c>
      <c r="E197" s="428" t="s">
        <v>57</v>
      </c>
      <c r="F197" s="428"/>
      <c r="G197" s="428"/>
      <c r="H197" s="425"/>
      <c r="I197" s="482"/>
      <c r="J197" s="427"/>
      <c r="K197" s="428"/>
      <c r="L197" s="428"/>
      <c r="M197" s="428"/>
      <c r="N197" s="425"/>
      <c r="P197" s="427"/>
      <c r="Q197" s="453"/>
      <c r="R197" s="455"/>
      <c r="S197" s="455"/>
      <c r="T197" s="455"/>
      <c r="W197" s="427"/>
      <c r="X197" s="453"/>
      <c r="Z197" s="439"/>
      <c r="AA197" s="451"/>
      <c r="AB197" s="470"/>
      <c r="AD197" s="527"/>
      <c r="AE197" s="511"/>
      <c r="AG197" s="483"/>
      <c r="AH197" s="451"/>
      <c r="AI197" s="482"/>
      <c r="AJ197" s="482"/>
      <c r="AK197" s="482"/>
      <c r="AL197" s="453"/>
      <c r="AM197" s="482"/>
      <c r="AN197" s="482"/>
      <c r="AO197" s="482"/>
      <c r="AP197" s="453"/>
      <c r="AQ197" s="482"/>
      <c r="AR197" s="439"/>
      <c r="AS197" s="451"/>
      <c r="AV197" s="416"/>
      <c r="AX197" s="437"/>
      <c r="AY197" s="453"/>
      <c r="AZ197" s="454"/>
      <c r="BA197" s="435"/>
      <c r="BB197" s="453"/>
      <c r="BD197" s="454"/>
      <c r="BF197" s="454"/>
    </row>
    <row r="198" spans="1:62" ht="8.25" hidden="1" customHeight="1" outlineLevel="1">
      <c r="G198" s="455"/>
      <c r="H198" s="455"/>
      <c r="M198" s="455"/>
      <c r="N198" s="455"/>
      <c r="S198" s="455"/>
      <c r="T198" s="455"/>
      <c r="Z198" s="432"/>
      <c r="AA198" s="416"/>
      <c r="AB198" s="433"/>
      <c r="AD198" s="527"/>
      <c r="AG198" s="432"/>
      <c r="AH198" s="433"/>
      <c r="AJ198" s="527"/>
      <c r="AK198" s="527"/>
      <c r="AN198" s="527"/>
      <c r="AO198" s="527"/>
      <c r="AR198" s="432"/>
      <c r="AS198" s="433"/>
      <c r="AV198" s="416"/>
      <c r="AX198" s="459"/>
      <c r="AY198" s="416"/>
      <c r="AZ198" s="459"/>
      <c r="BA198" s="474"/>
      <c r="BB198" s="416"/>
      <c r="BC198" s="416"/>
      <c r="BD198" s="459"/>
      <c r="BF198" s="454"/>
    </row>
    <row r="199" spans="1:62" hidden="1" outlineLevel="2">
      <c r="B199" s="431" t="s">
        <v>400</v>
      </c>
      <c r="G199" s="455"/>
      <c r="H199" s="455"/>
      <c r="J199" s="476"/>
      <c r="M199" s="455"/>
      <c r="N199" s="455"/>
      <c r="P199" s="471"/>
      <c r="S199" s="455"/>
      <c r="T199" s="455"/>
      <c r="W199" s="471"/>
      <c r="Z199" s="432"/>
      <c r="AA199" s="416"/>
      <c r="AB199" s="433"/>
      <c r="AD199" s="527"/>
      <c r="AG199" s="432"/>
      <c r="AH199" s="433"/>
      <c r="AR199" s="478"/>
      <c r="AS199" s="479"/>
      <c r="AV199" s="416"/>
      <c r="AX199" s="459"/>
      <c r="AY199" s="416"/>
      <c r="AZ199" s="459"/>
      <c r="BA199" s="459"/>
      <c r="BB199" s="416"/>
      <c r="BC199" s="416"/>
      <c r="BD199" s="459"/>
      <c r="BF199" s="454"/>
    </row>
    <row r="200" spans="1:62" hidden="1" outlineLevel="2">
      <c r="A200" s="410" t="s">
        <v>247</v>
      </c>
      <c r="B200" s="410" t="s">
        <v>224</v>
      </c>
      <c r="D200" s="437">
        <v>150.00399999999999</v>
      </c>
      <c r="E200" s="453"/>
      <c r="F200" s="455"/>
      <c r="G200" s="487"/>
      <c r="H200" s="487"/>
      <c r="J200" s="437"/>
      <c r="K200" s="453"/>
      <c r="L200" s="455"/>
      <c r="M200" s="487"/>
      <c r="N200" s="487"/>
      <c r="P200" s="437"/>
      <c r="Q200" s="451"/>
      <c r="R200" s="455"/>
      <c r="S200" s="487"/>
      <c r="T200" s="487"/>
      <c r="W200" s="437"/>
      <c r="X200" s="451"/>
      <c r="Z200" s="436"/>
      <c r="AA200" s="451"/>
      <c r="AB200" s="528"/>
      <c r="AD200" s="460"/>
      <c r="AE200" s="453"/>
      <c r="AG200" s="436"/>
      <c r="AH200" s="452"/>
      <c r="AJ200" s="435"/>
      <c r="AK200" s="435"/>
      <c r="AL200" s="453"/>
      <c r="AN200" s="435"/>
      <c r="AO200" s="435"/>
      <c r="AP200" s="453"/>
      <c r="AR200" s="436">
        <f>D200+J200+P200+W200</f>
        <v>150.00399999999999</v>
      </c>
      <c r="AS200" s="479"/>
      <c r="AU200" s="461"/>
      <c r="AV200" s="470"/>
      <c r="AW200" s="451"/>
      <c r="AX200" s="437"/>
      <c r="AY200" s="470"/>
      <c r="AZ200" s="459"/>
      <c r="BA200" s="437"/>
      <c r="BB200" s="470"/>
      <c r="BC200" s="416"/>
      <c r="BD200" s="462"/>
      <c r="BE200" s="416"/>
      <c r="BF200" s="462"/>
      <c r="BG200" s="416"/>
      <c r="BH200" s="439"/>
      <c r="BI200" s="416"/>
      <c r="BJ200" s="439"/>
    </row>
    <row r="201" spans="1:62" hidden="1" outlineLevel="2">
      <c r="A201" s="410" t="s">
        <v>248</v>
      </c>
      <c r="B201" s="410" t="s">
        <v>225</v>
      </c>
      <c r="D201" s="440">
        <v>160.22300000000001</v>
      </c>
      <c r="E201" s="453"/>
      <c r="F201" s="455"/>
      <c r="G201" s="487"/>
      <c r="H201" s="487"/>
      <c r="J201" s="440"/>
      <c r="K201" s="453"/>
      <c r="L201" s="455"/>
      <c r="M201" s="487"/>
      <c r="N201" s="487"/>
      <c r="P201" s="440"/>
      <c r="Q201" s="451"/>
      <c r="R201" s="455"/>
      <c r="S201" s="487"/>
      <c r="T201" s="487"/>
      <c r="W201" s="440"/>
      <c r="X201" s="451"/>
      <c r="Z201" s="441"/>
      <c r="AA201" s="451"/>
      <c r="AB201" s="528"/>
      <c r="AD201" s="460"/>
      <c r="AE201" s="453"/>
      <c r="AG201" s="441"/>
      <c r="AH201" s="452"/>
      <c r="AJ201" s="467"/>
      <c r="AK201" s="467"/>
      <c r="AL201" s="453"/>
      <c r="AN201" s="467"/>
      <c r="AO201" s="467"/>
      <c r="AP201" s="453"/>
      <c r="AR201" s="441">
        <f>D201+J201+P201+W201</f>
        <v>160.22300000000001</v>
      </c>
      <c r="AS201" s="479"/>
      <c r="AU201" s="461"/>
      <c r="AV201" s="470"/>
      <c r="AW201" s="451"/>
      <c r="AX201" s="442"/>
      <c r="AY201" s="470"/>
      <c r="AZ201" s="459"/>
      <c r="BA201" s="462"/>
      <c r="BB201" s="470"/>
      <c r="BC201" s="416"/>
      <c r="BD201" s="462"/>
      <c r="BE201" s="416"/>
      <c r="BF201" s="462"/>
      <c r="BG201" s="416"/>
      <c r="BH201" s="477"/>
      <c r="BI201" s="416"/>
      <c r="BJ201" s="477"/>
    </row>
    <row r="202" spans="1:62" hidden="1" outlineLevel="2">
      <c r="A202" s="410" t="s">
        <v>249</v>
      </c>
      <c r="B202" s="410" t="s">
        <v>226</v>
      </c>
      <c r="D202" s="440">
        <v>182.41200000000001</v>
      </c>
      <c r="E202" s="453"/>
      <c r="F202" s="455"/>
      <c r="G202" s="487"/>
      <c r="H202" s="487"/>
      <c r="J202" s="440"/>
      <c r="K202" s="453"/>
      <c r="L202" s="455"/>
      <c r="M202" s="487"/>
      <c r="N202" s="487"/>
      <c r="P202" s="440"/>
      <c r="Q202" s="451"/>
      <c r="R202" s="455"/>
      <c r="S202" s="487"/>
      <c r="T202" s="487"/>
      <c r="W202" s="440"/>
      <c r="X202" s="451"/>
      <c r="Z202" s="441"/>
      <c r="AA202" s="451"/>
      <c r="AB202" s="528"/>
      <c r="AD202" s="460"/>
      <c r="AE202" s="453"/>
      <c r="AG202" s="441"/>
      <c r="AH202" s="452"/>
      <c r="AJ202" s="467"/>
      <c r="AK202" s="467"/>
      <c r="AL202" s="453"/>
      <c r="AN202" s="467"/>
      <c r="AO202" s="467"/>
      <c r="AP202" s="453"/>
      <c r="AR202" s="441">
        <f>D202+J202+P202+W202</f>
        <v>182.41200000000001</v>
      </c>
      <c r="AS202" s="529"/>
      <c r="AU202" s="461"/>
      <c r="AV202" s="470"/>
      <c r="AW202" s="451"/>
      <c r="AX202" s="442"/>
      <c r="AY202" s="470"/>
      <c r="AZ202" s="459"/>
      <c r="BA202" s="462"/>
      <c r="BB202" s="470"/>
      <c r="BC202" s="416"/>
      <c r="BD202" s="462"/>
      <c r="BE202" s="416"/>
      <c r="BF202" s="462"/>
      <c r="BG202" s="416"/>
      <c r="BH202" s="477"/>
      <c r="BI202" s="416"/>
      <c r="BJ202" s="477"/>
    </row>
    <row r="203" spans="1:62" hidden="1" outlineLevel="2">
      <c r="A203" s="410" t="s">
        <v>250</v>
      </c>
      <c r="B203" s="410" t="s">
        <v>227</v>
      </c>
      <c r="D203" s="447">
        <v>235.51499999999999</v>
      </c>
      <c r="E203" s="453"/>
      <c r="F203" s="455"/>
      <c r="G203" s="487"/>
      <c r="H203" s="487"/>
      <c r="J203" s="447"/>
      <c r="K203" s="453"/>
      <c r="L203" s="455"/>
      <c r="M203" s="487"/>
      <c r="N203" s="487"/>
      <c r="P203" s="447"/>
      <c r="Q203" s="451"/>
      <c r="R203" s="455"/>
      <c r="S203" s="487"/>
      <c r="T203" s="487"/>
      <c r="W203" s="447"/>
      <c r="X203" s="451"/>
      <c r="Z203" s="446"/>
      <c r="AA203" s="451"/>
      <c r="AB203" s="528"/>
      <c r="AD203" s="530"/>
      <c r="AE203" s="453"/>
      <c r="AG203" s="446"/>
      <c r="AH203" s="452"/>
      <c r="AJ203" s="468"/>
      <c r="AK203" s="462"/>
      <c r="AL203" s="453"/>
      <c r="AN203" s="468"/>
      <c r="AO203" s="462"/>
      <c r="AP203" s="453"/>
      <c r="AR203" s="446">
        <f>D203+J203+P203+W203</f>
        <v>235.51499999999999</v>
      </c>
      <c r="AS203" s="529"/>
      <c r="AU203" s="461"/>
      <c r="AV203" s="470"/>
      <c r="AW203" s="451"/>
      <c r="AX203" s="442"/>
      <c r="AY203" s="470"/>
      <c r="AZ203" s="459"/>
      <c r="BA203" s="462"/>
      <c r="BB203" s="470"/>
      <c r="BC203" s="416"/>
      <c r="BD203" s="462"/>
      <c r="BE203" s="416"/>
      <c r="BF203" s="462"/>
      <c r="BG203" s="416"/>
      <c r="BH203" s="477"/>
      <c r="BI203" s="416"/>
      <c r="BJ203" s="477"/>
    </row>
    <row r="204" spans="1:62" hidden="1" outlineLevel="2">
      <c r="B204" s="410" t="s">
        <v>251</v>
      </c>
      <c r="D204" s="449">
        <f>SUM(D200:D203)</f>
        <v>728.154</v>
      </c>
      <c r="E204" s="453"/>
      <c r="F204" s="455"/>
      <c r="G204" s="487"/>
      <c r="H204" s="487"/>
      <c r="J204" s="449"/>
      <c r="K204" s="453"/>
      <c r="L204" s="455"/>
      <c r="M204" s="487"/>
      <c r="N204" s="487"/>
      <c r="P204" s="449"/>
      <c r="Q204" s="526"/>
      <c r="R204" s="455"/>
      <c r="S204" s="487"/>
      <c r="T204" s="487"/>
      <c r="W204" s="449"/>
      <c r="X204" s="453"/>
      <c r="Z204" s="436"/>
      <c r="AA204" s="451"/>
      <c r="AB204" s="528"/>
      <c r="AD204" s="527"/>
      <c r="AE204" s="453"/>
      <c r="AG204" s="436"/>
      <c r="AH204" s="452"/>
      <c r="AJ204" s="449"/>
      <c r="AK204" s="449"/>
      <c r="AL204" s="453"/>
      <c r="AN204" s="449"/>
      <c r="AO204" s="449"/>
      <c r="AP204" s="453"/>
      <c r="AR204" s="436">
        <f>D204+J204+P204+W204</f>
        <v>728.154</v>
      </c>
      <c r="AS204" s="529"/>
      <c r="AV204" s="416"/>
      <c r="AX204" s="437"/>
      <c r="AY204" s="451"/>
      <c r="AZ204" s="459"/>
      <c r="BA204" s="437"/>
      <c r="BB204" s="451"/>
      <c r="BC204" s="416"/>
      <c r="BD204" s="459"/>
      <c r="BE204" s="416"/>
      <c r="BF204" s="459"/>
      <c r="BG204" s="416"/>
      <c r="BH204" s="416"/>
      <c r="BI204" s="416"/>
      <c r="BJ204" s="416"/>
    </row>
    <row r="205" spans="1:62" ht="8.25" hidden="1" customHeight="1" outlineLevel="2">
      <c r="G205" s="455"/>
      <c r="H205" s="455"/>
      <c r="M205" s="455"/>
      <c r="N205" s="455"/>
      <c r="Q205" s="526"/>
      <c r="S205" s="455"/>
      <c r="T205" s="455"/>
      <c r="Z205" s="432"/>
      <c r="AA205" s="416"/>
      <c r="AB205" s="433"/>
      <c r="AD205" s="527"/>
      <c r="AG205" s="432"/>
      <c r="AH205" s="433"/>
      <c r="AJ205" s="527"/>
      <c r="AK205" s="527"/>
      <c r="AN205" s="527"/>
      <c r="AO205" s="527"/>
      <c r="AR205" s="432"/>
      <c r="AS205" s="433"/>
      <c r="AV205" s="416"/>
      <c r="AX205" s="459"/>
      <c r="AY205" s="416"/>
      <c r="AZ205" s="459"/>
      <c r="BA205" s="474"/>
      <c r="BB205" s="416"/>
      <c r="BC205" s="416"/>
      <c r="BD205" s="459"/>
      <c r="BE205" s="416"/>
      <c r="BF205" s="459"/>
      <c r="BG205" s="416"/>
      <c r="BH205" s="416"/>
      <c r="BI205" s="416"/>
      <c r="BJ205" s="416"/>
    </row>
    <row r="206" spans="1:62" hidden="1" outlineLevel="2">
      <c r="B206" s="431" t="s">
        <v>401</v>
      </c>
      <c r="G206" s="455"/>
      <c r="H206" s="455"/>
      <c r="J206" s="476"/>
      <c r="M206" s="455"/>
      <c r="N206" s="455"/>
      <c r="P206" s="471"/>
      <c r="S206" s="455"/>
      <c r="T206" s="455"/>
      <c r="W206" s="471"/>
      <c r="Z206" s="432"/>
      <c r="AA206" s="416"/>
      <c r="AB206" s="433"/>
      <c r="AD206" s="527"/>
      <c r="AG206" s="432"/>
      <c r="AH206" s="433"/>
      <c r="AR206" s="478"/>
      <c r="AS206" s="479"/>
      <c r="AV206" s="416"/>
      <c r="AX206" s="459"/>
      <c r="AY206" s="416"/>
      <c r="AZ206" s="459"/>
      <c r="BA206" s="459"/>
      <c r="BB206" s="416"/>
      <c r="BC206" s="416"/>
      <c r="BD206" s="459"/>
      <c r="BE206" s="416"/>
      <c r="BF206" s="459"/>
      <c r="BG206" s="416"/>
      <c r="BH206" s="416"/>
      <c r="BI206" s="416"/>
      <c r="BJ206" s="416"/>
    </row>
    <row r="207" spans="1:62" hidden="1" outlineLevel="2">
      <c r="A207" s="410" t="s">
        <v>247</v>
      </c>
      <c r="B207" s="410" t="s">
        <v>224</v>
      </c>
      <c r="D207" s="437">
        <v>187.71600000000001</v>
      </c>
      <c r="E207" s="453">
        <f>(D207/D200-1)*100</f>
        <v>25.140662915655597</v>
      </c>
      <c r="F207" s="453"/>
      <c r="G207" s="487"/>
      <c r="H207" s="487"/>
      <c r="J207" s="437"/>
      <c r="K207" s="453"/>
      <c r="L207" s="453"/>
      <c r="M207" s="487"/>
      <c r="N207" s="487"/>
      <c r="P207" s="437"/>
      <c r="Q207" s="453"/>
      <c r="R207" s="453"/>
      <c r="S207" s="487"/>
      <c r="T207" s="487"/>
      <c r="W207" s="437"/>
      <c r="X207" s="451"/>
      <c r="Z207" s="436"/>
      <c r="AA207" s="451"/>
      <c r="AB207" s="528"/>
      <c r="AD207" s="460"/>
      <c r="AE207" s="453"/>
      <c r="AG207" s="436"/>
      <c r="AH207" s="452"/>
      <c r="AJ207" s="435"/>
      <c r="AK207" s="435"/>
      <c r="AL207" s="453"/>
      <c r="AN207" s="435"/>
      <c r="AO207" s="435"/>
      <c r="AP207" s="453"/>
      <c r="AR207" s="436">
        <f>D207+J207+P207+W207</f>
        <v>187.71600000000001</v>
      </c>
      <c r="AS207" s="503">
        <f>(AR207/AR200-1)*100</f>
        <v>25.140662915655597</v>
      </c>
      <c r="AU207" s="461"/>
      <c r="AV207" s="439"/>
      <c r="AW207" s="451"/>
      <c r="AX207" s="437"/>
      <c r="AY207" s="470"/>
      <c r="AZ207" s="459"/>
      <c r="BA207" s="437"/>
      <c r="BB207" s="470"/>
      <c r="BC207" s="416"/>
      <c r="BD207" s="462"/>
      <c r="BE207" s="416"/>
      <c r="BF207" s="462"/>
      <c r="BG207" s="416"/>
      <c r="BH207" s="439"/>
      <c r="BI207" s="416"/>
      <c r="BJ207" s="439"/>
    </row>
    <row r="208" spans="1:62" hidden="1" outlineLevel="2">
      <c r="A208" s="410" t="s">
        <v>248</v>
      </c>
      <c r="B208" s="410" t="s">
        <v>225</v>
      </c>
      <c r="D208" s="440">
        <v>218.958</v>
      </c>
      <c r="E208" s="453">
        <f>(D208/D201-1)*100</f>
        <v>36.658282518739504</v>
      </c>
      <c r="F208" s="453"/>
      <c r="G208" s="487"/>
      <c r="H208" s="487"/>
      <c r="J208" s="440"/>
      <c r="K208" s="453"/>
      <c r="L208" s="453"/>
      <c r="M208" s="487"/>
      <c r="N208" s="487"/>
      <c r="P208" s="440"/>
      <c r="Q208" s="453"/>
      <c r="R208" s="453"/>
      <c r="S208" s="487"/>
      <c r="T208" s="487"/>
      <c r="W208" s="440"/>
      <c r="X208" s="451"/>
      <c r="Z208" s="441"/>
      <c r="AA208" s="451"/>
      <c r="AB208" s="528"/>
      <c r="AD208" s="460"/>
      <c r="AE208" s="453"/>
      <c r="AG208" s="441"/>
      <c r="AH208" s="452"/>
      <c r="AJ208" s="467"/>
      <c r="AK208" s="467"/>
      <c r="AL208" s="453"/>
      <c r="AN208" s="467"/>
      <c r="AO208" s="467"/>
      <c r="AP208" s="453"/>
      <c r="AR208" s="441">
        <f>D208+J208+P208+W208</f>
        <v>218.958</v>
      </c>
      <c r="AS208" s="503">
        <f>(AR208/AR201-1)*100</f>
        <v>36.658282518739504</v>
      </c>
      <c r="AU208" s="461"/>
      <c r="AV208" s="444"/>
      <c r="AW208" s="451"/>
      <c r="AX208" s="442"/>
      <c r="AY208" s="470"/>
      <c r="AZ208" s="459"/>
      <c r="BA208" s="462"/>
      <c r="BB208" s="470"/>
      <c r="BC208" s="416"/>
      <c r="BD208" s="462"/>
      <c r="BE208" s="416"/>
      <c r="BF208" s="462"/>
      <c r="BG208" s="416"/>
      <c r="BH208" s="477"/>
      <c r="BI208" s="416"/>
      <c r="BJ208" s="477"/>
    </row>
    <row r="209" spans="1:62" hidden="1" outlineLevel="2">
      <c r="A209" s="410" t="s">
        <v>249</v>
      </c>
      <c r="B209" s="410" t="s">
        <v>226</v>
      </c>
      <c r="D209" s="440">
        <v>241.798</v>
      </c>
      <c r="E209" s="453">
        <f>(D209/D202-1)*100</f>
        <v>32.555972194811744</v>
      </c>
      <c r="F209" s="453"/>
      <c r="G209" s="487"/>
      <c r="H209" s="487"/>
      <c r="J209" s="440"/>
      <c r="K209" s="453"/>
      <c r="L209" s="453"/>
      <c r="M209" s="487"/>
      <c r="N209" s="487"/>
      <c r="P209" s="440"/>
      <c r="Q209" s="453"/>
      <c r="R209" s="453"/>
      <c r="S209" s="487"/>
      <c r="T209" s="487"/>
      <c r="W209" s="440"/>
      <c r="X209" s="451"/>
      <c r="Z209" s="441"/>
      <c r="AA209" s="451"/>
      <c r="AB209" s="528"/>
      <c r="AD209" s="460"/>
      <c r="AE209" s="453"/>
      <c r="AG209" s="441"/>
      <c r="AH209" s="452"/>
      <c r="AJ209" s="467"/>
      <c r="AK209" s="467"/>
      <c r="AL209" s="453"/>
      <c r="AN209" s="467"/>
      <c r="AO209" s="467"/>
      <c r="AP209" s="453"/>
      <c r="AR209" s="441">
        <f>D209+J209+P209+W209</f>
        <v>241.798</v>
      </c>
      <c r="AS209" s="503">
        <f>(AR209/AR202-1)*100</f>
        <v>32.555972194811744</v>
      </c>
      <c r="AU209" s="461"/>
      <c r="AV209" s="444"/>
      <c r="AW209" s="451"/>
      <c r="AX209" s="442"/>
      <c r="AY209" s="470"/>
      <c r="AZ209" s="459"/>
      <c r="BA209" s="462"/>
      <c r="BB209" s="470"/>
      <c r="BC209" s="416"/>
      <c r="BD209" s="462"/>
      <c r="BE209" s="416"/>
      <c r="BF209" s="462"/>
      <c r="BG209" s="416"/>
      <c r="BH209" s="477"/>
      <c r="BI209" s="416"/>
      <c r="BJ209" s="477"/>
    </row>
    <row r="210" spans="1:62" hidden="1" outlineLevel="2">
      <c r="A210" s="410" t="s">
        <v>250</v>
      </c>
      <c r="B210" s="410" t="s">
        <v>227</v>
      </c>
      <c r="D210" s="447">
        <v>261.53899999999999</v>
      </c>
      <c r="E210" s="453">
        <f>(D210/D203-1)*100</f>
        <v>11.04982697492729</v>
      </c>
      <c r="F210" s="453"/>
      <c r="G210" s="487"/>
      <c r="H210" s="487"/>
      <c r="J210" s="447"/>
      <c r="K210" s="453"/>
      <c r="L210" s="453"/>
      <c r="M210" s="487"/>
      <c r="N210" s="487"/>
      <c r="P210" s="447"/>
      <c r="Q210" s="453"/>
      <c r="R210" s="453"/>
      <c r="S210" s="487"/>
      <c r="T210" s="487"/>
      <c r="W210" s="447"/>
      <c r="X210" s="451"/>
      <c r="Z210" s="446"/>
      <c r="AA210" s="451"/>
      <c r="AB210" s="528"/>
      <c r="AD210" s="530"/>
      <c r="AE210" s="453"/>
      <c r="AG210" s="446"/>
      <c r="AH210" s="452"/>
      <c r="AJ210" s="468"/>
      <c r="AK210" s="462"/>
      <c r="AL210" s="453"/>
      <c r="AN210" s="468"/>
      <c r="AO210" s="462"/>
      <c r="AP210" s="453"/>
      <c r="AR210" s="446">
        <f>D210+J210+P210+W210</f>
        <v>261.53899999999999</v>
      </c>
      <c r="AS210" s="503">
        <f>(AR210/AR203-1)*100</f>
        <v>11.04982697492729</v>
      </c>
      <c r="AU210" s="461"/>
      <c r="AV210" s="444"/>
      <c r="AW210" s="451"/>
      <c r="AX210" s="442"/>
      <c r="AY210" s="470"/>
      <c r="AZ210" s="459"/>
      <c r="BA210" s="462"/>
      <c r="BB210" s="470"/>
      <c r="BC210" s="416"/>
      <c r="BD210" s="462"/>
      <c r="BE210" s="416"/>
      <c r="BF210" s="462"/>
      <c r="BG210" s="416"/>
      <c r="BH210" s="477"/>
      <c r="BI210" s="416"/>
      <c r="BJ210" s="477"/>
    </row>
    <row r="211" spans="1:62" hidden="1" outlineLevel="2">
      <c r="B211" s="410" t="s">
        <v>251</v>
      </c>
      <c r="D211" s="490">
        <f>SUM(D207:D210)</f>
        <v>910.01099999999997</v>
      </c>
      <c r="E211" s="453"/>
      <c r="F211" s="455"/>
      <c r="G211" s="487"/>
      <c r="H211" s="487"/>
      <c r="I211" s="482"/>
      <c r="J211" s="490"/>
      <c r="K211" s="453"/>
      <c r="L211" s="455"/>
      <c r="M211" s="487"/>
      <c r="N211" s="487"/>
      <c r="P211" s="490"/>
      <c r="Q211" s="526"/>
      <c r="R211" s="455"/>
      <c r="S211" s="487"/>
      <c r="T211" s="487"/>
      <c r="W211" s="490"/>
      <c r="X211" s="453"/>
      <c r="Z211" s="436"/>
      <c r="AA211" s="451"/>
      <c r="AB211" s="528"/>
      <c r="AD211" s="527"/>
      <c r="AE211" s="453"/>
      <c r="AG211" s="484"/>
      <c r="AH211" s="452"/>
      <c r="AI211" s="482"/>
      <c r="AJ211" s="482"/>
      <c r="AK211" s="482"/>
      <c r="AL211" s="453"/>
      <c r="AM211" s="482"/>
      <c r="AN211" s="482"/>
      <c r="AO211" s="482"/>
      <c r="AP211" s="453"/>
      <c r="AQ211" s="482"/>
      <c r="AR211" s="436">
        <f>D211+J211+P211+W211</f>
        <v>910.01099999999997</v>
      </c>
      <c r="AS211" s="503">
        <f>(AR211/AR204-1)*100</f>
        <v>24.975073954136072</v>
      </c>
      <c r="AV211" s="416"/>
      <c r="AX211" s="437"/>
      <c r="AY211" s="451"/>
      <c r="AZ211" s="459"/>
      <c r="BA211" s="437"/>
      <c r="BB211" s="451"/>
      <c r="BC211" s="416"/>
      <c r="BD211" s="459"/>
      <c r="BE211" s="416"/>
      <c r="BF211" s="459"/>
      <c r="BG211" s="416"/>
      <c r="BH211" s="416"/>
      <c r="BI211" s="416"/>
      <c r="BJ211" s="416"/>
    </row>
    <row r="212" spans="1:62" ht="8.25" hidden="1" customHeight="1" outlineLevel="2">
      <c r="G212" s="455"/>
      <c r="H212" s="455"/>
      <c r="M212" s="455"/>
      <c r="N212" s="455"/>
      <c r="Q212" s="526"/>
      <c r="S212" s="455"/>
      <c r="T212" s="455"/>
      <c r="Z212" s="432"/>
      <c r="AA212" s="416"/>
      <c r="AB212" s="433"/>
      <c r="AD212" s="527"/>
      <c r="AG212" s="432"/>
      <c r="AH212" s="433"/>
      <c r="AJ212" s="527"/>
      <c r="AK212" s="527"/>
      <c r="AN212" s="527"/>
      <c r="AO212" s="527"/>
      <c r="AR212" s="432"/>
      <c r="AS212" s="433"/>
      <c r="AV212" s="416"/>
      <c r="AX212" s="459"/>
      <c r="AY212" s="416"/>
      <c r="AZ212" s="459"/>
      <c r="BA212" s="474"/>
      <c r="BB212" s="416"/>
      <c r="BC212" s="416"/>
      <c r="BD212" s="459"/>
      <c r="BE212" s="416"/>
      <c r="BF212" s="459"/>
      <c r="BG212" s="416"/>
      <c r="BH212" s="416"/>
      <c r="BI212" s="416"/>
      <c r="BJ212" s="416"/>
    </row>
    <row r="213" spans="1:62" hidden="1" outlineLevel="2">
      <c r="B213" s="431" t="s">
        <v>399</v>
      </c>
      <c r="D213" s="531"/>
      <c r="G213" s="455"/>
      <c r="H213" s="455"/>
      <c r="J213" s="476"/>
      <c r="M213" s="455"/>
      <c r="N213" s="455"/>
      <c r="P213" s="471"/>
      <c r="S213" s="455"/>
      <c r="T213" s="455"/>
      <c r="W213" s="471"/>
      <c r="Z213" s="432"/>
      <c r="AA213" s="416"/>
      <c r="AB213" s="433"/>
      <c r="AD213" s="527"/>
      <c r="AG213" s="432"/>
      <c r="AH213" s="433"/>
      <c r="AR213" s="478"/>
      <c r="AS213" s="479"/>
      <c r="AV213" s="416"/>
      <c r="AX213" s="459"/>
      <c r="AY213" s="416"/>
      <c r="AZ213" s="459"/>
      <c r="BA213" s="459"/>
      <c r="BB213" s="416"/>
      <c r="BC213" s="416"/>
      <c r="BD213" s="459"/>
      <c r="BE213" s="416"/>
      <c r="BF213" s="459"/>
      <c r="BG213" s="416"/>
      <c r="BH213" s="416"/>
      <c r="BI213" s="416"/>
      <c r="BJ213" s="416"/>
    </row>
    <row r="214" spans="1:62" hidden="1" outlineLevel="2">
      <c r="A214" s="410" t="s">
        <v>247</v>
      </c>
      <c r="B214" s="410" t="s">
        <v>224</v>
      </c>
      <c r="D214" s="437">
        <v>181.285</v>
      </c>
      <c r="E214" s="453">
        <f>(D214/D207-1)*100</f>
        <v>-3.4259200068188167</v>
      </c>
      <c r="F214" s="453"/>
      <c r="G214" s="487"/>
      <c r="H214" s="487"/>
      <c r="J214" s="437"/>
      <c r="K214" s="453"/>
      <c r="L214" s="453"/>
      <c r="M214" s="487"/>
      <c r="N214" s="487"/>
      <c r="P214" s="437"/>
      <c r="Q214" s="453"/>
      <c r="R214" s="453"/>
      <c r="S214" s="487"/>
      <c r="T214" s="487"/>
      <c r="W214" s="437"/>
      <c r="X214" s="451"/>
      <c r="Z214" s="436"/>
      <c r="AA214" s="451"/>
      <c r="AB214" s="528"/>
      <c r="AD214" s="460"/>
      <c r="AE214" s="453"/>
      <c r="AG214" s="436"/>
      <c r="AH214" s="452"/>
      <c r="AJ214" s="435"/>
      <c r="AK214" s="435"/>
      <c r="AL214" s="453"/>
      <c r="AN214" s="435"/>
      <c r="AO214" s="435"/>
      <c r="AP214" s="453"/>
      <c r="AR214" s="436">
        <f>D214+J214+P214+W214</f>
        <v>181.285</v>
      </c>
      <c r="AS214" s="503">
        <f>(AR214/AR207-1)*100</f>
        <v>-3.4259200068188167</v>
      </c>
      <c r="AU214" s="461"/>
      <c r="AV214" s="439"/>
      <c r="AW214" s="451"/>
      <c r="AX214" s="437"/>
      <c r="AY214" s="470"/>
      <c r="AZ214" s="459"/>
      <c r="BA214" s="437"/>
      <c r="BB214" s="470"/>
      <c r="BC214" s="416"/>
      <c r="BD214" s="462"/>
      <c r="BE214" s="416"/>
      <c r="BF214" s="462"/>
      <c r="BG214" s="416"/>
      <c r="BH214" s="439"/>
      <c r="BI214" s="416"/>
      <c r="BJ214" s="439"/>
    </row>
    <row r="215" spans="1:62" hidden="1" outlineLevel="2">
      <c r="A215" s="410" t="s">
        <v>248</v>
      </c>
      <c r="B215" s="410" t="s">
        <v>225</v>
      </c>
      <c r="D215" s="440">
        <v>211.39599999999999</v>
      </c>
      <c r="E215" s="453">
        <f>(D215/D208-1)*100</f>
        <v>-3.4536303766019127</v>
      </c>
      <c r="F215" s="453"/>
      <c r="G215" s="487"/>
      <c r="H215" s="487"/>
      <c r="J215" s="440"/>
      <c r="K215" s="453"/>
      <c r="L215" s="453"/>
      <c r="M215" s="487"/>
      <c r="N215" s="487"/>
      <c r="P215" s="440"/>
      <c r="Q215" s="453"/>
      <c r="R215" s="453"/>
      <c r="S215" s="487"/>
      <c r="T215" s="487"/>
      <c r="W215" s="440"/>
      <c r="X215" s="451"/>
      <c r="Z215" s="441"/>
      <c r="AA215" s="451"/>
      <c r="AB215" s="528"/>
      <c r="AD215" s="460"/>
      <c r="AE215" s="453"/>
      <c r="AG215" s="441"/>
      <c r="AH215" s="452"/>
      <c r="AJ215" s="467"/>
      <c r="AK215" s="467"/>
      <c r="AL215" s="453"/>
      <c r="AN215" s="467"/>
      <c r="AO215" s="467"/>
      <c r="AP215" s="453"/>
      <c r="AR215" s="441">
        <f>D215+J215+P215+W215</f>
        <v>211.39599999999999</v>
      </c>
      <c r="AS215" s="503">
        <f>(AR215/AR208-1)*100</f>
        <v>-3.4536303766019127</v>
      </c>
      <c r="AU215" s="461"/>
      <c r="AV215" s="444"/>
      <c r="AW215" s="451"/>
      <c r="AX215" s="442"/>
      <c r="AY215" s="470"/>
      <c r="AZ215" s="459"/>
      <c r="BA215" s="462"/>
      <c r="BB215" s="470"/>
      <c r="BC215" s="416"/>
      <c r="BD215" s="462"/>
      <c r="BE215" s="416"/>
      <c r="BF215" s="462"/>
      <c r="BG215" s="416"/>
      <c r="BH215" s="477"/>
      <c r="BI215" s="416"/>
      <c r="BJ215" s="477"/>
    </row>
    <row r="216" spans="1:62" hidden="1" outlineLevel="2">
      <c r="A216" s="410" t="s">
        <v>249</v>
      </c>
      <c r="B216" s="410" t="s">
        <v>226</v>
      </c>
      <c r="D216" s="440">
        <v>240.476</v>
      </c>
      <c r="E216" s="453">
        <f>(D216/D209-1)*100</f>
        <v>-0.54673735928336686</v>
      </c>
      <c r="F216" s="453"/>
      <c r="G216" s="487"/>
      <c r="H216" s="487"/>
      <c r="J216" s="440"/>
      <c r="K216" s="453"/>
      <c r="L216" s="453"/>
      <c r="M216" s="487"/>
      <c r="N216" s="487"/>
      <c r="P216" s="440"/>
      <c r="Q216" s="453"/>
      <c r="R216" s="453"/>
      <c r="S216" s="487"/>
      <c r="T216" s="487"/>
      <c r="W216" s="440"/>
      <c r="X216" s="451"/>
      <c r="Z216" s="441"/>
      <c r="AA216" s="451"/>
      <c r="AB216" s="528"/>
      <c r="AD216" s="460"/>
      <c r="AE216" s="453"/>
      <c r="AG216" s="441"/>
      <c r="AH216" s="452"/>
      <c r="AJ216" s="467"/>
      <c r="AK216" s="467"/>
      <c r="AL216" s="453"/>
      <c r="AN216" s="467"/>
      <c r="AO216" s="467"/>
      <c r="AP216" s="453"/>
      <c r="AR216" s="441">
        <f>D216+J216+P216+W216</f>
        <v>240.476</v>
      </c>
      <c r="AS216" s="503">
        <f>(AR216/AR209-1)*100</f>
        <v>-0.54673735928336686</v>
      </c>
      <c r="AU216" s="461"/>
      <c r="AV216" s="444"/>
      <c r="AW216" s="451"/>
      <c r="AX216" s="442"/>
      <c r="AY216" s="470"/>
      <c r="AZ216" s="459"/>
      <c r="BA216" s="462"/>
      <c r="BB216" s="470"/>
      <c r="BC216" s="416"/>
      <c r="BD216" s="462"/>
      <c r="BE216" s="416"/>
      <c r="BF216" s="462"/>
      <c r="BG216" s="416"/>
      <c r="BH216" s="477"/>
      <c r="BI216" s="416"/>
      <c r="BJ216" s="477"/>
    </row>
    <row r="217" spans="1:62" hidden="1" outlineLevel="2">
      <c r="A217" s="410" t="s">
        <v>250</v>
      </c>
      <c r="B217" s="410" t="s">
        <v>227</v>
      </c>
      <c r="D217" s="447">
        <v>284.07600000000002</v>
      </c>
      <c r="E217" s="453">
        <f>(D217/D210-1)*100</f>
        <v>8.6170704942666312</v>
      </c>
      <c r="F217" s="453"/>
      <c r="G217" s="487"/>
      <c r="H217" s="487"/>
      <c r="J217" s="447"/>
      <c r="K217" s="453"/>
      <c r="L217" s="453"/>
      <c r="M217" s="487"/>
      <c r="N217" s="487"/>
      <c r="P217" s="447"/>
      <c r="Q217" s="453"/>
      <c r="R217" s="453"/>
      <c r="S217" s="487"/>
      <c r="T217" s="487"/>
      <c r="W217" s="447"/>
      <c r="X217" s="451"/>
      <c r="Z217" s="446"/>
      <c r="AA217" s="451"/>
      <c r="AB217" s="528"/>
      <c r="AD217" s="530"/>
      <c r="AE217" s="453"/>
      <c r="AG217" s="446"/>
      <c r="AH217" s="452"/>
      <c r="AJ217" s="468"/>
      <c r="AK217" s="462"/>
      <c r="AL217" s="453"/>
      <c r="AN217" s="468"/>
      <c r="AO217" s="462"/>
      <c r="AP217" s="453"/>
      <c r="AR217" s="446">
        <f>D217+J217+P217+W217</f>
        <v>284.07600000000002</v>
      </c>
      <c r="AS217" s="503">
        <f>(AR217/AR210-1)*100</f>
        <v>8.6170704942666312</v>
      </c>
      <c r="AU217" s="461"/>
      <c r="AV217" s="444"/>
      <c r="AW217" s="451"/>
      <c r="AX217" s="442"/>
      <c r="AY217" s="470"/>
      <c r="AZ217" s="459"/>
      <c r="BA217" s="462"/>
      <c r="BB217" s="470"/>
      <c r="BC217" s="416"/>
      <c r="BD217" s="462"/>
      <c r="BE217" s="416"/>
      <c r="BF217" s="462"/>
      <c r="BG217" s="416"/>
      <c r="BH217" s="477"/>
      <c r="BI217" s="416"/>
      <c r="BJ217" s="477"/>
    </row>
    <row r="218" spans="1:62" hidden="1" outlineLevel="2">
      <c r="B218" s="410" t="s">
        <v>251</v>
      </c>
      <c r="D218" s="490">
        <f>SUM(D214:D217)</f>
        <v>917.23299999999995</v>
      </c>
      <c r="E218" s="526">
        <f>(D218-D104)/D218*100</f>
        <v>17.127600075444288</v>
      </c>
      <c r="F218" s="455"/>
      <c r="G218" s="487"/>
      <c r="H218" s="487"/>
      <c r="I218" s="482"/>
      <c r="J218" s="490"/>
      <c r="K218" s="526"/>
      <c r="L218" s="455"/>
      <c r="M218" s="487"/>
      <c r="N218" s="487"/>
      <c r="P218" s="490"/>
      <c r="Q218" s="526"/>
      <c r="R218" s="455"/>
      <c r="S218" s="487"/>
      <c r="T218" s="487"/>
      <c r="W218" s="490"/>
      <c r="X218" s="453"/>
      <c r="Z218" s="436"/>
      <c r="AA218" s="451"/>
      <c r="AB218" s="528"/>
      <c r="AD218" s="527"/>
      <c r="AE218" s="453"/>
      <c r="AG218" s="484"/>
      <c r="AH218" s="452"/>
      <c r="AI218" s="482"/>
      <c r="AJ218" s="482"/>
      <c r="AK218" s="482"/>
      <c r="AL218" s="453"/>
      <c r="AM218" s="482"/>
      <c r="AN218" s="482"/>
      <c r="AO218" s="482"/>
      <c r="AP218" s="453"/>
      <c r="AQ218" s="482"/>
      <c r="AR218" s="436">
        <f>D218+J218+P218+W218</f>
        <v>917.23299999999995</v>
      </c>
      <c r="AS218" s="503">
        <f>(AR218/AR211-1)*100</f>
        <v>0.79361678045650752</v>
      </c>
      <c r="AV218" s="416"/>
      <c r="AX218" s="437"/>
      <c r="AY218" s="451"/>
      <c r="AZ218" s="459"/>
      <c r="BA218" s="437"/>
      <c r="BB218" s="451"/>
      <c r="BC218" s="416"/>
      <c r="BD218" s="459"/>
      <c r="BE218" s="416"/>
      <c r="BF218" s="459"/>
      <c r="BG218" s="416"/>
      <c r="BH218" s="416"/>
      <c r="BI218" s="416"/>
      <c r="BJ218" s="416"/>
    </row>
    <row r="219" spans="1:62" hidden="1" outlineLevel="1" collapsed="1">
      <c r="B219" s="431" t="s">
        <v>403</v>
      </c>
      <c r="G219" s="455"/>
      <c r="H219" s="455"/>
      <c r="J219" s="476"/>
      <c r="M219" s="455"/>
      <c r="N219" s="455"/>
      <c r="P219" s="471"/>
      <c r="S219" s="455"/>
      <c r="T219" s="455"/>
      <c r="W219" s="471"/>
      <c r="Z219" s="432"/>
      <c r="AA219" s="416"/>
      <c r="AB219" s="433"/>
      <c r="AC219" s="416"/>
      <c r="AD219" s="458"/>
      <c r="AE219" s="416"/>
      <c r="AF219" s="416"/>
      <c r="AG219" s="432"/>
      <c r="AH219" s="433"/>
      <c r="AI219" s="416"/>
      <c r="AJ219" s="465"/>
      <c r="AK219" s="465"/>
      <c r="AL219" s="416"/>
      <c r="AM219" s="416"/>
      <c r="AN219" s="465"/>
      <c r="AO219" s="465"/>
      <c r="AP219" s="416"/>
      <c r="AQ219" s="416"/>
      <c r="AR219" s="432"/>
      <c r="AS219" s="433"/>
      <c r="AV219" s="416"/>
      <c r="AX219" s="459"/>
      <c r="AY219" s="416"/>
      <c r="AZ219" s="459"/>
      <c r="BA219" s="459"/>
      <c r="BB219" s="416"/>
      <c r="BC219" s="416"/>
      <c r="BD219" s="459"/>
      <c r="BE219" s="416"/>
      <c r="BF219" s="459"/>
      <c r="BG219" s="416"/>
      <c r="BH219" s="416"/>
      <c r="BI219" s="416"/>
      <c r="BJ219" s="416"/>
    </row>
    <row r="220" spans="1:62" hidden="1" outlineLevel="1">
      <c r="A220" s="410" t="s">
        <v>247</v>
      </c>
      <c r="B220" s="410" t="s">
        <v>224</v>
      </c>
      <c r="D220" s="437">
        <v>210.505</v>
      </c>
      <c r="E220" s="453">
        <f>(D220/D214-1)*100</f>
        <v>16.118266817442152</v>
      </c>
      <c r="F220" s="453"/>
      <c r="G220" s="487"/>
      <c r="H220" s="487"/>
      <c r="J220" s="437"/>
      <c r="K220" s="453"/>
      <c r="L220" s="453"/>
      <c r="M220" s="487"/>
      <c r="N220" s="487"/>
      <c r="P220" s="437"/>
      <c r="Q220" s="453"/>
      <c r="R220" s="453"/>
      <c r="S220" s="487"/>
      <c r="T220" s="487"/>
      <c r="W220" s="437"/>
      <c r="X220" s="487"/>
      <c r="Z220" s="436"/>
      <c r="AA220" s="451"/>
      <c r="AB220" s="528"/>
      <c r="AD220" s="460"/>
      <c r="AE220" s="453"/>
      <c r="AG220" s="436"/>
      <c r="AH220" s="452"/>
      <c r="AJ220" s="435"/>
      <c r="AK220" s="435"/>
      <c r="AL220" s="453"/>
      <c r="AN220" s="435"/>
      <c r="AO220" s="435"/>
      <c r="AP220" s="453"/>
      <c r="AR220" s="436">
        <f>D220+J220+P220+W220</f>
        <v>210.505</v>
      </c>
      <c r="AS220" s="503">
        <f>(AR220/AR214-1)*100</f>
        <v>16.118266817442152</v>
      </c>
      <c r="AU220" s="461"/>
      <c r="AV220" s="439"/>
      <c r="AW220" s="451"/>
      <c r="AX220" s="437"/>
      <c r="AY220" s="470"/>
      <c r="AZ220" s="459"/>
      <c r="BA220" s="437"/>
      <c r="BB220" s="470"/>
      <c r="BC220" s="416"/>
      <c r="BD220" s="462"/>
      <c r="BE220" s="416"/>
      <c r="BF220" s="462"/>
      <c r="BG220" s="416"/>
      <c r="BH220" s="439"/>
      <c r="BI220" s="416"/>
      <c r="BJ220" s="439"/>
    </row>
    <row r="221" spans="1:62" hidden="1" outlineLevel="1">
      <c r="A221" s="410" t="s">
        <v>248</v>
      </c>
      <c r="B221" s="410" t="s">
        <v>225</v>
      </c>
      <c r="D221" s="440">
        <v>243.232</v>
      </c>
      <c r="E221" s="453">
        <f>(D221/D215-1)*100</f>
        <v>15.05988760430661</v>
      </c>
      <c r="F221" s="453"/>
      <c r="G221" s="487"/>
      <c r="H221" s="487"/>
      <c r="J221" s="440"/>
      <c r="K221" s="453"/>
      <c r="L221" s="453"/>
      <c r="M221" s="487"/>
      <c r="N221" s="487"/>
      <c r="P221" s="440"/>
      <c r="Q221" s="453"/>
      <c r="R221" s="453"/>
      <c r="S221" s="487"/>
      <c r="T221" s="487"/>
      <c r="W221" s="440"/>
      <c r="X221" s="451"/>
      <c r="Z221" s="441"/>
      <c r="AA221" s="451"/>
      <c r="AB221" s="528"/>
      <c r="AD221" s="460"/>
      <c r="AE221" s="453"/>
      <c r="AG221" s="441"/>
      <c r="AH221" s="452"/>
      <c r="AJ221" s="467"/>
      <c r="AK221" s="467"/>
      <c r="AL221" s="453"/>
      <c r="AN221" s="467"/>
      <c r="AO221" s="467"/>
      <c r="AP221" s="453"/>
      <c r="AR221" s="441">
        <f>D221+J221+P221+W221</f>
        <v>243.232</v>
      </c>
      <c r="AS221" s="503">
        <f>(AR221/AR215-1)*100</f>
        <v>15.05988760430661</v>
      </c>
      <c r="AU221" s="461"/>
      <c r="AV221" s="444"/>
      <c r="AW221" s="451"/>
      <c r="AX221" s="442"/>
      <c r="AY221" s="470"/>
      <c r="AZ221" s="459"/>
      <c r="BA221" s="462"/>
      <c r="BB221" s="470"/>
      <c r="BC221" s="416"/>
      <c r="BD221" s="462"/>
      <c r="BE221" s="416"/>
      <c r="BF221" s="462"/>
      <c r="BG221" s="416"/>
      <c r="BH221" s="477"/>
      <c r="BI221" s="416"/>
      <c r="BJ221" s="477"/>
    </row>
    <row r="222" spans="1:62" hidden="1" outlineLevel="1">
      <c r="A222" s="410" t="s">
        <v>249</v>
      </c>
      <c r="B222" s="410" t="s">
        <v>226</v>
      </c>
      <c r="D222" s="440">
        <v>265.99299999999999</v>
      </c>
      <c r="E222" s="453">
        <f>(D222/D216-1)*100</f>
        <v>10.611038107752947</v>
      </c>
      <c r="F222" s="453"/>
      <c r="G222" s="487"/>
      <c r="H222" s="487"/>
      <c r="J222" s="440"/>
      <c r="K222" s="453"/>
      <c r="L222" s="453"/>
      <c r="M222" s="487"/>
      <c r="N222" s="487"/>
      <c r="P222" s="440"/>
      <c r="Q222" s="453"/>
      <c r="R222" s="453"/>
      <c r="S222" s="487"/>
      <c r="T222" s="487"/>
      <c r="W222" s="440"/>
      <c r="X222" s="451"/>
      <c r="Z222" s="441"/>
      <c r="AA222" s="451"/>
      <c r="AB222" s="528"/>
      <c r="AD222" s="460"/>
      <c r="AE222" s="453"/>
      <c r="AG222" s="441"/>
      <c r="AH222" s="452"/>
      <c r="AJ222" s="472"/>
      <c r="AK222" s="472"/>
      <c r="AL222" s="532"/>
      <c r="AN222" s="472"/>
      <c r="AO222" s="472"/>
      <c r="AP222" s="532"/>
      <c r="AR222" s="441">
        <f>D222+J222+P222+W222</f>
        <v>265.99299999999999</v>
      </c>
      <c r="AS222" s="503">
        <f>(AR222/AR216-1)*100</f>
        <v>10.611038107752947</v>
      </c>
      <c r="AV222" s="470"/>
      <c r="AW222" s="451"/>
      <c r="AX222" s="442"/>
      <c r="AY222" s="511"/>
      <c r="AZ222" s="459"/>
      <c r="BA222" s="462"/>
      <c r="BB222" s="511"/>
      <c r="BC222" s="416"/>
      <c r="BD222" s="459"/>
      <c r="BE222" s="416"/>
      <c r="BF222" s="459"/>
      <c r="BG222" s="416"/>
      <c r="BH222" s="416"/>
      <c r="BI222" s="416"/>
      <c r="BJ222" s="477"/>
    </row>
    <row r="223" spans="1:62" hidden="1" outlineLevel="1">
      <c r="A223" s="410" t="s">
        <v>250</v>
      </c>
      <c r="B223" s="410" t="s">
        <v>227</v>
      </c>
      <c r="D223" s="447">
        <v>321.77199999999999</v>
      </c>
      <c r="E223" s="453">
        <f>(D223/D217-1)*100</f>
        <v>13.26968839324687</v>
      </c>
      <c r="F223" s="453"/>
      <c r="G223" s="487"/>
      <c r="H223" s="487"/>
      <c r="J223" s="447"/>
      <c r="K223" s="453"/>
      <c r="L223" s="453"/>
      <c r="M223" s="487"/>
      <c r="N223" s="487"/>
      <c r="P223" s="447"/>
      <c r="Q223" s="453"/>
      <c r="R223" s="453"/>
      <c r="S223" s="487"/>
      <c r="T223" s="487"/>
      <c r="W223" s="447"/>
      <c r="X223" s="451"/>
      <c r="Z223" s="446"/>
      <c r="AA223" s="451"/>
      <c r="AB223" s="528"/>
      <c r="AD223" s="530"/>
      <c r="AE223" s="453"/>
      <c r="AG223" s="446"/>
      <c r="AH223" s="452"/>
      <c r="AJ223" s="473"/>
      <c r="AK223" s="477"/>
      <c r="AL223" s="532"/>
      <c r="AN223" s="473"/>
      <c r="AO223" s="477"/>
      <c r="AP223" s="532"/>
      <c r="AR223" s="446">
        <f>D223+J223+P223+W223</f>
        <v>321.77199999999999</v>
      </c>
      <c r="AS223" s="503">
        <f>(AR223/AR217-1)*100</f>
        <v>13.26968839324687</v>
      </c>
      <c r="AV223" s="470"/>
      <c r="AW223" s="451"/>
      <c r="AX223" s="442"/>
      <c r="AY223" s="511"/>
      <c r="AZ223" s="459"/>
      <c r="BA223" s="462"/>
      <c r="BB223" s="511"/>
      <c r="BC223" s="416"/>
      <c r="BD223" s="459"/>
      <c r="BE223" s="416"/>
      <c r="BF223" s="459"/>
      <c r="BG223" s="416"/>
      <c r="BH223" s="416"/>
      <c r="BI223" s="416"/>
      <c r="BJ223" s="477"/>
    </row>
    <row r="224" spans="1:62" hidden="1" outlineLevel="1">
      <c r="B224" s="410" t="s">
        <v>251</v>
      </c>
      <c r="D224" s="490">
        <f>SUM(D220:D223)</f>
        <v>1041.502</v>
      </c>
      <c r="E224" s="453"/>
      <c r="F224" s="455"/>
      <c r="G224" s="487"/>
      <c r="H224" s="487"/>
      <c r="I224" s="490"/>
      <c r="J224" s="490"/>
      <c r="K224" s="453"/>
      <c r="L224" s="455"/>
      <c r="M224" s="487"/>
      <c r="N224" s="487"/>
      <c r="P224" s="490"/>
      <c r="Q224" s="453"/>
      <c r="R224" s="455"/>
      <c r="S224" s="487"/>
      <c r="T224" s="487"/>
      <c r="U224" s="490"/>
      <c r="V224" s="490"/>
      <c r="W224" s="490"/>
      <c r="X224" s="453"/>
      <c r="Z224" s="533"/>
      <c r="AA224" s="451"/>
      <c r="AB224" s="470"/>
      <c r="AD224" s="527"/>
      <c r="AE224" s="451"/>
      <c r="AF224" s="416"/>
      <c r="AG224" s="439"/>
      <c r="AH224" s="451"/>
      <c r="AI224" s="416"/>
      <c r="AJ224" s="439"/>
      <c r="AK224" s="439"/>
      <c r="AL224" s="451"/>
      <c r="AM224" s="416"/>
      <c r="AN224" s="439"/>
      <c r="AO224" s="439"/>
      <c r="AP224" s="451"/>
      <c r="AQ224" s="416"/>
      <c r="AR224" s="439">
        <f>D224+J224+P224+W224</f>
        <v>1041.502</v>
      </c>
      <c r="AS224" s="503">
        <f>(AR224/AR218-1)*100</f>
        <v>13.548247827978276</v>
      </c>
      <c r="AT224" s="416"/>
      <c r="AU224" s="416"/>
      <c r="AV224" s="416"/>
      <c r="AX224" s="437"/>
      <c r="AY224" s="453"/>
      <c r="AZ224" s="454"/>
      <c r="BA224" s="435"/>
      <c r="BB224" s="453"/>
      <c r="BD224" s="454"/>
      <c r="BF224" s="454"/>
    </row>
    <row r="225" spans="1:62" ht="8.25" hidden="1" customHeight="1" outlineLevel="1">
      <c r="G225" s="455"/>
      <c r="H225" s="455"/>
      <c r="M225" s="455"/>
      <c r="N225" s="455"/>
      <c r="Q225" s="526"/>
      <c r="S225" s="455"/>
      <c r="T225" s="455"/>
      <c r="Z225" s="432"/>
      <c r="AA225" s="416"/>
      <c r="AB225" s="433"/>
      <c r="AC225" s="416"/>
      <c r="AD225" s="458"/>
      <c r="AE225" s="416"/>
      <c r="AF225" s="416"/>
      <c r="AG225" s="432"/>
      <c r="AH225" s="433"/>
      <c r="AI225" s="416"/>
      <c r="AJ225" s="458"/>
      <c r="AK225" s="458"/>
      <c r="AL225" s="416"/>
      <c r="AM225" s="416"/>
      <c r="AN225" s="458"/>
      <c r="AO225" s="458"/>
      <c r="AP225" s="416"/>
      <c r="AQ225" s="416"/>
      <c r="AR225" s="432"/>
      <c r="AS225" s="433"/>
      <c r="AV225" s="416"/>
      <c r="AX225" s="459"/>
      <c r="AY225" s="416"/>
      <c r="AZ225" s="459"/>
      <c r="BA225" s="474"/>
      <c r="BB225" s="416"/>
      <c r="BC225" s="416"/>
      <c r="BD225" s="459"/>
      <c r="BE225" s="416"/>
      <c r="BF225" s="459"/>
      <c r="BG225" s="416"/>
      <c r="BH225" s="416"/>
      <c r="BI225" s="416"/>
      <c r="BJ225" s="416"/>
    </row>
    <row r="226" spans="1:62" hidden="1" outlineLevel="1">
      <c r="B226" s="534" t="s">
        <v>96</v>
      </c>
      <c r="G226" s="455"/>
      <c r="H226" s="455"/>
      <c r="J226" s="476"/>
      <c r="M226" s="455"/>
      <c r="N226" s="455"/>
      <c r="P226" s="471"/>
      <c r="S226" s="455"/>
      <c r="T226" s="455"/>
      <c r="W226" s="471"/>
      <c r="Z226" s="432"/>
      <c r="AA226" s="416"/>
      <c r="AB226" s="433"/>
      <c r="AC226" s="416"/>
      <c r="AD226" s="458"/>
      <c r="AE226" s="416"/>
      <c r="AF226" s="416"/>
      <c r="AG226" s="432"/>
      <c r="AH226" s="433"/>
      <c r="AI226" s="416"/>
      <c r="AJ226" s="465"/>
      <c r="AK226" s="465"/>
      <c r="AL226" s="416"/>
      <c r="AM226" s="416"/>
      <c r="AN226" s="465"/>
      <c r="AO226" s="465"/>
      <c r="AP226" s="416"/>
      <c r="AQ226" s="416"/>
      <c r="AR226" s="432"/>
      <c r="AS226" s="433"/>
      <c r="AV226" s="416"/>
      <c r="AX226" s="459"/>
      <c r="AY226" s="416"/>
      <c r="AZ226" s="459"/>
      <c r="BA226" s="459"/>
      <c r="BB226" s="416"/>
      <c r="BC226" s="416"/>
      <c r="BD226" s="459"/>
      <c r="BE226" s="416"/>
      <c r="BF226" s="459"/>
      <c r="BG226" s="416"/>
      <c r="BH226" s="416"/>
      <c r="BI226" s="416"/>
      <c r="BJ226" s="416"/>
    </row>
    <row r="227" spans="1:62" hidden="1" outlineLevel="1">
      <c r="A227" s="410" t="s">
        <v>247</v>
      </c>
      <c r="B227" s="410" t="s">
        <v>224</v>
      </c>
      <c r="D227" s="437">
        <v>235.328</v>
      </c>
      <c r="E227" s="453">
        <f>(D227/D220-1)*100</f>
        <v>11.792118952043907</v>
      </c>
      <c r="F227" s="453"/>
      <c r="G227" s="487"/>
      <c r="H227" s="487"/>
      <c r="J227" s="437"/>
      <c r="K227" s="453"/>
      <c r="L227" s="453"/>
      <c r="M227" s="487"/>
      <c r="N227" s="487"/>
      <c r="P227" s="437"/>
      <c r="Q227" s="453"/>
      <c r="R227" s="453"/>
      <c r="S227" s="487"/>
      <c r="T227" s="487"/>
      <c r="W227" s="437"/>
      <c r="X227" s="487"/>
      <c r="Z227" s="436"/>
      <c r="AA227" s="451"/>
      <c r="AB227" s="461"/>
      <c r="AD227" s="460"/>
      <c r="AE227" s="453"/>
      <c r="AG227" s="436"/>
      <c r="AH227" s="452"/>
      <c r="AJ227" s="435"/>
      <c r="AK227" s="435"/>
      <c r="AL227" s="453"/>
      <c r="AN227" s="435"/>
      <c r="AO227" s="435"/>
      <c r="AP227" s="453"/>
      <c r="AR227" s="436">
        <f>D227+J227+P227+W227</f>
        <v>235.328</v>
      </c>
      <c r="AS227" s="503">
        <f>(AR227/AR220-1)*100</f>
        <v>11.792118952043907</v>
      </c>
      <c r="AU227" s="461">
        <f>+AU116</f>
        <v>-1</v>
      </c>
      <c r="AV227" s="439"/>
      <c r="AW227" s="451"/>
      <c r="AX227" s="437"/>
      <c r="AY227" s="470"/>
      <c r="AZ227" s="459"/>
      <c r="BA227" s="437"/>
      <c r="BB227" s="470"/>
      <c r="BC227" s="416"/>
      <c r="BD227" s="462"/>
      <c r="BE227" s="416"/>
      <c r="BF227" s="462"/>
      <c r="BG227" s="416"/>
      <c r="BH227" s="439"/>
      <c r="BI227" s="416"/>
      <c r="BJ227" s="439"/>
    </row>
    <row r="228" spans="1:62" hidden="1" outlineLevel="1">
      <c r="A228" s="410" t="s">
        <v>248</v>
      </c>
      <c r="B228" s="410" t="s">
        <v>225</v>
      </c>
      <c r="D228" s="440">
        <v>272.173</v>
      </c>
      <c r="E228" s="453">
        <f>(D228/D221-1)*100</f>
        <v>11.89851664254704</v>
      </c>
      <c r="F228" s="453"/>
      <c r="G228" s="487"/>
      <c r="H228" s="487"/>
      <c r="J228" s="440"/>
      <c r="K228" s="453"/>
      <c r="L228" s="453"/>
      <c r="M228" s="487"/>
      <c r="N228" s="487"/>
      <c r="P228" s="440"/>
      <c r="Q228" s="453"/>
      <c r="R228" s="453"/>
      <c r="S228" s="487"/>
      <c r="T228" s="487"/>
      <c r="W228" s="440"/>
      <c r="X228" s="451"/>
      <c r="Z228" s="441"/>
      <c r="AA228" s="451"/>
      <c r="AB228" s="528"/>
      <c r="AD228" s="460"/>
      <c r="AE228" s="453"/>
      <c r="AG228" s="441"/>
      <c r="AH228" s="452"/>
      <c r="AJ228" s="467"/>
      <c r="AK228" s="467"/>
      <c r="AL228" s="453"/>
      <c r="AN228" s="467"/>
      <c r="AO228" s="467"/>
      <c r="AP228" s="453"/>
      <c r="AR228" s="441">
        <f>D228+J228+P228+W228</f>
        <v>272.173</v>
      </c>
      <c r="AS228" s="503">
        <f>(AR228/AR221-1)*100</f>
        <v>11.89851664254704</v>
      </c>
      <c r="AU228" s="461">
        <f>+AU117</f>
        <v>1.2</v>
      </c>
      <c r="AV228" s="444"/>
      <c r="AW228" s="451"/>
      <c r="AX228" s="442"/>
      <c r="AY228" s="470"/>
      <c r="AZ228" s="459"/>
      <c r="BA228" s="462"/>
      <c r="BB228" s="470"/>
      <c r="BC228" s="416"/>
      <c r="BD228" s="462"/>
      <c r="BE228" s="416"/>
      <c r="BF228" s="462"/>
      <c r="BG228" s="416"/>
      <c r="BH228" s="477"/>
      <c r="BI228" s="416"/>
      <c r="BJ228" s="477"/>
    </row>
    <row r="229" spans="1:62" hidden="1" outlineLevel="1">
      <c r="A229" s="410" t="s">
        <v>249</v>
      </c>
      <c r="B229" s="410" t="s">
        <v>226</v>
      </c>
      <c r="D229" s="440">
        <v>291.02300000000002</v>
      </c>
      <c r="E229" s="453">
        <f>(D229/D222-1)*100</f>
        <v>9.4100220682499227</v>
      </c>
      <c r="F229" s="453"/>
      <c r="G229" s="487"/>
      <c r="H229" s="487"/>
      <c r="J229" s="440"/>
      <c r="K229" s="453"/>
      <c r="L229" s="453"/>
      <c r="M229" s="487"/>
      <c r="N229" s="487"/>
      <c r="P229" s="440"/>
      <c r="Q229" s="453"/>
      <c r="R229" s="453"/>
      <c r="S229" s="487"/>
      <c r="T229" s="487"/>
      <c r="W229" s="440"/>
      <c r="X229" s="451"/>
      <c r="Z229" s="441"/>
      <c r="AA229" s="451"/>
      <c r="AB229" s="528"/>
      <c r="AD229" s="460"/>
      <c r="AE229" s="453"/>
      <c r="AG229" s="441"/>
      <c r="AH229" s="452"/>
      <c r="AJ229" s="472"/>
      <c r="AK229" s="472"/>
      <c r="AL229" s="532"/>
      <c r="AN229" s="472"/>
      <c r="AO229" s="472"/>
      <c r="AP229" s="532"/>
      <c r="AR229" s="441">
        <f>D229+J229+P229+W229</f>
        <v>291.02300000000002</v>
      </c>
      <c r="AS229" s="503">
        <f>(AR229/AR222-1)*100</f>
        <v>9.4100220682499227</v>
      </c>
      <c r="AU229" s="461">
        <f>+AU118</f>
        <v>-3</v>
      </c>
      <c r="AV229" s="470"/>
      <c r="AW229" s="451"/>
      <c r="AX229" s="442"/>
      <c r="AY229" s="511"/>
      <c r="AZ229" s="459"/>
      <c r="BA229" s="462"/>
      <c r="BB229" s="511"/>
      <c r="BC229" s="416"/>
      <c r="BD229" s="459"/>
      <c r="BE229" s="416"/>
      <c r="BF229" s="459"/>
      <c r="BG229" s="416"/>
      <c r="BH229" s="416"/>
      <c r="BI229" s="416"/>
      <c r="BJ229" s="477"/>
    </row>
    <row r="230" spans="1:62" hidden="1" outlineLevel="1">
      <c r="A230" s="410" t="s">
        <v>250</v>
      </c>
      <c r="B230" s="410" t="s">
        <v>227</v>
      </c>
      <c r="D230" s="447">
        <v>356.76900000000001</v>
      </c>
      <c r="E230" s="453">
        <f>(D230/D223-1)*100</f>
        <v>10.876334796066779</v>
      </c>
      <c r="F230" s="453"/>
      <c r="G230" s="487"/>
      <c r="H230" s="487"/>
      <c r="J230" s="447"/>
      <c r="K230" s="453"/>
      <c r="L230" s="453"/>
      <c r="M230" s="487"/>
      <c r="N230" s="487"/>
      <c r="P230" s="447"/>
      <c r="Q230" s="453"/>
      <c r="R230" s="453"/>
      <c r="S230" s="487"/>
      <c r="T230" s="487"/>
      <c r="W230" s="447"/>
      <c r="X230" s="451"/>
      <c r="Z230" s="446"/>
      <c r="AA230" s="451"/>
      <c r="AB230" s="528"/>
      <c r="AD230" s="530"/>
      <c r="AE230" s="453"/>
      <c r="AG230" s="446"/>
      <c r="AH230" s="452"/>
      <c r="AJ230" s="473"/>
      <c r="AK230" s="477"/>
      <c r="AL230" s="532"/>
      <c r="AN230" s="473"/>
      <c r="AO230" s="477"/>
      <c r="AP230" s="532"/>
      <c r="AR230" s="446">
        <f>D230+J230+P230+W230</f>
        <v>356.76900000000001</v>
      </c>
      <c r="AS230" s="452">
        <f>(AR230/AR223-1)*100</f>
        <v>10.876334796066779</v>
      </c>
      <c r="AU230" s="461">
        <f>+AU119</f>
        <v>2</v>
      </c>
      <c r="AV230" s="470"/>
      <c r="AW230" s="451"/>
      <c r="AX230" s="442"/>
      <c r="AY230" s="511"/>
      <c r="AZ230" s="459"/>
      <c r="BA230" s="462"/>
      <c r="BB230" s="511"/>
      <c r="BC230" s="416"/>
      <c r="BD230" s="459"/>
      <c r="BE230" s="416"/>
      <c r="BF230" s="459"/>
      <c r="BG230" s="416"/>
      <c r="BH230" s="416"/>
      <c r="BI230" s="416"/>
      <c r="BJ230" s="477"/>
    </row>
    <row r="231" spans="1:62" hidden="1" outlineLevel="1">
      <c r="B231" s="410" t="s">
        <v>251</v>
      </c>
      <c r="D231" s="490">
        <f>SUM(D227:D230)</f>
        <v>1155.2930000000001</v>
      </c>
      <c r="E231" s="453"/>
      <c r="F231" s="455"/>
      <c r="G231" s="487"/>
      <c r="H231" s="487"/>
      <c r="I231" s="490"/>
      <c r="J231" s="490"/>
      <c r="K231" s="453"/>
      <c r="L231" s="455"/>
      <c r="M231" s="487"/>
      <c r="N231" s="487"/>
      <c r="P231" s="490"/>
      <c r="Q231" s="453"/>
      <c r="R231" s="455"/>
      <c r="S231" s="487"/>
      <c r="T231" s="487"/>
      <c r="U231" s="490"/>
      <c r="V231" s="490"/>
      <c r="W231" s="490"/>
      <c r="X231" s="453"/>
      <c r="Z231" s="533"/>
      <c r="AA231" s="451"/>
      <c r="AB231" s="470"/>
      <c r="AD231" s="527"/>
      <c r="AE231" s="451"/>
      <c r="AF231" s="416"/>
      <c r="AG231" s="439"/>
      <c r="AH231" s="451"/>
      <c r="AI231" s="416"/>
      <c r="AJ231" s="439"/>
      <c r="AK231" s="439"/>
      <c r="AL231" s="451"/>
      <c r="AM231" s="416"/>
      <c r="AN231" s="439"/>
      <c r="AO231" s="439"/>
      <c r="AP231" s="451"/>
      <c r="AQ231" s="416"/>
      <c r="AR231" s="439">
        <f>D231+J231+P231+W231</f>
        <v>1155.2930000000001</v>
      </c>
      <c r="AS231" s="451"/>
      <c r="AT231" s="416"/>
      <c r="AU231" s="416"/>
      <c r="AV231" s="416"/>
      <c r="AX231" s="437"/>
      <c r="AY231" s="453"/>
      <c r="AZ231" s="454"/>
      <c r="BA231" s="435"/>
      <c r="BB231" s="453"/>
      <c r="BD231" s="454"/>
      <c r="BF231" s="454"/>
    </row>
    <row r="232" spans="1:62" hidden="1" outlineLevel="1">
      <c r="D232" s="490"/>
      <c r="E232" s="453"/>
      <c r="F232" s="455"/>
      <c r="G232" s="455"/>
      <c r="H232" s="455"/>
      <c r="I232" s="490"/>
      <c r="J232" s="490"/>
      <c r="K232" s="453"/>
      <c r="L232" s="455"/>
      <c r="M232" s="455"/>
      <c r="N232" s="455"/>
      <c r="P232" s="490"/>
      <c r="Q232" s="453"/>
      <c r="R232" s="455"/>
      <c r="S232" s="455"/>
      <c r="T232" s="455"/>
      <c r="U232" s="490"/>
      <c r="V232" s="490"/>
      <c r="W232" s="490"/>
      <c r="X232" s="453"/>
      <c r="Z232" s="439"/>
      <c r="AA232" s="451"/>
      <c r="AB232" s="470"/>
      <c r="AD232" s="527"/>
      <c r="AE232" s="451"/>
      <c r="AF232" s="416"/>
      <c r="AG232" s="439"/>
      <c r="AH232" s="451"/>
      <c r="AI232" s="416"/>
      <c r="AJ232" s="439"/>
      <c r="AK232" s="439"/>
      <c r="AL232" s="451"/>
      <c r="AM232" s="416"/>
      <c r="AN232" s="439"/>
      <c r="AO232" s="439"/>
      <c r="AP232" s="451"/>
      <c r="AQ232" s="416"/>
      <c r="AR232" s="439"/>
      <c r="AS232" s="451"/>
      <c r="AT232" s="416"/>
      <c r="AU232" s="416"/>
      <c r="AV232" s="416"/>
      <c r="AX232" s="437"/>
      <c r="AY232" s="453"/>
      <c r="AZ232" s="454"/>
      <c r="BA232" s="435"/>
      <c r="BB232" s="453"/>
      <c r="BD232" s="454"/>
      <c r="BF232" s="454"/>
    </row>
    <row r="233" spans="1:62" hidden="1" outlineLevel="1">
      <c r="B233" s="534" t="s">
        <v>108</v>
      </c>
      <c r="G233" s="455"/>
      <c r="H233" s="455"/>
      <c r="J233" s="476"/>
      <c r="M233" s="455"/>
      <c r="N233" s="455"/>
      <c r="P233" s="471"/>
      <c r="S233" s="455"/>
      <c r="T233" s="455"/>
      <c r="W233" s="471"/>
      <c r="Z233" s="432"/>
      <c r="AA233" s="416"/>
      <c r="AB233" s="433"/>
      <c r="AC233" s="416"/>
      <c r="AD233" s="458"/>
      <c r="AE233" s="416"/>
      <c r="AF233" s="416"/>
      <c r="AG233" s="432"/>
      <c r="AH233" s="433"/>
      <c r="AI233" s="416"/>
      <c r="AJ233" s="465"/>
      <c r="AK233" s="465"/>
      <c r="AL233" s="416"/>
      <c r="AM233" s="416"/>
      <c r="AN233" s="465"/>
      <c r="AO233" s="465"/>
      <c r="AP233" s="416"/>
      <c r="AQ233" s="416"/>
      <c r="AR233" s="432"/>
      <c r="AS233" s="433"/>
      <c r="AV233" s="416"/>
      <c r="AX233" s="459"/>
      <c r="AY233" s="416"/>
      <c r="AZ233" s="459"/>
      <c r="BA233" s="459"/>
      <c r="BB233" s="416"/>
      <c r="BC233" s="416"/>
      <c r="BD233" s="459"/>
      <c r="BE233" s="416"/>
      <c r="BF233" s="459"/>
      <c r="BG233" s="416"/>
      <c r="BH233" s="416"/>
      <c r="BI233" s="416"/>
      <c r="BJ233" s="416"/>
    </row>
    <row r="234" spans="1:62" hidden="1" outlineLevel="1">
      <c r="A234" s="410" t="s">
        <v>247</v>
      </c>
      <c r="B234" s="410" t="s">
        <v>224</v>
      </c>
      <c r="D234" s="437">
        <v>266.39</v>
      </c>
      <c r="E234" s="453">
        <f>(D234/D227-1)*100</f>
        <v>13.199449279303765</v>
      </c>
      <c r="F234" s="453"/>
      <c r="G234" s="487"/>
      <c r="H234" s="487"/>
      <c r="J234" s="437"/>
      <c r="K234" s="453"/>
      <c r="L234" s="453"/>
      <c r="M234" s="487"/>
      <c r="N234" s="487"/>
      <c r="P234" s="437"/>
      <c r="Q234" s="453"/>
      <c r="R234" s="453"/>
      <c r="S234" s="487"/>
      <c r="T234" s="487"/>
      <c r="W234" s="437"/>
      <c r="X234" s="487"/>
      <c r="Z234" s="436"/>
      <c r="AA234" s="451"/>
      <c r="AB234" s="528"/>
      <c r="AD234" s="474"/>
      <c r="AE234" s="453"/>
      <c r="AG234" s="436"/>
      <c r="AH234" s="452"/>
      <c r="AJ234" s="535">
        <f>AJ238-AJ235-AJ236-AJ237</f>
        <v>29.722999999999992</v>
      </c>
      <c r="AK234" s="535"/>
      <c r="AL234" s="453"/>
      <c r="AN234" s="535"/>
      <c r="AO234" s="535"/>
      <c r="AP234" s="453"/>
      <c r="AR234" s="436">
        <f>D234+J234+P234+W234</f>
        <v>266.39</v>
      </c>
      <c r="AS234" s="503">
        <f>(AR234/AR227-1)*100</f>
        <v>13.199449279303765</v>
      </c>
      <c r="AU234" s="461">
        <f>+AU123</f>
        <v>2</v>
      </c>
      <c r="AV234" s="439"/>
      <c r="AW234" s="451"/>
      <c r="AX234" s="437"/>
      <c r="AY234" s="470"/>
      <c r="AZ234" s="459"/>
      <c r="BA234" s="437"/>
      <c r="BB234" s="470"/>
      <c r="BC234" s="416"/>
      <c r="BD234" s="462"/>
      <c r="BE234" s="416"/>
      <c r="BF234" s="462"/>
      <c r="BG234" s="416"/>
      <c r="BH234" s="439"/>
      <c r="BI234" s="416"/>
      <c r="BJ234" s="439"/>
    </row>
    <row r="235" spans="1:62" hidden="1" outlineLevel="1">
      <c r="A235" s="410" t="s">
        <v>248</v>
      </c>
      <c r="B235" s="410" t="s">
        <v>225</v>
      </c>
      <c r="D235" s="440">
        <v>310.66399999999999</v>
      </c>
      <c r="E235" s="453">
        <f>(D235/D228-1)*100</f>
        <v>14.142108144452227</v>
      </c>
      <c r="F235" s="453"/>
      <c r="G235" s="487"/>
      <c r="H235" s="487"/>
      <c r="J235" s="440"/>
      <c r="K235" s="453"/>
      <c r="L235" s="453"/>
      <c r="M235" s="487"/>
      <c r="N235" s="487"/>
      <c r="P235" s="440"/>
      <c r="Q235" s="453"/>
      <c r="R235" s="453"/>
      <c r="S235" s="487"/>
      <c r="T235" s="487"/>
      <c r="W235" s="440"/>
      <c r="X235" s="451"/>
      <c r="Z235" s="441"/>
      <c r="AA235" s="451"/>
      <c r="AB235" s="528"/>
      <c r="AD235" s="474"/>
      <c r="AE235" s="453"/>
      <c r="AG235" s="441"/>
      <c r="AH235" s="452"/>
      <c r="AJ235" s="536">
        <v>38.698999999999998</v>
      </c>
      <c r="AK235" s="536"/>
      <c r="AL235" s="453"/>
      <c r="AN235" s="536"/>
      <c r="AO235" s="536"/>
      <c r="AP235" s="453"/>
      <c r="AR235" s="436">
        <f>D235+J235+P235+W235</f>
        <v>310.66399999999999</v>
      </c>
      <c r="AS235" s="503">
        <f>(AR235/AR228-1)*100</f>
        <v>14.142108144452227</v>
      </c>
      <c r="AU235" s="461">
        <f>+AU124</f>
        <v>4</v>
      </c>
      <c r="AV235" s="444"/>
      <c r="AW235" s="451"/>
      <c r="AX235" s="442"/>
      <c r="AY235" s="470"/>
      <c r="AZ235" s="459"/>
      <c r="BA235" s="462"/>
      <c r="BB235" s="470"/>
      <c r="BC235" s="416"/>
      <c r="BD235" s="462"/>
      <c r="BE235" s="416"/>
      <c r="BF235" s="462"/>
      <c r="BG235" s="416"/>
      <c r="BH235" s="477"/>
      <c r="BI235" s="416"/>
      <c r="BJ235" s="477"/>
    </row>
    <row r="236" spans="1:62" hidden="1" outlineLevel="1">
      <c r="A236" s="410" t="s">
        <v>249</v>
      </c>
      <c r="B236" s="410" t="s">
        <v>226</v>
      </c>
      <c r="D236" s="440">
        <v>331.84500000000003</v>
      </c>
      <c r="E236" s="453">
        <f>(D236/D229-1)*100</f>
        <v>14.027070025393185</v>
      </c>
      <c r="F236" s="453"/>
      <c r="G236" s="487"/>
      <c r="H236" s="487"/>
      <c r="J236" s="440"/>
      <c r="K236" s="453"/>
      <c r="L236" s="453"/>
      <c r="M236" s="487"/>
      <c r="N236" s="487"/>
      <c r="P236" s="440"/>
      <c r="Q236" s="453"/>
      <c r="R236" s="453"/>
      <c r="S236" s="487"/>
      <c r="T236" s="487"/>
      <c r="W236" s="440"/>
      <c r="X236" s="451"/>
      <c r="Z236" s="441"/>
      <c r="AA236" s="451"/>
      <c r="AB236" s="528"/>
      <c r="AD236" s="460"/>
      <c r="AE236" s="453"/>
      <c r="AG236" s="441"/>
      <c r="AH236" s="452"/>
      <c r="AJ236" s="472">
        <v>41.485999999999997</v>
      </c>
      <c r="AK236" s="472"/>
      <c r="AL236" s="532"/>
      <c r="AN236" s="472"/>
      <c r="AO236" s="472"/>
      <c r="AP236" s="532"/>
      <c r="AR236" s="436">
        <f>D236+J236+P236+W236</f>
        <v>331.84500000000003</v>
      </c>
      <c r="AS236" s="503">
        <f>(AR236/AR229-1)*100</f>
        <v>14.027070025393185</v>
      </c>
      <c r="AU236" s="461">
        <f>+AU125</f>
        <v>8</v>
      </c>
      <c r="AV236" s="470"/>
      <c r="AW236" s="451"/>
      <c r="AX236" s="442"/>
      <c r="AY236" s="511"/>
      <c r="AZ236" s="459"/>
      <c r="BA236" s="462"/>
      <c r="BB236" s="511"/>
      <c r="BC236" s="416"/>
      <c r="BD236" s="459"/>
      <c r="BE236" s="416"/>
      <c r="BF236" s="459"/>
      <c r="BG236" s="416"/>
      <c r="BH236" s="416"/>
      <c r="BI236" s="416"/>
      <c r="BJ236" s="477"/>
    </row>
    <row r="237" spans="1:62" hidden="1" outlineLevel="1">
      <c r="A237" s="410" t="s">
        <v>250</v>
      </c>
      <c r="B237" s="410" t="s">
        <v>227</v>
      </c>
      <c r="D237" s="447">
        <v>415.483</v>
      </c>
      <c r="E237" s="453">
        <f>(D237/D230-1)*100</f>
        <v>16.45714734183743</v>
      </c>
      <c r="F237" s="453"/>
      <c r="G237" s="506"/>
      <c r="H237" s="487"/>
      <c r="J237" s="447"/>
      <c r="K237" s="453"/>
      <c r="L237" s="453"/>
      <c r="M237" s="506"/>
      <c r="N237" s="487"/>
      <c r="P237" s="447"/>
      <c r="Q237" s="453"/>
      <c r="R237" s="453"/>
      <c r="S237" s="506"/>
      <c r="T237" s="487"/>
      <c r="W237" s="447"/>
      <c r="X237" s="451"/>
      <c r="Z237" s="446"/>
      <c r="AA237" s="451"/>
      <c r="AB237" s="528"/>
      <c r="AD237" s="530"/>
      <c r="AE237" s="453"/>
      <c r="AG237" s="446"/>
      <c r="AH237" s="452"/>
      <c r="AJ237" s="473">
        <v>38.732999999999997</v>
      </c>
      <c r="AK237" s="477"/>
      <c r="AL237" s="532"/>
      <c r="AN237" s="473"/>
      <c r="AO237" s="477"/>
      <c r="AP237" s="532"/>
      <c r="AR237" s="446">
        <v>856.83199999999999</v>
      </c>
      <c r="AS237" s="503">
        <f>(AR237/AR230-1)*100</f>
        <v>140.16436405629412</v>
      </c>
      <c r="AU237" s="461">
        <f>AU126</f>
        <v>11</v>
      </c>
      <c r="AV237" s="470"/>
      <c r="AW237" s="451"/>
      <c r="AX237" s="442"/>
      <c r="AY237" s="511"/>
      <c r="AZ237" s="459"/>
      <c r="BA237" s="462"/>
      <c r="BB237" s="511"/>
      <c r="BC237" s="416"/>
      <c r="BD237" s="459"/>
      <c r="BE237" s="416"/>
      <c r="BF237" s="459"/>
      <c r="BG237" s="416"/>
      <c r="BH237" s="416"/>
      <c r="BI237" s="416"/>
      <c r="BJ237" s="477"/>
    </row>
    <row r="238" spans="1:62" hidden="1" outlineLevel="1">
      <c r="B238" s="410" t="s">
        <v>251</v>
      </c>
      <c r="D238" s="490">
        <f>SUM(D234:D237)</f>
        <v>1324.3820000000001</v>
      </c>
      <c r="E238" s="453"/>
      <c r="F238" s="455"/>
      <c r="G238" s="487"/>
      <c r="H238" s="487"/>
      <c r="I238" s="490"/>
      <c r="J238" s="490"/>
      <c r="K238" s="453"/>
      <c r="L238" s="455"/>
      <c r="M238" s="487"/>
      <c r="N238" s="487"/>
      <c r="P238" s="490"/>
      <c r="Q238" s="453"/>
      <c r="R238" s="455"/>
      <c r="S238" s="487"/>
      <c r="T238" s="487"/>
      <c r="U238" s="490"/>
      <c r="V238" s="490"/>
      <c r="W238" s="490"/>
      <c r="X238" s="453"/>
      <c r="Z238" s="533"/>
      <c r="AA238" s="451"/>
      <c r="AB238" s="470"/>
      <c r="AD238" s="527"/>
      <c r="AE238" s="451"/>
      <c r="AF238" s="416"/>
      <c r="AG238" s="439"/>
      <c r="AH238" s="451"/>
      <c r="AI238" s="416"/>
      <c r="AJ238" s="439">
        <v>148.64099999999999</v>
      </c>
      <c r="AK238" s="439"/>
      <c r="AL238" s="451"/>
      <c r="AM238" s="416"/>
      <c r="AN238" s="439"/>
      <c r="AO238" s="439"/>
      <c r="AP238" s="451"/>
      <c r="AQ238" s="416"/>
      <c r="AR238" s="439">
        <f>D238+J238+P238+W238</f>
        <v>1324.3820000000001</v>
      </c>
      <c r="AS238" s="451"/>
      <c r="AT238" s="416"/>
      <c r="AU238" s="461">
        <v>7</v>
      </c>
      <c r="AV238" s="416"/>
      <c r="AX238" s="437"/>
      <c r="AY238" s="453"/>
      <c r="AZ238" s="454"/>
      <c r="BA238" s="435"/>
      <c r="BB238" s="453"/>
      <c r="BD238" s="454"/>
      <c r="BF238" s="454"/>
    </row>
    <row r="239" spans="1:62" hidden="1" outlineLevel="1">
      <c r="D239" s="490"/>
      <c r="E239" s="453"/>
      <c r="F239" s="455"/>
      <c r="G239" s="487"/>
      <c r="H239" s="487"/>
      <c r="I239" s="490"/>
      <c r="J239" s="490"/>
      <c r="K239" s="453"/>
      <c r="L239" s="455"/>
      <c r="M239" s="487"/>
      <c r="N239" s="487"/>
      <c r="P239" s="490"/>
      <c r="Q239" s="453"/>
      <c r="R239" s="455"/>
      <c r="S239" s="487"/>
      <c r="T239" s="487"/>
      <c r="U239" s="490"/>
      <c r="V239" s="490"/>
      <c r="W239" s="490"/>
      <c r="X239" s="453"/>
      <c r="Z239" s="439"/>
      <c r="AA239" s="451"/>
      <c r="AB239" s="470"/>
      <c r="AD239" s="527"/>
      <c r="AE239" s="451"/>
      <c r="AF239" s="416"/>
      <c r="AG239" s="439"/>
      <c r="AH239" s="451"/>
      <c r="AI239" s="416"/>
      <c r="AJ239" s="439"/>
      <c r="AK239" s="439"/>
      <c r="AL239" s="451"/>
      <c r="AM239" s="416"/>
      <c r="AN239" s="439"/>
      <c r="AO239" s="439"/>
      <c r="AP239" s="451"/>
      <c r="AQ239" s="416"/>
      <c r="AR239" s="439"/>
      <c r="AS239" s="451"/>
      <c r="AT239" s="416"/>
      <c r="AU239" s="416"/>
      <c r="AV239" s="416"/>
      <c r="AX239" s="437"/>
      <c r="AY239" s="453"/>
      <c r="AZ239" s="454"/>
      <c r="BA239" s="435"/>
      <c r="BB239" s="453"/>
      <c r="BD239" s="454"/>
      <c r="BF239" s="454"/>
    </row>
    <row r="240" spans="1:62" hidden="1" outlineLevel="1">
      <c r="B240" s="534" t="s">
        <v>150</v>
      </c>
      <c r="D240" s="490"/>
      <c r="E240" s="453"/>
      <c r="F240" s="455"/>
      <c r="G240" s="487"/>
      <c r="H240" s="487"/>
      <c r="I240" s="490"/>
      <c r="J240" s="490"/>
      <c r="K240" s="453"/>
      <c r="L240" s="455"/>
      <c r="M240" s="487"/>
      <c r="N240" s="487"/>
      <c r="P240" s="490"/>
      <c r="Q240" s="453"/>
      <c r="R240" s="455"/>
      <c r="S240" s="487"/>
      <c r="T240" s="487"/>
      <c r="U240" s="490"/>
      <c r="V240" s="490"/>
      <c r="W240" s="490"/>
      <c r="X240" s="453"/>
      <c r="Z240" s="439"/>
      <c r="AA240" s="451"/>
      <c r="AB240" s="470"/>
      <c r="AD240" s="527"/>
      <c r="AE240" s="451"/>
      <c r="AF240" s="416"/>
      <c r="AG240" s="439"/>
      <c r="AH240" s="451"/>
      <c r="AI240" s="416"/>
      <c r="AJ240" s="439"/>
      <c r="AK240" s="439"/>
      <c r="AL240" s="451"/>
      <c r="AM240" s="416"/>
      <c r="AN240" s="439"/>
      <c r="AO240" s="439"/>
      <c r="AP240" s="451"/>
      <c r="AQ240" s="416"/>
      <c r="AR240" s="439"/>
      <c r="AS240" s="451"/>
      <c r="AT240" s="416"/>
      <c r="AU240" s="416"/>
      <c r="AV240" s="416"/>
      <c r="AX240" s="437"/>
      <c r="AY240" s="453"/>
      <c r="AZ240" s="454"/>
      <c r="BA240" s="435"/>
      <c r="BB240" s="453"/>
      <c r="BD240" s="454"/>
      <c r="BF240" s="454"/>
    </row>
    <row r="241" spans="1:58" hidden="1" outlineLevel="1">
      <c r="A241" s="410" t="s">
        <v>247</v>
      </c>
      <c r="B241" s="410" t="s">
        <v>224</v>
      </c>
      <c r="D241" s="490"/>
      <c r="E241" s="453"/>
      <c r="F241" s="455"/>
      <c r="G241" s="455"/>
      <c r="H241" s="455"/>
      <c r="I241" s="490"/>
      <c r="J241" s="490"/>
      <c r="K241" s="453"/>
      <c r="L241" s="455"/>
      <c r="M241" s="455"/>
      <c r="N241" s="455"/>
      <c r="P241" s="490"/>
      <c r="Q241" s="453"/>
      <c r="R241" s="455"/>
      <c r="S241" s="455"/>
      <c r="T241" s="455"/>
      <c r="U241" s="490"/>
      <c r="V241" s="490"/>
      <c r="W241" s="490"/>
      <c r="X241" s="453"/>
      <c r="Z241" s="439"/>
      <c r="AA241" s="451"/>
      <c r="AB241" s="470"/>
      <c r="AD241" s="527"/>
      <c r="AE241" s="451"/>
      <c r="AF241" s="416"/>
      <c r="AG241" s="439"/>
      <c r="AH241" s="451"/>
      <c r="AI241" s="416"/>
      <c r="AJ241" s="439"/>
      <c r="AK241" s="439"/>
      <c r="AL241" s="451"/>
      <c r="AM241" s="416"/>
      <c r="AN241" s="439"/>
      <c r="AO241" s="439"/>
      <c r="AP241" s="451"/>
      <c r="AQ241" s="416"/>
      <c r="AR241" s="439"/>
      <c r="AS241" s="451"/>
      <c r="AT241" s="416"/>
      <c r="AU241" s="416"/>
      <c r="AV241" s="416"/>
      <c r="AX241" s="437"/>
      <c r="AY241" s="453"/>
      <c r="AZ241" s="454"/>
      <c r="BA241" s="435"/>
      <c r="BB241" s="453"/>
      <c r="BD241" s="454"/>
      <c r="BF241" s="454"/>
    </row>
    <row r="242" spans="1:58" hidden="1" outlineLevel="1">
      <c r="A242" s="410" t="s">
        <v>248</v>
      </c>
      <c r="B242" s="410" t="s">
        <v>225</v>
      </c>
      <c r="D242" s="490"/>
      <c r="E242" s="537"/>
      <c r="F242" s="455"/>
      <c r="G242" s="455"/>
      <c r="H242" s="455"/>
      <c r="I242" s="490"/>
      <c r="J242" s="490"/>
      <c r="K242" s="453"/>
      <c r="L242" s="455"/>
      <c r="M242" s="455"/>
      <c r="N242" s="455"/>
      <c r="P242" s="490"/>
      <c r="Q242" s="453"/>
      <c r="R242" s="455"/>
      <c r="S242" s="455"/>
      <c r="T242" s="455"/>
      <c r="U242" s="490"/>
      <c r="V242" s="490"/>
      <c r="W242" s="490"/>
      <c r="X242" s="453"/>
      <c r="Z242" s="439"/>
      <c r="AA242" s="451"/>
      <c r="AB242" s="470"/>
      <c r="AD242" s="527"/>
      <c r="AE242" s="451"/>
      <c r="AF242" s="416"/>
      <c r="AG242" s="439"/>
      <c r="AH242" s="451"/>
      <c r="AI242" s="416"/>
      <c r="AJ242" s="439"/>
      <c r="AK242" s="439"/>
      <c r="AL242" s="451"/>
      <c r="AM242" s="416"/>
      <c r="AN242" s="439"/>
      <c r="AO242" s="439"/>
      <c r="AP242" s="451"/>
      <c r="AQ242" s="416"/>
      <c r="AR242" s="439"/>
      <c r="AS242" s="451"/>
      <c r="AT242" s="416"/>
      <c r="AU242" s="416"/>
      <c r="AV242" s="416"/>
      <c r="AX242" s="437"/>
      <c r="AY242" s="453"/>
      <c r="AZ242" s="454"/>
      <c r="BA242" s="435"/>
      <c r="BB242" s="453"/>
      <c r="BD242" s="454"/>
      <c r="BF242" s="454"/>
    </row>
    <row r="243" spans="1:58" hidden="1" outlineLevel="1">
      <c r="A243" s="410" t="s">
        <v>249</v>
      </c>
      <c r="B243" s="410" t="s">
        <v>226</v>
      </c>
      <c r="D243" s="490"/>
      <c r="E243" s="537"/>
      <c r="J243" s="490"/>
      <c r="K243" s="537"/>
      <c r="AD243" s="527"/>
    </row>
    <row r="244" spans="1:58" hidden="1" outlineLevel="1">
      <c r="A244" s="410" t="s">
        <v>250</v>
      </c>
      <c r="B244" s="410" t="s">
        <v>227</v>
      </c>
      <c r="D244" s="490"/>
      <c r="E244" s="537"/>
      <c r="J244" s="449"/>
      <c r="P244" s="538"/>
      <c r="AD244" s="527"/>
    </row>
    <row r="245" spans="1:58" hidden="1" outlineLevel="1">
      <c r="B245" s="410" t="s">
        <v>251</v>
      </c>
      <c r="D245" s="490"/>
      <c r="E245" s="453"/>
      <c r="F245" s="455"/>
      <c r="G245" s="487"/>
      <c r="H245" s="487"/>
      <c r="I245" s="490"/>
      <c r="J245" s="490"/>
      <c r="K245" s="453"/>
      <c r="L245" s="455"/>
      <c r="M245" s="487"/>
      <c r="N245" s="487"/>
      <c r="P245" s="490"/>
      <c r="Q245" s="453"/>
      <c r="R245" s="455"/>
      <c r="S245" s="487"/>
      <c r="T245" s="487"/>
      <c r="U245" s="490"/>
      <c r="V245" s="490"/>
      <c r="W245" s="490"/>
      <c r="X245" s="453"/>
      <c r="Z245" s="533"/>
      <c r="AA245" s="451"/>
      <c r="AB245" s="470"/>
      <c r="AD245" s="527"/>
      <c r="AE245" s="451"/>
      <c r="AF245" s="416"/>
      <c r="AG245" s="439"/>
      <c r="AH245" s="451"/>
      <c r="AI245" s="416"/>
      <c r="AJ245" s="439"/>
      <c r="AK245" s="439"/>
      <c r="AL245" s="451"/>
      <c r="AM245" s="416"/>
      <c r="AN245" s="439"/>
      <c r="AO245" s="439"/>
      <c r="AP245" s="451"/>
      <c r="AQ245" s="416"/>
      <c r="AR245" s="439"/>
      <c r="AS245" s="451"/>
      <c r="AT245" s="416"/>
      <c r="AU245" s="416"/>
    </row>
    <row r="246" spans="1:58" collapsed="1">
      <c r="D246" s="482"/>
      <c r="H246" s="539"/>
      <c r="J246" s="482"/>
      <c r="N246" s="539"/>
      <c r="P246" s="490"/>
      <c r="T246" s="540"/>
      <c r="AD246" s="527"/>
      <c r="AG246" s="449"/>
    </row>
    <row r="247" spans="1:58">
      <c r="P247" s="490"/>
      <c r="T247" s="540"/>
    </row>
    <row r="248" spans="1:58">
      <c r="A248" s="541" t="s">
        <v>161</v>
      </c>
      <c r="P248" s="490"/>
      <c r="T248" s="540"/>
    </row>
    <row r="249" spans="1:58">
      <c r="D249" s="482"/>
      <c r="H249" s="540"/>
      <c r="J249" s="482"/>
      <c r="P249" s="490"/>
      <c r="T249" s="540"/>
    </row>
    <row r="250" spans="1:58">
      <c r="H250" s="539"/>
      <c r="N250" s="539"/>
      <c r="P250" s="490"/>
      <c r="R250" s="449"/>
      <c r="T250" s="539"/>
    </row>
    <row r="251" spans="1:58">
      <c r="H251" s="539"/>
      <c r="N251" s="539"/>
      <c r="T251" s="539"/>
    </row>
    <row r="252" spans="1:58">
      <c r="P252" s="525"/>
      <c r="T252" s="540"/>
    </row>
    <row r="253" spans="1:58">
      <c r="H253" s="539"/>
      <c r="P253" s="449"/>
      <c r="T253" s="540"/>
    </row>
    <row r="254" spans="1:58">
      <c r="H254" s="539"/>
      <c r="J254" s="457"/>
      <c r="P254" s="449"/>
      <c r="R254" s="449"/>
      <c r="T254" s="540"/>
    </row>
    <row r="255" spans="1:58">
      <c r="H255" s="539"/>
      <c r="J255" s="457"/>
      <c r="R255" s="449"/>
      <c r="T255" s="540"/>
    </row>
    <row r="260" spans="8:8">
      <c r="H260" s="531"/>
    </row>
  </sheetData>
  <mergeCells count="1">
    <mergeCell ref="AU6:AV6"/>
  </mergeCells>
  <phoneticPr fontId="0" type="noConversion"/>
  <printOptions horizontalCentered="1"/>
  <pageMargins left="0" right="0" top="0.5" bottom="0" header="0.5" footer="0.5"/>
  <pageSetup scale="51" orientation="landscape" r:id="rId1"/>
  <headerFooter alignWithMargins="0">
    <oddFooter>&amp;R&amp;8&amp;D/&amp;T
&amp;F/&amp;A</oddFooter>
  </headerFooter>
  <rowBreaks count="1" manualBreakCount="1">
    <brk id="97" max="48" man="1"/>
  </rowBreaks>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tabColor indexed="59"/>
  </sheetPr>
  <dimension ref="A1:CR934"/>
  <sheetViews>
    <sheetView zoomScale="85" zoomScaleNormal="85" workbookViewId="0">
      <pane xSplit="3" ySplit="9" topLeftCell="D541" activePane="bottomRight" state="frozen"/>
      <selection activeCell="AD28" sqref="AD28"/>
      <selection pane="topRight" activeCell="AD28" sqref="AD28"/>
      <selection pane="bottomLeft" activeCell="AD28" sqref="AD28"/>
      <selection pane="bottomRight" activeCell="T641" sqref="T641"/>
    </sheetView>
  </sheetViews>
  <sheetFormatPr defaultRowHeight="12.75" outlineLevelRow="2" outlineLevelCol="1"/>
  <cols>
    <col min="1" max="1" width="2.7109375" style="410" customWidth="1"/>
    <col min="2" max="2" width="8.28515625" style="410" bestFit="1" customWidth="1"/>
    <col min="3" max="3" width="1.28515625" style="410" customWidth="1"/>
    <col min="4" max="4" width="8" style="410" bestFit="1" customWidth="1"/>
    <col min="5" max="5" width="1.7109375" style="410" customWidth="1"/>
    <col min="6" max="6" width="7.28515625" style="410" customWidth="1"/>
    <col min="7" max="7" width="10.85546875" style="410" hidden="1" customWidth="1" outlineLevel="1"/>
    <col min="8" max="8" width="1.5703125" style="410" customWidth="1" collapsed="1"/>
    <col min="9" max="9" width="9.140625" style="410"/>
    <col min="10" max="10" width="1.7109375" style="410" customWidth="1"/>
    <col min="11" max="11" width="6.42578125" style="410" customWidth="1"/>
    <col min="12" max="14" width="6.42578125" style="410" hidden="1" customWidth="1" outlineLevel="1"/>
    <col min="15" max="15" width="1.28515625" style="410" customWidth="1" collapsed="1"/>
    <col min="16" max="16" width="6.85546875" style="410" customWidth="1"/>
    <col min="17" max="17" width="1.28515625" style="410" customWidth="1"/>
    <col min="18" max="18" width="8.42578125" style="410" customWidth="1"/>
    <col min="19" max="19" width="1.7109375" style="410" customWidth="1"/>
    <col min="20" max="20" width="9.140625" style="410"/>
    <col min="21" max="21" width="4" style="410" customWidth="1"/>
    <col min="22" max="22" width="1.28515625" style="410" customWidth="1"/>
    <col min="23" max="23" width="9.5703125" style="410" bestFit="1" customWidth="1"/>
    <col min="24" max="24" width="8.140625" style="410" hidden="1" customWidth="1" outlineLevel="1"/>
    <col min="25" max="25" width="1.5703125" style="410" customWidth="1" collapsed="1"/>
    <col min="26" max="26" width="10.28515625" style="410" customWidth="1"/>
    <col min="27" max="27" width="1.28515625" style="410" customWidth="1"/>
    <col min="28" max="28" width="8.7109375" style="410" bestFit="1" customWidth="1"/>
    <col min="29" max="30" width="1.7109375" style="410" customWidth="1"/>
    <col min="31" max="31" width="6.42578125" style="410" customWidth="1"/>
    <col min="32" max="32" width="1.28515625" style="410" customWidth="1"/>
    <col min="33" max="33" width="6.28515625" style="410" customWidth="1"/>
    <col min="34" max="34" width="1.28515625" style="410" customWidth="1"/>
    <col min="35" max="35" width="7.85546875" style="410" customWidth="1"/>
    <col min="36" max="36" width="1.7109375" style="410" customWidth="1"/>
    <col min="37" max="37" width="8.5703125" style="410" customWidth="1"/>
    <col min="38" max="38" width="4" style="410" customWidth="1"/>
    <col min="39" max="39" width="1.140625" style="410" customWidth="1"/>
    <col min="40" max="40" width="8.5703125" style="410" customWidth="1"/>
    <col min="41" max="41" width="1.28515625" style="410" customWidth="1"/>
    <col min="42" max="42" width="8.5703125" style="410" customWidth="1"/>
    <col min="43" max="43" width="1.28515625" style="410" hidden="1" customWidth="1" outlineLevel="1"/>
    <col min="44" max="44" width="7.140625" style="410" hidden="1" customWidth="1" outlineLevel="1"/>
    <col min="45" max="45" width="1.28515625" style="410" customWidth="1" collapsed="1"/>
    <col min="46" max="46" width="6.140625" style="410" customWidth="1"/>
    <col min="47" max="47" width="1.7109375" style="410" customWidth="1"/>
    <col min="48" max="49" width="9.140625" style="410" hidden="1" customWidth="1" outlineLevel="1"/>
    <col min="50" max="50" width="1.7109375" style="410" hidden="1" customWidth="1" outlineLevel="1"/>
    <col min="51" max="51" width="9.140625" style="410" hidden="1" customWidth="1" outlineLevel="1"/>
    <col min="52" max="52" width="1.7109375" style="410" hidden="1" customWidth="1" outlineLevel="1"/>
    <col min="53" max="53" width="9.140625" style="410" hidden="1" customWidth="1" outlineLevel="1"/>
    <col min="54" max="54" width="0.85546875" style="410" hidden="1" customWidth="1" outlineLevel="1"/>
    <col min="55" max="55" width="9.140625" style="410" hidden="1" customWidth="1" outlineLevel="1"/>
    <col min="56" max="56" width="0.85546875" style="410" hidden="1" customWidth="1" outlineLevel="1"/>
    <col min="57" max="57" width="9.140625" style="410" hidden="1" customWidth="1" outlineLevel="1"/>
    <col min="58" max="58" width="0.85546875" style="410" hidden="1" customWidth="1" outlineLevel="1"/>
    <col min="59" max="91" width="9.140625" style="410" hidden="1" customWidth="1" outlineLevel="1"/>
    <col min="92" max="92" width="11" style="410" hidden="1" customWidth="1" outlineLevel="1"/>
    <col min="93" max="95" width="9.140625" style="410" hidden="1" customWidth="1" outlineLevel="1"/>
    <col min="96" max="96" width="9.140625" style="410" collapsed="1"/>
    <col min="97" max="16384" width="9.140625" style="410"/>
  </cols>
  <sheetData>
    <row r="1" spans="1:95">
      <c r="A1" s="412" t="str">
        <f>sumry!A1</f>
        <v>Urban Outfitters, Inc.</v>
      </c>
      <c r="B1" s="555"/>
      <c r="C1" s="412"/>
      <c r="D1" s="412"/>
      <c r="E1" s="556"/>
      <c r="F1" s="556"/>
      <c r="G1" s="412"/>
      <c r="H1" s="412"/>
      <c r="I1" s="412"/>
      <c r="J1" s="556"/>
      <c r="K1" s="557"/>
      <c r="L1" s="557"/>
      <c r="M1" s="557"/>
      <c r="N1" s="557"/>
      <c r="O1" s="557"/>
      <c r="P1" s="557"/>
      <c r="Q1" s="558"/>
      <c r="R1" s="557"/>
      <c r="S1" s="556"/>
      <c r="T1" s="557"/>
      <c r="U1" s="557"/>
      <c r="V1" s="558"/>
      <c r="W1" s="558"/>
      <c r="X1" s="557"/>
      <c r="Y1" s="557"/>
      <c r="Z1" s="558"/>
      <c r="AA1" s="558"/>
      <c r="AB1" s="557"/>
      <c r="AC1" s="423"/>
      <c r="AD1" s="557"/>
      <c r="AE1" s="557"/>
      <c r="AF1" s="557"/>
      <c r="AG1" s="557"/>
      <c r="AH1" s="558"/>
      <c r="AI1" s="557"/>
      <c r="AJ1" s="558"/>
      <c r="AK1" s="557"/>
      <c r="AL1" s="557"/>
      <c r="AM1" s="558"/>
      <c r="AN1" s="557"/>
      <c r="AO1" s="557"/>
      <c r="AP1" s="558"/>
      <c r="AQ1" s="557"/>
      <c r="AR1" s="558"/>
      <c r="AS1" s="558"/>
      <c r="AT1" s="557"/>
      <c r="AU1" s="423"/>
    </row>
    <row r="2" spans="1:95">
      <c r="A2" s="414" t="s">
        <v>125</v>
      </c>
      <c r="B2" s="559"/>
      <c r="C2" s="560"/>
      <c r="D2" s="560"/>
      <c r="E2" s="561"/>
      <c r="F2" s="561"/>
      <c r="G2" s="560"/>
      <c r="H2" s="560"/>
      <c r="I2" s="560"/>
      <c r="J2" s="561"/>
      <c r="K2" s="560"/>
      <c r="L2" s="560"/>
      <c r="M2" s="560"/>
      <c r="N2" s="560"/>
      <c r="O2" s="560"/>
      <c r="P2" s="560"/>
      <c r="Q2" s="561"/>
      <c r="R2" s="560"/>
      <c r="S2" s="561"/>
      <c r="T2" s="560"/>
      <c r="U2" s="560"/>
      <c r="V2" s="561"/>
      <c r="W2" s="561"/>
      <c r="X2" s="560"/>
      <c r="Y2" s="560"/>
      <c r="Z2" s="561"/>
      <c r="AA2" s="561"/>
      <c r="AB2" s="560"/>
      <c r="AC2" s="427"/>
      <c r="AD2" s="560"/>
      <c r="AE2" s="560"/>
      <c r="AF2" s="560"/>
      <c r="AG2" s="560"/>
      <c r="AH2" s="561"/>
      <c r="AI2" s="560"/>
      <c r="AJ2" s="561"/>
      <c r="AK2" s="560"/>
      <c r="AL2" s="560"/>
      <c r="AM2" s="561"/>
      <c r="AN2" s="560"/>
      <c r="AO2" s="560"/>
      <c r="AP2" s="561"/>
      <c r="AQ2" s="560"/>
      <c r="AR2" s="561"/>
      <c r="AS2" s="561"/>
      <c r="AT2" s="560"/>
      <c r="AU2" s="427"/>
    </row>
    <row r="3" spans="1:95">
      <c r="B3" s="562"/>
      <c r="AC3" s="563"/>
      <c r="AU3" s="563"/>
    </row>
    <row r="4" spans="1:95">
      <c r="B4" s="562"/>
      <c r="AC4" s="563"/>
      <c r="AU4" s="563"/>
    </row>
    <row r="5" spans="1:95">
      <c r="B5" s="562"/>
      <c r="K5" s="564" t="s">
        <v>479</v>
      </c>
      <c r="L5" s="565"/>
      <c r="M5" s="565"/>
      <c r="N5" s="565"/>
      <c r="O5" s="565"/>
      <c r="P5" s="565"/>
      <c r="Q5" s="565"/>
      <c r="R5" s="565"/>
      <c r="S5" s="565"/>
      <c r="T5" s="565"/>
      <c r="U5" s="565"/>
      <c r="V5" s="565"/>
      <c r="W5" s="565"/>
      <c r="X5" s="565"/>
      <c r="Y5" s="565"/>
      <c r="Z5" s="565"/>
      <c r="AA5" s="565"/>
      <c r="AB5" s="565"/>
      <c r="AC5" s="566"/>
      <c r="AE5" s="564" t="s">
        <v>480</v>
      </c>
      <c r="AF5" s="565"/>
      <c r="AG5" s="565"/>
      <c r="AH5" s="565"/>
      <c r="AI5" s="565"/>
      <c r="AJ5" s="565"/>
      <c r="AK5" s="565"/>
      <c r="AL5" s="565"/>
      <c r="AM5" s="565"/>
      <c r="AN5" s="565"/>
      <c r="AO5" s="565"/>
      <c r="AP5" s="565"/>
      <c r="AQ5" s="565"/>
      <c r="AR5" s="565"/>
      <c r="AS5" s="565"/>
      <c r="AT5" s="565"/>
      <c r="AU5" s="566"/>
    </row>
    <row r="6" spans="1:95">
      <c r="B6" s="562"/>
      <c r="D6" s="560"/>
      <c r="E6" s="427" t="s">
        <v>295</v>
      </c>
      <c r="F6" s="427"/>
      <c r="G6" s="560"/>
      <c r="I6" s="421" t="s">
        <v>332</v>
      </c>
      <c r="T6" s="567" t="s">
        <v>343</v>
      </c>
      <c r="U6" s="567"/>
      <c r="X6" s="416"/>
      <c r="Y6" s="416"/>
      <c r="Z6" s="568" t="s">
        <v>477</v>
      </c>
      <c r="AA6" s="415"/>
      <c r="AB6" s="415"/>
      <c r="AC6" s="563"/>
      <c r="AK6" s="567" t="s">
        <v>343</v>
      </c>
      <c r="AL6" s="567"/>
      <c r="AN6" s="415"/>
      <c r="AO6" s="415"/>
      <c r="AP6" s="427" t="s">
        <v>478</v>
      </c>
      <c r="AQ6" s="415"/>
      <c r="AR6" s="427" t="s">
        <v>478</v>
      </c>
      <c r="AS6" s="415"/>
      <c r="AT6" s="415"/>
      <c r="AU6" s="563"/>
    </row>
    <row r="7" spans="1:95">
      <c r="B7" s="562"/>
      <c r="D7" s="421"/>
      <c r="E7" s="421"/>
      <c r="F7" s="421" t="s">
        <v>500</v>
      </c>
      <c r="G7" s="421" t="s">
        <v>152</v>
      </c>
      <c r="H7" s="421"/>
      <c r="I7" s="427" t="s">
        <v>333</v>
      </c>
      <c r="K7" s="427"/>
      <c r="L7" s="427"/>
      <c r="M7" s="427"/>
      <c r="N7" s="427"/>
      <c r="O7" s="427" t="s">
        <v>338</v>
      </c>
      <c r="P7" s="427"/>
      <c r="Q7" s="421"/>
      <c r="R7" s="421" t="s">
        <v>341</v>
      </c>
      <c r="T7" s="567" t="s">
        <v>344</v>
      </c>
      <c r="U7" s="567"/>
      <c r="W7" s="423" t="s">
        <v>148</v>
      </c>
      <c r="X7" s="423" t="s">
        <v>325</v>
      </c>
      <c r="Z7" s="421" t="s">
        <v>348</v>
      </c>
      <c r="AB7" s="421" t="s">
        <v>350</v>
      </c>
      <c r="AC7" s="563"/>
      <c r="AE7" s="427"/>
      <c r="AF7" s="427" t="s">
        <v>391</v>
      </c>
      <c r="AG7" s="427"/>
      <c r="AH7" s="421"/>
      <c r="AI7" s="421" t="s">
        <v>341</v>
      </c>
      <c r="AK7" s="567" t="s">
        <v>344</v>
      </c>
      <c r="AL7" s="567"/>
      <c r="AP7" s="421" t="s">
        <v>348</v>
      </c>
      <c r="AR7" s="421" t="s">
        <v>348</v>
      </c>
      <c r="AT7" s="421" t="s">
        <v>350</v>
      </c>
      <c r="AU7" s="563"/>
      <c r="AV7" s="421" t="s">
        <v>103</v>
      </c>
      <c r="BJ7" s="412" t="s">
        <v>377</v>
      </c>
      <c r="BK7" s="412" t="s">
        <v>377</v>
      </c>
      <c r="BL7" s="412" t="s">
        <v>377</v>
      </c>
      <c r="BM7" s="412" t="s">
        <v>377</v>
      </c>
      <c r="BO7" s="412" t="s">
        <v>377</v>
      </c>
      <c r="BP7" s="412" t="s">
        <v>377</v>
      </c>
      <c r="BQ7" s="412" t="s">
        <v>377</v>
      </c>
      <c r="BR7" s="412" t="s">
        <v>377</v>
      </c>
      <c r="BT7" s="569" t="s">
        <v>295</v>
      </c>
      <c r="BU7" s="570"/>
      <c r="BV7" s="570"/>
      <c r="BW7" s="570"/>
      <c r="CD7" s="569" t="s">
        <v>295</v>
      </c>
      <c r="CE7" s="570"/>
      <c r="CF7" s="570"/>
      <c r="CG7" s="570"/>
      <c r="CI7" s="569" t="s">
        <v>676</v>
      </c>
      <c r="CJ7" s="570"/>
      <c r="CK7" s="570"/>
      <c r="CL7" s="570"/>
      <c r="CN7" s="569" t="s">
        <v>676</v>
      </c>
      <c r="CO7" s="570"/>
      <c r="CP7" s="570"/>
      <c r="CQ7" s="570"/>
    </row>
    <row r="8" spans="1:95">
      <c r="B8" s="562"/>
      <c r="D8" s="427" t="s">
        <v>330</v>
      </c>
      <c r="E8" s="421"/>
      <c r="F8" s="421" t="s">
        <v>331</v>
      </c>
      <c r="G8" s="427" t="s">
        <v>331</v>
      </c>
      <c r="H8" s="421"/>
      <c r="I8" s="421" t="s">
        <v>334</v>
      </c>
      <c r="K8" s="427" t="s">
        <v>330</v>
      </c>
      <c r="L8" s="423" t="s">
        <v>668</v>
      </c>
      <c r="M8" s="423" t="s">
        <v>669</v>
      </c>
      <c r="N8" s="423" t="s">
        <v>670</v>
      </c>
      <c r="O8" s="421"/>
      <c r="P8" s="427" t="s">
        <v>323</v>
      </c>
      <c r="Q8" s="421"/>
      <c r="R8" s="427" t="s">
        <v>208</v>
      </c>
      <c r="T8" s="571" t="s">
        <v>345</v>
      </c>
      <c r="U8" s="571"/>
      <c r="W8" s="427" t="s">
        <v>52</v>
      </c>
      <c r="X8" s="427" t="s">
        <v>151</v>
      </c>
      <c r="Z8" s="427" t="s">
        <v>325</v>
      </c>
      <c r="AB8" s="427" t="s">
        <v>326</v>
      </c>
      <c r="AC8" s="563"/>
      <c r="AE8" s="427" t="s">
        <v>330</v>
      </c>
      <c r="AF8" s="421"/>
      <c r="AG8" s="427" t="s">
        <v>323</v>
      </c>
      <c r="AH8" s="421"/>
      <c r="AI8" s="427" t="s">
        <v>208</v>
      </c>
      <c r="AK8" s="571" t="s">
        <v>476</v>
      </c>
      <c r="AL8" s="571"/>
      <c r="AN8" s="427" t="s">
        <v>330</v>
      </c>
      <c r="AP8" s="427" t="s">
        <v>646</v>
      </c>
      <c r="AR8" s="427" t="s">
        <v>471</v>
      </c>
      <c r="AT8" s="427" t="s">
        <v>326</v>
      </c>
      <c r="AU8" s="563"/>
      <c r="AV8" s="427" t="s">
        <v>295</v>
      </c>
      <c r="BI8" s="421" t="s">
        <v>330</v>
      </c>
      <c r="BJ8" s="421" t="s">
        <v>671</v>
      </c>
      <c r="BK8" s="421" t="s">
        <v>671</v>
      </c>
      <c r="BL8" s="421" t="s">
        <v>494</v>
      </c>
      <c r="BM8" s="421" t="s">
        <v>494</v>
      </c>
      <c r="BN8" s="421"/>
      <c r="BO8" s="421" t="s">
        <v>671</v>
      </c>
      <c r="BP8" s="421" t="s">
        <v>671</v>
      </c>
      <c r="BQ8" s="421" t="s">
        <v>494</v>
      </c>
      <c r="BR8" s="421" t="s">
        <v>494</v>
      </c>
      <c r="BT8" s="421" t="s">
        <v>671</v>
      </c>
      <c r="BU8" s="421" t="s">
        <v>671</v>
      </c>
      <c r="BV8" s="421" t="s">
        <v>494</v>
      </c>
      <c r="BW8" s="421" t="s">
        <v>494</v>
      </c>
      <c r="BX8" s="421"/>
      <c r="BY8" s="421" t="s">
        <v>671</v>
      </c>
      <c r="BZ8" s="421" t="s">
        <v>671</v>
      </c>
      <c r="CA8" s="421" t="s">
        <v>494</v>
      </c>
      <c r="CB8" s="421" t="s">
        <v>494</v>
      </c>
      <c r="CD8" s="421" t="s">
        <v>671</v>
      </c>
      <c r="CE8" s="421" t="s">
        <v>671</v>
      </c>
      <c r="CF8" s="421" t="s">
        <v>494</v>
      </c>
      <c r="CG8" s="421" t="s">
        <v>494</v>
      </c>
      <c r="CI8" s="421" t="s">
        <v>671</v>
      </c>
      <c r="CJ8" s="421" t="s">
        <v>671</v>
      </c>
      <c r="CK8" s="421" t="s">
        <v>494</v>
      </c>
      <c r="CL8" s="421" t="s">
        <v>494</v>
      </c>
      <c r="CN8" s="421" t="s">
        <v>671</v>
      </c>
      <c r="CO8" s="421" t="s">
        <v>671</v>
      </c>
      <c r="CP8" s="421" t="s">
        <v>494</v>
      </c>
      <c r="CQ8" s="421" t="s">
        <v>494</v>
      </c>
    </row>
    <row r="9" spans="1:95">
      <c r="B9" s="562"/>
      <c r="D9" s="572" t="s">
        <v>336</v>
      </c>
      <c r="E9" s="421"/>
      <c r="F9" s="572" t="s">
        <v>337</v>
      </c>
      <c r="G9" s="572" t="s">
        <v>335</v>
      </c>
      <c r="H9" s="421"/>
      <c r="I9" s="572" t="s">
        <v>339</v>
      </c>
      <c r="K9" s="572" t="s">
        <v>340</v>
      </c>
      <c r="L9" s="572"/>
      <c r="M9" s="572"/>
      <c r="N9" s="572"/>
      <c r="O9" s="421"/>
      <c r="P9" s="572" t="s">
        <v>342</v>
      </c>
      <c r="Q9" s="421"/>
      <c r="R9" s="573" t="s">
        <v>346</v>
      </c>
      <c r="T9" s="573" t="s">
        <v>347</v>
      </c>
      <c r="U9" s="573"/>
      <c r="W9" s="572" t="s">
        <v>349</v>
      </c>
      <c r="X9" s="572" t="s">
        <v>351</v>
      </c>
      <c r="Z9" s="572" t="s">
        <v>468</v>
      </c>
      <c r="AB9" s="572" t="s">
        <v>469</v>
      </c>
      <c r="AC9" s="563"/>
      <c r="AE9" s="572" t="s">
        <v>470</v>
      </c>
      <c r="AF9" s="421"/>
      <c r="AG9" s="572" t="s">
        <v>472</v>
      </c>
      <c r="AH9" s="421"/>
      <c r="AI9" s="572" t="s">
        <v>473</v>
      </c>
      <c r="AK9" s="572" t="s">
        <v>474</v>
      </c>
      <c r="AL9" s="573"/>
      <c r="AN9" s="572" t="s">
        <v>475</v>
      </c>
      <c r="AP9" s="572" t="s">
        <v>154</v>
      </c>
      <c r="AR9" s="572" t="s">
        <v>154</v>
      </c>
      <c r="AT9" s="572" t="s">
        <v>155</v>
      </c>
      <c r="AU9" s="563"/>
      <c r="BA9" s="427" t="s">
        <v>97</v>
      </c>
      <c r="BB9" s="427"/>
      <c r="BC9" s="427" t="s">
        <v>98</v>
      </c>
      <c r="BD9" s="427"/>
      <c r="BE9" s="427" t="s">
        <v>99</v>
      </c>
      <c r="BF9" s="427"/>
      <c r="BG9" s="427" t="s">
        <v>98</v>
      </c>
      <c r="BI9" s="421" t="s">
        <v>295</v>
      </c>
      <c r="BJ9" s="421" t="s">
        <v>672</v>
      </c>
      <c r="BK9" s="421" t="s">
        <v>673</v>
      </c>
      <c r="BL9" s="421" t="s">
        <v>672</v>
      </c>
      <c r="BM9" s="421" t="s">
        <v>673</v>
      </c>
      <c r="BN9" s="421"/>
      <c r="BO9" s="421" t="s">
        <v>674</v>
      </c>
      <c r="BP9" s="421" t="s">
        <v>675</v>
      </c>
      <c r="BQ9" s="421" t="s">
        <v>674</v>
      </c>
      <c r="BR9" s="421" t="s">
        <v>675</v>
      </c>
      <c r="BT9" s="421" t="s">
        <v>672</v>
      </c>
      <c r="BU9" s="421" t="s">
        <v>673</v>
      </c>
      <c r="BV9" s="421" t="s">
        <v>672</v>
      </c>
      <c r="BW9" s="421" t="s">
        <v>673</v>
      </c>
      <c r="BX9" s="421"/>
      <c r="BY9" s="421" t="s">
        <v>674</v>
      </c>
      <c r="BZ9" s="421" t="s">
        <v>675</v>
      </c>
      <c r="CA9" s="421" t="s">
        <v>674</v>
      </c>
      <c r="CB9" s="421" t="s">
        <v>675</v>
      </c>
      <c r="CD9" s="421" t="s">
        <v>677</v>
      </c>
      <c r="CE9" s="421" t="s">
        <v>678</v>
      </c>
      <c r="CF9" s="421" t="s">
        <v>679</v>
      </c>
      <c r="CG9" s="421" t="s">
        <v>678</v>
      </c>
      <c r="CI9" s="421" t="s">
        <v>672</v>
      </c>
      <c r="CJ9" s="421" t="s">
        <v>673</v>
      </c>
      <c r="CK9" s="421" t="s">
        <v>672</v>
      </c>
      <c r="CL9" s="421" t="s">
        <v>673</v>
      </c>
      <c r="CN9" s="421" t="s">
        <v>677</v>
      </c>
      <c r="CO9" s="421" t="s">
        <v>678</v>
      </c>
      <c r="CP9" s="421" t="s">
        <v>679</v>
      </c>
      <c r="CQ9" s="421" t="s">
        <v>678</v>
      </c>
    </row>
    <row r="10" spans="1:95" ht="12.75" customHeight="1">
      <c r="A10" s="574" t="s">
        <v>149</v>
      </c>
      <c r="B10" s="575"/>
      <c r="T10" s="416"/>
      <c r="U10" s="416"/>
      <c r="AC10" s="563"/>
      <c r="AK10" s="416"/>
      <c r="AL10" s="416"/>
      <c r="AU10" s="563"/>
    </row>
    <row r="11" spans="1:95" ht="12.75" hidden="1" customHeight="1" outlineLevel="1">
      <c r="A11" s="576"/>
      <c r="B11" s="577">
        <v>1994</v>
      </c>
      <c r="T11" s="416"/>
      <c r="U11" s="416"/>
      <c r="AC11" s="563"/>
      <c r="AK11" s="416"/>
      <c r="AL11" s="416"/>
      <c r="AU11" s="563"/>
    </row>
    <row r="12" spans="1:95" ht="12.75" hidden="1" customHeight="1" outlineLevel="1">
      <c r="A12" s="410" t="str">
        <f>'qtrP&amp;L'!A10</f>
        <v>1Q</v>
      </c>
      <c r="B12" s="562" t="str">
        <f>'qtrP&amp;L'!B10</f>
        <v>Apr</v>
      </c>
      <c r="K12" s="454">
        <v>17</v>
      </c>
      <c r="L12" s="454"/>
      <c r="M12" s="454"/>
      <c r="N12" s="454"/>
      <c r="P12" s="578">
        <v>17</v>
      </c>
      <c r="T12" s="416"/>
      <c r="U12" s="416"/>
      <c r="X12" s="579">
        <f>'qtrP&amp;L'!D10</f>
        <v>23.14</v>
      </c>
      <c r="Z12" s="580">
        <f>X12/P12</f>
        <v>1.3611764705882354</v>
      </c>
      <c r="AC12" s="563"/>
      <c r="AE12" s="581">
        <f>+(0.160887+0.007714)/0.75</f>
        <v>0.22480133333333333</v>
      </c>
      <c r="AG12" s="582">
        <f>+(AE12+(0.160887+0.007714)/0.75)/2</f>
        <v>0.22480133333333333</v>
      </c>
      <c r="AK12" s="416"/>
      <c r="AL12" s="416"/>
      <c r="AN12" s="579">
        <f>+X12</f>
        <v>23.14</v>
      </c>
      <c r="AP12" s="583">
        <f>AL12/AE12</f>
        <v>0</v>
      </c>
      <c r="AR12" s="583">
        <f>AN12/AG12</f>
        <v>102.93533253064929</v>
      </c>
      <c r="AU12" s="563"/>
    </row>
    <row r="13" spans="1:95" ht="12.75" hidden="1" customHeight="1" outlineLevel="1">
      <c r="A13" s="410" t="str">
        <f>'qtrP&amp;L'!A11</f>
        <v>2Q</v>
      </c>
      <c r="B13" s="562" t="str">
        <f>'qtrP&amp;L'!B11</f>
        <v>Jul</v>
      </c>
      <c r="K13" s="454">
        <f>17+0</f>
        <v>17</v>
      </c>
      <c r="L13" s="454"/>
      <c r="M13" s="454"/>
      <c r="N13" s="454"/>
      <c r="P13" s="410">
        <f>AVERAGE(K13,K12)</f>
        <v>17</v>
      </c>
      <c r="T13" s="416"/>
      <c r="U13" s="416"/>
      <c r="X13" s="584">
        <f>'qtrP&amp;L'!D11</f>
        <v>24.382000000000001</v>
      </c>
      <c r="Z13" s="585">
        <f>X13/P13</f>
        <v>1.4342352941176471</v>
      </c>
      <c r="AC13" s="563"/>
      <c r="AE13" s="581">
        <f>+AE12</f>
        <v>0.22480133333333333</v>
      </c>
      <c r="AG13" s="582">
        <f>AVERAGE(AE13,AE12)</f>
        <v>0.22480133333333333</v>
      </c>
      <c r="AK13" s="416"/>
      <c r="AL13" s="416"/>
      <c r="AN13" s="584">
        <f>+X13</f>
        <v>24.382000000000001</v>
      </c>
      <c r="AP13" s="586">
        <f>AL13/AE13</f>
        <v>0</v>
      </c>
      <c r="AR13" s="586">
        <f>AN13/AG13</f>
        <v>108.46021079353029</v>
      </c>
      <c r="AU13" s="563"/>
    </row>
    <row r="14" spans="1:95" ht="12.75" hidden="1" customHeight="1" outlineLevel="1">
      <c r="A14" s="410" t="str">
        <f>'qtrP&amp;L'!A12</f>
        <v>3Q</v>
      </c>
      <c r="B14" s="562" t="str">
        <f>'qtrP&amp;L'!B12</f>
        <v>Oct</v>
      </c>
      <c r="K14" s="454">
        <f>+K13+1+1</f>
        <v>19</v>
      </c>
      <c r="L14" s="454"/>
      <c r="M14" s="454"/>
      <c r="N14" s="454"/>
      <c r="P14" s="587">
        <f>AVERAGE(K14,K13)</f>
        <v>18</v>
      </c>
      <c r="T14" s="416"/>
      <c r="U14" s="416"/>
      <c r="X14" s="584">
        <f>'qtrP&amp;L'!D12</f>
        <v>31.425999999999998</v>
      </c>
      <c r="Z14" s="585">
        <f>X14/P14</f>
        <v>1.7458888888888888</v>
      </c>
      <c r="AC14" s="563"/>
      <c r="AE14" s="581">
        <f>+AE13+(0.007906+0.00923)/0.75</f>
        <v>0.24764933333333333</v>
      </c>
      <c r="AG14" s="582">
        <f>AVERAGE(AE14,AE13)</f>
        <v>0.23622533333333334</v>
      </c>
      <c r="AK14" s="416"/>
      <c r="AL14" s="416"/>
      <c r="AN14" s="584">
        <f>+X14</f>
        <v>31.425999999999998</v>
      </c>
      <c r="AP14" s="586">
        <f>AL14/AE14</f>
        <v>0</v>
      </c>
      <c r="AR14" s="586">
        <f>AN14/AG14</f>
        <v>133.03399578933107</v>
      </c>
      <c r="AU14" s="563"/>
    </row>
    <row r="15" spans="1:95" ht="12.75" hidden="1" customHeight="1" outlineLevel="1">
      <c r="A15" s="410" t="str">
        <f>'qtrP&amp;L'!A13</f>
        <v>4Q</v>
      </c>
      <c r="B15" s="562" t="str">
        <f>'qtrP&amp;L'!B13</f>
        <v>Jan</v>
      </c>
      <c r="D15" s="415"/>
      <c r="G15" s="415"/>
      <c r="I15" s="415"/>
      <c r="K15" s="496">
        <f>+yrSales!B26</f>
        <v>22</v>
      </c>
      <c r="L15" s="496"/>
      <c r="M15" s="496"/>
      <c r="N15" s="496"/>
      <c r="P15" s="588">
        <f>AVERAGE(K15,K14)</f>
        <v>20.5</v>
      </c>
      <c r="R15" s="415"/>
      <c r="T15" s="416"/>
      <c r="U15" s="416"/>
      <c r="X15" s="589">
        <f>'qtrP&amp;L'!D13</f>
        <v>31.172999999999988</v>
      </c>
      <c r="Z15" s="590">
        <f>X15/P15</f>
        <v>1.5206341463414628</v>
      </c>
      <c r="AC15" s="563"/>
      <c r="AE15" s="582">
        <f>+yrSales!B41</f>
        <v>0.29061733333333334</v>
      </c>
      <c r="AG15" s="591">
        <f>AVERAGE(AE15,AE14)</f>
        <v>0.26913333333333334</v>
      </c>
      <c r="AI15" s="415"/>
      <c r="AK15" s="416"/>
      <c r="AL15" s="416"/>
      <c r="AN15" s="589">
        <f>+X15</f>
        <v>31.172999999999988</v>
      </c>
      <c r="AP15" s="592">
        <f>AL15/AE15</f>
        <v>0</v>
      </c>
      <c r="AR15" s="592">
        <f>AN15/AG15</f>
        <v>115.82734703988105</v>
      </c>
      <c r="AU15" s="563"/>
    </row>
    <row r="16" spans="1:95" ht="12.75" hidden="1" customHeight="1" outlineLevel="1">
      <c r="B16" s="562" t="str">
        <f>'qtrP&amp;L'!B14</f>
        <v>Year</v>
      </c>
      <c r="P16" s="587">
        <f>AVERAGE(P12:P15)</f>
        <v>18.125</v>
      </c>
      <c r="T16" s="416"/>
      <c r="U16" s="416"/>
      <c r="X16" s="579">
        <f>SUM(X12:X15)</f>
        <v>110.121</v>
      </c>
      <c r="Z16" s="580">
        <f>SUM(Z12:Z15)</f>
        <v>6.0619347999362336</v>
      </c>
      <c r="AC16" s="563"/>
      <c r="AG16" s="582">
        <f>AVERAGE(AG12:AG15)</f>
        <v>0.23874033333333333</v>
      </c>
      <c r="AK16" s="416"/>
      <c r="AL16" s="416"/>
      <c r="AN16" s="579">
        <f>SUM(AN12:AN15)</f>
        <v>110.121</v>
      </c>
      <c r="AP16" s="583">
        <f>SUM(AP12:AP15)</f>
        <v>0</v>
      </c>
      <c r="AR16" s="583">
        <f>SUM(AR12:AR15)</f>
        <v>460.25688615339169</v>
      </c>
      <c r="AU16" s="563"/>
    </row>
    <row r="17" spans="1:47" ht="12.75" hidden="1" customHeight="1" outlineLevel="1">
      <c r="B17" s="562"/>
      <c r="T17" s="416"/>
      <c r="U17" s="416"/>
      <c r="AC17" s="563"/>
      <c r="AK17" s="416"/>
      <c r="AL17" s="416"/>
      <c r="AU17" s="563"/>
    </row>
    <row r="18" spans="1:47" ht="12.75" hidden="1" customHeight="1" outlineLevel="1">
      <c r="A18" s="593"/>
      <c r="B18" s="431">
        <f>B11+1</f>
        <v>1995</v>
      </c>
      <c r="T18" s="416"/>
      <c r="U18" s="416"/>
      <c r="AC18" s="563"/>
      <c r="AK18" s="416"/>
      <c r="AL18" s="416"/>
      <c r="AU18" s="563"/>
    </row>
    <row r="19" spans="1:47" ht="12.75" hidden="1" customHeight="1" outlineLevel="1">
      <c r="A19" s="410" t="str">
        <f>$A$12</f>
        <v>1Q</v>
      </c>
      <c r="B19" s="562" t="str">
        <f>$B$12</f>
        <v>Apr</v>
      </c>
      <c r="D19" s="539">
        <f>(X19/X12-1)*100</f>
        <v>20.652549697493527</v>
      </c>
      <c r="E19" s="410" t="s">
        <v>208</v>
      </c>
      <c r="G19" s="594">
        <f>'qtrP&amp;L'!J10</f>
        <v>0</v>
      </c>
      <c r="H19" s="410" t="s">
        <v>208</v>
      </c>
      <c r="I19" s="539">
        <f>D19-G19</f>
        <v>20.652549697493527</v>
      </c>
      <c r="J19" s="563" t="s">
        <v>208</v>
      </c>
      <c r="K19" s="454">
        <f>+K15+1</f>
        <v>23</v>
      </c>
      <c r="L19" s="454"/>
      <c r="M19" s="454"/>
      <c r="N19" s="454"/>
      <c r="P19" s="587">
        <f>AVERAGE(K19,K15)</f>
        <v>22.5</v>
      </c>
      <c r="R19" s="539">
        <f>(P19/P12-1)*100</f>
        <v>32.352941176470587</v>
      </c>
      <c r="S19" s="563" t="s">
        <v>208</v>
      </c>
      <c r="T19" s="595">
        <f>I19/R19*100</f>
        <v>63.835153610434539</v>
      </c>
      <c r="U19" s="416" t="s">
        <v>208</v>
      </c>
      <c r="X19" s="579">
        <f>'qtrP&amp;L'!H10</f>
        <v>27.919</v>
      </c>
      <c r="Z19" s="580">
        <f>X19/P19</f>
        <v>1.2408444444444444</v>
      </c>
      <c r="AB19" s="594">
        <f>(Z19/Z12-1)*100</f>
        <v>-8.8402957841160141</v>
      </c>
      <c r="AC19" s="563" t="s">
        <v>208</v>
      </c>
      <c r="AE19" s="581">
        <f>+AE15+0.011145/0.75</f>
        <v>0.30547733333333332</v>
      </c>
      <c r="AG19" s="582">
        <f>AVERAGE(AE19,AE15)</f>
        <v>0.29804733333333333</v>
      </c>
      <c r="AI19" s="539">
        <f>(AG19/AG12-1)*100</f>
        <v>32.582546959982437</v>
      </c>
      <c r="AJ19" s="563" t="s">
        <v>208</v>
      </c>
      <c r="AK19" s="595">
        <f>+I19/AI19*100</f>
        <v>63.385313992975391</v>
      </c>
      <c r="AL19" s="416" t="s">
        <v>208</v>
      </c>
      <c r="AN19" s="579">
        <f>+X19</f>
        <v>27.919</v>
      </c>
      <c r="AP19" s="583" t="e">
        <f>AL19/AE19</f>
        <v>#VALUE!</v>
      </c>
      <c r="AR19" s="583">
        <f>AN19/AG19</f>
        <v>93.673040747442798</v>
      </c>
      <c r="AT19" s="594">
        <f>(AR19/AR12-1)*100</f>
        <v>-8.9981656983024969</v>
      </c>
      <c r="AU19" s="563" t="s">
        <v>208</v>
      </c>
    </row>
    <row r="20" spans="1:47" ht="12.75" hidden="1" customHeight="1" outlineLevel="1">
      <c r="A20" s="410" t="str">
        <f>$A$13</f>
        <v>2Q</v>
      </c>
      <c r="B20" s="562" t="str">
        <f>$B$13</f>
        <v>Jul</v>
      </c>
      <c r="D20" s="539">
        <f>(X20/X13-1)*100</f>
        <v>22.553523090804696</v>
      </c>
      <c r="G20" s="594">
        <f>'qtrP&amp;L'!J11</f>
        <v>2.4</v>
      </c>
      <c r="I20" s="539">
        <f>D20-G20</f>
        <v>20.153523090804697</v>
      </c>
      <c r="J20" s="563"/>
      <c r="K20" s="454">
        <f>+K19+2</f>
        <v>25</v>
      </c>
      <c r="L20" s="454"/>
      <c r="M20" s="454"/>
      <c r="N20" s="454"/>
      <c r="P20" s="587">
        <f>AVERAGE(K20,K19)</f>
        <v>24</v>
      </c>
      <c r="R20" s="539">
        <f>(P20/P13-1)*100</f>
        <v>41.176470588235304</v>
      </c>
      <c r="S20" s="563"/>
      <c r="T20" s="595">
        <f>I20/R20*100</f>
        <v>48.944270363382827</v>
      </c>
      <c r="U20" s="416"/>
      <c r="X20" s="584">
        <f>'qtrP&amp;L'!H11</f>
        <v>29.881</v>
      </c>
      <c r="Z20" s="585">
        <f>X20/P20</f>
        <v>1.2450416666666666</v>
      </c>
      <c r="AB20" s="594">
        <f>(Z20/Z13-1)*100</f>
        <v>-13.191254477346682</v>
      </c>
      <c r="AC20" s="563"/>
      <c r="AE20" s="581">
        <f>+AE19+(0.007772+0.00881)/0.75</f>
        <v>0.32758666666666664</v>
      </c>
      <c r="AG20" s="582">
        <f>AVERAGE(AE20,AE19)</f>
        <v>0.31653199999999998</v>
      </c>
      <c r="AI20" s="539">
        <f>(AG20/AG13-1)*100</f>
        <v>40.805214678442006</v>
      </c>
      <c r="AJ20" s="563"/>
      <c r="AK20" s="595">
        <f>+I20/AI20*100</f>
        <v>49.389577409703222</v>
      </c>
      <c r="AL20" s="416"/>
      <c r="AN20" s="584">
        <f>+X20</f>
        <v>29.881</v>
      </c>
      <c r="AP20" s="586">
        <f>AL20/AE20</f>
        <v>0</v>
      </c>
      <c r="AR20" s="586">
        <f>AN20/AG20</f>
        <v>94.40119798314231</v>
      </c>
      <c r="AT20" s="594">
        <f>(AR20/AR13-1)*100</f>
        <v>-12.962369063758638</v>
      </c>
      <c r="AU20" s="563"/>
    </row>
    <row r="21" spans="1:47" ht="12.75" hidden="1" customHeight="1" outlineLevel="1">
      <c r="A21" s="410" t="str">
        <f>$A$14</f>
        <v>3Q</v>
      </c>
      <c r="B21" s="562" t="str">
        <f>$B$14</f>
        <v>Oct</v>
      </c>
      <c r="D21" s="539">
        <f>(X21/X14-1)*100</f>
        <v>23.59829440590595</v>
      </c>
      <c r="G21" s="594">
        <f>'qtrP&amp;L'!J12</f>
        <v>5</v>
      </c>
      <c r="I21" s="539">
        <f>D21-G21</f>
        <v>18.59829440590595</v>
      </c>
      <c r="J21" s="563"/>
      <c r="K21" s="454">
        <f>+K20</f>
        <v>25</v>
      </c>
      <c r="L21" s="454"/>
      <c r="M21" s="454"/>
      <c r="N21" s="454"/>
      <c r="P21" s="587">
        <f>AVERAGE(K21,K20)</f>
        <v>25</v>
      </c>
      <c r="R21" s="539">
        <f>(P21/P14-1)*100</f>
        <v>38.888888888888886</v>
      </c>
      <c r="S21" s="563"/>
      <c r="T21" s="595">
        <f>I21/R21*100</f>
        <v>47.824185615186735</v>
      </c>
      <c r="U21" s="416"/>
      <c r="X21" s="584">
        <f>'qtrP&amp;L'!H12</f>
        <v>38.841999999999999</v>
      </c>
      <c r="Z21" s="585">
        <f>X21/P21</f>
        <v>1.5536799999999999</v>
      </c>
      <c r="AB21" s="594">
        <f>(Z21/Z14-1)*100</f>
        <v>-11.009228027747719</v>
      </c>
      <c r="AC21" s="563"/>
      <c r="AE21" s="581">
        <f>+AE20</f>
        <v>0.32758666666666664</v>
      </c>
      <c r="AG21" s="582">
        <f>AVERAGE(AE21,AE20)</f>
        <v>0.32758666666666664</v>
      </c>
      <c r="AI21" s="539">
        <f>(AG21/AG14-1)*100</f>
        <v>38.675501921893776</v>
      </c>
      <c r="AJ21" s="563"/>
      <c r="AK21" s="595">
        <f>+I21/AI21*100</f>
        <v>48.088049234540534</v>
      </c>
      <c r="AL21" s="416"/>
      <c r="AN21" s="584">
        <f>+X21</f>
        <v>38.841999999999999</v>
      </c>
      <c r="AP21" s="586">
        <f>AL21/AE21</f>
        <v>0</v>
      </c>
      <c r="AR21" s="586">
        <f>AN21/AG21</f>
        <v>118.57014937522895</v>
      </c>
      <c r="AT21" s="594">
        <f>(AR21/AR14-1)*100</f>
        <v>-10.872293452725168</v>
      </c>
      <c r="AU21" s="563"/>
    </row>
    <row r="22" spans="1:47" ht="12.75" hidden="1" customHeight="1" outlineLevel="1">
      <c r="A22" s="410" t="str">
        <f>$A$15</f>
        <v>4Q</v>
      </c>
      <c r="B22" s="562" t="str">
        <f>$B$15</f>
        <v>Jan</v>
      </c>
      <c r="D22" s="596">
        <f>(X22/X15-1)*100</f>
        <v>16.748468225708212</v>
      </c>
      <c r="G22" s="597">
        <f>'qtrP&amp;L'!J13</f>
        <v>3</v>
      </c>
      <c r="I22" s="596">
        <f>D22-G22</f>
        <v>13.748468225708212</v>
      </c>
      <c r="J22" s="563"/>
      <c r="K22" s="496">
        <f>yrSales!C26</f>
        <v>26</v>
      </c>
      <c r="L22" s="496"/>
      <c r="M22" s="496"/>
      <c r="N22" s="496"/>
      <c r="P22" s="588">
        <f>AVERAGE(K22,K21)</f>
        <v>25.5</v>
      </c>
      <c r="R22" s="596">
        <f>(P22/P15-1)*100</f>
        <v>24.390243902439025</v>
      </c>
      <c r="S22" s="563"/>
      <c r="T22" s="598">
        <f>I22/R22*100</f>
        <v>56.368719725403672</v>
      </c>
      <c r="U22" s="416"/>
      <c r="X22" s="589">
        <f>'qtrP&amp;L'!H13</f>
        <v>36.394000000000005</v>
      </c>
      <c r="Z22" s="590">
        <f>X22/P22</f>
        <v>1.42721568627451</v>
      </c>
      <c r="AB22" s="597">
        <f>(Z22/Z15-1)*100</f>
        <v>-6.1433882891365315</v>
      </c>
      <c r="AC22" s="563"/>
      <c r="AE22" s="582">
        <f>+yrSales!C41</f>
        <v>0.34075466666666659</v>
      </c>
      <c r="AG22" s="591">
        <f>AVERAGE(AE22,AE21)</f>
        <v>0.33417066666666662</v>
      </c>
      <c r="AI22" s="596">
        <f>(AG22/AG15-1)*100</f>
        <v>24.165469407976193</v>
      </c>
      <c r="AJ22" s="563"/>
      <c r="AK22" s="598">
        <f>+I22/AI22*100</f>
        <v>56.893031927492018</v>
      </c>
      <c r="AL22" s="416"/>
      <c r="AN22" s="589">
        <f>+X22</f>
        <v>36.394000000000005</v>
      </c>
      <c r="AP22" s="592">
        <f>AL22/AE22</f>
        <v>0</v>
      </c>
      <c r="AR22" s="592">
        <f>AN22/AG22</f>
        <v>108.90842204382594</v>
      </c>
      <c r="AT22" s="597">
        <f>(AR22/AR15-1)*100</f>
        <v>-5.9734813693633315</v>
      </c>
      <c r="AU22" s="563"/>
    </row>
    <row r="23" spans="1:47" ht="12.75" hidden="1" customHeight="1" outlineLevel="1">
      <c r="B23" s="562" t="str">
        <f>$B$16</f>
        <v>Year</v>
      </c>
      <c r="D23" s="539">
        <f>(X23/X16-1)*100</f>
        <v>20.808928360621515</v>
      </c>
      <c r="G23" s="594">
        <f>'qtrP&amp;L'!J14</f>
        <v>3.3</v>
      </c>
      <c r="I23" s="539">
        <f>D23-G23</f>
        <v>17.508928360621514</v>
      </c>
      <c r="J23" s="563"/>
      <c r="K23" s="454"/>
      <c r="L23" s="454"/>
      <c r="M23" s="454"/>
      <c r="N23" s="454"/>
      <c r="P23" s="587">
        <f>AVERAGE(P19:P22)</f>
        <v>24.25</v>
      </c>
      <c r="R23" s="539">
        <f>(P23/P16-1)*100</f>
        <v>33.793103448275865</v>
      </c>
      <c r="S23" s="563"/>
      <c r="T23" s="595">
        <f>I23/R23*100</f>
        <v>51.812134944696311</v>
      </c>
      <c r="U23" s="416"/>
      <c r="X23" s="579">
        <f>SUM(X19:X22)</f>
        <v>133.036</v>
      </c>
      <c r="Z23" s="580">
        <f>SUM(Z19:Z22)</f>
        <v>5.4667817973856216</v>
      </c>
      <c r="AB23" s="594">
        <f>(Z23/Z16-1)*100</f>
        <v>-9.8178720522839047</v>
      </c>
      <c r="AC23" s="563"/>
      <c r="AE23" s="454"/>
      <c r="AG23" s="582">
        <f>AVERAGE(AG19:AG22)</f>
        <v>0.31908416666666667</v>
      </c>
      <c r="AI23" s="539">
        <f>(AG23/AG16-1)*100</f>
        <v>33.653229938803797</v>
      </c>
      <c r="AJ23" s="563"/>
      <c r="AK23" s="595">
        <f>+I23/AI23*100</f>
        <v>52.027482629335594</v>
      </c>
      <c r="AL23" s="416"/>
      <c r="AN23" s="579">
        <f>SUM(AN19:AN22)</f>
        <v>133.036</v>
      </c>
      <c r="AP23" s="583" t="e">
        <f>SUM(AP19:AP22)</f>
        <v>#VALUE!</v>
      </c>
      <c r="AR23" s="583">
        <f>SUM(AR19:AR22)</f>
        <v>415.55281014963998</v>
      </c>
      <c r="AT23" s="594">
        <f>(AR23/AR16-1)*100</f>
        <v>-9.7128532670889829</v>
      </c>
      <c r="AU23" s="563"/>
    </row>
    <row r="24" spans="1:47" ht="12.75" hidden="1" customHeight="1" outlineLevel="1">
      <c r="B24" s="562"/>
      <c r="J24" s="563"/>
      <c r="K24" s="454"/>
      <c r="L24" s="454"/>
      <c r="M24" s="454"/>
      <c r="N24" s="454"/>
      <c r="S24" s="563"/>
      <c r="T24" s="416"/>
      <c r="U24" s="416"/>
      <c r="AC24" s="563"/>
      <c r="AE24" s="454"/>
      <c r="AJ24" s="563"/>
      <c r="AK24" s="416"/>
      <c r="AL24" s="416"/>
      <c r="AU24" s="563"/>
    </row>
    <row r="25" spans="1:47" ht="12.75" hidden="1" customHeight="1" outlineLevel="1" collapsed="1">
      <c r="A25" s="593"/>
      <c r="B25" s="431">
        <f>B18+1</f>
        <v>1996</v>
      </c>
      <c r="J25" s="563"/>
      <c r="K25" s="454"/>
      <c r="L25" s="454"/>
      <c r="M25" s="454"/>
      <c r="N25" s="454"/>
      <c r="S25" s="563"/>
      <c r="T25" s="416"/>
      <c r="U25" s="416"/>
      <c r="AC25" s="563"/>
      <c r="AE25" s="454"/>
      <c r="AJ25" s="563"/>
      <c r="AK25" s="416"/>
      <c r="AL25" s="416"/>
      <c r="AU25" s="563"/>
    </row>
    <row r="26" spans="1:47" ht="12.75" hidden="1" customHeight="1" outlineLevel="1">
      <c r="A26" s="410" t="str">
        <f>$A$12</f>
        <v>1Q</v>
      </c>
      <c r="B26" s="562" t="str">
        <f>$B$12</f>
        <v>Apr</v>
      </c>
      <c r="D26" s="539">
        <f>(X26/X19-1)*100</f>
        <v>-6.5618396074358039</v>
      </c>
      <c r="E26" s="410" t="s">
        <v>208</v>
      </c>
      <c r="G26" s="594">
        <f>'qtrP&amp;L'!N10</f>
        <v>12.2</v>
      </c>
      <c r="H26" s="410" t="s">
        <v>208</v>
      </c>
      <c r="I26" s="594">
        <f>D26-G26</f>
        <v>-18.761839607435803</v>
      </c>
      <c r="J26" s="563" t="s">
        <v>208</v>
      </c>
      <c r="K26" s="454">
        <f>+K22+1</f>
        <v>27</v>
      </c>
      <c r="L26" s="454"/>
      <c r="M26" s="454"/>
      <c r="N26" s="454"/>
      <c r="P26" s="587">
        <f>AVERAGE(K26,K22)</f>
        <v>26.5</v>
      </c>
      <c r="R26" s="539">
        <f>(P26/P19-1)*100</f>
        <v>17.777777777777782</v>
      </c>
      <c r="S26" s="563" t="s">
        <v>208</v>
      </c>
      <c r="T26" s="595">
        <f>I26/R26*100</f>
        <v>-105.53534779182637</v>
      </c>
      <c r="U26" s="416" t="s">
        <v>208</v>
      </c>
      <c r="X26" s="579">
        <f>+segSales!Z9</f>
        <v>26.087</v>
      </c>
      <c r="Z26" s="580">
        <f>X26/P26</f>
        <v>0.9844150943396226</v>
      </c>
      <c r="AB26" s="539">
        <f>(Z26/Z19-1)*100</f>
        <v>-20.66571287423794</v>
      </c>
      <c r="AC26" s="563" t="s">
        <v>208</v>
      </c>
      <c r="AE26" s="581">
        <f>+AE22+0.007487/0.75</f>
        <v>0.35073733333333323</v>
      </c>
      <c r="AG26" s="582">
        <f>AVERAGE(AE26,AE22)</f>
        <v>0.34574599999999989</v>
      </c>
      <c r="AI26" s="539">
        <f>(AG26/AG19-1)*100</f>
        <v>16.003722003887489</v>
      </c>
      <c r="AJ26" s="563" t="s">
        <v>208</v>
      </c>
      <c r="AK26" s="595">
        <f>+I26/AI26*100</f>
        <v>-117.23422590618817</v>
      </c>
      <c r="AL26" s="416" t="s">
        <v>208</v>
      </c>
      <c r="AN26" s="579">
        <f>+X26</f>
        <v>26.087</v>
      </c>
      <c r="AP26" s="583" t="e">
        <f>AL26/AE26</f>
        <v>#VALUE!</v>
      </c>
      <c r="AR26" s="583">
        <f>AN26/AG26</f>
        <v>75.451342893337909</v>
      </c>
      <c r="AT26" s="599">
        <f>(AR26/AR19-1)*100</f>
        <v>-19.452446198723749</v>
      </c>
      <c r="AU26" s="563" t="s">
        <v>208</v>
      </c>
    </row>
    <row r="27" spans="1:47" ht="12.75" hidden="1" customHeight="1" outlineLevel="1">
      <c r="A27" s="410" t="str">
        <f>$A$13</f>
        <v>2Q</v>
      </c>
      <c r="B27" s="562" t="str">
        <f>$B$13</f>
        <v>Jul</v>
      </c>
      <c r="D27" s="539">
        <f>(X27/X20-1)*100</f>
        <v>0.23091596666777736</v>
      </c>
      <c r="G27" s="594">
        <f>'qtrP&amp;L'!N11</f>
        <v>9</v>
      </c>
      <c r="I27" s="594">
        <f>D27-G27</f>
        <v>-8.7690840333322235</v>
      </c>
      <c r="J27" s="563"/>
      <c r="K27" s="454">
        <f>+K26+1</f>
        <v>28</v>
      </c>
      <c r="L27" s="454"/>
      <c r="M27" s="454"/>
      <c r="N27" s="454"/>
      <c r="P27" s="587">
        <f>AVERAGE(K27,K26)</f>
        <v>27.5</v>
      </c>
      <c r="R27" s="539">
        <f>(P27/P20-1)*100</f>
        <v>14.583333333333325</v>
      </c>
      <c r="S27" s="563"/>
      <c r="T27" s="595">
        <f>I27/R27*100</f>
        <v>-60.13086194284957</v>
      </c>
      <c r="U27" s="416"/>
      <c r="X27" s="584">
        <f>+segSales!Z10</f>
        <v>29.95</v>
      </c>
      <c r="Z27" s="585">
        <f>X27/P27</f>
        <v>1.0890909090909091</v>
      </c>
      <c r="AB27" s="539">
        <f>(Z27/Z20-1)*100</f>
        <v>-12.525746065453569</v>
      </c>
      <c r="AC27" s="563"/>
      <c r="AE27" s="581">
        <f>+AE26+0.008176/0.75</f>
        <v>0.36163866666666655</v>
      </c>
      <c r="AG27" s="582">
        <f>AVERAGE(AE27,AE26)</f>
        <v>0.35618799999999989</v>
      </c>
      <c r="AI27" s="539">
        <f>(AG27/AG20-1)*100</f>
        <v>12.528275182288029</v>
      </c>
      <c r="AJ27" s="563"/>
      <c r="AK27" s="595">
        <f>+I27/AI27*100</f>
        <v>-69.994344039709489</v>
      </c>
      <c r="AL27" s="416"/>
      <c r="AN27" s="584">
        <f>+X27</f>
        <v>29.95</v>
      </c>
      <c r="AP27" s="586">
        <f>AL27/AE27</f>
        <v>0</v>
      </c>
      <c r="AR27" s="586">
        <f>AN27/AG27</f>
        <v>84.084809145732052</v>
      </c>
      <c r="AT27" s="599">
        <f>(AR27/AR20-1)*100</f>
        <v>-10.928239320916777</v>
      </c>
      <c r="AU27" s="563"/>
    </row>
    <row r="28" spans="1:47" ht="12.75" hidden="1" customHeight="1" outlineLevel="1">
      <c r="A28" s="410" t="str">
        <f>$A$14</f>
        <v>3Q</v>
      </c>
      <c r="B28" s="562" t="str">
        <f>$B$14</f>
        <v>Oct</v>
      </c>
      <c r="D28" s="539">
        <f>(X28/X21-1)*100</f>
        <v>-9.3275320529323853</v>
      </c>
      <c r="G28" s="594">
        <f>'qtrP&amp;L'!N12</f>
        <v>-1.9</v>
      </c>
      <c r="I28" s="594">
        <f>D28-G28</f>
        <v>-7.4275320529323849</v>
      </c>
      <c r="J28" s="563"/>
      <c r="K28" s="454">
        <f>+K27+2</f>
        <v>30</v>
      </c>
      <c r="L28" s="454"/>
      <c r="M28" s="454"/>
      <c r="N28" s="454"/>
      <c r="P28" s="587">
        <f>AVERAGE(K28,K27)</f>
        <v>29</v>
      </c>
      <c r="R28" s="539">
        <f>(P28/P21-1)*100</f>
        <v>15.999999999999993</v>
      </c>
      <c r="S28" s="563"/>
      <c r="T28" s="595">
        <f>I28/R28*100</f>
        <v>-46.422075330827425</v>
      </c>
      <c r="U28" s="416"/>
      <c r="X28" s="584">
        <f>+segSales!Z11</f>
        <v>35.219000000000001</v>
      </c>
      <c r="Z28" s="585">
        <f>X28/P28</f>
        <v>1.2144482758620689</v>
      </c>
      <c r="AB28" s="539">
        <f>(Z28/Z21-1)*100</f>
        <v>-21.834079355976201</v>
      </c>
      <c r="AC28" s="563"/>
      <c r="AE28" s="581">
        <f>+AE27+(0.011614+0.007012)/0.75</f>
        <v>0.38647333333333322</v>
      </c>
      <c r="AG28" s="582">
        <f>AVERAGE(AE28,AE27)</f>
        <v>0.37405599999999989</v>
      </c>
      <c r="AI28" s="539">
        <f>(AG28/AG21-1)*100</f>
        <v>14.185355529325538</v>
      </c>
      <c r="AJ28" s="563"/>
      <c r="AK28" s="595">
        <f>+I28/AI28*100</f>
        <v>-52.360563241276317</v>
      </c>
      <c r="AL28" s="416"/>
      <c r="AN28" s="584">
        <f>+X28</f>
        <v>35.219000000000001</v>
      </c>
      <c r="AP28" s="586">
        <f>AL28/AE28</f>
        <v>0</v>
      </c>
      <c r="AR28" s="586">
        <f>AN28/AG28</f>
        <v>94.154351220138196</v>
      </c>
      <c r="AT28" s="599">
        <f>(AR28/AR21-1)*100</f>
        <v>-20.591859151517244</v>
      </c>
      <c r="AU28" s="563"/>
    </row>
    <row r="29" spans="1:47" ht="12.75" hidden="1" customHeight="1" outlineLevel="1">
      <c r="A29" s="410" t="str">
        <f>$A$15</f>
        <v>4Q</v>
      </c>
      <c r="B29" s="562" t="str">
        <f>$B$15</f>
        <v>Jan</v>
      </c>
      <c r="D29" s="596">
        <f>(X29/X22-1)*100</f>
        <v>1.4150684178710682</v>
      </c>
      <c r="G29" s="597">
        <f>'qtrP&amp;L'!N13</f>
        <v>-7</v>
      </c>
      <c r="I29" s="597">
        <f>D29-G29</f>
        <v>8.4150684178710691</v>
      </c>
      <c r="J29" s="563"/>
      <c r="K29" s="410">
        <f>yrSales!D26</f>
        <v>33</v>
      </c>
      <c r="P29" s="588">
        <f>AVERAGE(K29,K28)</f>
        <v>31.5</v>
      </c>
      <c r="R29" s="596">
        <f>(P29/P22-1)*100</f>
        <v>23.529411764705888</v>
      </c>
      <c r="S29" s="563"/>
      <c r="T29" s="598">
        <f>I29/R29*100</f>
        <v>35.764040775952033</v>
      </c>
      <c r="U29" s="416"/>
      <c r="X29" s="589">
        <f>+segSales!Z12</f>
        <v>36.908999999999999</v>
      </c>
      <c r="Z29" s="590">
        <f>X29/P29</f>
        <v>1.1717142857142857</v>
      </c>
      <c r="AB29" s="596">
        <f>(Z29/Z22-1)*100</f>
        <v>-17.902087471247231</v>
      </c>
      <c r="AC29" s="563"/>
      <c r="AE29" s="582">
        <f>+yrSales!D41</f>
        <v>0.423348</v>
      </c>
      <c r="AG29" s="591">
        <f>AVERAGE(AE29,AE28)</f>
        <v>0.40491066666666664</v>
      </c>
      <c r="AI29" s="596">
        <f>(AG29/AG22-1)*100</f>
        <v>21.168823914327216</v>
      </c>
      <c r="AJ29" s="563"/>
      <c r="AK29" s="598">
        <f>+I29/AI29*100</f>
        <v>39.752177314752416</v>
      </c>
      <c r="AL29" s="416"/>
      <c r="AN29" s="589">
        <f>+X29</f>
        <v>36.908999999999999</v>
      </c>
      <c r="AP29" s="592">
        <f>AL29/AE29</f>
        <v>0</v>
      </c>
      <c r="AR29" s="592">
        <f>AN29/AG29</f>
        <v>91.153439606431704</v>
      </c>
      <c r="AT29" s="597">
        <f>(AR29/AR22-1)*100</f>
        <v>-16.302671643015298</v>
      </c>
      <c r="AU29" s="563"/>
    </row>
    <row r="30" spans="1:47" ht="12.75" hidden="1" customHeight="1" outlineLevel="1">
      <c r="B30" s="562" t="str">
        <f>$B$16</f>
        <v>Year</v>
      </c>
      <c r="D30" s="539">
        <f>(X30/X23-1)*100</f>
        <v>-3.6614149553504394</v>
      </c>
      <c r="G30" s="594">
        <f>'qtrP&amp;L'!N14</f>
        <v>2.1</v>
      </c>
      <c r="I30" s="594">
        <f>D30-G30</f>
        <v>-5.761414955350439</v>
      </c>
      <c r="J30" s="563"/>
      <c r="K30" s="454"/>
      <c r="L30" s="454"/>
      <c r="M30" s="454"/>
      <c r="N30" s="454"/>
      <c r="P30" s="587">
        <f>AVERAGE(P26:P29)</f>
        <v>28.625</v>
      </c>
      <c r="R30" s="539">
        <f>(P30/P23-1)*100</f>
        <v>18.041237113402065</v>
      </c>
      <c r="S30" s="563"/>
      <c r="T30" s="595">
        <f>I30/R30*100</f>
        <v>-31.934700038228144</v>
      </c>
      <c r="U30" s="416"/>
      <c r="X30" s="579">
        <f>SUM(X26:X29)</f>
        <v>128.16499999999999</v>
      </c>
      <c r="Z30" s="580">
        <f>SUM(Z26:Z29)</f>
        <v>4.4596685650068864</v>
      </c>
      <c r="AB30" s="539">
        <f>(Z30/Z23-1)*100</f>
        <v>-18.422415046094709</v>
      </c>
      <c r="AC30" s="563"/>
      <c r="AE30" s="454"/>
      <c r="AG30" s="582">
        <f>AVERAGE(AG26:AG29)</f>
        <v>0.37022516666666661</v>
      </c>
      <c r="AI30" s="539">
        <f>(AG30/AG23-1)*100</f>
        <v>16.027432678420773</v>
      </c>
      <c r="AJ30" s="563"/>
      <c r="AK30" s="595">
        <f>+I30/AI30*100</f>
        <v>-35.947210454407767</v>
      </c>
      <c r="AL30" s="416"/>
      <c r="AN30" s="579">
        <f>SUM(AN26:AN29)</f>
        <v>128.16499999999999</v>
      </c>
      <c r="AP30" s="583" t="e">
        <f>SUM(AP26:AP29)</f>
        <v>#VALUE!</v>
      </c>
      <c r="AR30" s="583">
        <f>SUM(AR26:AR29)</f>
        <v>344.84394286563986</v>
      </c>
      <c r="AT30" s="599">
        <f>(AR30/AR23-1)*100</f>
        <v>-17.015615237576654</v>
      </c>
      <c r="AU30" s="563"/>
    </row>
    <row r="31" spans="1:47" ht="12.75" hidden="1" customHeight="1" outlineLevel="1">
      <c r="B31" s="562"/>
      <c r="J31" s="563"/>
      <c r="K31" s="454"/>
      <c r="L31" s="454"/>
      <c r="M31" s="454"/>
      <c r="N31" s="454"/>
      <c r="S31" s="563"/>
      <c r="T31" s="416"/>
      <c r="U31" s="416"/>
      <c r="AC31" s="563"/>
      <c r="AE31" s="581"/>
      <c r="AJ31" s="563"/>
      <c r="AK31" s="416"/>
      <c r="AL31" s="416"/>
      <c r="AU31" s="563"/>
    </row>
    <row r="32" spans="1:47" ht="12.75" hidden="1" customHeight="1" outlineLevel="1" collapsed="1">
      <c r="A32" s="593"/>
      <c r="B32" s="431">
        <f>B25+1</f>
        <v>1997</v>
      </c>
      <c r="J32" s="563"/>
      <c r="K32" s="454"/>
      <c r="L32" s="454"/>
      <c r="M32" s="454"/>
      <c r="N32" s="454"/>
      <c r="S32" s="563"/>
      <c r="T32" s="416"/>
      <c r="U32" s="416"/>
      <c r="AC32" s="563"/>
      <c r="AE32" s="454"/>
      <c r="AJ32" s="563"/>
      <c r="AK32" s="416"/>
      <c r="AL32" s="416"/>
      <c r="AU32" s="563"/>
    </row>
    <row r="33" spans="1:47" ht="12.75" hidden="1" customHeight="1" outlineLevel="1">
      <c r="A33" s="410" t="str">
        <f>$A$12</f>
        <v>1Q</v>
      </c>
      <c r="B33" s="562" t="str">
        <f>$B$12</f>
        <v>Apr</v>
      </c>
      <c r="D33" s="539">
        <f>(X33/X26-1)*100</f>
        <v>10.242649595584009</v>
      </c>
      <c r="E33" s="410" t="s">
        <v>208</v>
      </c>
      <c r="G33" s="594">
        <f>'qtrP&amp;L'!R10</f>
        <v>-8</v>
      </c>
      <c r="H33" s="410" t="s">
        <v>208</v>
      </c>
      <c r="I33" s="539">
        <f>D33-G33</f>
        <v>18.242649595584009</v>
      </c>
      <c r="J33" s="563" t="s">
        <v>208</v>
      </c>
      <c r="K33" s="454">
        <v>33</v>
      </c>
      <c r="L33" s="454"/>
      <c r="M33" s="454"/>
      <c r="N33" s="454"/>
      <c r="P33" s="410">
        <f>AVERAGE(K33,K29)</f>
        <v>33</v>
      </c>
      <c r="R33" s="539">
        <f>(P33/P26-1)*100</f>
        <v>24.528301886792448</v>
      </c>
      <c r="S33" s="563" t="s">
        <v>208</v>
      </c>
      <c r="T33" s="595">
        <f>I33/R33*100</f>
        <v>74.3738791204579</v>
      </c>
      <c r="U33" s="416" t="s">
        <v>208</v>
      </c>
      <c r="X33" s="579">
        <f>+segSales!Z16</f>
        <v>28.759</v>
      </c>
      <c r="Z33" s="580">
        <f>X33/P33</f>
        <v>0.87148484848484853</v>
      </c>
      <c r="AB33" s="599">
        <f>(Z33/Z26-1)*100</f>
        <v>-11.47181168839465</v>
      </c>
      <c r="AC33" s="563" t="s">
        <v>208</v>
      </c>
      <c r="AE33" s="581">
        <f>+AE29</f>
        <v>0.423348</v>
      </c>
      <c r="AG33" s="582">
        <f>AVERAGE(AE33,AE29)</f>
        <v>0.423348</v>
      </c>
      <c r="AI33" s="539">
        <f>(AG33/AG26-1)*100</f>
        <v>22.444800518299601</v>
      </c>
      <c r="AJ33" s="563" t="s">
        <v>208</v>
      </c>
      <c r="AK33" s="595">
        <f>+I33/AI33*100</f>
        <v>81.277842414818906</v>
      </c>
      <c r="AL33" s="416" t="s">
        <v>208</v>
      </c>
      <c r="AN33" s="579">
        <f>+X33</f>
        <v>28.759</v>
      </c>
      <c r="AP33" s="583" t="e">
        <f>AL33/AE33</f>
        <v>#VALUE!</v>
      </c>
      <c r="AR33" s="583">
        <f>AN33/AG33</f>
        <v>67.932292109564713</v>
      </c>
      <c r="AT33" s="599">
        <f>(AR33/AR26-1)*100</f>
        <v>-9.9654300313813273</v>
      </c>
      <c r="AU33" s="563" t="s">
        <v>208</v>
      </c>
    </row>
    <row r="34" spans="1:47" ht="12.75" hidden="1" customHeight="1" outlineLevel="1">
      <c r="A34" s="410" t="str">
        <f>$A$13</f>
        <v>2Q</v>
      </c>
      <c r="B34" s="562" t="str">
        <f>$B$13</f>
        <v>Jul</v>
      </c>
      <c r="D34" s="539">
        <f>(X34/X27-1)*100</f>
        <v>15.422370617696179</v>
      </c>
      <c r="G34" s="594">
        <f>'qtrP&amp;L'!R11</f>
        <v>0</v>
      </c>
      <c r="I34" s="539">
        <f>D34-G34</f>
        <v>15.422370617696179</v>
      </c>
      <c r="J34" s="563"/>
      <c r="K34" s="454">
        <f>+K33-1</f>
        <v>32</v>
      </c>
      <c r="L34" s="454"/>
      <c r="M34" s="454"/>
      <c r="N34" s="454"/>
      <c r="P34" s="587">
        <f>AVERAGE(K34,K33)</f>
        <v>32.5</v>
      </c>
      <c r="R34" s="539">
        <f>(P34/P27-1)*100</f>
        <v>18.181818181818187</v>
      </c>
      <c r="S34" s="563"/>
      <c r="T34" s="595">
        <f>I34/R34*100</f>
        <v>84.823038397328958</v>
      </c>
      <c r="U34" s="416"/>
      <c r="X34" s="584">
        <f>+segSales!Z17</f>
        <v>34.569000000000003</v>
      </c>
      <c r="Z34" s="585">
        <f>X34/P34</f>
        <v>1.0636615384615384</v>
      </c>
      <c r="AB34" s="599">
        <f>(Z34/Z27-1)*100</f>
        <v>-2.3349171696417148</v>
      </c>
      <c r="AC34" s="563"/>
      <c r="AE34" s="581">
        <f>+AE33-0.0075/0.75</f>
        <v>0.41334799999999999</v>
      </c>
      <c r="AG34" s="582">
        <f>AVERAGE(AE34,AE33)</f>
        <v>0.418348</v>
      </c>
      <c r="AI34" s="539">
        <f>(AG34/AG27-1)*100</f>
        <v>17.451458218693539</v>
      </c>
      <c r="AJ34" s="563"/>
      <c r="AK34" s="595">
        <f>+I34/AI34*100</f>
        <v>88.372962444915615</v>
      </c>
      <c r="AL34" s="416"/>
      <c r="AN34" s="584">
        <f>+X34</f>
        <v>34.569000000000003</v>
      </c>
      <c r="AP34" s="586">
        <f>AL34/AE34</f>
        <v>0</v>
      </c>
      <c r="AR34" s="586">
        <f>AN34/AG34</f>
        <v>82.632162697084723</v>
      </c>
      <c r="AT34" s="599">
        <f>(AR34/AR27-1)*100</f>
        <v>-1.7275967721228525</v>
      </c>
      <c r="AU34" s="563"/>
    </row>
    <row r="35" spans="1:47" ht="12.75" hidden="1" customHeight="1" outlineLevel="1">
      <c r="A35" s="410" t="str">
        <f>$A$14</f>
        <v>3Q</v>
      </c>
      <c r="B35" s="562" t="str">
        <f>$B$14</f>
        <v>Oct</v>
      </c>
      <c r="D35" s="539">
        <f>(X35/X28-1)*100</f>
        <v>8.8560152190579</v>
      </c>
      <c r="G35" s="594">
        <f>'qtrP&amp;L'!R12</f>
        <v>-0.44534503106282708</v>
      </c>
      <c r="I35" s="539">
        <f>D35-G35</f>
        <v>9.3013602501207266</v>
      </c>
      <c r="J35" s="563"/>
      <c r="K35" s="454">
        <v>33</v>
      </c>
      <c r="L35" s="454"/>
      <c r="M35" s="454"/>
      <c r="N35" s="454"/>
      <c r="P35" s="587">
        <f>AVERAGE(K35,K34)</f>
        <v>32.5</v>
      </c>
      <c r="R35" s="539">
        <f>(P35/P28-1)*100</f>
        <v>12.06896551724137</v>
      </c>
      <c r="S35" s="563"/>
      <c r="T35" s="595">
        <f>I35/R35*100</f>
        <v>77.068413501000364</v>
      </c>
      <c r="U35" s="416"/>
      <c r="X35" s="584">
        <f>+segSales!Z18</f>
        <v>38.338000000000001</v>
      </c>
      <c r="Z35" s="585">
        <f>X35/P35</f>
        <v>1.1796307692307693</v>
      </c>
      <c r="AB35" s="599">
        <f>(Z35/Z28-1)*100</f>
        <v>-2.8669402660714161</v>
      </c>
      <c r="AC35" s="563"/>
      <c r="AE35" s="581">
        <f>+AE34+0.008357/0.75</f>
        <v>0.42449066666666668</v>
      </c>
      <c r="AG35" s="582">
        <f>AVERAGE(AE35,AE34)</f>
        <v>0.41891933333333331</v>
      </c>
      <c r="AI35" s="539">
        <f>(AG35/AG28-1)*100</f>
        <v>11.99374781672622</v>
      </c>
      <c r="AJ35" s="563"/>
      <c r="AK35" s="595">
        <f>+I35/AI35*100</f>
        <v>77.551741059197951</v>
      </c>
      <c r="AL35" s="416"/>
      <c r="AN35" s="584">
        <f>+X35</f>
        <v>38.338000000000001</v>
      </c>
      <c r="AP35" s="586">
        <f>AL35/AE35</f>
        <v>0</v>
      </c>
      <c r="AR35" s="586">
        <f>AN35/AG35</f>
        <v>91.516425596654258</v>
      </c>
      <c r="AT35" s="599">
        <f>(AR35/AR28-1)*100</f>
        <v>-2.8017033618725873</v>
      </c>
      <c r="AU35" s="563"/>
    </row>
    <row r="36" spans="1:47" ht="12.75" hidden="1" customHeight="1" outlineLevel="1">
      <c r="A36" s="410" t="str">
        <f>$A$15</f>
        <v>4Q</v>
      </c>
      <c r="B36" s="562" t="str">
        <f>$B$15</f>
        <v>Jan</v>
      </c>
      <c r="D36" s="596">
        <f>(X36/X29-1)*100</f>
        <v>11.38475710531306</v>
      </c>
      <c r="G36" s="597">
        <f>'qtrP&amp;L'!R13</f>
        <v>5</v>
      </c>
      <c r="I36" s="596">
        <f>D36-G36</f>
        <v>6.3847571053130601</v>
      </c>
      <c r="J36" s="563"/>
      <c r="K36" s="410">
        <f>yrSales!E26</f>
        <v>35</v>
      </c>
      <c r="P36" s="588">
        <f>AVERAGE(K36,K35)</f>
        <v>34</v>
      </c>
      <c r="R36" s="596">
        <f>(P36/P29-1)*100</f>
        <v>7.9365079365079305</v>
      </c>
      <c r="S36" s="563"/>
      <c r="T36" s="598">
        <f>I36/R36*100</f>
        <v>80.447939526944623</v>
      </c>
      <c r="U36" s="416"/>
      <c r="X36" s="589">
        <f>+segSales!Z19</f>
        <v>41.110999999999997</v>
      </c>
      <c r="Z36" s="590">
        <f>X36/P36</f>
        <v>1.2091470588235294</v>
      </c>
      <c r="AB36" s="597">
        <f>(Z36/Z29-1)*100</f>
        <v>3.1947014358047587</v>
      </c>
      <c r="AC36" s="563"/>
      <c r="AE36" s="582">
        <f>+yrSales!E41</f>
        <v>0.44773066666666667</v>
      </c>
      <c r="AG36" s="591">
        <f>AVERAGE(AE36,AE35)</f>
        <v>0.43611066666666665</v>
      </c>
      <c r="AI36" s="596">
        <f>(AG36/AG29-1)*100</f>
        <v>7.705403331763705</v>
      </c>
      <c r="AJ36" s="563"/>
      <c r="AK36" s="598">
        <f>+I36/AI36*100</f>
        <v>82.860777436443939</v>
      </c>
      <c r="AL36" s="416"/>
      <c r="AN36" s="589">
        <f>+X36</f>
        <v>41.110999999999997</v>
      </c>
      <c r="AP36" s="592">
        <f>AL36/AE36</f>
        <v>0</v>
      </c>
      <c r="AR36" s="592">
        <f>AN36/AG36</f>
        <v>94.267357215141104</v>
      </c>
      <c r="AT36" s="597">
        <f>(AR36/AR29-1)*100</f>
        <v>3.4161273805510817</v>
      </c>
      <c r="AU36" s="563"/>
    </row>
    <row r="37" spans="1:47" ht="12.75" hidden="1" customHeight="1" outlineLevel="1">
      <c r="B37" s="562" t="str">
        <f>$B$16</f>
        <v>Year</v>
      </c>
      <c r="D37" s="539">
        <f>(X37/X30-1)*100</f>
        <v>11.400928490617556</v>
      </c>
      <c r="G37" s="594">
        <f>'qtrP&amp;L'!R14</f>
        <v>-1.4</v>
      </c>
      <c r="I37" s="539">
        <f>D37-G37</f>
        <v>12.800928490617556</v>
      </c>
      <c r="J37" s="563"/>
      <c r="K37" s="454"/>
      <c r="L37" s="454"/>
      <c r="M37" s="454"/>
      <c r="N37" s="454"/>
      <c r="P37" s="587">
        <f>AVERAGE(P33:P36)</f>
        <v>33</v>
      </c>
      <c r="R37" s="539">
        <f>(P37/P30-1)*100</f>
        <v>15.283842794759828</v>
      </c>
      <c r="S37" s="563"/>
      <c r="T37" s="595">
        <f>I37/R37*100</f>
        <v>83.754646410040564</v>
      </c>
      <c r="U37" s="416"/>
      <c r="X37" s="579">
        <f>SUM(X33:X36)</f>
        <v>142.77699999999999</v>
      </c>
      <c r="Z37" s="580">
        <f>SUM(Z33:Z36)</f>
        <v>4.3239242150006856</v>
      </c>
      <c r="AB37" s="599">
        <f>(Z37/Z30-1)*100</f>
        <v>-3.0438214864514479</v>
      </c>
      <c r="AC37" s="563"/>
      <c r="AE37" s="454"/>
      <c r="AG37" s="582">
        <f>AVERAGE(AG33:AG36)</f>
        <v>0.42418149999999999</v>
      </c>
      <c r="AI37" s="539">
        <f>(AG37/AG30-1)*100</f>
        <v>14.573923706789271</v>
      </c>
      <c r="AJ37" s="563"/>
      <c r="AK37" s="595">
        <f>+I37/AI37*100</f>
        <v>87.834468933402164</v>
      </c>
      <c r="AL37" s="416"/>
      <c r="AN37" s="579">
        <f>SUM(AN33:AN36)</f>
        <v>142.77699999999999</v>
      </c>
      <c r="AP37" s="583" t="e">
        <f>SUM(AP33:AP36)</f>
        <v>#VALUE!</v>
      </c>
      <c r="AR37" s="583">
        <f>SUM(AR33:AR36)</f>
        <v>336.34823761844478</v>
      </c>
      <c r="AT37" s="599">
        <f>(AR37/AR30-1)*100</f>
        <v>-2.4636376607331645</v>
      </c>
      <c r="AU37" s="563"/>
    </row>
    <row r="38" spans="1:47" ht="12.75" hidden="1" customHeight="1" outlineLevel="1">
      <c r="B38" s="562"/>
      <c r="J38" s="563"/>
      <c r="K38" s="454"/>
      <c r="L38" s="454"/>
      <c r="M38" s="454"/>
      <c r="N38" s="454"/>
      <c r="S38" s="563"/>
      <c r="T38" s="416"/>
      <c r="U38" s="416"/>
      <c r="AC38" s="563"/>
      <c r="AE38" s="581"/>
      <c r="AJ38" s="563"/>
      <c r="AK38" s="416"/>
      <c r="AL38" s="416"/>
      <c r="AU38" s="563"/>
    </row>
    <row r="39" spans="1:47" ht="12.75" hidden="1" customHeight="1" outlineLevel="1">
      <c r="A39" s="593"/>
      <c r="B39" s="431">
        <f>B32+1</f>
        <v>1998</v>
      </c>
      <c r="J39" s="563"/>
      <c r="K39" s="454"/>
      <c r="L39" s="454"/>
      <c r="M39" s="454"/>
      <c r="N39" s="454"/>
      <c r="S39" s="563"/>
      <c r="T39" s="416"/>
      <c r="U39" s="416"/>
      <c r="AC39" s="563"/>
      <c r="AE39" s="454"/>
      <c r="AJ39" s="563"/>
      <c r="AK39" s="416"/>
      <c r="AL39" s="416"/>
      <c r="AU39" s="563"/>
    </row>
    <row r="40" spans="1:47" ht="12.75" hidden="1" customHeight="1" outlineLevel="1">
      <c r="A40" s="410" t="str">
        <f>$A$12</f>
        <v>1Q</v>
      </c>
      <c r="B40" s="562" t="str">
        <f>$B$12</f>
        <v>Apr</v>
      </c>
      <c r="D40" s="539">
        <f>(X40/X33-1)*100</f>
        <v>16.631315414305092</v>
      </c>
      <c r="E40" s="563" t="s">
        <v>208</v>
      </c>
      <c r="F40" s="563"/>
      <c r="G40" s="594">
        <f>'qtrP&amp;L'!V10</f>
        <v>9.1</v>
      </c>
      <c r="H40" s="563" t="s">
        <v>208</v>
      </c>
      <c r="I40" s="594">
        <f>D40-G40</f>
        <v>7.5313154143050927</v>
      </c>
      <c r="J40" s="563" t="s">
        <v>208</v>
      </c>
      <c r="K40" s="454">
        <f>+K36+1+2</f>
        <v>38</v>
      </c>
      <c r="L40" s="454"/>
      <c r="M40" s="454"/>
      <c r="N40" s="454"/>
      <c r="P40" s="587">
        <f>AVERAGE(K40,K36)</f>
        <v>36.5</v>
      </c>
      <c r="R40" s="539">
        <f>(P40/P33-1)*100</f>
        <v>10.606060606060597</v>
      </c>
      <c r="S40" s="563" t="s">
        <v>208</v>
      </c>
      <c r="T40" s="595">
        <f>I40/R40*100</f>
        <v>71.009545334876663</v>
      </c>
      <c r="U40" s="416" t="s">
        <v>208</v>
      </c>
      <c r="X40" s="579">
        <f>+segSales!Z23</f>
        <v>33.542000000000002</v>
      </c>
      <c r="Z40" s="580">
        <f>X40/P40</f>
        <v>0.91895890410958914</v>
      </c>
      <c r="AB40" s="599">
        <f>(Z40/Z33-1)*100</f>
        <v>5.4474906485498131</v>
      </c>
      <c r="AC40" s="563" t="s">
        <v>208</v>
      </c>
      <c r="AE40" s="581">
        <f>+AE36+(0.005115+0.00605+0.00697)/0.75</f>
        <v>0.47191066666666664</v>
      </c>
      <c r="AG40" s="582">
        <f>AVERAGE(AE40,AE36)</f>
        <v>0.45982066666666666</v>
      </c>
      <c r="AI40" s="539">
        <f>(AG40/AG33-1)*100</f>
        <v>8.6152920686212386</v>
      </c>
      <c r="AJ40" s="563" t="s">
        <v>208</v>
      </c>
      <c r="AK40" s="595">
        <f>+I40/AI40*100</f>
        <v>87.417992963184332</v>
      </c>
      <c r="AL40" s="416" t="s">
        <v>208</v>
      </c>
      <c r="AN40" s="579">
        <f>+X40</f>
        <v>33.542000000000002</v>
      </c>
      <c r="AP40" s="583" t="e">
        <f>AL40/AE40</f>
        <v>#VALUE!</v>
      </c>
      <c r="AR40" s="583">
        <f>AN40/AG40</f>
        <v>72.94582960603482</v>
      </c>
      <c r="AT40" s="599">
        <f>(AR40/AR33-1)*100</f>
        <v>7.3801977539400765</v>
      </c>
      <c r="AU40" s="563" t="s">
        <v>208</v>
      </c>
    </row>
    <row r="41" spans="1:47" ht="12.75" hidden="1" customHeight="1" outlineLevel="1">
      <c r="A41" s="410" t="str">
        <f>$A$13</f>
        <v>2Q</v>
      </c>
      <c r="B41" s="562" t="str">
        <f>$B$13</f>
        <v>Jul</v>
      </c>
      <c r="D41" s="539">
        <f>(X41/X34-1)*100</f>
        <v>26.839075472243913</v>
      </c>
      <c r="G41" s="594">
        <f>'qtrP&amp;L'!V11</f>
        <v>11</v>
      </c>
      <c r="I41" s="539">
        <f>D41-G41</f>
        <v>15.839075472243913</v>
      </c>
      <c r="J41" s="563"/>
      <c r="K41" s="454">
        <f>+K40+3</f>
        <v>41</v>
      </c>
      <c r="L41" s="454"/>
      <c r="M41" s="454"/>
      <c r="N41" s="454"/>
      <c r="P41" s="587">
        <f>AVERAGE(K41,K40)</f>
        <v>39.5</v>
      </c>
      <c r="R41" s="539">
        <f>(P41/P34-1)*100</f>
        <v>21.538461538461529</v>
      </c>
      <c r="S41" s="563"/>
      <c r="T41" s="595">
        <f>I41/R41*100</f>
        <v>73.538564692561053</v>
      </c>
      <c r="U41" s="416"/>
      <c r="X41" s="584">
        <f>+segSales!Z24</f>
        <v>43.847000000000001</v>
      </c>
      <c r="Z41" s="585">
        <f>X41/P41</f>
        <v>1.1100506329113924</v>
      </c>
      <c r="AB41" s="599">
        <f>(Z41/Z34-1)*100</f>
        <v>4.3612646290614565</v>
      </c>
      <c r="AC41" s="563"/>
      <c r="AE41" s="581">
        <f>+AE40+(0.006462+0.011168+0.005945)/0.75</f>
        <v>0.50334400000000001</v>
      </c>
      <c r="AG41" s="582">
        <f>AVERAGE(AE41,AE40)</f>
        <v>0.4876273333333333</v>
      </c>
      <c r="AI41" s="539">
        <f>(AG41/AG34-1)*100</f>
        <v>16.560216215527102</v>
      </c>
      <c r="AJ41" s="563"/>
      <c r="AK41" s="595">
        <f>+I41/AI41*100</f>
        <v>95.645342223206981</v>
      </c>
      <c r="AL41" s="416"/>
      <c r="AN41" s="584">
        <f>+X41</f>
        <v>43.847000000000001</v>
      </c>
      <c r="AP41" s="586">
        <f>AL41/AE41</f>
        <v>0</v>
      </c>
      <c r="AR41" s="586">
        <f>AN41/AG41</f>
        <v>89.919077546924498</v>
      </c>
      <c r="AT41" s="599">
        <f>(AR41/AR34-1)*100</f>
        <v>8.8184970742595006</v>
      </c>
      <c r="AU41" s="563"/>
    </row>
    <row r="42" spans="1:47" ht="12.75" hidden="1" customHeight="1" outlineLevel="1">
      <c r="A42" s="410" t="str">
        <f>$A$14</f>
        <v>3Q</v>
      </c>
      <c r="B42" s="562" t="str">
        <f>$B$14</f>
        <v>Oct</v>
      </c>
      <c r="D42" s="539">
        <f>(X42/X35-1)*100</f>
        <v>32.458657206948715</v>
      </c>
      <c r="G42" s="594">
        <f>'qtrP&amp;L'!V12</f>
        <v>12</v>
      </c>
      <c r="I42" s="539">
        <f>D42-G42</f>
        <v>20.458657206948715</v>
      </c>
      <c r="J42" s="563"/>
      <c r="K42" s="454">
        <f>+K41+2</f>
        <v>43</v>
      </c>
      <c r="L42" s="454"/>
      <c r="M42" s="454"/>
      <c r="N42" s="454"/>
      <c r="P42" s="587">
        <f>AVERAGE(K42,K41)</f>
        <v>42</v>
      </c>
      <c r="R42" s="539">
        <f>(P42/P35-1)*100</f>
        <v>29.230769230769237</v>
      </c>
      <c r="S42" s="563"/>
      <c r="T42" s="595">
        <f>I42/R42*100</f>
        <v>69.990143076403484</v>
      </c>
      <c r="U42" s="416"/>
      <c r="X42" s="584">
        <f>+segSales!Z25</f>
        <v>50.781999999999996</v>
      </c>
      <c r="Z42" s="585">
        <f>X42/P42</f>
        <v>1.209095238095238</v>
      </c>
      <c r="AB42" s="599">
        <f>(Z42/Z35-1)*100</f>
        <v>2.4977704577579196</v>
      </c>
      <c r="AC42" s="563"/>
      <c r="AE42" s="581">
        <f>+AE41+(0.007053+0.007448)/0.75</f>
        <v>0.52267866666666674</v>
      </c>
      <c r="AG42" s="582">
        <f>AVERAGE(AE42,AE41)</f>
        <v>0.51301133333333337</v>
      </c>
      <c r="AI42" s="539">
        <f>(AG42/AG35-1)*100</f>
        <v>22.460648748605561</v>
      </c>
      <c r="AJ42" s="563"/>
      <c r="AK42" s="595">
        <f>+I42/AI42*100</f>
        <v>91.086670896889672</v>
      </c>
      <c r="AL42" s="416"/>
      <c r="AN42" s="584">
        <f>+X42</f>
        <v>50.781999999999996</v>
      </c>
      <c r="AP42" s="586">
        <f>AL42/AE42</f>
        <v>0</v>
      </c>
      <c r="AR42" s="586">
        <f>AN42/AG42</f>
        <v>98.988066540440286</v>
      </c>
      <c r="AT42" s="599">
        <f>(AR42/AR35-1)*100</f>
        <v>8.1642622021933278</v>
      </c>
      <c r="AU42" s="563"/>
    </row>
    <row r="43" spans="1:47" ht="12.75" hidden="1" customHeight="1" outlineLevel="1">
      <c r="A43" s="410" t="str">
        <f>$A$15</f>
        <v>4Q</v>
      </c>
      <c r="B43" s="562" t="str">
        <f>$B$15</f>
        <v>Jan</v>
      </c>
      <c r="D43" s="596">
        <f>(X43/X36-1)*100</f>
        <v>34.530904137578759</v>
      </c>
      <c r="G43" s="597">
        <f>'qtrP&amp;L'!V13</f>
        <v>11</v>
      </c>
      <c r="I43" s="596">
        <f>D43-G43</f>
        <v>23.530904137578759</v>
      </c>
      <c r="J43" s="563"/>
      <c r="K43" s="410">
        <f>yrSales!F26</f>
        <v>46</v>
      </c>
      <c r="P43" s="588">
        <f>AVERAGE(K43,K42)</f>
        <v>44.5</v>
      </c>
      <c r="R43" s="596">
        <f>(P43/P36-1)*100</f>
        <v>30.882352941176471</v>
      </c>
      <c r="S43" s="563"/>
      <c r="T43" s="598">
        <f>I43/R43*100</f>
        <v>76.195308635969312</v>
      </c>
      <c r="U43" s="416"/>
      <c r="X43" s="589">
        <f>+segSales!Z26</f>
        <v>55.307000000000002</v>
      </c>
      <c r="Z43" s="590">
        <f>X43/P43</f>
        <v>1.2428539325842698</v>
      </c>
      <c r="AB43" s="597">
        <f>(Z43/Z36-1)*100</f>
        <v>2.7876570938804024</v>
      </c>
      <c r="AC43" s="563"/>
      <c r="AE43" s="582">
        <f>+yrSales!F41</f>
        <v>0.55796400000000002</v>
      </c>
      <c r="AG43" s="591">
        <f>AVERAGE(AE43,AE42)</f>
        <v>0.54032133333333343</v>
      </c>
      <c r="AI43" s="596">
        <f>(AG43/AG36-1)*100</f>
        <v>23.895463842510956</v>
      </c>
      <c r="AJ43" s="563"/>
      <c r="AK43" s="598">
        <f>+I43/AI43*100</f>
        <v>98.474356022821226</v>
      </c>
      <c r="AL43" s="416"/>
      <c r="AN43" s="589">
        <f>+X43</f>
        <v>55.307000000000002</v>
      </c>
      <c r="AP43" s="592">
        <f>AL43/AE43</f>
        <v>0</v>
      </c>
      <c r="AR43" s="592">
        <f>AN43/AG43</f>
        <v>102.35946017308217</v>
      </c>
      <c r="AT43" s="597">
        <f>(AR43/AR36-1)*100</f>
        <v>8.5842047523119867</v>
      </c>
      <c r="AU43" s="563"/>
    </row>
    <row r="44" spans="1:47" ht="12.75" hidden="1" customHeight="1" outlineLevel="1">
      <c r="B44" s="562" t="str">
        <f>$B$16</f>
        <v>Year</v>
      </c>
      <c r="D44" s="539">
        <f>(X44/X37-1)*100</f>
        <v>28.506692254354714</v>
      </c>
      <c r="G44" s="594">
        <f>'qtrP&amp;L'!V14</f>
        <v>10.8</v>
      </c>
      <c r="I44" s="539">
        <f>D44-G44</f>
        <v>17.706692254354714</v>
      </c>
      <c r="J44" s="563"/>
      <c r="P44" s="587">
        <f>AVERAGE(P40:P43)</f>
        <v>40.625</v>
      </c>
      <c r="R44" s="539">
        <f>(P44/P37-1)*100</f>
        <v>23.106060606060595</v>
      </c>
      <c r="S44" s="563"/>
      <c r="T44" s="595">
        <f>I44/R44*100</f>
        <v>76.632241887699124</v>
      </c>
      <c r="U44" s="416"/>
      <c r="X44" s="579">
        <f>SUM(X40:X43)</f>
        <v>183.47800000000001</v>
      </c>
      <c r="Z44" s="580">
        <f>SUM(Z40:Z43)</f>
        <v>4.4809587077004895</v>
      </c>
      <c r="AB44" s="599">
        <f>(Z44/Z37-1)*100</f>
        <v>3.6317586731750673</v>
      </c>
      <c r="AC44" s="563"/>
      <c r="AE44" s="454"/>
      <c r="AG44" s="582">
        <f>AVERAGE(AG40:AG43)</f>
        <v>0.50019516666666664</v>
      </c>
      <c r="AI44" s="539">
        <f>(AG44/AG37-1)*100</f>
        <v>17.920080594431063</v>
      </c>
      <c r="AJ44" s="563"/>
      <c r="AK44" s="595">
        <f>+I44/AI44*100</f>
        <v>98.809222207724531</v>
      </c>
      <c r="AL44" s="416"/>
      <c r="AN44" s="579">
        <f>SUM(AN40:AN43)</f>
        <v>183.47800000000001</v>
      </c>
      <c r="AP44" s="583" t="e">
        <f>SUM(AP40:AP43)</f>
        <v>#VALUE!</v>
      </c>
      <c r="AR44" s="583">
        <f>SUM(AR40:AR43)</f>
        <v>364.21243386648177</v>
      </c>
      <c r="AT44" s="599">
        <f>(AR44/AR37-1)*100</f>
        <v>8.2843294929483946</v>
      </c>
      <c r="AU44" s="563"/>
    </row>
    <row r="45" spans="1:47" ht="12.75" hidden="1" customHeight="1" outlineLevel="1">
      <c r="B45" s="562"/>
      <c r="J45" s="563"/>
      <c r="S45" s="563"/>
      <c r="T45" s="416"/>
      <c r="U45" s="416"/>
      <c r="AC45" s="563"/>
      <c r="AJ45" s="563"/>
      <c r="AK45" s="416"/>
      <c r="AL45" s="416"/>
      <c r="AU45" s="563"/>
    </row>
    <row r="46" spans="1:47" ht="12.75" hidden="1" customHeight="1" outlineLevel="1">
      <c r="A46" s="593"/>
      <c r="B46" s="431">
        <f>B39+1</f>
        <v>1999</v>
      </c>
      <c r="J46" s="563"/>
      <c r="S46" s="563"/>
      <c r="T46" s="416"/>
      <c r="U46" s="416"/>
      <c r="AC46" s="563"/>
      <c r="AJ46" s="563"/>
      <c r="AK46" s="416"/>
      <c r="AL46" s="416"/>
      <c r="AU46" s="563"/>
    </row>
    <row r="47" spans="1:47" ht="12.75" hidden="1" customHeight="1" outlineLevel="1">
      <c r="A47" s="410" t="str">
        <f>$A$12</f>
        <v>1Q</v>
      </c>
      <c r="B47" s="562" t="str">
        <f>$B$12</f>
        <v>Apr</v>
      </c>
      <c r="D47" s="539">
        <f>(X47/X40-1)*100</f>
        <v>45.334207858803865</v>
      </c>
      <c r="E47" s="563" t="s">
        <v>208</v>
      </c>
      <c r="F47" s="563"/>
      <c r="G47" s="594">
        <f>'qtrP&amp;L'!Z10</f>
        <v>17</v>
      </c>
      <c r="H47" s="563" t="s">
        <v>208</v>
      </c>
      <c r="I47" s="539">
        <f>D47-G47</f>
        <v>28.334207858803865</v>
      </c>
      <c r="J47" s="563" t="s">
        <v>208</v>
      </c>
      <c r="K47" s="454">
        <f>+K43+2+1</f>
        <v>49</v>
      </c>
      <c r="L47" s="454"/>
      <c r="M47" s="454"/>
      <c r="N47" s="454"/>
      <c r="P47" s="587">
        <f>AVERAGE(K47,K43)</f>
        <v>47.5</v>
      </c>
      <c r="R47" s="539">
        <f>(P47/P40-1)*100</f>
        <v>30.136986301369873</v>
      </c>
      <c r="S47" s="563" t="s">
        <v>208</v>
      </c>
      <c r="T47" s="595">
        <f>I47/R47*100</f>
        <v>94.018053349667341</v>
      </c>
      <c r="U47" s="416" t="s">
        <v>208</v>
      </c>
      <c r="X47" s="579">
        <f>+segSales!Z30</f>
        <v>48.747999999999998</v>
      </c>
      <c r="Z47" s="580">
        <f>X47/P47</f>
        <v>1.0262736842105262</v>
      </c>
      <c r="AB47" s="599">
        <f>(Z47/Z40-1)*100</f>
        <v>11.677864986238751</v>
      </c>
      <c r="AC47" s="563" t="s">
        <v>208</v>
      </c>
      <c r="AE47" s="581">
        <f>+AE43+((0.009326+0.005912+0.009729)/0.75)</f>
        <v>0.5912533333333333</v>
      </c>
      <c r="AG47" s="582">
        <f>AVERAGE(AE47,AE43)</f>
        <v>0.57460866666666666</v>
      </c>
      <c r="AI47" s="539">
        <f>(AG47/AG40-1)*100</f>
        <v>24.963645247205069</v>
      </c>
      <c r="AJ47" s="563" t="s">
        <v>208</v>
      </c>
      <c r="AK47" s="595">
        <f>+I47/AI47*100</f>
        <v>113.50188475369463</v>
      </c>
      <c r="AL47" s="416" t="s">
        <v>208</v>
      </c>
      <c r="AN47" s="579">
        <f>+X47</f>
        <v>48.747999999999998</v>
      </c>
      <c r="AP47" s="583" t="e">
        <f>AL47/AE47</f>
        <v>#VALUE!</v>
      </c>
      <c r="AR47" s="583">
        <f>AN47/AG47</f>
        <v>84.836868686282713</v>
      </c>
      <c r="AT47" s="599">
        <f>(AR47/AR40-1)*100</f>
        <v>16.301191095459334</v>
      </c>
      <c r="AU47" s="563" t="s">
        <v>208</v>
      </c>
    </row>
    <row r="48" spans="1:47" ht="12.75" hidden="1" customHeight="1" outlineLevel="1">
      <c r="A48" s="410" t="str">
        <f>$A$13</f>
        <v>2Q</v>
      </c>
      <c r="B48" s="562" t="str">
        <f>$B$13</f>
        <v>Jul</v>
      </c>
      <c r="D48" s="539">
        <f>(X48/X41-1)*100</f>
        <v>39.33222341323237</v>
      </c>
      <c r="E48" s="563"/>
      <c r="F48" s="563"/>
      <c r="G48" s="594">
        <f>'qtrP&amp;L'!Z11</f>
        <v>19</v>
      </c>
      <c r="H48" s="563"/>
      <c r="I48" s="539">
        <f>D48-G48</f>
        <v>20.33222341323237</v>
      </c>
      <c r="J48" s="563"/>
      <c r="K48" s="454">
        <f>+K47+1-1</f>
        <v>49</v>
      </c>
      <c r="L48" s="454"/>
      <c r="M48" s="454"/>
      <c r="N48" s="454"/>
      <c r="P48" s="587">
        <f>AVERAGE(K48,K47)</f>
        <v>49</v>
      </c>
      <c r="R48" s="539">
        <f>(P48/P41-1)*100</f>
        <v>24.050632911392398</v>
      </c>
      <c r="S48" s="563"/>
      <c r="T48" s="595">
        <f>I48/R48*100</f>
        <v>84.539244718176718</v>
      </c>
      <c r="U48" s="416"/>
      <c r="X48" s="584">
        <f>+segSales!Z31</f>
        <v>61.093000000000004</v>
      </c>
      <c r="Z48" s="585">
        <f>X48/P48</f>
        <v>1.2467959183673469</v>
      </c>
      <c r="AB48" s="599">
        <f>(Z48/Z41-1)*100</f>
        <v>12.318833159646502</v>
      </c>
      <c r="AC48" s="563"/>
      <c r="AE48" s="581">
        <f>+AE47+(0.005397-0.010319)/0.75</f>
        <v>0.58469066666666658</v>
      </c>
      <c r="AG48" s="582">
        <f>AVERAGE(AE48,AE47)</f>
        <v>0.58797199999999994</v>
      </c>
      <c r="AI48" s="539">
        <f>(AG48/AG41-1)*100</f>
        <v>20.578146426027534</v>
      </c>
      <c r="AJ48" s="563"/>
      <c r="AK48" s="595">
        <f>+I48/AI48*100</f>
        <v>98.80493117453905</v>
      </c>
      <c r="AL48" s="416"/>
      <c r="AN48" s="584">
        <f>+X48</f>
        <v>61.093000000000004</v>
      </c>
      <c r="AP48" s="586">
        <f>AL48/AE48</f>
        <v>0</v>
      </c>
      <c r="AR48" s="586">
        <f>AN48/AG48</f>
        <v>103.90460770240762</v>
      </c>
      <c r="AT48" s="599">
        <f>(AR48/AR41-1)*100</f>
        <v>15.553462665566986</v>
      </c>
      <c r="AU48" s="563"/>
    </row>
    <row r="49" spans="1:47" ht="12.75" hidden="1" customHeight="1" outlineLevel="1">
      <c r="A49" s="410" t="str">
        <f>$A$14</f>
        <v>3Q</v>
      </c>
      <c r="B49" s="562" t="str">
        <f>$B$14</f>
        <v>Oct</v>
      </c>
      <c r="D49" s="539">
        <f>(X49/X42-1)*100</f>
        <v>23.890354850143769</v>
      </c>
      <c r="E49" s="563"/>
      <c r="F49" s="563"/>
      <c r="G49" s="594">
        <f>'qtrP&amp;L'!Z12</f>
        <v>8</v>
      </c>
      <c r="H49" s="563"/>
      <c r="I49" s="539">
        <f>D49-G49</f>
        <v>15.890354850143769</v>
      </c>
      <c r="J49" s="563"/>
      <c r="K49" s="454">
        <f>+K48+2+1</f>
        <v>52</v>
      </c>
      <c r="L49" s="454"/>
      <c r="M49" s="454"/>
      <c r="N49" s="454"/>
      <c r="P49" s="587">
        <f>AVERAGE(K49,K48)</f>
        <v>50.5</v>
      </c>
      <c r="R49" s="539">
        <f>(P49/P42-1)*100</f>
        <v>20.238095238095234</v>
      </c>
      <c r="S49" s="563"/>
      <c r="T49" s="595">
        <f>I49/R49*100</f>
        <v>78.517047494828049</v>
      </c>
      <c r="U49" s="416"/>
      <c r="X49" s="584">
        <f>+segSales!Z32</f>
        <v>62.914000000000001</v>
      </c>
      <c r="Z49" s="585">
        <f>X49/P49</f>
        <v>1.2458217821782178</v>
      </c>
      <c r="AB49" s="599">
        <f>(Z49/Z42-1)*100</f>
        <v>3.0375228456641201</v>
      </c>
      <c r="AC49" s="563"/>
      <c r="AE49" s="581">
        <f>+AE48+(0.009612+0.0099+0.009208)/0.75</f>
        <v>0.62298399999999987</v>
      </c>
      <c r="AG49" s="582">
        <f>AVERAGE(AE49,AE48)</f>
        <v>0.60383733333333323</v>
      </c>
      <c r="AI49" s="539">
        <f>(AG49/AG42-1)*100</f>
        <v>17.704482162187428</v>
      </c>
      <c r="AJ49" s="563"/>
      <c r="AK49" s="595">
        <f>+I49/AI49*100</f>
        <v>89.753287922093506</v>
      </c>
      <c r="AL49" s="416"/>
      <c r="AN49" s="584">
        <f>+X49</f>
        <v>62.914000000000001</v>
      </c>
      <c r="AP49" s="586">
        <f>AL49/AE49</f>
        <v>0</v>
      </c>
      <c r="AR49" s="586">
        <f>AN49/AG49</f>
        <v>104.19031173958551</v>
      </c>
      <c r="AT49" s="599">
        <f>(AR49/AR42-1)*100</f>
        <v>5.2554266195510735</v>
      </c>
      <c r="AU49" s="563"/>
    </row>
    <row r="50" spans="1:47" ht="12.75" hidden="1" customHeight="1" outlineLevel="1">
      <c r="A50" s="410" t="str">
        <f>$A$15</f>
        <v>4Q</v>
      </c>
      <c r="B50" s="562" t="str">
        <f>$B$15</f>
        <v>Jan</v>
      </c>
      <c r="D50" s="596">
        <f>(X50/X43-1)*100</f>
        <v>19.44238523152584</v>
      </c>
      <c r="E50" s="563"/>
      <c r="F50" s="563"/>
      <c r="G50" s="597">
        <f>'qtrP&amp;L'!Z13</f>
        <v>0</v>
      </c>
      <c r="H50" s="563"/>
      <c r="I50" s="596">
        <f>D50-G50</f>
        <v>19.44238523152584</v>
      </c>
      <c r="J50" s="563"/>
      <c r="K50" s="410">
        <f>yrSales!G26</f>
        <v>57</v>
      </c>
      <c r="P50" s="588">
        <f>AVERAGE(K50,K49)</f>
        <v>54.5</v>
      </c>
      <c r="R50" s="596">
        <f>(P50/P43-1)*100</f>
        <v>22.471910112359559</v>
      </c>
      <c r="S50" s="563"/>
      <c r="T50" s="598">
        <f>I50/R50*100</f>
        <v>86.518614280289952</v>
      </c>
      <c r="U50" s="416"/>
      <c r="X50" s="589">
        <f>+segSales!Z33</f>
        <v>66.06</v>
      </c>
      <c r="Z50" s="590">
        <f>X50/P50</f>
        <v>1.2121100917431193</v>
      </c>
      <c r="AB50" s="597">
        <f>(Z50/Z43-1)*100</f>
        <v>-2.4736487559100961</v>
      </c>
      <c r="AC50" s="563"/>
      <c r="AE50" s="582">
        <f>+yrSales!G41</f>
        <v>0.69685466666666673</v>
      </c>
      <c r="AG50" s="591">
        <f>AVERAGE(AE50,AE49)</f>
        <v>0.6599193333333333</v>
      </c>
      <c r="AI50" s="596">
        <f>(AG50/AG43-1)*100</f>
        <v>22.134606320683226</v>
      </c>
      <c r="AJ50" s="563"/>
      <c r="AK50" s="598">
        <f>+I50/AI50*100</f>
        <v>87.837050046642588</v>
      </c>
      <c r="AL50" s="416"/>
      <c r="AN50" s="589">
        <f>+X50</f>
        <v>66.06</v>
      </c>
      <c r="AP50" s="592">
        <f>AL50/AE50</f>
        <v>0</v>
      </c>
      <c r="AR50" s="592">
        <f>AN50/AG50</f>
        <v>100.10314391961039</v>
      </c>
      <c r="AT50" s="597">
        <f>(AR50/AR43-1)*100</f>
        <v>-2.2043065190618605</v>
      </c>
      <c r="AU50" s="563"/>
    </row>
    <row r="51" spans="1:47" ht="12.75" hidden="1" customHeight="1" outlineLevel="1">
      <c r="B51" s="562" t="str">
        <f>$B$16</f>
        <v>Year</v>
      </c>
      <c r="D51" s="539">
        <f>(X51/X44-1)*100</f>
        <v>30.160019184861397</v>
      </c>
      <c r="E51" s="563"/>
      <c r="F51" s="563"/>
      <c r="G51" s="594">
        <f>'qtrP&amp;L'!Z14</f>
        <v>10.3</v>
      </c>
      <c r="H51" s="563"/>
      <c r="I51" s="539">
        <f>D51-G51</f>
        <v>19.860019184861397</v>
      </c>
      <c r="J51" s="563"/>
      <c r="P51" s="587">
        <f>AVERAGE(P47:P50)</f>
        <v>50.375</v>
      </c>
      <c r="R51" s="539">
        <f>(P51/P44-1)*100</f>
        <v>24</v>
      </c>
      <c r="S51" s="563"/>
      <c r="T51" s="595">
        <f>I51/R51*100</f>
        <v>82.750079936922489</v>
      </c>
      <c r="U51" s="416"/>
      <c r="X51" s="579">
        <f>SUM(X47:X50)</f>
        <v>238.815</v>
      </c>
      <c r="Z51" s="580">
        <f>SUM(Z47:Z50)</f>
        <v>4.7310014764992108</v>
      </c>
      <c r="AB51" s="599">
        <f>(Z51/Z44-1)*100</f>
        <v>5.580117673680518</v>
      </c>
      <c r="AC51" s="563"/>
      <c r="AG51" s="582">
        <f>AVERAGE(AG47:AG50)</f>
        <v>0.60658433333333328</v>
      </c>
      <c r="AI51" s="539">
        <f>(AG51/AG44-1)*100</f>
        <v>21.269531126350351</v>
      </c>
      <c r="AJ51" s="563"/>
      <c r="AK51" s="595">
        <f>+I51/AI51*100</f>
        <v>93.373093496439424</v>
      </c>
      <c r="AL51" s="416"/>
      <c r="AN51" s="579">
        <f>SUM(AN47:AN50)</f>
        <v>238.815</v>
      </c>
      <c r="AP51" s="583" t="e">
        <f>SUM(AP47:AP50)</f>
        <v>#VALUE!</v>
      </c>
      <c r="AR51" s="583">
        <f>SUM(AR47:AR50)</f>
        <v>393.03493204788623</v>
      </c>
      <c r="AT51" s="599">
        <f>(AR51/AR44-1)*100</f>
        <v>7.9136502495053884</v>
      </c>
      <c r="AU51" s="563"/>
    </row>
    <row r="52" spans="1:47" ht="12.75" hidden="1" customHeight="1" outlineLevel="1">
      <c r="B52" s="562"/>
      <c r="E52" s="563"/>
      <c r="F52" s="563"/>
      <c r="H52" s="563"/>
      <c r="J52" s="563"/>
      <c r="S52" s="563"/>
      <c r="T52" s="416"/>
      <c r="U52" s="416"/>
      <c r="AC52" s="563"/>
      <c r="AJ52" s="563"/>
      <c r="AK52" s="416"/>
      <c r="AL52" s="416"/>
      <c r="AU52" s="563"/>
    </row>
    <row r="53" spans="1:47" ht="12.75" hidden="1" customHeight="1" outlineLevel="1">
      <c r="A53" s="593"/>
      <c r="B53" s="431">
        <f>B46+1</f>
        <v>2000</v>
      </c>
      <c r="E53" s="563"/>
      <c r="F53" s="563"/>
      <c r="H53" s="563"/>
      <c r="J53" s="563"/>
      <c r="S53" s="563"/>
      <c r="T53" s="416"/>
      <c r="U53" s="416"/>
      <c r="AC53" s="563"/>
      <c r="AJ53" s="563"/>
      <c r="AK53" s="416"/>
      <c r="AL53" s="416"/>
      <c r="AU53" s="563"/>
    </row>
    <row r="54" spans="1:47" ht="12.75" hidden="1" customHeight="1" outlineLevel="1">
      <c r="A54" s="410" t="str">
        <f>$A$12</f>
        <v>1Q</v>
      </c>
      <c r="B54" s="562" t="str">
        <f>$B$12</f>
        <v>Apr</v>
      </c>
      <c r="D54" s="539">
        <f>(X54/X47-1)*100</f>
        <v>10.648641995569053</v>
      </c>
      <c r="E54" s="563" t="s">
        <v>208</v>
      </c>
      <c r="F54" s="563"/>
      <c r="G54" s="594">
        <f>+'qtrP&amp;L'!AD10</f>
        <v>-4</v>
      </c>
      <c r="H54" s="563" t="s">
        <v>208</v>
      </c>
      <c r="I54" s="539">
        <f>D54-G54</f>
        <v>14.648641995569053</v>
      </c>
      <c r="J54" s="563" t="s">
        <v>208</v>
      </c>
      <c r="K54" s="454">
        <f>+K50+1</f>
        <v>58</v>
      </c>
      <c r="L54" s="454"/>
      <c r="M54" s="454"/>
      <c r="N54" s="454"/>
      <c r="P54" s="587">
        <f>AVERAGE(K54,K50)</f>
        <v>57.5</v>
      </c>
      <c r="R54" s="539">
        <f>(P54/P47-1)*100</f>
        <v>21.052631578947366</v>
      </c>
      <c r="S54" s="563" t="s">
        <v>208</v>
      </c>
      <c r="T54" s="595">
        <f>I54/R54*100</f>
        <v>69.581049478953005</v>
      </c>
      <c r="U54" s="416" t="s">
        <v>208</v>
      </c>
      <c r="X54" s="579">
        <f>+segSales!Z37</f>
        <v>53.939</v>
      </c>
      <c r="Z54" s="580">
        <f>X54/P54</f>
        <v>0.93806956521739127</v>
      </c>
      <c r="AB54" s="599">
        <f>(Z54/Z47-1)*100</f>
        <v>-8.5946000906168667</v>
      </c>
      <c r="AC54" s="563" t="s">
        <v>208</v>
      </c>
      <c r="AE54" s="581">
        <f>+AE50+0.006794/0.75</f>
        <v>0.70591333333333339</v>
      </c>
      <c r="AG54" s="582">
        <f>AVERAGE(AE54,AE50)</f>
        <v>0.70138400000000001</v>
      </c>
      <c r="AI54" s="539">
        <f>(AG54/AG47-1)*100</f>
        <v>22.062899619799214</v>
      </c>
      <c r="AJ54" s="563" t="s">
        <v>208</v>
      </c>
      <c r="AK54" s="595">
        <f>+I54/AI54*100</f>
        <v>66.394908411872493</v>
      </c>
      <c r="AL54" s="416" t="s">
        <v>208</v>
      </c>
      <c r="AN54" s="579">
        <f>+X54</f>
        <v>53.939</v>
      </c>
      <c r="AP54" s="583" t="e">
        <f>AL54/AE54</f>
        <v>#VALUE!</v>
      </c>
      <c r="AR54" s="583">
        <f>AN54/AG54</f>
        <v>76.903664754257292</v>
      </c>
      <c r="AT54" s="599">
        <f>(AR54/AR47-1)*100</f>
        <v>-9.3511277052922832</v>
      </c>
      <c r="AU54" s="563" t="s">
        <v>208</v>
      </c>
    </row>
    <row r="55" spans="1:47" ht="12.75" hidden="1" customHeight="1" outlineLevel="1">
      <c r="A55" s="410" t="str">
        <f>$A$13</f>
        <v>2Q</v>
      </c>
      <c r="B55" s="562" t="str">
        <f>$B$13</f>
        <v>Jul</v>
      </c>
      <c r="D55" s="594">
        <f>(X55/X48-1)*100</f>
        <v>-4.4293126872145816</v>
      </c>
      <c r="E55" s="563"/>
      <c r="F55" s="563"/>
      <c r="G55" s="594">
        <f>+'qtrP&amp;L'!AD11</f>
        <v>-14</v>
      </c>
      <c r="H55" s="563"/>
      <c r="I55" s="594">
        <f>D55-G55</f>
        <v>9.5706873127854184</v>
      </c>
      <c r="K55" s="454">
        <f>+K54+1+2</f>
        <v>61</v>
      </c>
      <c r="L55" s="454"/>
      <c r="M55" s="454"/>
      <c r="N55" s="454"/>
      <c r="O55" s="454"/>
      <c r="P55" s="587">
        <f>AVERAGE(K55,K54)</f>
        <v>59.5</v>
      </c>
      <c r="R55" s="539">
        <f>(P55/P48-1)*100</f>
        <v>21.42857142857142</v>
      </c>
      <c r="S55" s="563"/>
      <c r="T55" s="595">
        <f>I55/R55*100</f>
        <v>44.663207459665308</v>
      </c>
      <c r="U55" s="416"/>
      <c r="X55" s="584">
        <f>+segSales!Z38</f>
        <v>58.387</v>
      </c>
      <c r="Z55" s="585">
        <f>X55/P55</f>
        <v>0.98129411764705887</v>
      </c>
      <c r="AB55" s="599">
        <f>(Z55/Z48-1)*100</f>
        <v>-21.294728095353179</v>
      </c>
      <c r="AC55" s="563"/>
      <c r="AE55" s="581">
        <f>+AE54+(0.007995+0.008489+0.007042+0.010909)/0.75</f>
        <v>0.75182666666666675</v>
      </c>
      <c r="AF55" s="454"/>
      <c r="AG55" s="582">
        <f>AVERAGE(AE55,AE54)</f>
        <v>0.72887000000000013</v>
      </c>
      <c r="AI55" s="539">
        <f>(AG55/AG48-1)*100</f>
        <v>23.963386011578812</v>
      </c>
      <c r="AJ55" s="563"/>
      <c r="AK55" s="595">
        <f>+I55/AI55*100</f>
        <v>39.938793742090454</v>
      </c>
      <c r="AL55" s="416"/>
      <c r="AN55" s="584">
        <f>+X55</f>
        <v>58.387</v>
      </c>
      <c r="AP55" s="586">
        <f>AL55/AE55</f>
        <v>0</v>
      </c>
      <c r="AR55" s="586">
        <f>AN55/AG55</f>
        <v>80.106191776311263</v>
      </c>
      <c r="AT55" s="599">
        <f>(AR55/AR48-1)*100</f>
        <v>-22.904100648026326</v>
      </c>
      <c r="AU55" s="563"/>
    </row>
    <row r="56" spans="1:47" ht="12.75" hidden="1" customHeight="1" outlineLevel="1">
      <c r="A56" s="410" t="str">
        <f>$A$14</f>
        <v>3Q</v>
      </c>
      <c r="B56" s="562" t="str">
        <f>$B$14</f>
        <v>Oct</v>
      </c>
      <c r="D56" s="539">
        <f>(X56/X49-1)*100</f>
        <v>6.7377690180246086</v>
      </c>
      <c r="E56" s="563"/>
      <c r="F56" s="563"/>
      <c r="G56" s="594">
        <f>+'qtrP&amp;L'!AD12</f>
        <v>-9</v>
      </c>
      <c r="H56" s="563"/>
      <c r="I56" s="594">
        <f>D56-G56</f>
        <v>15.737769018024608</v>
      </c>
      <c r="K56" s="454">
        <f>+K55+1+2</f>
        <v>64</v>
      </c>
      <c r="L56" s="454"/>
      <c r="M56" s="454"/>
      <c r="N56" s="454"/>
      <c r="O56" s="454"/>
      <c r="P56" s="587">
        <f>AVERAGE(K56,K55)</f>
        <v>62.5</v>
      </c>
      <c r="R56" s="539">
        <f>(P56/P49-1)*100</f>
        <v>23.762376237623762</v>
      </c>
      <c r="S56" s="563"/>
      <c r="T56" s="595">
        <f>I56/R56*100</f>
        <v>66.22977795085356</v>
      </c>
      <c r="U56" s="416"/>
      <c r="X56" s="584">
        <f>+segSales!Z39</f>
        <v>67.153000000000006</v>
      </c>
      <c r="Z56" s="585">
        <f>X56/P56</f>
        <v>1.0744480000000001</v>
      </c>
      <c r="AB56" s="599">
        <f>(Z56/Z49-1)*100</f>
        <v>-13.755882633436112</v>
      </c>
      <c r="AC56" s="563"/>
      <c r="AE56" s="581">
        <f>+AE55+(0.016841+0.007638+0.007742)/0.75</f>
        <v>0.79478800000000005</v>
      </c>
      <c r="AF56" s="454"/>
      <c r="AG56" s="582">
        <f>AVERAGE(AE56,AE55)</f>
        <v>0.77330733333333335</v>
      </c>
      <c r="AI56" s="539">
        <f>(AG56/AG49-1)*100</f>
        <v>28.065505500377608</v>
      </c>
      <c r="AJ56" s="563"/>
      <c r="AK56" s="595">
        <f>+I56/AI56*100</f>
        <v>56.075131152769956</v>
      </c>
      <c r="AL56" s="416"/>
      <c r="AN56" s="584">
        <f>+X56</f>
        <v>67.153000000000006</v>
      </c>
      <c r="AP56" s="586">
        <f>AL56/AE56</f>
        <v>0</v>
      </c>
      <c r="AR56" s="586">
        <f>AN56/AG56</f>
        <v>86.838695438898384</v>
      </c>
      <c r="AT56" s="599">
        <f>(AR56/AR49-1)*100</f>
        <v>-16.653771364132165</v>
      </c>
      <c r="AU56" s="563"/>
    </row>
    <row r="57" spans="1:47" ht="12.75" hidden="1" customHeight="1" outlineLevel="1">
      <c r="A57" s="410" t="str">
        <f>$A$15</f>
        <v>4Q</v>
      </c>
      <c r="B57" s="562" t="str">
        <f>$B$15</f>
        <v>Jan</v>
      </c>
      <c r="D57" s="596">
        <f>(X57/X50-1)*100</f>
        <v>11.383590675143807</v>
      </c>
      <c r="E57" s="563"/>
      <c r="F57" s="563"/>
      <c r="G57" s="597">
        <f>+'qtrP&amp;L'!AD13</f>
        <v>-3</v>
      </c>
      <c r="H57" s="563"/>
      <c r="I57" s="596">
        <f>D57-G57</f>
        <v>14.383590675143807</v>
      </c>
      <c r="K57" s="410">
        <f>yrSales!H26</f>
        <v>68</v>
      </c>
      <c r="O57" s="454"/>
      <c r="P57" s="588">
        <f>AVERAGE(K57,K56)</f>
        <v>66</v>
      </c>
      <c r="R57" s="596">
        <f>(P57/P50-1)*100</f>
        <v>21.100917431192666</v>
      </c>
      <c r="S57" s="563"/>
      <c r="T57" s="598">
        <f>I57/R57*100</f>
        <v>68.165712330029322</v>
      </c>
      <c r="U57" s="416"/>
      <c r="X57" s="589">
        <f>+segSales!Z40</f>
        <v>73.58</v>
      </c>
      <c r="Z57" s="590">
        <f>X57/P57</f>
        <v>1.1148484848484848</v>
      </c>
      <c r="AB57" s="597">
        <f>(Z57/Z50-1)*100</f>
        <v>-8.0241561849191392</v>
      </c>
      <c r="AC57" s="563"/>
      <c r="AE57" s="600">
        <f>+yrSales!H41</f>
        <v>0.84262133333333333</v>
      </c>
      <c r="AF57" s="454"/>
      <c r="AG57" s="591">
        <f>AVERAGE(AE57,AE56)</f>
        <v>0.81870466666666664</v>
      </c>
      <c r="AI57" s="596">
        <f>(AG57/AG50-1)*100</f>
        <v>24.061324666954253</v>
      </c>
      <c r="AJ57" s="563"/>
      <c r="AK57" s="598">
        <f>+I57/AI57*100</f>
        <v>59.778881147379991</v>
      </c>
      <c r="AL57" s="416"/>
      <c r="AN57" s="589">
        <f>+X57</f>
        <v>73.58</v>
      </c>
      <c r="AP57" s="592">
        <f>AL57/AE57</f>
        <v>0</v>
      </c>
      <c r="AR57" s="592">
        <f>AN57/AG57</f>
        <v>89.873678501893636</v>
      </c>
      <c r="AT57" s="597">
        <f>(AR57/AR50-1)*100</f>
        <v>-10.218925217705156</v>
      </c>
      <c r="AU57" s="563"/>
    </row>
    <row r="58" spans="1:47" ht="12.75" hidden="1" customHeight="1" outlineLevel="1">
      <c r="B58" s="562" t="str">
        <f>$B$16</f>
        <v>Year</v>
      </c>
      <c r="D58" s="539">
        <f>(X58/X51-1)*100</f>
        <v>5.9644494692544292</v>
      </c>
      <c r="E58" s="563"/>
      <c r="F58" s="563"/>
      <c r="G58" s="594">
        <f>+'qtrP&amp;L'!AD14</f>
        <v>-7.4</v>
      </c>
      <c r="H58" s="563"/>
      <c r="I58" s="594">
        <f>D58-G58</f>
        <v>13.36444946925443</v>
      </c>
      <c r="P58" s="587">
        <f>AVERAGE(P54:P57)</f>
        <v>61.375</v>
      </c>
      <c r="R58" s="539">
        <f>(P58/P51-1)*100</f>
        <v>21.836228287841198</v>
      </c>
      <c r="S58" s="563"/>
      <c r="T58" s="595">
        <f>I58/R58*100</f>
        <v>61.203103819426516</v>
      </c>
      <c r="U58" s="416"/>
      <c r="X58" s="579">
        <f>SUM(X54:X57)</f>
        <v>253.05899999999997</v>
      </c>
      <c r="Z58" s="580">
        <f>SUM(Z54:Z57)</f>
        <v>4.1086601677129355</v>
      </c>
      <c r="AB58" s="599">
        <f>(Z58/Z51-1)*100</f>
        <v>-13.154536346642354</v>
      </c>
      <c r="AC58" s="563"/>
      <c r="AE58" s="600"/>
      <c r="AG58" s="582">
        <f>AVERAGE(AG54:AG57)</f>
        <v>0.75556650000000003</v>
      </c>
      <c r="AI58" s="539">
        <f>(AG58/AG51-1)*100</f>
        <v>24.560833255941894</v>
      </c>
      <c r="AJ58" s="563"/>
      <c r="AK58" s="595">
        <f>+I58/AI58*100</f>
        <v>54.413664756350343</v>
      </c>
      <c r="AL58" s="416"/>
      <c r="AN58" s="579">
        <f>SUM(AN54:AN57)</f>
        <v>253.05899999999997</v>
      </c>
      <c r="AP58" s="583" t="e">
        <f>SUM(AP54:AP57)</f>
        <v>#VALUE!</v>
      </c>
      <c r="AR58" s="583">
        <f>SUM(AR54:AR57)</f>
        <v>333.7222304713606</v>
      </c>
      <c r="AT58" s="599">
        <f>(AR58/AR51-1)*100</f>
        <v>-15.090949109149198</v>
      </c>
      <c r="AU58" s="563"/>
    </row>
    <row r="59" spans="1:47" ht="12.75" hidden="1" customHeight="1" outlineLevel="1">
      <c r="B59" s="562"/>
      <c r="E59" s="563"/>
      <c r="F59" s="563"/>
      <c r="H59" s="563"/>
      <c r="J59" s="563"/>
      <c r="S59" s="563"/>
      <c r="T59" s="416"/>
      <c r="U59" s="416"/>
      <c r="AC59" s="563"/>
      <c r="AE59" s="600"/>
      <c r="AJ59" s="563"/>
      <c r="AK59" s="416"/>
      <c r="AL59" s="416"/>
      <c r="AU59" s="563"/>
    </row>
    <row r="60" spans="1:47" ht="12.75" hidden="1" customHeight="1" outlineLevel="1">
      <c r="A60" s="593"/>
      <c r="B60" s="431">
        <f>B53+1</f>
        <v>2001</v>
      </c>
      <c r="E60" s="563"/>
      <c r="F60" s="563"/>
      <c r="H60" s="563"/>
      <c r="J60" s="563"/>
      <c r="S60" s="563"/>
      <c r="T60" s="416"/>
      <c r="U60" s="416"/>
      <c r="AC60" s="563"/>
      <c r="AJ60" s="563"/>
      <c r="AK60" s="416"/>
      <c r="AL60" s="416"/>
      <c r="AU60" s="563"/>
    </row>
    <row r="61" spans="1:47" ht="12.75" hidden="1" customHeight="1" outlineLevel="1">
      <c r="A61" s="410" t="str">
        <f>$A$12</f>
        <v>1Q</v>
      </c>
      <c r="B61" s="562" t="str">
        <f>$B$12</f>
        <v>Apr</v>
      </c>
      <c r="D61" s="539">
        <f>(X61/X54-1)*100</f>
        <v>13.302063442036371</v>
      </c>
      <c r="E61" s="563" t="s">
        <v>208</v>
      </c>
      <c r="F61" s="563"/>
      <c r="G61" s="594">
        <f>+'qtrP&amp;L'!AH10</f>
        <v>-5</v>
      </c>
      <c r="H61" s="563" t="s">
        <v>208</v>
      </c>
      <c r="I61" s="539">
        <f>D61-G61</f>
        <v>18.302063442036371</v>
      </c>
      <c r="J61" s="563" t="s">
        <v>208</v>
      </c>
      <c r="K61" s="454">
        <f>+K57+3+1</f>
        <v>72</v>
      </c>
      <c r="L61" s="454"/>
      <c r="M61" s="454"/>
      <c r="N61" s="454"/>
      <c r="P61" s="587">
        <f>AVERAGE(K61,K57)</f>
        <v>70</v>
      </c>
      <c r="R61" s="539">
        <f>(P61/P54-1)*100</f>
        <v>21.739130434782616</v>
      </c>
      <c r="S61" s="563" t="s">
        <v>208</v>
      </c>
      <c r="T61" s="595">
        <f>I61/R61*100</f>
        <v>84.189491833367271</v>
      </c>
      <c r="U61" s="416" t="s">
        <v>208</v>
      </c>
      <c r="X61" s="579">
        <f>+segSales!Z44</f>
        <v>61.114000000000004</v>
      </c>
      <c r="Z61" s="580">
        <f>X61/P61</f>
        <v>0.87305714285714286</v>
      </c>
      <c r="AB61" s="599">
        <f>(Z61/Z54-1)*100</f>
        <v>-6.9304478868986834</v>
      </c>
      <c r="AC61" s="563" t="s">
        <v>208</v>
      </c>
      <c r="AE61" s="581">
        <f>+AE57+(0.011107+0.004786+0.011816+0.007027)/0.75</f>
        <v>0.88893599999999995</v>
      </c>
      <c r="AG61" s="582">
        <f>AVERAGE(AE61,AE57)</f>
        <v>0.8657786666666667</v>
      </c>
      <c r="AI61" s="539">
        <f>(AG61/AG54-1)*100</f>
        <v>23.438610898832412</v>
      </c>
      <c r="AJ61" s="563" t="s">
        <v>208</v>
      </c>
      <c r="AK61" s="595">
        <f>+I61/AI61*100</f>
        <v>78.085102914303178</v>
      </c>
      <c r="AL61" s="416" t="s">
        <v>208</v>
      </c>
      <c r="AN61" s="579">
        <f>+X61</f>
        <v>61.114000000000004</v>
      </c>
      <c r="AP61" s="583" t="e">
        <f>AL61/AE61</f>
        <v>#VALUE!</v>
      </c>
      <c r="AR61" s="583">
        <f>AN61/AG61</f>
        <v>70.588479888624349</v>
      </c>
      <c r="AT61" s="599">
        <f>(AR61/AR54-1)*100</f>
        <v>-8.2118126435363976</v>
      </c>
      <c r="AU61" s="563" t="s">
        <v>208</v>
      </c>
    </row>
    <row r="62" spans="1:47" ht="12.75" hidden="1" customHeight="1" outlineLevel="1">
      <c r="A62" s="410" t="str">
        <f>$A$13</f>
        <v>2Q</v>
      </c>
      <c r="B62" s="562" t="str">
        <f>$B$13</f>
        <v>Jul</v>
      </c>
      <c r="D62" s="539">
        <f>(X62/X55-1)*100</f>
        <v>22.667717128812924</v>
      </c>
      <c r="E62" s="563"/>
      <c r="F62" s="563"/>
      <c r="G62" s="594">
        <f>+'qtrP&amp;L'!AH11</f>
        <v>2.8</v>
      </c>
      <c r="H62" s="563"/>
      <c r="I62" s="539">
        <f>D62-G62</f>
        <v>19.867717128812924</v>
      </c>
      <c r="K62" s="454">
        <f>+K61+1+1</f>
        <v>74</v>
      </c>
      <c r="L62" s="454"/>
      <c r="M62" s="454"/>
      <c r="N62" s="454"/>
      <c r="O62" s="454"/>
      <c r="P62" s="587">
        <f>AVERAGE(K62,K61)</f>
        <v>73</v>
      </c>
      <c r="R62" s="539">
        <f>(P62/P55-1)*100</f>
        <v>22.689075630252109</v>
      </c>
      <c r="S62" s="563"/>
      <c r="T62" s="595">
        <f>I62/R62*100</f>
        <v>87.565123641805073</v>
      </c>
      <c r="U62" s="416"/>
      <c r="X62" s="584">
        <f>+segSales!Z45</f>
        <v>71.622</v>
      </c>
      <c r="Z62" s="585">
        <f>X62/P62</f>
        <v>0.98112328767123291</v>
      </c>
      <c r="AB62" s="599">
        <f>(Z62/Z55-1)*100</f>
        <v>-1.7408641583993578E-2</v>
      </c>
      <c r="AC62" s="563"/>
      <c r="AE62" s="581">
        <f>+AE61+(0.00777+0.0062)/0.75</f>
        <v>0.90756266666666663</v>
      </c>
      <c r="AF62" s="454"/>
      <c r="AG62" s="582">
        <f>AVERAGE(AE62,AE61)</f>
        <v>0.89824933333333323</v>
      </c>
      <c r="AI62" s="539">
        <f>(AG62/AG55-1)*100</f>
        <v>23.23862051303156</v>
      </c>
      <c r="AJ62" s="563"/>
      <c r="AK62" s="595">
        <f>+I62/AI62*100</f>
        <v>85.494391191041956</v>
      </c>
      <c r="AL62" s="416"/>
      <c r="AN62" s="584">
        <f>+X62</f>
        <v>71.622</v>
      </c>
      <c r="AP62" s="586">
        <f>AL62/AE62</f>
        <v>0</v>
      </c>
      <c r="AR62" s="586">
        <f>AN62/AG62</f>
        <v>79.735099534353495</v>
      </c>
      <c r="AT62" s="599">
        <f>(AR62/AR55-1)*100</f>
        <v>-0.46325038518122419</v>
      </c>
      <c r="AU62" s="563"/>
    </row>
    <row r="63" spans="1:47" ht="12.75" hidden="1" customHeight="1" outlineLevel="1">
      <c r="A63" s="410" t="str">
        <f>$A$14</f>
        <v>3Q</v>
      </c>
      <c r="B63" s="562" t="str">
        <f>$B$14</f>
        <v>Oct</v>
      </c>
      <c r="D63" s="539">
        <f>(X63/X56-1)*100</f>
        <v>19.413875776212521</v>
      </c>
      <c r="E63" s="563"/>
      <c r="F63" s="563"/>
      <c r="G63" s="594">
        <f>+'qtrP&amp;L'!AH12</f>
        <v>2.5</v>
      </c>
      <c r="H63" s="563"/>
      <c r="I63" s="539">
        <f>D63-G63</f>
        <v>16.913875776212521</v>
      </c>
      <c r="K63" s="454">
        <f>+K62+2+1</f>
        <v>77</v>
      </c>
      <c r="L63" s="454"/>
      <c r="M63" s="454"/>
      <c r="N63" s="454"/>
      <c r="O63" s="454"/>
      <c r="P63" s="587">
        <f>AVERAGE(K63,K62)</f>
        <v>75.5</v>
      </c>
      <c r="R63" s="539">
        <f>(P63/P56-1)*100</f>
        <v>20.799999999999997</v>
      </c>
      <c r="S63" s="563"/>
      <c r="T63" s="595">
        <f>I63/R63*100</f>
        <v>81.316710462560209</v>
      </c>
      <c r="U63" s="416"/>
      <c r="X63" s="584">
        <f>+segSales!Z46</f>
        <v>80.19</v>
      </c>
      <c r="Z63" s="585">
        <f>X63/P63</f>
        <v>1.0621192052980133</v>
      </c>
      <c r="AB63" s="599">
        <f>(Z63/Z56-1)*100</f>
        <v>-1.1474538276386337</v>
      </c>
      <c r="AC63" s="563"/>
      <c r="AE63" s="581">
        <f>+AE62+(0.019447+0.017289+0.006098)/0.75</f>
        <v>0.96467466666666657</v>
      </c>
      <c r="AF63" s="454"/>
      <c r="AG63" s="582">
        <f>AVERAGE(AE63,AE62)</f>
        <v>0.93611866666666654</v>
      </c>
      <c r="AI63" s="539">
        <f>(AG63/AG56-1)*100</f>
        <v>21.053897501726325</v>
      </c>
      <c r="AJ63" s="563"/>
      <c r="AK63" s="595">
        <f>+I63/AI63*100</f>
        <v>80.336079221558194</v>
      </c>
      <c r="AL63" s="416"/>
      <c r="AN63" s="584">
        <f>+X63</f>
        <v>80.19</v>
      </c>
      <c r="AP63" s="586">
        <f>AL63/AE63</f>
        <v>0</v>
      </c>
      <c r="AR63" s="586">
        <f>AN63/AG63</f>
        <v>85.662216613563245</v>
      </c>
      <c r="AT63" s="599">
        <f>(AR63/AR56-1)*100</f>
        <v>-1.3547863880140065</v>
      </c>
      <c r="AU63" s="563"/>
    </row>
    <row r="64" spans="1:47" ht="12.75" hidden="1" customHeight="1" outlineLevel="1">
      <c r="A64" s="410" t="str">
        <f>$A$15</f>
        <v>4Q</v>
      </c>
      <c r="B64" s="562" t="str">
        <f>$B$15</f>
        <v>Jan</v>
      </c>
      <c r="D64" s="596">
        <f>(X64/X57-1)*100</f>
        <v>26.325088339222603</v>
      </c>
      <c r="E64" s="563"/>
      <c r="F64" s="563"/>
      <c r="G64" s="597">
        <f>+'qtrP&amp;L'!AH13</f>
        <v>8.3000000000000007</v>
      </c>
      <c r="H64" s="563"/>
      <c r="I64" s="596">
        <f>D64-G64</f>
        <v>18.025088339222602</v>
      </c>
      <c r="K64" s="410">
        <f>+yrSales!I26</f>
        <v>80</v>
      </c>
      <c r="O64" s="454"/>
      <c r="P64" s="588">
        <f>AVERAGE(K64,K63)</f>
        <v>78.5</v>
      </c>
      <c r="R64" s="596">
        <f>(P64/P57-1)*100</f>
        <v>18.939393939393945</v>
      </c>
      <c r="S64" s="563"/>
      <c r="T64" s="598">
        <f>I64/R64*100</f>
        <v>95.172466431095316</v>
      </c>
      <c r="U64" s="416"/>
      <c r="X64" s="589">
        <f>+segSales!Z47</f>
        <v>92.949999999999989</v>
      </c>
      <c r="Z64" s="590">
        <f>X64/P64</f>
        <v>1.184076433121019</v>
      </c>
      <c r="AB64" s="597">
        <f>(Z64/Z57-1)*100</f>
        <v>6.2096284125948031</v>
      </c>
      <c r="AC64" s="563"/>
      <c r="AE64" s="600">
        <f>+yrSales!I41</f>
        <v>0.99933333333333341</v>
      </c>
      <c r="AF64" s="454"/>
      <c r="AG64" s="591">
        <f>AVERAGE(AE64,AE63)</f>
        <v>0.98200399999999999</v>
      </c>
      <c r="AI64" s="596">
        <f>(AG64/AG57-1)*100</f>
        <v>19.946061135598757</v>
      </c>
      <c r="AJ64" s="563"/>
      <c r="AK64" s="598">
        <f>+I64/AI64*100</f>
        <v>90.369162195398587</v>
      </c>
      <c r="AL64" s="416"/>
      <c r="AN64" s="589">
        <f>+X64</f>
        <v>92.949999999999989</v>
      </c>
      <c r="AP64" s="592">
        <f>AL64/AE64</f>
        <v>0</v>
      </c>
      <c r="AR64" s="592">
        <f>AN64/AG64</f>
        <v>94.653382267281998</v>
      </c>
      <c r="AT64" s="597">
        <f>(AR64/AR57-1)*100</f>
        <v>5.318246504495372</v>
      </c>
      <c r="AU64" s="563"/>
    </row>
    <row r="65" spans="1:59" ht="12.75" hidden="1" customHeight="1" outlineLevel="1">
      <c r="B65" s="562" t="str">
        <f>$B$16</f>
        <v>Year</v>
      </c>
      <c r="D65" s="539">
        <f>(X65/X58-1)*100</f>
        <v>20.871417337458851</v>
      </c>
      <c r="E65" s="563"/>
      <c r="F65" s="563"/>
      <c r="G65" s="594">
        <f>+'qtrP&amp;L'!AH14</f>
        <v>2.8</v>
      </c>
      <c r="H65" s="563"/>
      <c r="I65" s="539">
        <f>D65-G65</f>
        <v>18.07141733745885</v>
      </c>
      <c r="P65" s="587">
        <f>AVERAGE(P61:P64)</f>
        <v>74.25</v>
      </c>
      <c r="R65" s="539">
        <f>(P65/P58-1)*100</f>
        <v>20.977596741344207</v>
      </c>
      <c r="S65" s="563"/>
      <c r="T65" s="595">
        <f>I65/R65*100</f>
        <v>86.146270997012536</v>
      </c>
      <c r="U65" s="416"/>
      <c r="X65" s="579">
        <f>SUM(X61:X64)</f>
        <v>305.87599999999998</v>
      </c>
      <c r="Z65" s="580">
        <f>SUM(Z61:Z64)</f>
        <v>4.1003760689474085</v>
      </c>
      <c r="AB65" s="599">
        <f>(Z65/Z58-1)*100</f>
        <v>-0.20162530916102428</v>
      </c>
      <c r="AC65" s="563"/>
      <c r="AG65" s="582">
        <f>AVERAGE(AG61:AG64)</f>
        <v>0.92053766666666659</v>
      </c>
      <c r="AI65" s="539">
        <f>(AG65/AG58-1)*100</f>
        <v>21.834102844245539</v>
      </c>
      <c r="AJ65" s="563"/>
      <c r="AK65" s="595">
        <f>+I65/AI65*100</f>
        <v>82.766933298666046</v>
      </c>
      <c r="AL65" s="416"/>
      <c r="AN65" s="579">
        <f>SUM(AN61:AN64)</f>
        <v>305.87599999999998</v>
      </c>
      <c r="AP65" s="583" t="e">
        <f>SUM(AP61:AP64)</f>
        <v>#VALUE!</v>
      </c>
      <c r="AR65" s="583">
        <f>SUM(AR61:AR64)</f>
        <v>330.63917830382309</v>
      </c>
      <c r="AT65" s="599">
        <f>(AR65/AR58-1)*100</f>
        <v>-0.92383781661260489</v>
      </c>
      <c r="AU65" s="563"/>
    </row>
    <row r="66" spans="1:59" ht="12.75" hidden="1" customHeight="1" outlineLevel="1" collapsed="1">
      <c r="B66" s="562"/>
      <c r="E66" s="563"/>
      <c r="F66" s="563"/>
      <c r="G66" s="594"/>
      <c r="H66" s="563"/>
      <c r="J66" s="563"/>
      <c r="S66" s="563"/>
      <c r="T66" s="483"/>
      <c r="U66" s="416"/>
      <c r="AC66" s="563"/>
      <c r="AE66" s="600"/>
      <c r="AJ66" s="563"/>
      <c r="AK66" s="416"/>
      <c r="AL66" s="416"/>
      <c r="AU66" s="563"/>
    </row>
    <row r="67" spans="1:59" ht="12.75" hidden="1" customHeight="1" outlineLevel="1" collapsed="1">
      <c r="A67" s="593"/>
      <c r="B67" s="431">
        <f>B60+1</f>
        <v>2002</v>
      </c>
      <c r="E67" s="563"/>
      <c r="F67" s="563"/>
      <c r="H67" s="563"/>
      <c r="J67" s="563"/>
      <c r="S67" s="563"/>
      <c r="T67" s="416"/>
      <c r="U67" s="416"/>
      <c r="AC67" s="563"/>
      <c r="AJ67" s="563"/>
      <c r="AK67" s="416"/>
      <c r="AL67" s="416"/>
      <c r="AU67" s="563"/>
    </row>
    <row r="68" spans="1:59" ht="12.75" hidden="1" customHeight="1" outlineLevel="1">
      <c r="A68" s="410" t="str">
        <f>$A$12</f>
        <v>1Q</v>
      </c>
      <c r="B68" s="562" t="str">
        <f>$B$12</f>
        <v>Apr</v>
      </c>
      <c r="D68" s="539">
        <f>(X68/X61-1)*100</f>
        <v>34.83489871387895</v>
      </c>
      <c r="E68" s="563" t="s">
        <v>208</v>
      </c>
      <c r="F68" s="563"/>
      <c r="G68" s="601">
        <f>'qtrP&amp;L'!AL10</f>
        <v>18</v>
      </c>
      <c r="H68" s="563" t="s">
        <v>208</v>
      </c>
      <c r="I68" s="539">
        <f>D68-G68</f>
        <v>16.83489871387895</v>
      </c>
      <c r="J68" s="563" t="s">
        <v>208</v>
      </c>
      <c r="K68" s="454">
        <f>+K64+2</f>
        <v>82</v>
      </c>
      <c r="L68" s="454"/>
      <c r="M68" s="454"/>
      <c r="N68" s="454"/>
      <c r="P68" s="587">
        <f>AVERAGE(K68,K64)</f>
        <v>81</v>
      </c>
      <c r="R68" s="539">
        <f>(P68/P61-1)*100</f>
        <v>15.714285714285726</v>
      </c>
      <c r="S68" s="563" t="s">
        <v>208</v>
      </c>
      <c r="T68" s="595">
        <f>I68/R68*100</f>
        <v>107.13117363377505</v>
      </c>
      <c r="U68" s="416" t="s">
        <v>208</v>
      </c>
      <c r="X68" s="579">
        <f>+segSales!Z51</f>
        <v>82.402999999999992</v>
      </c>
      <c r="Z68" s="580">
        <f>X68/P68</f>
        <v>1.0173209876543208</v>
      </c>
      <c r="AB68" s="599">
        <f>(Z68/Z61-1)*100</f>
        <v>16.52398654285836</v>
      </c>
      <c r="AC68" s="563" t="s">
        <v>208</v>
      </c>
      <c r="AE68" s="600">
        <f>+AE245+AE422</f>
        <v>1.0215013333333334</v>
      </c>
      <c r="AG68" s="582">
        <f>AVERAGE(AE68,AE64)</f>
        <v>1.0104173333333333</v>
      </c>
      <c r="AI68" s="539">
        <f>(AG68/AG61-1)*100</f>
        <v>16.706194346823033</v>
      </c>
      <c r="AJ68" s="563" t="s">
        <v>208</v>
      </c>
      <c r="AK68" s="595">
        <f>+I68/AI68*100</f>
        <v>100.77039907703691</v>
      </c>
      <c r="AL68" s="416" t="s">
        <v>208</v>
      </c>
      <c r="AN68" s="579">
        <f>+X68</f>
        <v>82.402999999999992</v>
      </c>
      <c r="AP68" s="583" t="e">
        <f>AL68/AE68</f>
        <v>#VALUE!</v>
      </c>
      <c r="AR68" s="583">
        <f>AN68/AG68</f>
        <v>81.553430727633327</v>
      </c>
      <c r="AT68" s="599">
        <f>(AR68/AR61-1)*100</f>
        <v>15.533626529866718</v>
      </c>
      <c r="AU68" s="563" t="s">
        <v>208</v>
      </c>
      <c r="BA68" s="602"/>
    </row>
    <row r="69" spans="1:59" ht="12.75" hidden="1" customHeight="1" outlineLevel="1">
      <c r="A69" s="410" t="str">
        <f>$A$13</f>
        <v>2Q</v>
      </c>
      <c r="B69" s="562" t="str">
        <f>$B$13</f>
        <v>Jul</v>
      </c>
      <c r="D69" s="539">
        <f>(X69/X62-1)*100</f>
        <v>25.04118846164587</v>
      </c>
      <c r="G69" s="601">
        <f>'qtrP&amp;L'!AL11</f>
        <v>10.6</v>
      </c>
      <c r="I69" s="539">
        <f>D69-G69</f>
        <v>14.44118846164587</v>
      </c>
      <c r="K69" s="454">
        <f>+K68+2</f>
        <v>84</v>
      </c>
      <c r="L69" s="454"/>
      <c r="M69" s="454"/>
      <c r="N69" s="454"/>
      <c r="O69" s="454"/>
      <c r="P69" s="587">
        <f>AVERAGE(K69,K68)</f>
        <v>83</v>
      </c>
      <c r="R69" s="539">
        <f>(P69/P62-1)*100</f>
        <v>13.698630136986312</v>
      </c>
      <c r="S69" s="563"/>
      <c r="T69" s="595">
        <f>I69/R69*100</f>
        <v>105.42067577001477</v>
      </c>
      <c r="U69" s="416"/>
      <c r="X69" s="584">
        <f>+segSales!Z52</f>
        <v>89.557000000000002</v>
      </c>
      <c r="Z69" s="585">
        <f>X69/P69</f>
        <v>1.079</v>
      </c>
      <c r="AB69" s="599">
        <f>(Z69/Z62-1)*100</f>
        <v>9.9759850325318986</v>
      </c>
      <c r="AC69" s="563"/>
      <c r="AE69" s="600">
        <f>+AE246+AE423</f>
        <v>1.048576</v>
      </c>
      <c r="AF69" s="454"/>
      <c r="AG69" s="582">
        <f>AVERAGE(AE69,AE68)</f>
        <v>1.0350386666666667</v>
      </c>
      <c r="AI69" s="539">
        <f>(AG69/AG62-1)*100</f>
        <v>15.228436944753287</v>
      </c>
      <c r="AJ69" s="563"/>
      <c r="AK69" s="595">
        <f>+I69/AI69*100</f>
        <v>94.830405208601192</v>
      </c>
      <c r="AL69" s="416"/>
      <c r="AN69" s="584">
        <f>+X69</f>
        <v>89.557000000000002</v>
      </c>
      <c r="AP69" s="586">
        <f>AL69/AE69</f>
        <v>0</v>
      </c>
      <c r="AR69" s="586">
        <f>AN69/AG69</f>
        <v>86.525269909401132</v>
      </c>
      <c r="AT69" s="599">
        <f>(AR69/AR62-1)*100</f>
        <v>8.5159113297677891</v>
      </c>
      <c r="AU69" s="563"/>
      <c r="BA69" s="603"/>
    </row>
    <row r="70" spans="1:59" ht="12.75" hidden="1" customHeight="1" outlineLevel="1">
      <c r="A70" s="410" t="str">
        <f>$A$14</f>
        <v>3Q</v>
      </c>
      <c r="B70" s="562" t="str">
        <f>$B$14</f>
        <v>Oct</v>
      </c>
      <c r="D70" s="539">
        <f>(X70/X63-1)*100</f>
        <v>18.726773911959093</v>
      </c>
      <c r="G70" s="601">
        <f>'qtrP&amp;L'!AL12</f>
        <v>10.4</v>
      </c>
      <c r="I70" s="539">
        <f>D70-G70</f>
        <v>8.3267739119590924</v>
      </c>
      <c r="K70" s="454">
        <f>+K69</f>
        <v>84</v>
      </c>
      <c r="L70" s="454"/>
      <c r="M70" s="454"/>
      <c r="N70" s="454"/>
      <c r="O70" s="454"/>
      <c r="P70" s="587">
        <f>AVERAGE(K70,K69)</f>
        <v>84</v>
      </c>
      <c r="R70" s="539">
        <f>(P70/P63-1)*100</f>
        <v>11.258278145695355</v>
      </c>
      <c r="S70" s="563"/>
      <c r="T70" s="595">
        <f>I70/R70*100</f>
        <v>73.961344747401412</v>
      </c>
      <c r="U70" s="416"/>
      <c r="X70" s="584">
        <f>+segSales!Z53</f>
        <v>95.206999999999994</v>
      </c>
      <c r="Z70" s="585">
        <f>X70/P70</f>
        <v>1.1334166666666665</v>
      </c>
      <c r="AB70" s="599">
        <f>(Z70/Z63-1)*100</f>
        <v>6.7127551232489369</v>
      </c>
      <c r="AC70" s="563"/>
      <c r="AE70" s="600">
        <f>+AE247+AE424</f>
        <v>1.048576</v>
      </c>
      <c r="AF70" s="454"/>
      <c r="AG70" s="582">
        <f>AVERAGE(AE70,AE69)</f>
        <v>1.048576</v>
      </c>
      <c r="AI70" s="539">
        <f>(AG70/AG63-1)*100</f>
        <v>12.013149330070693</v>
      </c>
      <c r="AJ70" s="563"/>
      <c r="AK70" s="595">
        <f>+I70/AI70*100</f>
        <v>69.313830063828007</v>
      </c>
      <c r="AL70" s="416"/>
      <c r="AN70" s="584">
        <f>+X70</f>
        <v>95.206999999999994</v>
      </c>
      <c r="AP70" s="586">
        <f>AL70/AE70</f>
        <v>0</v>
      </c>
      <c r="AR70" s="586">
        <f>AN70/AG70</f>
        <v>90.796470642089844</v>
      </c>
      <c r="AT70" s="599">
        <f>(AR70/AR63-1)*100</f>
        <v>5.9936039849261435</v>
      </c>
      <c r="AU70" s="563"/>
      <c r="BA70" s="603"/>
    </row>
    <row r="71" spans="1:59" ht="12.75" hidden="1" customHeight="1" outlineLevel="1">
      <c r="A71" s="410" t="str">
        <f>$A$15</f>
        <v>4Q</v>
      </c>
      <c r="B71" s="562" t="str">
        <f>$B$15</f>
        <v>Jan</v>
      </c>
      <c r="D71" s="596">
        <f>(X71/X64-1)*100</f>
        <v>13.566433566433588</v>
      </c>
      <c r="G71" s="604">
        <f>'qtrP&amp;L'!AL13</f>
        <v>1.3</v>
      </c>
      <c r="I71" s="596">
        <f>D71-G71</f>
        <v>12.266433566433587</v>
      </c>
      <c r="K71" s="410">
        <f>+yrSales!J26</f>
        <v>93</v>
      </c>
      <c r="O71" s="454"/>
      <c r="P71" s="588">
        <f>AVERAGE(K71,K70)</f>
        <v>88.5</v>
      </c>
      <c r="R71" s="596">
        <f>(P71/P64-1)*100</f>
        <v>12.738853503184711</v>
      </c>
      <c r="S71" s="563"/>
      <c r="T71" s="598">
        <f>I71/R71*100</f>
        <v>96.29150349650368</v>
      </c>
      <c r="U71" s="416"/>
      <c r="X71" s="589">
        <f>+segSales!Z54</f>
        <v>105.56</v>
      </c>
      <c r="Z71" s="590">
        <f>X71/P71</f>
        <v>1.1927683615819209</v>
      </c>
      <c r="AB71" s="597">
        <f>(Z71/Z64-1)*100</f>
        <v>0.73406819169532511</v>
      </c>
      <c r="AC71" s="563"/>
      <c r="AE71" s="600">
        <f>+yrSales!J41</f>
        <v>1.1349066666666665</v>
      </c>
      <c r="AF71" s="454"/>
      <c r="AG71" s="591">
        <f>AVERAGE(AE71,AE70)</f>
        <v>1.0917413333333332</v>
      </c>
      <c r="AI71" s="596">
        <f>(AG71/AG64-1)*100</f>
        <v>11.174835676161532</v>
      </c>
      <c r="AJ71" s="563"/>
      <c r="AK71" s="598">
        <f>+I71/AI71*100</f>
        <v>109.76835742292552</v>
      </c>
      <c r="AL71" s="416"/>
      <c r="AN71" s="589">
        <f>+X71</f>
        <v>105.56</v>
      </c>
      <c r="AP71" s="592">
        <f>AL71/AE71</f>
        <v>0</v>
      </c>
      <c r="AR71" s="592">
        <f>AN71/AG71</f>
        <v>96.689569934758666</v>
      </c>
      <c r="AT71" s="597">
        <f>(AR71/AR64-1)*100</f>
        <v>2.1512043401966219</v>
      </c>
      <c r="AU71" s="563"/>
      <c r="BA71" s="589"/>
      <c r="BC71" s="415"/>
      <c r="BE71" s="415"/>
      <c r="BG71" s="415"/>
    </row>
    <row r="72" spans="1:59" ht="12.75" hidden="1" customHeight="1" outlineLevel="1">
      <c r="B72" s="562" t="str">
        <f>$B$16</f>
        <v>Year</v>
      </c>
      <c r="D72" s="539">
        <f>(X72/X65-1)*100</f>
        <v>21.855588539146574</v>
      </c>
      <c r="G72" s="601">
        <f>'qtrP&amp;L'!AL14</f>
        <v>9.1</v>
      </c>
      <c r="I72" s="539">
        <f>D72-G72</f>
        <v>12.755588539146574</v>
      </c>
      <c r="P72" s="587">
        <f>AVERAGE(P68:P71)</f>
        <v>84.125</v>
      </c>
      <c r="R72" s="539">
        <f>(P72/P65-1)*100</f>
        <v>13.299663299663301</v>
      </c>
      <c r="S72" s="563"/>
      <c r="T72" s="595">
        <f>I72/R72*100</f>
        <v>95.909108762697016</v>
      </c>
      <c r="U72" s="416"/>
      <c r="X72" s="579">
        <f>SUM(X68:X71)</f>
        <v>372.72699999999998</v>
      </c>
      <c r="Z72" s="580">
        <f>SUM(Z68:Z71)</f>
        <v>4.4225060159029077</v>
      </c>
      <c r="AB72" s="599">
        <f>(Z72/Z65-1)*100</f>
        <v>7.8561073798821601</v>
      </c>
      <c r="AC72" s="563"/>
      <c r="AG72" s="582">
        <f>AVERAGE(AG68:AG71)</f>
        <v>1.0464433333333332</v>
      </c>
      <c r="AI72" s="539">
        <f>(AG72/AG65-1)*100</f>
        <v>13.677405197614579</v>
      </c>
      <c r="AJ72" s="563"/>
      <c r="AK72" s="595">
        <f>+I72/AI72*100</f>
        <v>93.260295756765515</v>
      </c>
      <c r="AL72" s="416"/>
      <c r="AN72" s="579">
        <f>SUM(AN68:AN71)</f>
        <v>372.72699999999998</v>
      </c>
      <c r="AP72" s="583" t="e">
        <f>SUM(AP68:AP71)</f>
        <v>#VALUE!</v>
      </c>
      <c r="AR72" s="583">
        <f>SUM(AR68:AR71)</f>
        <v>355.56474121388294</v>
      </c>
      <c r="AT72" s="599">
        <f>(AR72/AR65-1)*100</f>
        <v>7.5385993389917694</v>
      </c>
      <c r="AU72" s="563"/>
      <c r="BA72" s="602">
        <v>19.302</v>
      </c>
      <c r="BC72" s="605"/>
      <c r="BE72" s="579">
        <f>'qtrP&amp;L'!AJ14-qtrSales!BA72</f>
        <v>403.45199999999994</v>
      </c>
    </row>
    <row r="73" spans="1:59" ht="12.75" hidden="1" customHeight="1" outlineLevel="1">
      <c r="B73" s="562"/>
      <c r="S73" s="563"/>
      <c r="T73" s="416"/>
      <c r="U73" s="416"/>
      <c r="AC73" s="563"/>
      <c r="AJ73" s="563"/>
      <c r="AK73" s="416"/>
      <c r="AL73" s="416"/>
    </row>
    <row r="74" spans="1:59" ht="12.75" hidden="1" customHeight="1" outlineLevel="1">
      <c r="A74" s="593"/>
      <c r="B74" s="431">
        <f>B67+1</f>
        <v>2003</v>
      </c>
      <c r="E74" s="563"/>
      <c r="F74" s="563"/>
      <c r="H74" s="563"/>
      <c r="J74" s="563"/>
      <c r="S74" s="563"/>
      <c r="T74" s="416"/>
      <c r="U74" s="416"/>
      <c r="AC74" s="563"/>
      <c r="AJ74" s="563"/>
      <c r="AK74" s="416"/>
      <c r="AL74" s="416"/>
      <c r="AU74" s="563"/>
      <c r="BA74" s="421"/>
      <c r="BB74" s="421"/>
      <c r="BC74" s="421"/>
      <c r="BD74" s="421"/>
      <c r="BE74" s="421"/>
      <c r="BF74" s="421"/>
      <c r="BG74" s="421"/>
    </row>
    <row r="75" spans="1:59" ht="12.75" hidden="1" customHeight="1" outlineLevel="1">
      <c r="A75" s="410" t="str">
        <f>$A$12</f>
        <v>1Q</v>
      </c>
      <c r="B75" s="562" t="str">
        <f>$B$12</f>
        <v>Apr</v>
      </c>
      <c r="D75" s="539">
        <f>(X75/X68-1)*100</f>
        <v>12.936422217637711</v>
      </c>
      <c r="E75" s="563" t="s">
        <v>208</v>
      </c>
      <c r="F75" s="563"/>
      <c r="G75" s="606">
        <f>+'qtrP&amp;L'!AP10</f>
        <v>2</v>
      </c>
      <c r="H75" s="563" t="s">
        <v>208</v>
      </c>
      <c r="I75" s="539">
        <f>D75-G75</f>
        <v>10.936422217637711</v>
      </c>
      <c r="J75" s="563" t="s">
        <v>208</v>
      </c>
      <c r="K75" s="607">
        <f>+K252+K429+1</f>
        <v>95</v>
      </c>
      <c r="L75" s="607"/>
      <c r="M75" s="607"/>
      <c r="N75" s="607"/>
      <c r="P75" s="587">
        <f>AVERAGE(K75,K71)</f>
        <v>94</v>
      </c>
      <c r="R75" s="539">
        <f>(P75/P68-1)*100</f>
        <v>16.049382716049386</v>
      </c>
      <c r="S75" s="563" t="s">
        <v>208</v>
      </c>
      <c r="T75" s="595">
        <f>I75/R75*100</f>
        <v>68.142323048358037</v>
      </c>
      <c r="U75" s="416" t="s">
        <v>208</v>
      </c>
      <c r="X75" s="579">
        <f>+segSales!Z58</f>
        <v>93.063000000000002</v>
      </c>
      <c r="Z75" s="580">
        <f>X75/P75</f>
        <v>0.99003191489361708</v>
      </c>
      <c r="AB75" s="599">
        <f>(Z75/Z68-1)*100</f>
        <v>-2.6824446848015215</v>
      </c>
      <c r="AC75" s="563" t="s">
        <v>208</v>
      </c>
      <c r="AE75" s="608">
        <f>+AE252+AE429+0.002</f>
        <v>1.153208</v>
      </c>
      <c r="AF75" s="482"/>
      <c r="AG75" s="582">
        <f>AVERAGE(AE75,AE71)</f>
        <v>1.1440573333333333</v>
      </c>
      <c r="AI75" s="539">
        <f>(AG75/AG68-1)*100</f>
        <v>13.226218077546825</v>
      </c>
      <c r="AJ75" s="563" t="s">
        <v>208</v>
      </c>
      <c r="AK75" s="595">
        <f>+I75/AI75*100</f>
        <v>82.687448169357395</v>
      </c>
      <c r="AL75" s="416" t="s">
        <v>208</v>
      </c>
      <c r="AN75" s="579">
        <f>+X75</f>
        <v>93.063000000000002</v>
      </c>
      <c r="AP75" s="583" t="e">
        <f>AL75/AE75</f>
        <v>#VALUE!</v>
      </c>
      <c r="AR75" s="583">
        <f>AN75/AG75</f>
        <v>81.344699508066626</v>
      </c>
      <c r="AT75" s="599">
        <f>(AR75/AR68-1)*100</f>
        <v>-0.25594413098795066</v>
      </c>
      <c r="AU75" s="563" t="s">
        <v>208</v>
      </c>
      <c r="BA75" s="602"/>
      <c r="BB75" s="579"/>
      <c r="BD75" s="579"/>
      <c r="BE75" s="579"/>
      <c r="BF75" s="579"/>
    </row>
    <row r="76" spans="1:59" ht="12.75" hidden="1" customHeight="1" outlineLevel="1">
      <c r="A76" s="410" t="str">
        <f>$A$13</f>
        <v>2Q</v>
      </c>
      <c r="B76" s="562" t="str">
        <f>$B$13</f>
        <v>Jul</v>
      </c>
      <c r="D76" s="539">
        <f>(X76/X69-1)*100</f>
        <v>21.29035139631743</v>
      </c>
      <c r="G76" s="606">
        <f>+'qtrP&amp;L'!AP11</f>
        <v>11</v>
      </c>
      <c r="I76" s="539">
        <f>D76-G76</f>
        <v>10.29035139631743</v>
      </c>
      <c r="K76" s="607">
        <f>+K253+K430+1</f>
        <v>98</v>
      </c>
      <c r="L76" s="607"/>
      <c r="M76" s="607"/>
      <c r="N76" s="607"/>
      <c r="P76" s="587">
        <f>AVERAGE(K76,K75)</f>
        <v>96.5</v>
      </c>
      <c r="R76" s="539">
        <f>(P76/P69-1)*100</f>
        <v>16.265060240963859</v>
      </c>
      <c r="S76" s="563"/>
      <c r="T76" s="595">
        <f>I76/R76*100</f>
        <v>63.266604881062705</v>
      </c>
      <c r="U76" s="416"/>
      <c r="X76" s="584">
        <f>+segSales!Z59</f>
        <v>108.624</v>
      </c>
      <c r="Z76" s="585">
        <f>X76/P76</f>
        <v>1.1256373056994817</v>
      </c>
      <c r="AB76" s="599">
        <f>(Z76/Z69-1)*100</f>
        <v>4.3222711491642141</v>
      </c>
      <c r="AC76" s="563"/>
      <c r="AE76" s="608">
        <f>+AE253+AE430+0.002</f>
        <v>1.1806666666666668</v>
      </c>
      <c r="AF76" s="482"/>
      <c r="AG76" s="582">
        <f>AVERAGE(AE76,AE75)</f>
        <v>1.1669373333333333</v>
      </c>
      <c r="AI76" s="539">
        <f>(AG76/AG69-1)*100</f>
        <v>12.743356447875055</v>
      </c>
      <c r="AJ76" s="563"/>
      <c r="AK76" s="595">
        <f>+I76/AI76*100</f>
        <v>80.750714604968437</v>
      </c>
      <c r="AL76" s="416"/>
      <c r="AN76" s="584">
        <f>+X76</f>
        <v>108.624</v>
      </c>
      <c r="AP76" s="586">
        <f>AL76/AE76</f>
        <v>0</v>
      </c>
      <c r="AR76" s="586">
        <f>AN76/AG76</f>
        <v>93.084690066190362</v>
      </c>
      <c r="AT76" s="599">
        <f>(AR76/AR69-1)*100</f>
        <v>7.5809300146159275</v>
      </c>
      <c r="AU76" s="563"/>
      <c r="BA76" s="603"/>
      <c r="BB76" s="584"/>
      <c r="BD76" s="584"/>
      <c r="BE76" s="584"/>
      <c r="BF76" s="584"/>
    </row>
    <row r="77" spans="1:59" ht="12.75" hidden="1" customHeight="1" outlineLevel="1">
      <c r="A77" s="410" t="str">
        <f>$A$14</f>
        <v>3Q</v>
      </c>
      <c r="B77" s="562" t="str">
        <f>$B$14</f>
        <v>Oct</v>
      </c>
      <c r="D77" s="539">
        <f>(X77/X70-1)*100</f>
        <v>30.40532733937631</v>
      </c>
      <c r="G77" s="606">
        <f>+'qtrP&amp;L'!AP12</f>
        <v>17</v>
      </c>
      <c r="I77" s="539">
        <f>D77-G77</f>
        <v>13.40532733937631</v>
      </c>
      <c r="K77" s="607">
        <f>+K254+K431+1</f>
        <v>103</v>
      </c>
      <c r="L77" s="607"/>
      <c r="M77" s="607"/>
      <c r="N77" s="607"/>
      <c r="P77" s="587">
        <f>AVERAGE(K77,K76)</f>
        <v>100.5</v>
      </c>
      <c r="R77" s="539">
        <f>(P77/P70-1)*100</f>
        <v>19.642857142857139</v>
      </c>
      <c r="S77" s="563"/>
      <c r="T77" s="595">
        <f>I77/R77*100</f>
        <v>68.245302818643054</v>
      </c>
      <c r="U77" s="416"/>
      <c r="X77" s="584">
        <f>+segSales!Z60</f>
        <v>124.155</v>
      </c>
      <c r="Z77" s="585">
        <f>X77/P77</f>
        <v>1.2353731343283583</v>
      </c>
      <c r="AB77" s="599">
        <f>(Z77/Z70-1)*100</f>
        <v>8.9954974776876853</v>
      </c>
      <c r="AC77" s="563"/>
      <c r="AE77" s="608">
        <f>+AE254+AE431+(0.00175/0.75)</f>
        <v>1.2328866666666667</v>
      </c>
      <c r="AF77" s="482"/>
      <c r="AG77" s="582">
        <f>AVERAGE(AE77,AE76)</f>
        <v>1.2067766666666668</v>
      </c>
      <c r="AI77" s="539">
        <f>(AG77/AG70-1)*100</f>
        <v>15.087191263834665</v>
      </c>
      <c r="AJ77" s="563"/>
      <c r="AK77" s="595">
        <f>+I77/AI77*100</f>
        <v>88.852372220600586</v>
      </c>
      <c r="AL77" s="416"/>
      <c r="AN77" s="584">
        <f>+X77</f>
        <v>124.155</v>
      </c>
      <c r="AP77" s="586">
        <f>AL77/AE77</f>
        <v>0</v>
      </c>
      <c r="AR77" s="586">
        <f>AN77/AG77</f>
        <v>102.88150527714323</v>
      </c>
      <c r="AT77" s="599">
        <f>(AR77/AR70-1)*100</f>
        <v>13.310026865131498</v>
      </c>
      <c r="AU77" s="563"/>
      <c r="BA77" s="603"/>
      <c r="BB77" s="584"/>
      <c r="BD77" s="584"/>
      <c r="BE77" s="584"/>
      <c r="BF77" s="584"/>
    </row>
    <row r="78" spans="1:59" ht="12.75" hidden="1" customHeight="1" outlineLevel="1">
      <c r="A78" s="410" t="str">
        <f>$A$15</f>
        <v>4Q</v>
      </c>
      <c r="B78" s="562" t="str">
        <f>$B$15</f>
        <v>Jan</v>
      </c>
      <c r="D78" s="596">
        <f>(X78/X71-1)*100</f>
        <v>44.887267904509272</v>
      </c>
      <c r="G78" s="609">
        <f>+'qtrP&amp;L'!AP13</f>
        <v>21</v>
      </c>
      <c r="I78" s="596">
        <f>D78-G78</f>
        <v>23.887267904509272</v>
      </c>
      <c r="K78" s="410">
        <f>yrSales!K$26</f>
        <v>114</v>
      </c>
      <c r="P78" s="588">
        <f>AVERAGE(K78,K77)</f>
        <v>108.5</v>
      </c>
      <c r="R78" s="596">
        <f>(P78/P71-1)*100</f>
        <v>22.598870056497166</v>
      </c>
      <c r="S78" s="563"/>
      <c r="T78" s="598">
        <f>I78/R78*100</f>
        <v>105.70116047745357</v>
      </c>
      <c r="U78" s="416"/>
      <c r="X78" s="589">
        <f>+segSales!Z61</f>
        <v>152.94299999999998</v>
      </c>
      <c r="Z78" s="590">
        <f>X78/P78</f>
        <v>1.4096129032258062</v>
      </c>
      <c r="AB78" s="597">
        <f>(Z78/Z71-1)*100</f>
        <v>18.179937415198786</v>
      </c>
      <c r="AC78" s="563"/>
      <c r="AE78" s="600">
        <f>+yrSales!K41</f>
        <v>1.3449199999999999</v>
      </c>
      <c r="AF78" s="482"/>
      <c r="AG78" s="591">
        <f>AVERAGE(AE78,AE77)</f>
        <v>1.2889033333333333</v>
      </c>
      <c r="AI78" s="596">
        <f>(AG78/AG71-1)*100</f>
        <v>18.059406013145974</v>
      </c>
      <c r="AJ78" s="563"/>
      <c r="AK78" s="598">
        <f>+I78/AI78*100</f>
        <v>132.27050705389217</v>
      </c>
      <c r="AL78" s="416"/>
      <c r="AN78" s="589">
        <f>+X78</f>
        <v>152.94299999999998</v>
      </c>
      <c r="AP78" s="592">
        <f>AL78/AE78</f>
        <v>0</v>
      </c>
      <c r="AR78" s="592">
        <f>AN78/AG78</f>
        <v>118.66134258840202</v>
      </c>
      <c r="AT78" s="597">
        <f>(AR78/AR71-1)*100</f>
        <v>22.724035972513711</v>
      </c>
      <c r="AU78" s="563"/>
      <c r="BA78" s="589"/>
      <c r="BB78" s="610"/>
      <c r="BC78" s="415"/>
      <c r="BD78" s="610"/>
      <c r="BE78" s="589"/>
      <c r="BF78" s="610"/>
      <c r="BG78" s="415"/>
    </row>
    <row r="79" spans="1:59" ht="12.75" hidden="1" customHeight="1" outlineLevel="1">
      <c r="B79" s="562" t="str">
        <f>$B$16</f>
        <v>Year</v>
      </c>
      <c r="D79" s="539">
        <f>(X79/X72-1)*100</f>
        <v>28.454606186297205</v>
      </c>
      <c r="G79" s="601">
        <f>+'qtrP&amp;L'!AP14</f>
        <v>13</v>
      </c>
      <c r="I79" s="539">
        <f>D79-G79</f>
        <v>15.454606186297205</v>
      </c>
      <c r="P79" s="587">
        <f>AVERAGE(P75:P78)</f>
        <v>99.875</v>
      </c>
      <c r="R79" s="539">
        <f>(P79/P72-1)*100</f>
        <v>18.722139673105499</v>
      </c>
      <c r="S79" s="563"/>
      <c r="T79" s="595">
        <f>I79/R79*100</f>
        <v>82.547221931571585</v>
      </c>
      <c r="U79" s="416"/>
      <c r="X79" s="579">
        <f>SUM(X75:X78)</f>
        <v>478.78499999999997</v>
      </c>
      <c r="Z79" s="580">
        <f>SUM(Z75:Z78)</f>
        <v>4.7606552581472634</v>
      </c>
      <c r="AB79" s="599">
        <f>(Z79/Z72-1)*100</f>
        <v>7.6461002207437012</v>
      </c>
      <c r="AC79" s="563"/>
      <c r="AG79" s="582">
        <f>AVERAGE(AG75:AG78)</f>
        <v>1.2016686666666667</v>
      </c>
      <c r="AI79" s="539">
        <f>(AG79/AG72-1)*100</f>
        <v>14.833610993428547</v>
      </c>
      <c r="AJ79" s="563"/>
      <c r="AK79" s="595">
        <f>+I79/AI79*100</f>
        <v>104.18640608240142</v>
      </c>
      <c r="AL79" s="416"/>
      <c r="AN79" s="579">
        <f>SUM(AN75:AN78)</f>
        <v>478.78499999999997</v>
      </c>
      <c r="AP79" s="583" t="e">
        <f>SUM(AP75:AP78)</f>
        <v>#VALUE!</v>
      </c>
      <c r="AR79" s="583">
        <f>SUM(AR75:AR78)</f>
        <v>395.97223743980226</v>
      </c>
      <c r="AT79" s="599">
        <f>(AR79/AR72-1)*100</f>
        <v>11.364314720286895</v>
      </c>
      <c r="AU79" s="563"/>
      <c r="BA79" s="602">
        <v>25.225000000000001</v>
      </c>
      <c r="BB79" s="579"/>
      <c r="BC79" s="611">
        <f>BA79/BA72-1</f>
        <v>0.30685939280903551</v>
      </c>
      <c r="BD79" s="579"/>
      <c r="BE79" s="579">
        <f>'qtrP&amp;L'!AN14-qtrSales!BA79</f>
        <v>523.13599999999997</v>
      </c>
      <c r="BF79" s="579"/>
      <c r="BG79" s="611">
        <f>BE79/BE72-1</f>
        <v>0.29664991126577656</v>
      </c>
    </row>
    <row r="80" spans="1:59" ht="12.75" hidden="1" customHeight="1" outlineLevel="1">
      <c r="B80" s="562"/>
      <c r="S80" s="563"/>
      <c r="T80" s="416"/>
      <c r="U80" s="416"/>
      <c r="AC80" s="563"/>
      <c r="AJ80" s="563"/>
      <c r="AK80" s="416"/>
      <c r="AL80" s="416"/>
      <c r="BC80" s="611"/>
      <c r="BG80" s="611"/>
    </row>
    <row r="81" spans="1:59" ht="12.75" hidden="1" customHeight="1" outlineLevel="1">
      <c r="A81" s="593"/>
      <c r="B81" s="431">
        <f>B74+1</f>
        <v>2004</v>
      </c>
      <c r="E81" s="563"/>
      <c r="F81" s="563"/>
      <c r="H81" s="563"/>
      <c r="J81" s="563"/>
      <c r="S81" s="563"/>
      <c r="T81" s="416"/>
      <c r="U81" s="416"/>
      <c r="AC81" s="563"/>
      <c r="AJ81" s="563"/>
      <c r="AK81" s="416"/>
      <c r="AL81" s="416"/>
      <c r="AU81" s="563"/>
      <c r="BA81" s="421"/>
      <c r="BB81" s="421"/>
      <c r="BC81" s="612"/>
      <c r="BD81" s="421"/>
      <c r="BE81" s="421"/>
      <c r="BF81" s="421"/>
      <c r="BG81" s="612"/>
    </row>
    <row r="82" spans="1:59" ht="12.75" hidden="1" customHeight="1" outlineLevel="1">
      <c r="A82" s="410" t="str">
        <f>$A$12</f>
        <v>1Q</v>
      </c>
      <c r="B82" s="562" t="str">
        <f>$B$12</f>
        <v>Apr</v>
      </c>
      <c r="D82" s="539">
        <f>(X82/X75-1)*100</f>
        <v>55.958866574256128</v>
      </c>
      <c r="E82" s="563" t="s">
        <v>208</v>
      </c>
      <c r="F82" s="563"/>
      <c r="G82" s="606">
        <v>32</v>
      </c>
      <c r="H82" s="563" t="s">
        <v>208</v>
      </c>
      <c r="I82" s="539">
        <f>D82-G82</f>
        <v>23.958866574256128</v>
      </c>
      <c r="J82" s="563" t="s">
        <v>208</v>
      </c>
      <c r="K82" s="607">
        <f>+K259+K436+1</f>
        <v>115</v>
      </c>
      <c r="L82" s="607"/>
      <c r="M82" s="607"/>
      <c r="N82" s="607"/>
      <c r="P82" s="587">
        <f>AVERAGE(K82,K78)</f>
        <v>114.5</v>
      </c>
      <c r="R82" s="539">
        <f>(P82/P75-1)*100</f>
        <v>21.808510638297875</v>
      </c>
      <c r="S82" s="563" t="s">
        <v>208</v>
      </c>
      <c r="T82" s="595">
        <f>I82/R82*100</f>
        <v>109.86016868195492</v>
      </c>
      <c r="U82" s="416" t="s">
        <v>208</v>
      </c>
      <c r="X82" s="579">
        <f>+segSales!Z65</f>
        <v>145.13999999999999</v>
      </c>
      <c r="Z82" s="580">
        <f>X82/P82</f>
        <v>1.2675982532751091</v>
      </c>
      <c r="AB82" s="599">
        <f>(Z82/Z75-1)*100</f>
        <v>28.036100069694992</v>
      </c>
      <c r="AC82" s="563" t="s">
        <v>208</v>
      </c>
      <c r="AE82" s="608">
        <f>+AE259+AE436+(0.00175/0.75)</f>
        <v>1.3519533333333333</v>
      </c>
      <c r="AF82" s="482"/>
      <c r="AG82" s="582">
        <f>AVERAGE(AE82,AE78)</f>
        <v>1.3484366666666667</v>
      </c>
      <c r="AI82" s="539">
        <f>(AG82/AG75-1)*100</f>
        <v>17.86443103667299</v>
      </c>
      <c r="AJ82" s="563" t="s">
        <v>208</v>
      </c>
      <c r="AK82" s="595">
        <f>+I82/AI82*100</f>
        <v>134.11491541528625</v>
      </c>
      <c r="AL82" s="416" t="s">
        <v>208</v>
      </c>
      <c r="AN82" s="579">
        <f>+X82</f>
        <v>145.13999999999999</v>
      </c>
      <c r="AP82" s="583" t="e">
        <f>AL82/AE82</f>
        <v>#VALUE!</v>
      </c>
      <c r="AR82" s="583">
        <f>AN82/AG82</f>
        <v>107.63575597420221</v>
      </c>
      <c r="AT82" s="599">
        <f>(AR82/AR75-1)*100</f>
        <v>32.320552691363027</v>
      </c>
      <c r="AU82" s="563" t="s">
        <v>208</v>
      </c>
      <c r="BA82" s="602">
        <v>7.5860000000000003</v>
      </c>
      <c r="BB82" s="579"/>
      <c r="BC82" s="611"/>
      <c r="BD82" s="579"/>
      <c r="BE82" s="579">
        <f>'qtrP&amp;L'!AU10-qtrSales!BA82</f>
        <v>162.70399999999998</v>
      </c>
      <c r="BF82" s="579"/>
      <c r="BG82" s="611"/>
    </row>
    <row r="83" spans="1:59" ht="12.75" hidden="1" customHeight="1" outlineLevel="1">
      <c r="A83" s="410" t="str">
        <f>$A$13</f>
        <v>2Q</v>
      </c>
      <c r="B83" s="562" t="str">
        <f>$B$13</f>
        <v>Jul</v>
      </c>
      <c r="D83" s="539">
        <f>(X83/X76-1)*100</f>
        <v>51.538334069818823</v>
      </c>
      <c r="G83" s="606">
        <v>26</v>
      </c>
      <c r="I83" s="539">
        <f>D83-G83</f>
        <v>25.538334069818823</v>
      </c>
      <c r="K83" s="607">
        <f>+K260+K437+1</f>
        <v>127</v>
      </c>
      <c r="L83" s="607"/>
      <c r="M83" s="607"/>
      <c r="N83" s="607"/>
      <c r="P83" s="587">
        <f>AVERAGE(K83,K82)</f>
        <v>121</v>
      </c>
      <c r="R83" s="539">
        <f>(P83/P76-1)*100</f>
        <v>25.388601036269431</v>
      </c>
      <c r="S83" s="563"/>
      <c r="T83" s="595">
        <f>I83/R83*100</f>
        <v>100.5897648056129</v>
      </c>
      <c r="U83" s="416"/>
      <c r="X83" s="584">
        <f>+segSales!Z66</f>
        <v>164.607</v>
      </c>
      <c r="Z83" s="585">
        <f>X83/P83</f>
        <v>1.3603884297520661</v>
      </c>
      <c r="AB83" s="599">
        <f>(Z83/Z76-1)*100</f>
        <v>20.854952377996018</v>
      </c>
      <c r="AC83" s="563"/>
      <c r="AE83" s="608">
        <f>+AE260+AE437+0.002</f>
        <v>1.4698293333333332</v>
      </c>
      <c r="AF83" s="482"/>
      <c r="AG83" s="582">
        <f>AVERAGE(AE83,AE82)</f>
        <v>1.4108913333333333</v>
      </c>
      <c r="AI83" s="539">
        <f>(AG83/AG76-1)*100</f>
        <v>20.905492782817237</v>
      </c>
      <c r="AJ83" s="563"/>
      <c r="AK83" s="595">
        <f>+I83/AI83*100</f>
        <v>122.1608805644105</v>
      </c>
      <c r="AL83" s="416"/>
      <c r="AN83" s="584">
        <f>+X83</f>
        <v>164.607</v>
      </c>
      <c r="AP83" s="586">
        <f>AL83/AE83</f>
        <v>0</v>
      </c>
      <c r="AR83" s="586">
        <f>AN83/AG83</f>
        <v>116.66880085733038</v>
      </c>
      <c r="AT83" s="599">
        <f>(AR83/AR76-1)*100</f>
        <v>25.336186621419586</v>
      </c>
      <c r="AU83" s="563"/>
      <c r="BA83" s="603">
        <v>8.8550000000000004</v>
      </c>
      <c r="BB83" s="584"/>
      <c r="BC83" s="611"/>
      <c r="BD83" s="584"/>
      <c r="BE83" s="584">
        <f>'qtrP&amp;L'!AU11-qtrSales!BA83</f>
        <v>180.62900000000002</v>
      </c>
      <c r="BF83" s="584"/>
      <c r="BG83" s="611"/>
    </row>
    <row r="84" spans="1:59" ht="12.75" hidden="1" customHeight="1" outlineLevel="1">
      <c r="A84" s="410" t="str">
        <f>$A$14</f>
        <v>3Q</v>
      </c>
      <c r="B84" s="562" t="str">
        <f>$B$14</f>
        <v>Oct</v>
      </c>
      <c r="D84" s="539">
        <f>(X84/X77-1)*100</f>
        <v>48.354878981917771</v>
      </c>
      <c r="G84" s="606">
        <v>18</v>
      </c>
      <c r="I84" s="539">
        <f>D84-G84</f>
        <v>30.354878981917771</v>
      </c>
      <c r="K84" s="607">
        <f>+K261+K438+1</f>
        <v>134</v>
      </c>
      <c r="L84" s="607"/>
      <c r="M84" s="607"/>
      <c r="N84" s="607"/>
      <c r="P84" s="587">
        <f>AVERAGE(K84,K83)</f>
        <v>130.5</v>
      </c>
      <c r="R84" s="539">
        <f>(P84/P77-1)*100</f>
        <v>29.850746268656714</v>
      </c>
      <c r="S84" s="563"/>
      <c r="T84" s="595">
        <f>I84/R84*100</f>
        <v>101.68884458942455</v>
      </c>
      <c r="U84" s="416"/>
      <c r="X84" s="613">
        <f>+X261+X438</f>
        <v>184.19</v>
      </c>
      <c r="Z84" s="585">
        <f>X84/P84</f>
        <v>1.4114176245210728</v>
      </c>
      <c r="AB84" s="599">
        <f>(Z84/Z77-1)*100</f>
        <v>14.250309101017123</v>
      </c>
      <c r="AC84" s="563"/>
      <c r="AE84" s="608">
        <f>+AE261+AE438+0.0023</f>
        <v>1.5560666666666667</v>
      </c>
      <c r="AF84" s="482"/>
      <c r="AG84" s="582">
        <f>AVERAGE(AE84,AE83)</f>
        <v>1.512948</v>
      </c>
      <c r="AI84" s="539">
        <f>(AG84/AG77-1)*100</f>
        <v>25.371002090969586</v>
      </c>
      <c r="AJ84" s="563"/>
      <c r="AK84" s="595">
        <f>+I84/AI84*100</f>
        <v>119.64398912221965</v>
      </c>
      <c r="AL84" s="416"/>
      <c r="AN84" s="584">
        <f>+X84</f>
        <v>184.19</v>
      </c>
      <c r="AP84" s="586">
        <f>AL84/AE84</f>
        <v>0</v>
      </c>
      <c r="AR84" s="586">
        <f>AN84/AG84</f>
        <v>121.7424524834958</v>
      </c>
      <c r="AT84" s="599">
        <f>(AR84/AR77-1)*100</f>
        <v>18.332689782818345</v>
      </c>
      <c r="AU84" s="563"/>
      <c r="BA84" s="603">
        <v>12.445</v>
      </c>
      <c r="BB84" s="584"/>
      <c r="BC84" s="611"/>
      <c r="BD84" s="584"/>
      <c r="BE84" s="584">
        <f>'qtrP&amp;L'!AU12-qtrSales!BA84</f>
        <v>203.90800000000002</v>
      </c>
      <c r="BF84" s="584"/>
      <c r="BG84" s="611"/>
    </row>
    <row r="85" spans="1:59" ht="12.75" hidden="1" customHeight="1" outlineLevel="1">
      <c r="A85" s="410" t="str">
        <f>$A$15</f>
        <v>4Q</v>
      </c>
      <c r="B85" s="562" t="str">
        <f>$B$15</f>
        <v>Jan</v>
      </c>
      <c r="D85" s="596">
        <f>(X85/X78-1)*100</f>
        <v>37.995854664809791</v>
      </c>
      <c r="G85" s="609">
        <v>13</v>
      </c>
      <c r="I85" s="596">
        <f>D85-G85</f>
        <v>24.995854664809791</v>
      </c>
      <c r="K85" s="607">
        <f>yrSales!L$26</f>
        <v>142</v>
      </c>
      <c r="L85" s="607"/>
      <c r="M85" s="607"/>
      <c r="N85" s="607"/>
      <c r="P85" s="588">
        <f>AVERAGE(K85,K84)</f>
        <v>138</v>
      </c>
      <c r="R85" s="596">
        <f>(P85/P78-1)*100</f>
        <v>27.188940092165904</v>
      </c>
      <c r="S85" s="563"/>
      <c r="T85" s="598">
        <f>I85/R85*100</f>
        <v>91.933906140063115</v>
      </c>
      <c r="U85" s="416"/>
      <c r="X85" s="614">
        <f>+X262+X439</f>
        <v>211.05500000000001</v>
      </c>
      <c r="Z85" s="590">
        <f>X85/P85</f>
        <v>1.5293840579710145</v>
      </c>
      <c r="AB85" s="597">
        <f>(Z85/Z78-1)*100</f>
        <v>8.4967408053033378</v>
      </c>
      <c r="AC85" s="563"/>
      <c r="AE85" s="600">
        <f>+yrSales!L$41</f>
        <v>1.6447626666666668</v>
      </c>
      <c r="AF85" s="482"/>
      <c r="AG85" s="591">
        <f>AVERAGE(AE85,AE84)</f>
        <v>1.6004146666666668</v>
      </c>
      <c r="AI85" s="596">
        <f>(AG85/AG78-1)*100</f>
        <v>24.168711902366624</v>
      </c>
      <c r="AJ85" s="563"/>
      <c r="AK85" s="598">
        <f>+I85/AI85*100</f>
        <v>103.42237006996709</v>
      </c>
      <c r="AL85" s="416"/>
      <c r="AN85" s="589">
        <f>+X85</f>
        <v>211.05500000000001</v>
      </c>
      <c r="AP85" s="592">
        <f>AL85/AE85</f>
        <v>0</v>
      </c>
      <c r="AR85" s="592">
        <f>AN85/AG85</f>
        <v>131.87519734468816</v>
      </c>
      <c r="AT85" s="597">
        <f>(AR85/AR78-1)*100</f>
        <v>11.135770477602591</v>
      </c>
      <c r="AU85" s="563"/>
      <c r="BA85" s="589">
        <f>BA86-(SUM(BA82:BA84))</f>
        <v>16.97</v>
      </c>
      <c r="BB85" s="610"/>
      <c r="BC85" s="615"/>
      <c r="BD85" s="610"/>
      <c r="BE85" s="589">
        <f>'qtrP&amp;L'!AU13-qtrSales!BA85</f>
        <v>234.65299999999999</v>
      </c>
      <c r="BF85" s="610"/>
      <c r="BG85" s="615"/>
    </row>
    <row r="86" spans="1:59" ht="12.75" hidden="1" customHeight="1" outlineLevel="1">
      <c r="B86" s="562" t="str">
        <f>$B$16</f>
        <v>Year</v>
      </c>
      <c r="D86" s="539">
        <f>(X86/X79-1)*100</f>
        <v>47.246049897135457</v>
      </c>
      <c r="G86" s="601">
        <f>'qtrP&amp;L'!AW14</f>
        <v>22</v>
      </c>
      <c r="I86" s="539">
        <f>D86-G86</f>
        <v>25.246049897135457</v>
      </c>
      <c r="P86" s="587">
        <f>AVERAGE(P82:P85)</f>
        <v>126</v>
      </c>
      <c r="R86" s="539">
        <f>(P86/P79-1)*100</f>
        <v>26.157697121401746</v>
      </c>
      <c r="S86" s="563"/>
      <c r="T86" s="595">
        <f>I86/R86*100</f>
        <v>96.514803195269067</v>
      </c>
      <c r="U86" s="416"/>
      <c r="X86" s="579">
        <f>SUM(X82:X85)</f>
        <v>704.99199999999996</v>
      </c>
      <c r="Z86" s="580">
        <f>SUM(Z82:Z85)</f>
        <v>5.5687883655192625</v>
      </c>
      <c r="AB86" s="599">
        <f>(Z86/Z79-1)*100</f>
        <v>16.97524948879634</v>
      </c>
      <c r="AC86" s="563"/>
      <c r="AG86" s="582">
        <f>AVERAGE(AG82:AG85)</f>
        <v>1.4681726666666666</v>
      </c>
      <c r="AI86" s="539">
        <f>(AG86/AG79-1)*100</f>
        <v>22.17782716589096</v>
      </c>
      <c r="AJ86" s="563"/>
      <c r="AK86" s="595">
        <f>+I86/AI86*100</f>
        <v>113.83464082524442</v>
      </c>
      <c r="AL86" s="416"/>
      <c r="AN86" s="579">
        <f>SUM(AN82:AN85)</f>
        <v>704.99199999999996</v>
      </c>
      <c r="AP86" s="583" t="e">
        <f>SUM(AP82:AP85)</f>
        <v>#VALUE!</v>
      </c>
      <c r="AR86" s="583">
        <f>SUM(AR82:AR85)</f>
        <v>477.92220665971655</v>
      </c>
      <c r="AT86" s="599">
        <f>(AR86/AR79-1)*100</f>
        <v>20.69588760812373</v>
      </c>
      <c r="AU86" s="563"/>
      <c r="BA86" s="602">
        <v>45.856000000000002</v>
      </c>
      <c r="BB86" s="579"/>
      <c r="BC86" s="611">
        <f>BA86/BA79-1</f>
        <v>0.81787908820614463</v>
      </c>
      <c r="BD86" s="579"/>
      <c r="BE86" s="579">
        <f>'qtrP&amp;L'!AU14-qtrSales!BA86</f>
        <v>781.89400000000001</v>
      </c>
      <c r="BF86" s="579"/>
      <c r="BG86" s="611">
        <f>BE86/BE79-1</f>
        <v>0.49462854783459753</v>
      </c>
    </row>
    <row r="87" spans="1:59" ht="12.75" hidden="1" customHeight="1" outlineLevel="1">
      <c r="B87" s="562"/>
      <c r="S87" s="563"/>
      <c r="T87" s="416"/>
      <c r="U87" s="416"/>
      <c r="AC87" s="563"/>
      <c r="AJ87" s="563"/>
      <c r="AK87" s="416"/>
      <c r="AL87" s="416"/>
      <c r="BA87" s="579"/>
      <c r="BC87" s="611"/>
      <c r="BE87" s="579"/>
      <c r="BG87" s="611"/>
    </row>
    <row r="88" spans="1:59" ht="12.75" hidden="1" customHeight="1" outlineLevel="1">
      <c r="A88" s="593"/>
      <c r="B88" s="431">
        <f>B81+1</f>
        <v>2005</v>
      </c>
      <c r="E88" s="563"/>
      <c r="F88" s="563"/>
      <c r="H88" s="563"/>
      <c r="J88" s="563"/>
      <c r="S88" s="563"/>
      <c r="T88" s="416"/>
      <c r="U88" s="416"/>
      <c r="AC88" s="563"/>
      <c r="AJ88" s="563"/>
      <c r="AK88" s="416"/>
      <c r="AL88" s="416"/>
      <c r="AU88" s="563"/>
      <c r="BA88" s="421"/>
      <c r="BB88" s="421"/>
      <c r="BC88" s="612"/>
      <c r="BD88" s="421"/>
      <c r="BE88" s="421"/>
      <c r="BF88" s="421"/>
      <c r="BG88" s="612"/>
    </row>
    <row r="89" spans="1:59" ht="12.75" hidden="1" customHeight="1" outlineLevel="1">
      <c r="A89" s="410" t="str">
        <f>$A$12</f>
        <v>1Q</v>
      </c>
      <c r="B89" s="562" t="str">
        <f>$B$12</f>
        <v>Apr</v>
      </c>
      <c r="D89" s="539">
        <f>(X89/X82-1)*100</f>
        <v>31.883698498001944</v>
      </c>
      <c r="E89" s="563" t="s">
        <v>208</v>
      </c>
      <c r="F89" s="563"/>
      <c r="G89" s="601">
        <f>'qtrP&amp;L'!BA10</f>
        <v>11</v>
      </c>
      <c r="H89" s="563" t="s">
        <v>208</v>
      </c>
      <c r="I89" s="539">
        <f>D89-G89</f>
        <v>20.883698498001944</v>
      </c>
      <c r="J89" s="563" t="s">
        <v>208</v>
      </c>
      <c r="K89" s="454">
        <f>77+67+2</f>
        <v>146</v>
      </c>
      <c r="L89" s="454"/>
      <c r="M89" s="454"/>
      <c r="N89" s="454"/>
      <c r="P89" s="587">
        <f>AVERAGE(K89,K85)</f>
        <v>144</v>
      </c>
      <c r="R89" s="539">
        <f>(P89/P82-1)*100</f>
        <v>25.764192139737997</v>
      </c>
      <c r="S89" s="563" t="s">
        <v>208</v>
      </c>
      <c r="T89" s="595">
        <f>I89/R89*100</f>
        <v>81.057067051566861</v>
      </c>
      <c r="U89" s="416" t="s">
        <v>208</v>
      </c>
      <c r="X89" s="616">
        <f>+X266+X443</f>
        <v>191.416</v>
      </c>
      <c r="Z89" s="580">
        <f>X89/P89</f>
        <v>1.3292777777777778</v>
      </c>
      <c r="AB89" s="599">
        <f>(Z89/Z82-1)*100</f>
        <v>4.8658574862584736</v>
      </c>
      <c r="AC89" s="563" t="s">
        <v>208</v>
      </c>
      <c r="AE89" s="608">
        <f>+AE266+AE443+(0.0035/0.75)</f>
        <v>1.6963786666666665</v>
      </c>
      <c r="AF89" s="482"/>
      <c r="AG89" s="582">
        <f>AVERAGE(AE89,AE85)</f>
        <v>1.6705706666666666</v>
      </c>
      <c r="AI89" s="539">
        <f>(AG89/AG82-1)*100</f>
        <v>23.889442341872424</v>
      </c>
      <c r="AJ89" s="563" t="s">
        <v>208</v>
      </c>
      <c r="AK89" s="595">
        <f>+I89/AI89*100</f>
        <v>87.418107962268593</v>
      </c>
      <c r="AL89" s="416" t="s">
        <v>208</v>
      </c>
      <c r="AN89" s="579">
        <f>+X89</f>
        <v>191.416</v>
      </c>
      <c r="AP89" s="583" t="e">
        <f>AL89/AE89</f>
        <v>#VALUE!</v>
      </c>
      <c r="AR89" s="583">
        <f>AN89/AG89</f>
        <v>114.5812049854421</v>
      </c>
      <c r="AT89" s="599">
        <f>(AR89/AR82-1)*100</f>
        <v>6.4527339900920522</v>
      </c>
      <c r="AU89" s="563" t="s">
        <v>208</v>
      </c>
      <c r="BA89" s="602">
        <v>12.233000000000001</v>
      </c>
      <c r="BB89" s="579"/>
      <c r="BC89" s="611">
        <f>BA89/BA82-1</f>
        <v>0.61257579752175051</v>
      </c>
      <c r="BD89" s="579"/>
      <c r="BE89" s="579">
        <f>'qtrP&amp;L'!AY10-qtrSales!BA89</f>
        <v>219.09199999999998</v>
      </c>
      <c r="BF89" s="579"/>
      <c r="BG89" s="611">
        <f>BE89/BE82-1</f>
        <v>0.34656800078670469</v>
      </c>
    </row>
    <row r="90" spans="1:59" ht="12.75" hidden="1" customHeight="1" outlineLevel="1">
      <c r="A90" s="410" t="str">
        <f>$A$13</f>
        <v>2Q</v>
      </c>
      <c r="B90" s="562" t="str">
        <f>$B$13</f>
        <v>Jul</v>
      </c>
      <c r="D90" s="539">
        <f>(X90/X83-1)*100</f>
        <v>29.345653587028476</v>
      </c>
      <c r="G90" s="601">
        <f>'qtrP&amp;L'!BA11</f>
        <v>10</v>
      </c>
      <c r="I90" s="539">
        <f>D90-G90</f>
        <v>19.345653587028476</v>
      </c>
      <c r="K90" s="454">
        <f>80+68+3</f>
        <v>151</v>
      </c>
      <c r="L90" s="454"/>
      <c r="M90" s="454"/>
      <c r="N90" s="454"/>
      <c r="P90" s="587">
        <f>AVERAGE(K90,K89)</f>
        <v>148.5</v>
      </c>
      <c r="R90" s="539">
        <f>(P90/P83-1)*100</f>
        <v>22.72727272727273</v>
      </c>
      <c r="S90" s="563"/>
      <c r="T90" s="595">
        <f>I90/R90*100</f>
        <v>85.120875782925282</v>
      </c>
      <c r="U90" s="416"/>
      <c r="X90" s="613">
        <f>+X267+X444</f>
        <v>212.91199999999998</v>
      </c>
      <c r="Z90" s="585">
        <f>X90/P90</f>
        <v>1.4337508417508416</v>
      </c>
      <c r="AB90" s="599">
        <f>(Z90/Z83-1)*100</f>
        <v>5.3927547746158044</v>
      </c>
      <c r="AC90" s="563"/>
      <c r="AE90" s="608">
        <f>+AE267+AE444+(0.004745/0.75)</f>
        <v>1.7430986666666664</v>
      </c>
      <c r="AF90" s="482"/>
      <c r="AG90" s="582">
        <f>AVERAGE(AE90,AE89)</f>
        <v>1.7197386666666663</v>
      </c>
      <c r="AI90" s="539">
        <f>(AG90/AG83-1)*100</f>
        <v>21.890228257597897</v>
      </c>
      <c r="AJ90" s="563"/>
      <c r="AK90" s="595">
        <f>+I90/AI90*100</f>
        <v>88.375750857297604</v>
      </c>
      <c r="AL90" s="416"/>
      <c r="AN90" s="584">
        <f>+X90</f>
        <v>212.91199999999998</v>
      </c>
      <c r="AP90" s="586">
        <f>AL90/AE90</f>
        <v>0</v>
      </c>
      <c r="AR90" s="586">
        <f>AN90/AG90</f>
        <v>123.80485717209748</v>
      </c>
      <c r="AT90" s="599">
        <f>(AR90/AR83-1)*100</f>
        <v>6.1165078087101366</v>
      </c>
      <c r="AU90" s="563"/>
      <c r="BA90" s="603">
        <v>14.327999999999999</v>
      </c>
      <c r="BB90" s="584"/>
      <c r="BC90" s="611">
        <f>BA90/BA83-1</f>
        <v>0.61806888763410495</v>
      </c>
      <c r="BD90" s="584"/>
      <c r="BE90" s="584">
        <f>'qtrP&amp;L'!AY11-qtrSales!BA90</f>
        <v>239.06399999999999</v>
      </c>
      <c r="BF90" s="584"/>
      <c r="BG90" s="611">
        <f>BE90/BE83-1</f>
        <v>0.32350840673424508</v>
      </c>
    </row>
    <row r="91" spans="1:59" ht="12.75" hidden="1" customHeight="1" outlineLevel="1">
      <c r="A91" s="410" t="str">
        <f>$A$14</f>
        <v>3Q</v>
      </c>
      <c r="B91" s="562" t="str">
        <f>$B$14</f>
        <v>Oct</v>
      </c>
      <c r="D91" s="539">
        <f>(X91/X84-1)*100</f>
        <v>29.699223627775662</v>
      </c>
      <c r="G91" s="601">
        <f>'qtrP&amp;L'!BA12</f>
        <v>13</v>
      </c>
      <c r="I91" s="539">
        <f>D91-G91</f>
        <v>16.699223627775662</v>
      </c>
      <c r="K91" s="454">
        <f>84+73+5</f>
        <v>162</v>
      </c>
      <c r="L91" s="454"/>
      <c r="M91" s="454"/>
      <c r="N91" s="454"/>
      <c r="P91" s="587">
        <f>AVERAGE(K91,K90)</f>
        <v>156.5</v>
      </c>
      <c r="R91" s="539">
        <f>(P91/P84-1)*100</f>
        <v>19.923371647509569</v>
      </c>
      <c r="S91" s="563"/>
      <c r="T91" s="595">
        <f>I91/R91*100</f>
        <v>83.817257054797111</v>
      </c>
      <c r="U91" s="416"/>
      <c r="X91" s="613">
        <f>+X268+X445</f>
        <v>238.893</v>
      </c>
      <c r="Z91" s="585">
        <f>X91/P91</f>
        <v>1.5264728434504793</v>
      </c>
      <c r="AB91" s="599">
        <f>(Z91/Z84-1)*100</f>
        <v>8.1517487758768326</v>
      </c>
      <c r="AC91" s="563"/>
      <c r="AE91" s="608">
        <f>+AE268+AE445+(0.007464/0.75)</f>
        <v>1.8383933333333331</v>
      </c>
      <c r="AF91" s="482"/>
      <c r="AG91" s="582">
        <f>AVERAGE(AE91,AE90)</f>
        <v>1.7907459999999997</v>
      </c>
      <c r="AI91" s="539">
        <f>(AG91/AG84-1)*100</f>
        <v>18.361371309522845</v>
      </c>
      <c r="AJ91" s="563"/>
      <c r="AK91" s="595">
        <f>+I91/AI91*100</f>
        <v>90.947584176977387</v>
      </c>
      <c r="AL91" s="416"/>
      <c r="AN91" s="584">
        <f>+X91</f>
        <v>238.893</v>
      </c>
      <c r="AP91" s="586">
        <f>AL91/AE91</f>
        <v>0</v>
      </c>
      <c r="AR91" s="586">
        <f>AN91/AG91</f>
        <v>133.40417904046694</v>
      </c>
      <c r="AT91" s="599">
        <f>(AR91/AR84-1)*100</f>
        <v>9.5790139914850858</v>
      </c>
      <c r="AU91" s="563"/>
      <c r="BA91" s="603">
        <v>16.776</v>
      </c>
      <c r="BB91" s="584"/>
      <c r="BC91" s="611">
        <f>BA91/BA84-1</f>
        <v>0.34801124949779028</v>
      </c>
      <c r="BD91" s="584"/>
      <c r="BE91" s="584">
        <f>'qtrP&amp;L'!AY12-qtrSales!BA91</f>
        <v>272.02499999999998</v>
      </c>
      <c r="BF91" s="584"/>
      <c r="BG91" s="611">
        <f>BE91/BE84-1</f>
        <v>0.33405751613472723</v>
      </c>
    </row>
    <row r="92" spans="1:59" ht="12.75" hidden="1" customHeight="1" outlineLevel="1">
      <c r="A92" s="410" t="str">
        <f>$A$15</f>
        <v>4Q</v>
      </c>
      <c r="B92" s="562" t="str">
        <f>$B$15</f>
        <v>Jan</v>
      </c>
      <c r="D92" s="596">
        <f>(X92/X85-1)*100</f>
        <v>23.210537537608687</v>
      </c>
      <c r="G92" s="604">
        <f>'qtrP&amp;L'!BA13</f>
        <v>8</v>
      </c>
      <c r="I92" s="596">
        <f>D92-G92</f>
        <v>15.210537537608687</v>
      </c>
      <c r="K92" s="607">
        <f>yrSales!M$26</f>
        <v>175</v>
      </c>
      <c r="L92" s="607"/>
      <c r="M92" s="607"/>
      <c r="N92" s="607"/>
      <c r="P92" s="588">
        <f>AVERAGE(K92,K91)</f>
        <v>168.5</v>
      </c>
      <c r="R92" s="596">
        <f>(P92/P85-1)*100</f>
        <v>22.101449275362327</v>
      </c>
      <c r="S92" s="563"/>
      <c r="T92" s="598">
        <f>I92/R92*100</f>
        <v>68.821448530819609</v>
      </c>
      <c r="U92" s="416"/>
      <c r="X92" s="614">
        <f>+X269+X446</f>
        <v>260.04200000000003</v>
      </c>
      <c r="Z92" s="590">
        <f>X92/P92</f>
        <v>1.5432759643916916</v>
      </c>
      <c r="AB92" s="597">
        <f>(Z92/Z85-1)*100</f>
        <v>0.9083334135905119</v>
      </c>
      <c r="AC92" s="563"/>
      <c r="AE92" s="600">
        <f>+yrSales!M$41</f>
        <v>1.9426666666666668</v>
      </c>
      <c r="AF92" s="482"/>
      <c r="AG92" s="591">
        <f>AVERAGE(AE92,AE91)</f>
        <v>1.89053</v>
      </c>
      <c r="AI92" s="596">
        <f>(AG92/AG85-1)*100</f>
        <v>18.127510286917303</v>
      </c>
      <c r="AJ92" s="563"/>
      <c r="AK92" s="598">
        <f>+I92/AI92*100</f>
        <v>83.908585883336627</v>
      </c>
      <c r="AL92" s="416"/>
      <c r="AN92" s="589">
        <f>+X92</f>
        <v>260.04200000000003</v>
      </c>
      <c r="AP92" s="592">
        <f>AL92/AE92</f>
        <v>0</v>
      </c>
      <c r="AR92" s="592">
        <f>AN92/AG92</f>
        <v>137.54978762569229</v>
      </c>
      <c r="AT92" s="597">
        <f>(AR92/AR85-1)*100</f>
        <v>4.3030004089186003</v>
      </c>
      <c r="AU92" s="563"/>
      <c r="BA92" s="589">
        <f>BA93-(SUM(BA89:BA91))</f>
        <v>22.180999999999997</v>
      </c>
      <c r="BB92" s="610"/>
      <c r="BC92" s="615">
        <f>BA92/BA85-1</f>
        <v>0.30707130229817325</v>
      </c>
      <c r="BD92" s="610"/>
      <c r="BE92" s="589">
        <f>'qtrP&amp;L'!AY13-qtrSales!BA92</f>
        <v>296.40800000000002</v>
      </c>
      <c r="BF92" s="610"/>
      <c r="BG92" s="615">
        <f>BE92/BE85-1</f>
        <v>0.26317583836558667</v>
      </c>
    </row>
    <row r="93" spans="1:59" ht="12.75" hidden="1" customHeight="1" outlineLevel="1">
      <c r="B93" s="562" t="str">
        <f>$B$16</f>
        <v>Year</v>
      </c>
      <c r="D93" s="539">
        <f>(X93/X86-1)*100</f>
        <v>28.123865235350198</v>
      </c>
      <c r="G93" s="601">
        <f>+'qtrP&amp;L'!BA14</f>
        <v>10.9</v>
      </c>
      <c r="I93" s="539">
        <f>D93-G93</f>
        <v>17.223865235350196</v>
      </c>
      <c r="P93" s="587">
        <f>AVERAGE(P89:P92)</f>
        <v>154.375</v>
      </c>
      <c r="R93" s="539">
        <f>(P93/P86-1)*100</f>
        <v>22.51984126984128</v>
      </c>
      <c r="S93" s="563"/>
      <c r="T93" s="595">
        <f>I93/R93*100</f>
        <v>76.483066771951499</v>
      </c>
      <c r="U93" s="416"/>
      <c r="X93" s="579">
        <f>SUM(X89:X92)</f>
        <v>903.26300000000003</v>
      </c>
      <c r="Z93" s="580">
        <f>SUM(Z89:Z92)</f>
        <v>5.8327774273707895</v>
      </c>
      <c r="AB93" s="599">
        <f>(Z93/Z86-1)*100</f>
        <v>4.7405116611378251</v>
      </c>
      <c r="AC93" s="563"/>
      <c r="AG93" s="582">
        <f>AVERAGE(AG89:AG92)</f>
        <v>1.7678963333333331</v>
      </c>
      <c r="AI93" s="539">
        <f>(AG93/AG86-1)*100</f>
        <v>20.414742316866441</v>
      </c>
      <c r="AJ93" s="563"/>
      <c r="AK93" s="595">
        <f>+I93/AI93*100</f>
        <v>84.369741082257136</v>
      </c>
      <c r="AL93" s="416"/>
      <c r="AN93" s="579">
        <f>SUM(AN89:AN92)</f>
        <v>903.26300000000003</v>
      </c>
      <c r="AP93" s="583" t="e">
        <f>SUM(AP89:AP92)</f>
        <v>#VALUE!</v>
      </c>
      <c r="AR93" s="583">
        <f>SUM(AR89:AR92)</f>
        <v>509.34002882369884</v>
      </c>
      <c r="AT93" s="599">
        <f>(AR93/AR86-1)*100</f>
        <v>6.5738360189552703</v>
      </c>
      <c r="AU93" s="563"/>
      <c r="BA93" s="602">
        <v>65.518000000000001</v>
      </c>
      <c r="BB93" s="579"/>
      <c r="BC93" s="611">
        <f>BA93/BA86-1</f>
        <v>0.4287770411723657</v>
      </c>
      <c r="BD93" s="579"/>
      <c r="BE93" s="579">
        <f>'qtrP&amp;L'!AY14-qtrSales!BA93</f>
        <v>1026.5889999999999</v>
      </c>
      <c r="BF93" s="579"/>
      <c r="BG93" s="611">
        <f>BE93/BE86-1</f>
        <v>0.31295162771424256</v>
      </c>
    </row>
    <row r="94" spans="1:59" ht="12.75" hidden="1" customHeight="1" outlineLevel="1">
      <c r="B94" s="562"/>
      <c r="S94" s="563"/>
      <c r="T94" s="416"/>
      <c r="U94" s="416"/>
      <c r="X94" s="579"/>
      <c r="AC94" s="563"/>
      <c r="AJ94" s="563"/>
      <c r="AK94" s="416"/>
      <c r="AL94" s="416"/>
      <c r="BA94" s="579"/>
      <c r="BC94" s="611"/>
      <c r="BE94" s="579"/>
      <c r="BG94" s="611"/>
    </row>
    <row r="95" spans="1:59" ht="12.75" hidden="1" customHeight="1" outlineLevel="1">
      <c r="A95" s="593"/>
      <c r="B95" s="431">
        <f>B88+1</f>
        <v>2006</v>
      </c>
      <c r="E95" s="563"/>
      <c r="F95" s="563"/>
      <c r="H95" s="563"/>
      <c r="J95" s="563"/>
      <c r="S95" s="563"/>
      <c r="T95" s="416"/>
      <c r="U95" s="416"/>
      <c r="AC95" s="563"/>
      <c r="AJ95" s="563"/>
      <c r="AK95" s="416"/>
      <c r="AL95" s="416"/>
      <c r="AU95" s="563"/>
      <c r="BA95" s="421"/>
      <c r="BB95" s="421"/>
      <c r="BC95" s="612"/>
      <c r="BD95" s="421"/>
      <c r="BE95" s="421"/>
      <c r="BF95" s="421"/>
      <c r="BG95" s="612"/>
    </row>
    <row r="96" spans="1:59" ht="12.75" hidden="1" customHeight="1" outlineLevel="1">
      <c r="A96" s="410" t="str">
        <f>$A$12</f>
        <v>1Q</v>
      </c>
      <c r="B96" s="562" t="str">
        <f>$B$12</f>
        <v>Apr</v>
      </c>
      <c r="D96" s="539">
        <f>(X96/X89-1)*100</f>
        <v>13.387073180925313</v>
      </c>
      <c r="E96" s="563" t="s">
        <v>208</v>
      </c>
      <c r="F96" s="563"/>
      <c r="G96" s="601">
        <f>+'qtrP&amp;L'!BE10</f>
        <v>-3</v>
      </c>
      <c r="H96" s="563" t="s">
        <v>208</v>
      </c>
      <c r="I96" s="539">
        <f>D96-G96</f>
        <v>16.387073180925313</v>
      </c>
      <c r="J96" s="563" t="s">
        <v>208</v>
      </c>
      <c r="K96" s="454">
        <f>95+81+6</f>
        <v>182</v>
      </c>
      <c r="L96" s="454"/>
      <c r="M96" s="454"/>
      <c r="N96" s="454"/>
      <c r="P96" s="587">
        <f>AVERAGE(K96,K92)</f>
        <v>178.5</v>
      </c>
      <c r="R96" s="539">
        <f>(P96/P89-1)*100</f>
        <v>23.958333333333325</v>
      </c>
      <c r="S96" s="563" t="s">
        <v>208</v>
      </c>
      <c r="T96" s="595">
        <f>I96/R96*100</f>
        <v>68.398218494296984</v>
      </c>
      <c r="U96" s="416" t="s">
        <v>208</v>
      </c>
      <c r="X96" s="616">
        <f>+X273+X450</f>
        <v>217.041</v>
      </c>
      <c r="Z96" s="580">
        <f>X96/P96</f>
        <v>1.2159159663865546</v>
      </c>
      <c r="AB96" s="599">
        <f>(Z96/Z89-1)*100</f>
        <v>-8.5280754170686475</v>
      </c>
      <c r="AC96" s="563" t="s">
        <v>208</v>
      </c>
      <c r="AE96" s="608">
        <f>+AE273+AE450+AE557</f>
        <v>2.0392746666666666</v>
      </c>
      <c r="AF96" s="482"/>
      <c r="AG96" s="582">
        <f>AVERAGE(AE96,AE92)</f>
        <v>1.9909706666666667</v>
      </c>
      <c r="AI96" s="539">
        <f>(AG96/AG89-1)*100</f>
        <v>19.179074934872563</v>
      </c>
      <c r="AJ96" s="563" t="s">
        <v>208</v>
      </c>
      <c r="AK96" s="595">
        <f>+I96/AI96*100</f>
        <v>85.44245870341399</v>
      </c>
      <c r="AL96" s="416" t="s">
        <v>208</v>
      </c>
      <c r="AN96" s="579">
        <f>+X96</f>
        <v>217.041</v>
      </c>
      <c r="AP96" s="583" t="e">
        <f>AL96/AE96</f>
        <v>#VALUE!</v>
      </c>
      <c r="AR96" s="583">
        <f>AN96/AG96</f>
        <v>109.01265580340042</v>
      </c>
      <c r="AT96" s="599">
        <f>(AR96/AR89-1)*100</f>
        <v>-4.8599150120206769</v>
      </c>
      <c r="AU96" s="563" t="s">
        <v>208</v>
      </c>
      <c r="BA96" s="602">
        <v>15.29</v>
      </c>
      <c r="BB96" s="579"/>
      <c r="BC96" s="611">
        <f>BA96/BA89-1</f>
        <v>0.24989781737922012</v>
      </c>
      <c r="BD96" s="579"/>
      <c r="BE96" s="579">
        <f>'qtrP&amp;L'!BC10-qtrSales!BA96</f>
        <v>254.71700000000001</v>
      </c>
      <c r="BF96" s="579"/>
      <c r="BG96" s="611">
        <f>BE96/BE89-1</f>
        <v>0.16260292479871485</v>
      </c>
    </row>
    <row r="97" spans="1:59" ht="12.75" hidden="1" customHeight="1" outlineLevel="1">
      <c r="A97" s="410" t="str">
        <f>$A$13</f>
        <v>2Q</v>
      </c>
      <c r="B97" s="562" t="str">
        <f>$B$13</f>
        <v>Jul</v>
      </c>
      <c r="D97" s="539">
        <f>(X97/X90-1)*100</f>
        <v>9.5988013827309047</v>
      </c>
      <c r="G97" s="601">
        <f>+'qtrP&amp;L'!BE11</f>
        <v>-7</v>
      </c>
      <c r="I97" s="539">
        <f>D97-G97</f>
        <v>16.598801382730905</v>
      </c>
      <c r="K97" s="454">
        <f>98+83+7</f>
        <v>188</v>
      </c>
      <c r="L97" s="454"/>
      <c r="M97" s="454"/>
      <c r="N97" s="454"/>
      <c r="P97" s="587">
        <f>AVERAGE(K97,K96)</f>
        <v>185</v>
      </c>
      <c r="R97" s="539">
        <f>(P97/P90-1)*100</f>
        <v>24.579124579124588</v>
      </c>
      <c r="S97" s="563"/>
      <c r="T97" s="595">
        <f>I97/R97*100</f>
        <v>67.532109735220232</v>
      </c>
      <c r="U97" s="416"/>
      <c r="X97" s="613">
        <f>+X274+X451</f>
        <v>233.34899999999999</v>
      </c>
      <c r="Z97" s="585">
        <f>X97/P97</f>
        <v>1.261345945945946</v>
      </c>
      <c r="AB97" s="599">
        <f>(Z97/Z90-1)*100</f>
        <v>-12.024745917105184</v>
      </c>
      <c r="AC97" s="563"/>
      <c r="AE97" s="608">
        <f>+AE274+AE451+AE558</f>
        <v>2.1165746666666667</v>
      </c>
      <c r="AF97" s="482"/>
      <c r="AG97" s="582">
        <f>AVERAGE(AE97,AE96)</f>
        <v>2.0779246666666666</v>
      </c>
      <c r="AI97" s="539">
        <f>(AG97/AG90-1)*100</f>
        <v>20.827931995869164</v>
      </c>
      <c r="AJ97" s="563"/>
      <c r="AK97" s="595">
        <f>+I97/AI97*100</f>
        <v>79.694908673712632</v>
      </c>
      <c r="AL97" s="416"/>
      <c r="AN97" s="584">
        <f>+X97</f>
        <v>233.34899999999999</v>
      </c>
      <c r="AP97" s="586">
        <f>AL97/AE97</f>
        <v>0</v>
      </c>
      <c r="AR97" s="586">
        <f>AN97/AG97</f>
        <v>112.29906634407985</v>
      </c>
      <c r="AT97" s="599">
        <f>(AR97/AR90-1)*100</f>
        <v>-9.293489036559988</v>
      </c>
      <c r="AU97" s="563"/>
      <c r="BA97" s="603">
        <v>19.148</v>
      </c>
      <c r="BB97" s="584"/>
      <c r="BC97" s="611">
        <f>BA97/BA90-1</f>
        <v>0.33640424343941944</v>
      </c>
      <c r="BD97" s="584"/>
      <c r="BE97" s="584">
        <f>'qtrP&amp;L'!BC11-qtrSales!BA97</f>
        <v>266.411</v>
      </c>
      <c r="BF97" s="584"/>
      <c r="BG97" s="611">
        <f>BE97/BE90-1</f>
        <v>0.11439196198507506</v>
      </c>
    </row>
    <row r="98" spans="1:59" ht="12.75" hidden="1" customHeight="1" outlineLevel="1">
      <c r="A98" s="410" t="str">
        <f>$A$14</f>
        <v>3Q</v>
      </c>
      <c r="B98" s="562" t="str">
        <f>$B$14</f>
        <v>Oct</v>
      </c>
      <c r="D98" s="539">
        <f>(X98/X91-1)*100</f>
        <v>4.4831786615765257</v>
      </c>
      <c r="G98" s="601">
        <f>+'qtrP&amp;L'!BE12</f>
        <v>-10</v>
      </c>
      <c r="I98" s="539">
        <f>D98-G98</f>
        <v>14.483178661576526</v>
      </c>
      <c r="K98" s="454">
        <f>102+87+8</f>
        <v>197</v>
      </c>
      <c r="L98" s="454"/>
      <c r="M98" s="454"/>
      <c r="N98" s="454"/>
      <c r="P98" s="587">
        <f>AVERAGE(K98,K97)</f>
        <v>192.5</v>
      </c>
      <c r="R98" s="539">
        <f>(P98/P91-1)*100</f>
        <v>23.003194888178925</v>
      </c>
      <c r="S98" s="563"/>
      <c r="T98" s="595">
        <f>I98/R98*100</f>
        <v>62.961596126020147</v>
      </c>
      <c r="U98" s="416"/>
      <c r="X98" s="613">
        <f>+X275+X452</f>
        <v>249.60300000000001</v>
      </c>
      <c r="Z98" s="585">
        <f>X98/P98</f>
        <v>1.296638961038961</v>
      </c>
      <c r="AB98" s="599">
        <f>(Z98/Z91-1)*100</f>
        <v>-15.056532672536493</v>
      </c>
      <c r="AC98" s="563"/>
      <c r="AE98" s="608">
        <f>+AE275+AE452+AE559</f>
        <v>2.2179799999999998</v>
      </c>
      <c r="AF98" s="482"/>
      <c r="AG98" s="582">
        <f>AVERAGE(AE98,AE97)</f>
        <v>2.1672773333333333</v>
      </c>
      <c r="AI98" s="539">
        <f>(AG98/AG91-1)*100</f>
        <v>21.026507016256545</v>
      </c>
      <c r="AJ98" s="563"/>
      <c r="AK98" s="595">
        <f>+I98/AI98*100</f>
        <v>68.880573698612537</v>
      </c>
      <c r="AL98" s="416"/>
      <c r="AN98" s="584">
        <f>+X98</f>
        <v>249.60300000000001</v>
      </c>
      <c r="AP98" s="586">
        <f>AL98/AE98</f>
        <v>0</v>
      </c>
      <c r="AR98" s="586">
        <f>AN98/AG98</f>
        <v>115.16892469691619</v>
      </c>
      <c r="AT98" s="599">
        <f>(AR98/AR91-1)*100</f>
        <v>-13.669177738441951</v>
      </c>
      <c r="AU98" s="563"/>
      <c r="BA98" s="603">
        <v>24.324000000000002</v>
      </c>
      <c r="BB98" s="584"/>
      <c r="BC98" s="611">
        <f>BA98/BA91-1</f>
        <v>0.44992846924177399</v>
      </c>
      <c r="BD98" s="584"/>
      <c r="BE98" s="584">
        <f>'qtrP&amp;L'!BC12-qtrSales!BA98</f>
        <v>284.03100000000001</v>
      </c>
      <c r="BF98" s="584"/>
      <c r="BG98" s="611">
        <f>BE98/BE91-1</f>
        <v>4.4135649296939805E-2</v>
      </c>
    </row>
    <row r="99" spans="1:59" ht="12.75" hidden="1" customHeight="1" outlineLevel="1">
      <c r="A99" s="410" t="str">
        <f>$A$15</f>
        <v>4Q</v>
      </c>
      <c r="B99" s="562" t="str">
        <f>$B$15</f>
        <v>Jan</v>
      </c>
      <c r="D99" s="596">
        <f>(X99/X92-1)*100</f>
        <v>10.381784480968449</v>
      </c>
      <c r="G99" s="604">
        <f>+'qtrP&amp;L'!BE13</f>
        <v>-5</v>
      </c>
      <c r="I99" s="596">
        <f>D99-G99</f>
        <v>15.381784480968449</v>
      </c>
      <c r="K99" s="410">
        <f>yrSales!N$26</f>
        <v>207</v>
      </c>
      <c r="P99" s="588">
        <f>AVERAGE(K99,K98)</f>
        <v>202</v>
      </c>
      <c r="R99" s="596">
        <f>(P99/P92-1)*100</f>
        <v>19.881305637982205</v>
      </c>
      <c r="S99" s="563"/>
      <c r="T99" s="598">
        <f>I99/R99*100</f>
        <v>77.368080150542767</v>
      </c>
      <c r="U99" s="416"/>
      <c r="X99" s="614">
        <f>+X276+X453</f>
        <v>287.03899999999999</v>
      </c>
      <c r="Z99" s="590">
        <f>X99/P99</f>
        <v>1.4209851485148515</v>
      </c>
      <c r="AB99" s="597">
        <f>(Z99/Z92-1)*100</f>
        <v>-7.9241055195881982</v>
      </c>
      <c r="AC99" s="563"/>
      <c r="AE99" s="600">
        <f>+yrSales!N$41</f>
        <v>2.3146666666666662</v>
      </c>
      <c r="AF99" s="482"/>
      <c r="AG99" s="591">
        <f>AVERAGE(AE99,AE98)</f>
        <v>2.2663233333333332</v>
      </c>
      <c r="AI99" s="596">
        <f>(AG99/AG92-1)*100</f>
        <v>19.87767098820612</v>
      </c>
      <c r="AJ99" s="563"/>
      <c r="AK99" s="598">
        <f>+I99/AI99*100</f>
        <v>77.382226972640893</v>
      </c>
      <c r="AL99" s="416"/>
      <c r="AN99" s="589">
        <f>+X99</f>
        <v>287.03899999999999</v>
      </c>
      <c r="AP99" s="592">
        <f>AL99/AE99</f>
        <v>0</v>
      </c>
      <c r="AR99" s="592">
        <f>AN99/AG99</f>
        <v>126.65403730270909</v>
      </c>
      <c r="AT99" s="597">
        <f>(AR99/AR92-1)*100</f>
        <v>-7.9213138101189129</v>
      </c>
      <c r="AU99" s="563"/>
      <c r="BA99" s="589">
        <f>BA100-(SUM(BA96:BA98))</f>
        <v>33.902000000000001</v>
      </c>
      <c r="BB99" s="610"/>
      <c r="BC99" s="615">
        <f>BA99/BA92-1</f>
        <v>0.52842522879942311</v>
      </c>
      <c r="BD99" s="610"/>
      <c r="BE99" s="589">
        <f>'qtrP&amp;L'!BC13-qtrSales!BA99</f>
        <v>326.89400000000001</v>
      </c>
      <c r="BF99" s="610"/>
      <c r="BG99" s="615">
        <f>BE99/BE92-1</f>
        <v>0.10285147499392733</v>
      </c>
    </row>
    <row r="100" spans="1:59" ht="12.75" hidden="1" customHeight="1" outlineLevel="1">
      <c r="B100" s="562" t="str">
        <f>$B$16</f>
        <v>Year</v>
      </c>
      <c r="D100" s="539">
        <f>(X100/X93-1)*100</f>
        <v>9.2740431081534282</v>
      </c>
      <c r="G100" s="601">
        <f>+'qtrP&amp;L'!BE14</f>
        <v>-6.2</v>
      </c>
      <c r="I100" s="539">
        <f>D100-G100</f>
        <v>15.474043108153428</v>
      </c>
      <c r="P100" s="587">
        <f>AVERAGE(P96:P99)</f>
        <v>189.5</v>
      </c>
      <c r="R100" s="539">
        <f>(P100/P93-1)*100</f>
        <v>22.753036437246955</v>
      </c>
      <c r="S100" s="563"/>
      <c r="T100" s="595">
        <f>I100/R100*100</f>
        <v>68.008694799179679</v>
      </c>
      <c r="U100" s="416"/>
      <c r="X100" s="579">
        <f>SUM(X96:X99)</f>
        <v>987.03199999999993</v>
      </c>
      <c r="Z100" s="580">
        <f>SUM(Z96:Z99)</f>
        <v>5.1948860218863135</v>
      </c>
      <c r="AB100" s="599">
        <f>(Z100/Z93-1)*100</f>
        <v>-10.936323448433294</v>
      </c>
      <c r="AC100" s="563"/>
      <c r="AG100" s="582">
        <f>AVERAGE(AG96:AG99)</f>
        <v>2.1256240000000002</v>
      </c>
      <c r="AI100" s="539">
        <f>(AG100/AG93-1)*100</f>
        <v>20.234651767854437</v>
      </c>
      <c r="AJ100" s="563"/>
      <c r="AK100" s="595">
        <f>+I100/AI100*100</f>
        <v>76.47298943259355</v>
      </c>
      <c r="AL100" s="416"/>
      <c r="AN100" s="579">
        <f>SUM(AN96:AN99)</f>
        <v>987.03199999999993</v>
      </c>
      <c r="AP100" s="583" t="e">
        <f>SUM(AP96:AP99)</f>
        <v>#VALUE!</v>
      </c>
      <c r="AR100" s="583">
        <f>SUM(AR96:AR99)</f>
        <v>463.13468414710553</v>
      </c>
      <c r="AT100" s="599">
        <f>(AR100/AR93-1)*100</f>
        <v>-9.0716107240388695</v>
      </c>
      <c r="AU100" s="563"/>
      <c r="BA100" s="602">
        <v>92.664000000000001</v>
      </c>
      <c r="BB100" s="579"/>
      <c r="BC100" s="611">
        <f>BA100/BA93-1</f>
        <v>0.41432888671815382</v>
      </c>
      <c r="BD100" s="579"/>
      <c r="BE100" s="579">
        <f>'qtrP&amp;L'!BC14-qtrSales!BA100</f>
        <v>1132.0530000000001</v>
      </c>
      <c r="BF100" s="579"/>
      <c r="BG100" s="611">
        <f>BE100/BE93-1</f>
        <v>0.10273244696757922</v>
      </c>
    </row>
    <row r="101" spans="1:59" ht="12.75" hidden="1" customHeight="1" outlineLevel="1">
      <c r="B101" s="562"/>
      <c r="S101" s="563"/>
      <c r="T101" s="416"/>
      <c r="U101" s="416"/>
      <c r="X101" s="579"/>
      <c r="AC101" s="563"/>
      <c r="AJ101" s="563"/>
      <c r="AK101" s="416"/>
      <c r="AL101" s="416"/>
      <c r="BA101" s="579"/>
      <c r="BC101" s="611"/>
      <c r="BE101" s="579"/>
      <c r="BG101" s="611"/>
    </row>
    <row r="102" spans="1:59" ht="12.75" hidden="1" customHeight="1" outlineLevel="1">
      <c r="A102" s="593"/>
      <c r="B102" s="431">
        <f>B95+1</f>
        <v>2007</v>
      </c>
      <c r="E102" s="563"/>
      <c r="F102" s="563"/>
      <c r="H102" s="563"/>
      <c r="J102" s="563"/>
      <c r="S102" s="563"/>
      <c r="T102" s="416"/>
      <c r="U102" s="416"/>
      <c r="AC102" s="563"/>
      <c r="AJ102" s="563"/>
      <c r="AK102" s="416"/>
      <c r="AL102" s="416"/>
      <c r="AU102" s="563"/>
      <c r="BA102" s="421"/>
      <c r="BB102" s="421"/>
      <c r="BC102" s="612"/>
      <c r="BD102" s="421"/>
      <c r="BE102" s="421"/>
      <c r="BF102" s="421"/>
      <c r="BG102" s="612"/>
    </row>
    <row r="103" spans="1:59" ht="12.75" hidden="1" customHeight="1" outlineLevel="1">
      <c r="A103" s="410" t="str">
        <f>$A$12</f>
        <v>1Q</v>
      </c>
      <c r="B103" s="562" t="str">
        <f>$B$12</f>
        <v>Apr</v>
      </c>
      <c r="D103" s="539">
        <f>(X103/X96-1)*100</f>
        <v>15.737118793223392</v>
      </c>
      <c r="E103" s="563" t="s">
        <v>208</v>
      </c>
      <c r="F103" s="563"/>
      <c r="G103" s="601">
        <f>'qtrP&amp;L'!BI10</f>
        <v>-2</v>
      </c>
      <c r="H103" s="563" t="s">
        <v>208</v>
      </c>
      <c r="I103" s="539">
        <f>D103-G103</f>
        <v>17.737118793223392</v>
      </c>
      <c r="J103" s="563" t="s">
        <v>208</v>
      </c>
      <c r="K103" s="454">
        <f>110+95+8</f>
        <v>213</v>
      </c>
      <c r="L103" s="410">
        <f t="shared" ref="L103:N106" si="0">L280+L457+L564</f>
        <v>200</v>
      </c>
      <c r="M103" s="410">
        <f t="shared" si="0"/>
        <v>4</v>
      </c>
      <c r="N103" s="410">
        <f t="shared" si="0"/>
        <v>9</v>
      </c>
      <c r="P103" s="587">
        <f>AVERAGE(K103,K99)</f>
        <v>210</v>
      </c>
      <c r="R103" s="539">
        <f>(P103/P96-1)*100</f>
        <v>17.647058823529417</v>
      </c>
      <c r="S103" s="563" t="s">
        <v>208</v>
      </c>
      <c r="T103" s="595">
        <f>I103/R103*100</f>
        <v>100.51033982826584</v>
      </c>
      <c r="U103" s="416" t="s">
        <v>208</v>
      </c>
      <c r="X103" s="616">
        <f>+X280+X457+X564</f>
        <v>251.197</v>
      </c>
      <c r="Z103" s="580">
        <f>X103/P103</f>
        <v>1.1961761904761905</v>
      </c>
      <c r="AB103" s="599">
        <f>(Z103/Z96-1)*100</f>
        <v>-1.6234490257601042</v>
      </c>
      <c r="AC103" s="563" t="s">
        <v>208</v>
      </c>
      <c r="AE103" s="608">
        <f>+AE280+AE457+AE564</f>
        <v>2.3931973333333332</v>
      </c>
      <c r="AF103" s="482"/>
      <c r="AG103" s="582">
        <f>AVERAGE(AE103,AE99)</f>
        <v>2.3539319999999995</v>
      </c>
      <c r="AI103" s="539">
        <f>(AG103/AG96-1)*100</f>
        <v>18.230370713648526</v>
      </c>
      <c r="AJ103" s="563" t="s">
        <v>208</v>
      </c>
      <c r="AK103" s="595">
        <f>+I103/AI103*100</f>
        <v>97.294339604098937</v>
      </c>
      <c r="AL103" s="416" t="s">
        <v>208</v>
      </c>
      <c r="AN103" s="579">
        <f>+X103</f>
        <v>251.197</v>
      </c>
      <c r="AP103" s="583" t="e">
        <f>AL103/AE103</f>
        <v>#VALUE!</v>
      </c>
      <c r="AR103" s="583">
        <f>AN103/AG103</f>
        <v>106.71378782394736</v>
      </c>
      <c r="AT103" s="599">
        <f>(AR103/AR96-1)*100</f>
        <v>-2.1088083420322978</v>
      </c>
      <c r="AU103" s="563" t="s">
        <v>208</v>
      </c>
      <c r="BA103" s="602">
        <v>24.759</v>
      </c>
      <c r="BB103" s="579"/>
      <c r="BC103" s="611">
        <f>BA103/BA96-1</f>
        <v>0.61929365598430364</v>
      </c>
      <c r="BD103" s="579"/>
      <c r="BE103" s="579">
        <f>'qtrP&amp;L'!BG10-qtrSales!BA103</f>
        <v>289.78499999999997</v>
      </c>
      <c r="BF103" s="579"/>
      <c r="BG103" s="611">
        <f>BE103/BE96-1</f>
        <v>0.13767436017226942</v>
      </c>
    </row>
    <row r="104" spans="1:59" ht="12.75" hidden="1" customHeight="1" outlineLevel="1">
      <c r="A104" s="410" t="str">
        <f>$A$13</f>
        <v>2Q</v>
      </c>
      <c r="B104" s="562" t="str">
        <f>$B$13</f>
        <v>Jul</v>
      </c>
      <c r="D104" s="539">
        <f>(X104/X97-1)*100</f>
        <v>20.758606207868937</v>
      </c>
      <c r="G104" s="601">
        <f>+'qtrP&amp;L'!BI11</f>
        <v>5</v>
      </c>
      <c r="I104" s="539">
        <f>D104-G104</f>
        <v>15.758606207868937</v>
      </c>
      <c r="K104" s="617">
        <f>K281+K458+K565</f>
        <v>218</v>
      </c>
      <c r="L104" s="410">
        <f t="shared" si="0"/>
        <v>204</v>
      </c>
      <c r="M104" s="410">
        <f t="shared" si="0"/>
        <v>4</v>
      </c>
      <c r="N104" s="410">
        <f t="shared" si="0"/>
        <v>10</v>
      </c>
      <c r="P104" s="587">
        <f>AVERAGE(K104,K103)</f>
        <v>215.5</v>
      </c>
      <c r="R104" s="539">
        <f>(P104/P97-1)*100</f>
        <v>16.486486486486495</v>
      </c>
      <c r="S104" s="563"/>
      <c r="T104" s="595">
        <f>I104/R104*100</f>
        <v>95.584988473959072</v>
      </c>
      <c r="U104" s="416"/>
      <c r="X104" s="613">
        <f>+X281+X458+X565</f>
        <v>281.78900000000004</v>
      </c>
      <c r="Z104" s="585">
        <f>X104/P104</f>
        <v>1.3076055684454759</v>
      </c>
      <c r="AB104" s="599">
        <f>(Z104/Z97-1)*100</f>
        <v>3.6674809673120645</v>
      </c>
      <c r="AC104" s="563"/>
      <c r="AE104" s="608">
        <f>+AE281+AE458+AE565</f>
        <v>2.4268346666666671</v>
      </c>
      <c r="AF104" s="482"/>
      <c r="AG104" s="582">
        <f>AVERAGE(AE104,AE103)</f>
        <v>2.4100160000000002</v>
      </c>
      <c r="AI104" s="539">
        <f>(AG104/AG97-1)*100</f>
        <v>15.981875505913434</v>
      </c>
      <c r="AJ104" s="563"/>
      <c r="AK104" s="595">
        <f>+I104/AI104*100</f>
        <v>98.602984374631845</v>
      </c>
      <c r="AL104" s="416"/>
      <c r="AN104" s="584">
        <f>+X104</f>
        <v>281.78900000000004</v>
      </c>
      <c r="AP104" s="586">
        <f>AL104/AE104</f>
        <v>0</v>
      </c>
      <c r="AR104" s="586">
        <f>AN104/AG104</f>
        <v>116.9241200058423</v>
      </c>
      <c r="AT104" s="599">
        <f>(AR104/AR97-1)*100</f>
        <v>4.1185147947637279</v>
      </c>
      <c r="AU104" s="563"/>
      <c r="BA104" s="603">
        <v>29.469000000000001</v>
      </c>
      <c r="BB104" s="584"/>
      <c r="BC104" s="611">
        <f>BA104/BA97-1</f>
        <v>0.53901190724879888</v>
      </c>
      <c r="BD104" s="584"/>
      <c r="BE104" s="584">
        <f>'qtrP&amp;L'!BG11-qtrSales!BA104</f>
        <v>318.98</v>
      </c>
      <c r="BF104" s="584"/>
      <c r="BG104" s="611">
        <f>BE104/BE97-1</f>
        <v>0.19732293336236117</v>
      </c>
    </row>
    <row r="105" spans="1:59" ht="12.75" hidden="1" customHeight="1" outlineLevel="1">
      <c r="A105" s="410" t="str">
        <f>$A$14</f>
        <v>3Q</v>
      </c>
      <c r="B105" s="562" t="str">
        <f>$B$14</f>
        <v>Oct</v>
      </c>
      <c r="D105" s="539">
        <f>(X105/X98-1)*100</f>
        <v>21.851099546079176</v>
      </c>
      <c r="G105" s="601">
        <f>+'qtrP&amp;L'!BI12</f>
        <v>8</v>
      </c>
      <c r="I105" s="539">
        <f>D105-G105</f>
        <v>13.851099546079176</v>
      </c>
      <c r="K105" s="617">
        <f>K282+K459+K566</f>
        <v>230</v>
      </c>
      <c r="L105" s="410">
        <f t="shared" si="0"/>
        <v>215</v>
      </c>
      <c r="M105" s="410">
        <f t="shared" si="0"/>
        <v>4</v>
      </c>
      <c r="N105" s="410">
        <f t="shared" si="0"/>
        <v>11</v>
      </c>
      <c r="P105" s="587">
        <f>AVERAGE(K105,K104)</f>
        <v>224</v>
      </c>
      <c r="R105" s="539">
        <f>(P105/P98-1)*100</f>
        <v>16.36363636363636</v>
      </c>
      <c r="S105" s="563"/>
      <c r="T105" s="595">
        <f>I105/R105*100</f>
        <v>84.645608337150549</v>
      </c>
      <c r="U105" s="416"/>
      <c r="X105" s="613">
        <f>+X282+X459+X566</f>
        <v>304.14400000000001</v>
      </c>
      <c r="Z105" s="585">
        <f>X105/P105</f>
        <v>1.3577857142857144</v>
      </c>
      <c r="AB105" s="599">
        <f>(Z105/Z98-1)*100</f>
        <v>4.7157886724118026</v>
      </c>
      <c r="AC105" s="563"/>
      <c r="AE105" s="608">
        <f>+AE282+AE459+AE566</f>
        <v>2.5357626666666668</v>
      </c>
      <c r="AF105" s="482"/>
      <c r="AG105" s="582">
        <f>AVERAGE(AE105,AE104)</f>
        <v>2.481298666666667</v>
      </c>
      <c r="AI105" s="539">
        <f>(AG105/AG98-1)*100</f>
        <v>14.489208579981794</v>
      </c>
      <c r="AJ105" s="563"/>
      <c r="AK105" s="595">
        <f>+I105/AI105*100</f>
        <v>95.595970405283381</v>
      </c>
      <c r="AL105" s="416"/>
      <c r="AN105" s="584">
        <f>+X105</f>
        <v>304.14400000000001</v>
      </c>
      <c r="AP105" s="586">
        <f>AL105/AE105</f>
        <v>0</v>
      </c>
      <c r="AR105" s="586">
        <f>AN105/AG105</f>
        <v>122.57452280365011</v>
      </c>
      <c r="AT105" s="599">
        <f>(AR105/AR98-1)*100</f>
        <v>6.4302051323504417</v>
      </c>
      <c r="AU105" s="563"/>
      <c r="BA105" s="603">
        <v>33.530999999999999</v>
      </c>
      <c r="BB105" s="584"/>
      <c r="BC105" s="611">
        <f>BA105/BA98-1</f>
        <v>0.37851504686729132</v>
      </c>
      <c r="BD105" s="584"/>
      <c r="BE105" s="584">
        <f>'qtrP&amp;L'!BG12-qtrSales!BA105</f>
        <v>345.78899999999999</v>
      </c>
      <c r="BF105" s="584"/>
      <c r="BG105" s="611">
        <f>BE105/BE98-1</f>
        <v>0.21743401248455263</v>
      </c>
    </row>
    <row r="106" spans="1:59" ht="12.75" hidden="1" customHeight="1" outlineLevel="1">
      <c r="A106" s="410" t="str">
        <f>$A$15</f>
        <v>4Q</v>
      </c>
      <c r="B106" s="562" t="str">
        <f>$B$15</f>
        <v>Jan</v>
      </c>
      <c r="D106" s="596">
        <f>(X106/X99-1)*100</f>
        <v>27.675333317075392</v>
      </c>
      <c r="G106" s="604">
        <f>+'qtrP&amp;L'!BI13</f>
        <v>11</v>
      </c>
      <c r="I106" s="596">
        <f>D106-G106</f>
        <v>16.675333317075392</v>
      </c>
      <c r="K106" s="410">
        <f>yrSales!O$26</f>
        <v>245</v>
      </c>
      <c r="L106" s="410">
        <f t="shared" si="0"/>
        <v>229</v>
      </c>
      <c r="M106" s="410">
        <f t="shared" si="0"/>
        <v>4</v>
      </c>
      <c r="N106" s="410">
        <f t="shared" si="0"/>
        <v>12</v>
      </c>
      <c r="P106" s="588">
        <f>AVERAGE(K106,K105)</f>
        <v>237.5</v>
      </c>
      <c r="R106" s="596">
        <f>(P106/P99-1)*100</f>
        <v>17.574257425742566</v>
      </c>
      <c r="S106" s="563"/>
      <c r="T106" s="598">
        <f>I106/R106*100</f>
        <v>94.884995212654388</v>
      </c>
      <c r="U106" s="416"/>
      <c r="X106" s="614">
        <f>+X283+X460+X567</f>
        <v>366.47800000000001</v>
      </c>
      <c r="Z106" s="590">
        <f>X106/P106</f>
        <v>1.5430652631578947</v>
      </c>
      <c r="AB106" s="597">
        <f>(Z106/Z99-1)*100</f>
        <v>8.5912308633651726</v>
      </c>
      <c r="AC106" s="563"/>
      <c r="AE106" s="608">
        <f>+AE283+AE460+AE567</f>
        <v>2.6860360000000001</v>
      </c>
      <c r="AF106" s="482"/>
      <c r="AG106" s="591">
        <f>AVERAGE(AE106,AE105)</f>
        <v>2.6108993333333332</v>
      </c>
      <c r="AI106" s="596">
        <f>(AG106/AG99-1)*100</f>
        <v>15.204185339838251</v>
      </c>
      <c r="AJ106" s="563"/>
      <c r="AK106" s="598">
        <f>+I106/AI106*100</f>
        <v>109.67594083046603</v>
      </c>
      <c r="AL106" s="416"/>
      <c r="AN106" s="589">
        <f>+X106</f>
        <v>366.47800000000001</v>
      </c>
      <c r="AP106" s="592">
        <f>AL106/AE106</f>
        <v>0</v>
      </c>
      <c r="AR106" s="592">
        <f>AN106/AG106</f>
        <v>140.36466106570177</v>
      </c>
      <c r="AT106" s="597">
        <f>(AR106/AR99-1)*100</f>
        <v>10.825255992608952</v>
      </c>
      <c r="AU106" s="563"/>
      <c r="BA106" s="589">
        <f>BA107-(SUM(BA103:BA105))</f>
        <v>46.803000000000011</v>
      </c>
      <c r="BB106" s="610"/>
      <c r="BC106" s="615">
        <f>BA106/BA99-1</f>
        <v>0.38053802135567261</v>
      </c>
      <c r="BD106" s="610"/>
      <c r="BE106" s="589">
        <f>'qtrP&amp;L'!BG13-qtrSales!BA106</f>
        <v>418.608</v>
      </c>
      <c r="BF106" s="610"/>
      <c r="BG106" s="615">
        <f>BE106/BE99-1</f>
        <v>0.28056189468145631</v>
      </c>
    </row>
    <row r="107" spans="1:59" ht="12.75" hidden="1" customHeight="1" outlineLevel="1">
      <c r="B107" s="562" t="str">
        <f>$B$16</f>
        <v>Year</v>
      </c>
      <c r="D107" s="539">
        <f>(X107/X100-1)*100</f>
        <v>21.942145746034612</v>
      </c>
      <c r="G107" s="601">
        <f>G103*X103/X107+G104*X104/X107+G105*X105/X107+G106*X106/X107</f>
        <v>6.1240545094416117</v>
      </c>
      <c r="I107" s="539">
        <f>D107-G107</f>
        <v>15.818091236593</v>
      </c>
      <c r="P107" s="587">
        <f>AVERAGE(P103:P106)</f>
        <v>221.75</v>
      </c>
      <c r="R107" s="539">
        <f>(P107/P100-1)*100</f>
        <v>17.018469656992075</v>
      </c>
      <c r="S107" s="563"/>
      <c r="T107" s="595">
        <f>I107/R107*100</f>
        <v>92.946613622771324</v>
      </c>
      <c r="U107" s="416"/>
      <c r="X107" s="579">
        <f>SUM(X103:X106)</f>
        <v>1203.6080000000002</v>
      </c>
      <c r="Z107" s="580">
        <f>SUM(Z103:Z106)</f>
        <v>5.4046327363652757</v>
      </c>
      <c r="AB107" s="599">
        <f>(Z107/Z100-1)*100</f>
        <v>4.0375614324412279</v>
      </c>
      <c r="AC107" s="563"/>
      <c r="AG107" s="582">
        <f>AVERAGE(AG103:AG106)</f>
        <v>2.4640364999999997</v>
      </c>
      <c r="AI107" s="539">
        <f>(AG107/AG100-1)*100</f>
        <v>15.920619074681097</v>
      </c>
      <c r="AJ107" s="563"/>
      <c r="AK107" s="595">
        <f>+I107/AI107*100</f>
        <v>99.356005959271087</v>
      </c>
      <c r="AL107" s="416"/>
      <c r="AN107" s="579">
        <f>SUM(AN103:AN106)</f>
        <v>1203.6080000000002</v>
      </c>
      <c r="AP107" s="583" t="e">
        <f>SUM(AP103:AP106)</f>
        <v>#VALUE!</v>
      </c>
      <c r="AR107" s="583">
        <f>SUM(AR103:AR106)</f>
        <v>486.57709169914153</v>
      </c>
      <c r="AT107" s="599">
        <f>(AR107/AR100-1)*100</f>
        <v>5.0616825632929574</v>
      </c>
      <c r="AU107" s="563"/>
      <c r="BA107" s="602">
        <v>134.56200000000001</v>
      </c>
      <c r="BB107" s="579"/>
      <c r="BC107" s="611">
        <f>BA107/BA100-1</f>
        <v>0.45214970214970229</v>
      </c>
      <c r="BD107" s="579"/>
      <c r="BE107" s="579">
        <f>'qtrP&amp;L'!BG14-qtrSales!BA107</f>
        <v>1373.1619999999998</v>
      </c>
      <c r="BF107" s="579"/>
      <c r="BG107" s="611">
        <f>BE107/BE100-1</f>
        <v>0.21298384439597773</v>
      </c>
    </row>
    <row r="108" spans="1:59" ht="12.75" hidden="1" customHeight="1" outlineLevel="1">
      <c r="B108" s="562"/>
      <c r="D108" s="539"/>
      <c r="G108" s="601"/>
      <c r="I108" s="539"/>
      <c r="P108" s="587"/>
      <c r="R108" s="539"/>
      <c r="S108" s="563"/>
      <c r="T108" s="595"/>
      <c r="U108" s="416"/>
      <c r="X108" s="579"/>
      <c r="Z108" s="580"/>
      <c r="AB108" s="599"/>
      <c r="AC108" s="563"/>
      <c r="AG108" s="582"/>
      <c r="AI108" s="539"/>
      <c r="AJ108" s="563"/>
      <c r="AK108" s="595"/>
      <c r="AL108" s="416"/>
      <c r="AN108" s="579"/>
      <c r="AP108" s="583"/>
      <c r="AR108" s="583"/>
      <c r="AT108" s="599"/>
      <c r="AU108" s="563"/>
      <c r="BA108" s="579"/>
      <c r="BC108" s="611"/>
      <c r="BE108" s="579"/>
      <c r="BG108" s="611"/>
    </row>
    <row r="109" spans="1:59" ht="12.75" hidden="1" customHeight="1" outlineLevel="1">
      <c r="A109" s="593"/>
      <c r="B109" s="431">
        <f>B102+1</f>
        <v>2008</v>
      </c>
      <c r="E109" s="563"/>
      <c r="F109" s="563"/>
      <c r="H109" s="563"/>
      <c r="J109" s="563"/>
      <c r="S109" s="563"/>
      <c r="T109" s="416"/>
      <c r="U109" s="416"/>
      <c r="AC109" s="563"/>
      <c r="AJ109" s="563"/>
      <c r="AK109" s="416"/>
      <c r="AL109" s="416"/>
      <c r="AU109" s="563"/>
      <c r="BA109" s="421"/>
      <c r="BB109" s="421"/>
      <c r="BC109" s="612"/>
      <c r="BD109" s="421"/>
      <c r="BE109" s="421"/>
      <c r="BF109" s="421"/>
      <c r="BG109" s="612"/>
    </row>
    <row r="110" spans="1:59" ht="12.75" hidden="1" customHeight="1" outlineLevel="1">
      <c r="A110" s="410" t="str">
        <f>$A$12</f>
        <v>1Q</v>
      </c>
      <c r="B110" s="562" t="str">
        <f>$B$12</f>
        <v>Apr</v>
      </c>
      <c r="D110" s="539">
        <f>(X110/X103-1)*100</f>
        <v>24.150368037834834</v>
      </c>
      <c r="E110" s="563" t="s">
        <v>208</v>
      </c>
      <c r="F110" s="563"/>
      <c r="G110" s="601">
        <f>'qtrP&amp;L'!BM10</f>
        <v>10</v>
      </c>
      <c r="H110" s="563" t="s">
        <v>208</v>
      </c>
      <c r="I110" s="539">
        <f>D110-G110</f>
        <v>14.150368037834834</v>
      </c>
      <c r="J110" s="563" t="s">
        <v>208</v>
      </c>
      <c r="K110" s="617">
        <f>K287+K464+K571+K714</f>
        <v>257</v>
      </c>
      <c r="L110" s="410">
        <f t="shared" ref="L110:N113" si="1">L287+L464+L571</f>
        <v>237</v>
      </c>
      <c r="M110" s="410">
        <f t="shared" si="1"/>
        <v>5</v>
      </c>
      <c r="N110" s="410">
        <f t="shared" si="1"/>
        <v>14</v>
      </c>
      <c r="P110" s="587">
        <f>AVERAGE(K110,K106)</f>
        <v>251</v>
      </c>
      <c r="R110" s="539">
        <f>(P110/P103-1)*100</f>
        <v>19.523809523809522</v>
      </c>
      <c r="S110" s="563" t="s">
        <v>208</v>
      </c>
      <c r="T110" s="595">
        <f>I110/R110*100</f>
        <v>72.477494827934521</v>
      </c>
      <c r="U110" s="416" t="s">
        <v>208</v>
      </c>
      <c r="X110" s="616">
        <f>+X287+X464+X571+X714</f>
        <v>311.86199999999997</v>
      </c>
      <c r="Z110" s="580">
        <f>X110/P110</f>
        <v>1.2424780876494022</v>
      </c>
      <c r="AB110" s="599">
        <f>(Z110/Z103-1)*100</f>
        <v>3.8708258483876934</v>
      </c>
      <c r="AC110" s="563" t="s">
        <v>208</v>
      </c>
      <c r="AE110" s="608">
        <f>+AE287+AE464+AE571</f>
        <v>2.7787160000000002</v>
      </c>
      <c r="AF110" s="482"/>
      <c r="AG110" s="582">
        <f>AVERAGE(AE110,AE106)</f>
        <v>2.7323760000000004</v>
      </c>
      <c r="AI110" s="539">
        <f>(AG110/AG103-1)*100</f>
        <v>16.077099933218154</v>
      </c>
      <c r="AJ110" s="563" t="s">
        <v>208</v>
      </c>
      <c r="AK110" s="595">
        <f>+I110/AI110*100</f>
        <v>88.015675069591708</v>
      </c>
      <c r="AL110" s="416" t="s">
        <v>208</v>
      </c>
      <c r="AN110" s="579">
        <f>+X110</f>
        <v>311.86199999999997</v>
      </c>
      <c r="AP110" s="583" t="e">
        <f>AL110/AE110</f>
        <v>#VALUE!</v>
      </c>
      <c r="AR110" s="583">
        <f>AN110/AG110</f>
        <v>114.13582903670648</v>
      </c>
      <c r="AT110" s="599">
        <f>(AR110/AR103-1)*100</f>
        <v>6.9550911499868695</v>
      </c>
      <c r="AU110" s="563" t="s">
        <v>208</v>
      </c>
      <c r="BA110" s="602">
        <v>34.499000000000002</v>
      </c>
      <c r="BB110" s="579"/>
      <c r="BC110" s="611">
        <f>BA110/BA103-1</f>
        <v>0.39339230178924844</v>
      </c>
      <c r="BD110" s="579"/>
      <c r="BE110" s="579">
        <f>'qtrP&amp;L'!BK10-qtrSales!BA110</f>
        <v>359.79299999999995</v>
      </c>
      <c r="BF110" s="579"/>
      <c r="BG110" s="611">
        <f>BE110/BE103-1</f>
        <v>0.24158600341632597</v>
      </c>
    </row>
    <row r="111" spans="1:59" ht="12.75" hidden="1" customHeight="1" outlineLevel="1">
      <c r="A111" s="410" t="str">
        <f>$A$13</f>
        <v>2Q</v>
      </c>
      <c r="B111" s="562" t="str">
        <f>$B$13</f>
        <v>Jul</v>
      </c>
      <c r="D111" s="539">
        <f>(X111/X104-1)*100</f>
        <v>29.811312719800974</v>
      </c>
      <c r="G111" s="601">
        <f>'qtrP&amp;L'!BM11</f>
        <v>13</v>
      </c>
      <c r="I111" s="539">
        <f>D111-G111</f>
        <v>16.811312719800974</v>
      </c>
      <c r="K111" s="617">
        <f>K288+K465+K572+K715</f>
        <v>269</v>
      </c>
      <c r="L111" s="410">
        <f t="shared" si="1"/>
        <v>248</v>
      </c>
      <c r="M111" s="410">
        <f t="shared" si="1"/>
        <v>6</v>
      </c>
      <c r="N111" s="410">
        <f t="shared" si="1"/>
        <v>14</v>
      </c>
      <c r="P111" s="587">
        <f>AVERAGE(K111,K110)</f>
        <v>263</v>
      </c>
      <c r="R111" s="539">
        <f>(P111/P104-1)*100</f>
        <v>22.041763341067288</v>
      </c>
      <c r="S111" s="563"/>
      <c r="T111" s="595">
        <f>I111/R111*100</f>
        <v>76.270271391939147</v>
      </c>
      <c r="U111" s="416"/>
      <c r="X111" s="613">
        <f>+X288+X465+X572+X715</f>
        <v>365.79400000000004</v>
      </c>
      <c r="Z111" s="585">
        <f>X111/P111</f>
        <v>1.3908517110266161</v>
      </c>
      <c r="AB111" s="599">
        <f>(Z111/Z104-1)*100</f>
        <v>6.3663037685061097</v>
      </c>
      <c r="AC111" s="563"/>
      <c r="AE111" s="608">
        <f>+AE288+AE465+AE572</f>
        <v>2.8653666666666666</v>
      </c>
      <c r="AF111" s="482"/>
      <c r="AG111" s="582">
        <f>AVERAGE(AE111,AE110)</f>
        <v>2.8220413333333334</v>
      </c>
      <c r="AI111" s="539">
        <f>(AG111/AG104-1)*100</f>
        <v>17.096373357410634</v>
      </c>
      <c r="AJ111" s="563"/>
      <c r="AK111" s="595">
        <f>+I111/AI111*100</f>
        <v>98.332625103287782</v>
      </c>
      <c r="AL111" s="416"/>
      <c r="AN111" s="584">
        <f>+X111</f>
        <v>365.79400000000004</v>
      </c>
      <c r="AP111" s="586">
        <f>AL111/AE111</f>
        <v>0</v>
      </c>
      <c r="AR111" s="586">
        <f>AN111/AG111</f>
        <v>129.62035519441955</v>
      </c>
      <c r="AT111" s="599">
        <f>(AR111/AR104-1)*100</f>
        <v>10.858525330738322</v>
      </c>
      <c r="AU111" s="563"/>
      <c r="BA111" s="603">
        <v>43.082000000000001</v>
      </c>
      <c r="BB111" s="584"/>
      <c r="BC111" s="611">
        <f>BA111/BA104-1</f>
        <v>0.46194305880756037</v>
      </c>
      <c r="BD111" s="584"/>
      <c r="BE111" s="584">
        <f>'qtrP&amp;L'!BK11-qtrSales!BA111</f>
        <v>411.21300000000002</v>
      </c>
      <c r="BF111" s="584"/>
      <c r="BG111" s="611">
        <f>BE111/BE104-1</f>
        <v>0.28914978995548313</v>
      </c>
    </row>
    <row r="112" spans="1:59" ht="12.75" hidden="1" customHeight="1" outlineLevel="1">
      <c r="A112" s="410" t="str">
        <f>$A$14</f>
        <v>3Q</v>
      </c>
      <c r="B112" s="562" t="str">
        <f>$B$14</f>
        <v>Oct</v>
      </c>
      <c r="D112" s="539">
        <f>(X112/X105-1)*100</f>
        <v>24.330580251459843</v>
      </c>
      <c r="G112" s="601">
        <f>'qtrP&amp;L'!BM12</f>
        <v>10</v>
      </c>
      <c r="I112" s="539">
        <f>D112-G112</f>
        <v>14.330580251459843</v>
      </c>
      <c r="K112" s="617">
        <f>K289+K466+K573+K716</f>
        <v>286</v>
      </c>
      <c r="L112" s="410">
        <f t="shared" si="1"/>
        <v>261</v>
      </c>
      <c r="M112" s="410">
        <f t="shared" si="1"/>
        <v>7</v>
      </c>
      <c r="N112" s="410">
        <f t="shared" si="1"/>
        <v>17</v>
      </c>
      <c r="P112" s="587">
        <f>AVERAGE(K112,K111)</f>
        <v>277.5</v>
      </c>
      <c r="R112" s="539">
        <f>(P112/P105-1)*100</f>
        <v>23.88392857142858</v>
      </c>
      <c r="S112" s="563"/>
      <c r="T112" s="595">
        <f>I112/R112*100</f>
        <v>60.00093413695334</v>
      </c>
      <c r="U112" s="416"/>
      <c r="X112" s="613">
        <f>+X289+X466+X573+X716</f>
        <v>378.14400000000006</v>
      </c>
      <c r="Z112" s="585">
        <f>X112/P112</f>
        <v>1.3626810810810812</v>
      </c>
      <c r="AB112" s="599">
        <f>(Z112/Z105-1)*100</f>
        <v>0.36054045523243872</v>
      </c>
      <c r="AC112" s="563"/>
      <c r="AE112" s="608">
        <f>+AE289+AE466+AE573</f>
        <v>2.9914226666666668</v>
      </c>
      <c r="AF112" s="482"/>
      <c r="AG112" s="582">
        <f>AVERAGE(AE112,AE111)</f>
        <v>2.9283946666666667</v>
      </c>
      <c r="AI112" s="539">
        <f>(AG112/AG105-1)*100</f>
        <v>18.018628954515204</v>
      </c>
      <c r="AJ112" s="563"/>
      <c r="AK112" s="595">
        <f>+I112/AI112*100</f>
        <v>79.532023705215423</v>
      </c>
      <c r="AL112" s="416"/>
      <c r="AN112" s="584">
        <f>+X112</f>
        <v>378.14400000000006</v>
      </c>
      <c r="AP112" s="586">
        <f>AL112/AE112</f>
        <v>0</v>
      </c>
      <c r="AR112" s="586">
        <f>AN112/AG112</f>
        <v>129.13013546443651</v>
      </c>
      <c r="AT112" s="599">
        <f>(AR112/AR105-1)*100</f>
        <v>5.3482669243491321</v>
      </c>
      <c r="AU112" s="563"/>
      <c r="BA112" s="603">
        <v>44.28</v>
      </c>
      <c r="BB112" s="584"/>
      <c r="BC112" s="611">
        <f>BA112/BA105-1</f>
        <v>0.32056902567773116</v>
      </c>
      <c r="BD112" s="584"/>
      <c r="BE112" s="584">
        <f>'qtrP&amp;L'!BK12-qtrSales!BA112</f>
        <v>433.673</v>
      </c>
      <c r="BF112" s="584"/>
      <c r="BG112" s="611">
        <f>BE112/BE105-1</f>
        <v>0.2541549904710676</v>
      </c>
    </row>
    <row r="113" spans="1:59" ht="12.75" hidden="1" customHeight="1" outlineLevel="1">
      <c r="A113" s="410" t="str">
        <f>$A$15</f>
        <v>4Q</v>
      </c>
      <c r="B113" s="562" t="str">
        <f>$B$15</f>
        <v>Jan</v>
      </c>
      <c r="D113" s="596">
        <f>(X113/X106-1)*100</f>
        <v>8.1336396727770932</v>
      </c>
      <c r="G113" s="604">
        <f>'qtrP&amp;L'!BM13</f>
        <v>-1</v>
      </c>
      <c r="I113" s="596">
        <f>D113-G113</f>
        <v>9.1336396727770932</v>
      </c>
      <c r="K113" s="410">
        <f>yrSales!P$26</f>
        <v>294</v>
      </c>
      <c r="L113" s="410">
        <f t="shared" si="1"/>
        <v>269</v>
      </c>
      <c r="M113" s="410">
        <f t="shared" si="1"/>
        <v>7</v>
      </c>
      <c r="N113" s="410">
        <f t="shared" si="1"/>
        <v>17</v>
      </c>
      <c r="P113" s="588">
        <f>AVERAGE(K113,K112)</f>
        <v>290</v>
      </c>
      <c r="R113" s="596">
        <f>(P113/P106-1)*100</f>
        <v>22.10526315789474</v>
      </c>
      <c r="S113" s="563"/>
      <c r="T113" s="598">
        <f>I113/R113*100</f>
        <v>41.318846138753514</v>
      </c>
      <c r="U113" s="416"/>
      <c r="X113" s="614">
        <f>+X290+X467+X574+X717</f>
        <v>396.28600000000006</v>
      </c>
      <c r="Z113" s="590">
        <f>X113/P113</f>
        <v>1.3665034482758622</v>
      </c>
      <c r="AB113" s="597">
        <f>(Z113/Z106-1)*100</f>
        <v>-11.442277854191174</v>
      </c>
      <c r="AC113" s="563"/>
      <c r="AE113" s="608">
        <f>AE290+AE467+AE574</f>
        <v>3.047228</v>
      </c>
      <c r="AF113" s="482"/>
      <c r="AG113" s="591">
        <f>AVERAGE(AE113,AE112)</f>
        <v>3.0193253333333336</v>
      </c>
      <c r="AI113" s="596">
        <f>(AG113/AG106-1)*100</f>
        <v>15.643115565032662</v>
      </c>
      <c r="AJ113" s="563"/>
      <c r="AK113" s="598">
        <f>+I113/AI113*100</f>
        <v>58.387599546945005</v>
      </c>
      <c r="AL113" s="416"/>
      <c r="AN113" s="589">
        <f>+X113</f>
        <v>396.28600000000006</v>
      </c>
      <c r="AP113" s="592">
        <f>AL113/AE113</f>
        <v>0</v>
      </c>
      <c r="AR113" s="592">
        <f>AN113/AG113</f>
        <v>131.24985096008203</v>
      </c>
      <c r="AT113" s="597">
        <f>(AR113/AR106-1)*100</f>
        <v>-6.4936644568630353</v>
      </c>
      <c r="AU113" s="563"/>
      <c r="BA113" s="589">
        <f>BA114-(SUM(BA110:BA112))</f>
        <v>49.141000000000005</v>
      </c>
      <c r="BB113" s="610"/>
      <c r="BC113" s="615">
        <f>BA113/BA106-1</f>
        <v>4.9954062773753583E-2</v>
      </c>
      <c r="BD113" s="610"/>
      <c r="BE113" s="589">
        <f>'qtrP&amp;L'!BK13-qtrSales!BA113</f>
        <v>458.93699999999995</v>
      </c>
      <c r="BF113" s="610"/>
      <c r="BG113" s="615">
        <f>BE113/BE106-1</f>
        <v>9.6340729274165593E-2</v>
      </c>
    </row>
    <row r="114" spans="1:59" ht="12.75" hidden="1" customHeight="1" outlineLevel="1">
      <c r="B114" s="562" t="str">
        <f>$B$16</f>
        <v>Year</v>
      </c>
      <c r="D114" s="539">
        <f>(X114/X107-1)*100</f>
        <v>20.644429083223102</v>
      </c>
      <c r="G114" s="601">
        <f>G110*X110/X114+G111*X111/X114+G112*X112/X114+G113*X113/X114</f>
        <v>7.7537391036068124</v>
      </c>
      <c r="I114" s="539">
        <f>D114-G114</f>
        <v>12.89068997961629</v>
      </c>
      <c r="P114" s="587">
        <f>AVERAGE(P110:P113)</f>
        <v>270.375</v>
      </c>
      <c r="R114" s="539">
        <f>(P114/P107-1)*100</f>
        <v>21.927846674182639</v>
      </c>
      <c r="S114" s="563"/>
      <c r="T114" s="595">
        <f>I114/R114*100</f>
        <v>58.786848390332381</v>
      </c>
      <c r="U114" s="416"/>
      <c r="X114" s="579">
        <f>SUM(X110:X113)</f>
        <v>1452.086</v>
      </c>
      <c r="Z114" s="580">
        <f>SUM(Z110:Z113)</f>
        <v>5.3625143280329617</v>
      </c>
      <c r="AB114" s="599">
        <f>(Z114/Z107-1)*100</f>
        <v>-0.77930195050847084</v>
      </c>
      <c r="AC114" s="563"/>
      <c r="AE114" s="600"/>
      <c r="AG114" s="582">
        <f>AVERAGE(AG110:AG113)</f>
        <v>2.8755343333333334</v>
      </c>
      <c r="AI114" s="539">
        <f>(AG114/AG107-1)*100</f>
        <v>16.700151695534295</v>
      </c>
      <c r="AJ114" s="563"/>
      <c r="AK114" s="595">
        <f>+I114/AI114*100</f>
        <v>77.189059205152759</v>
      </c>
      <c r="AL114" s="416"/>
      <c r="AN114" s="579">
        <f>SUM(AN110:AN113)</f>
        <v>1452.086</v>
      </c>
      <c r="AP114" s="583" t="e">
        <f>SUM(AP110:AP113)</f>
        <v>#VALUE!</v>
      </c>
      <c r="AR114" s="583">
        <f>SUM(AR110:AR113)</f>
        <v>504.13617065564455</v>
      </c>
      <c r="AT114" s="599">
        <f>(AR114/AR107-1)*100</f>
        <v>3.6086941321438193</v>
      </c>
      <c r="AU114" s="563"/>
      <c r="BA114" s="602">
        <v>171.00200000000001</v>
      </c>
      <c r="BB114" s="579"/>
      <c r="BC114" s="611">
        <f>BA114/BA107-1</f>
        <v>0.27080453619892686</v>
      </c>
      <c r="BD114" s="579"/>
      <c r="BE114" s="579">
        <f>'qtrP&amp;L'!BK14-qtrSales!BA114</f>
        <v>1663.616</v>
      </c>
      <c r="BF114" s="579"/>
      <c r="BG114" s="611">
        <f>BE114/BE107-1</f>
        <v>0.21152201998016262</v>
      </c>
    </row>
    <row r="115" spans="1:59" ht="12.75" hidden="1" customHeight="1" outlineLevel="1">
      <c r="B115" s="562"/>
      <c r="D115" s="539"/>
      <c r="G115" s="618"/>
      <c r="I115" s="539"/>
      <c r="P115" s="587"/>
      <c r="R115" s="539"/>
      <c r="S115" s="563"/>
      <c r="T115" s="595"/>
      <c r="U115" s="416"/>
      <c r="X115" s="579"/>
      <c r="Z115" s="580"/>
      <c r="AB115" s="599"/>
      <c r="AC115" s="563"/>
      <c r="AG115" s="582"/>
      <c r="AI115" s="539"/>
      <c r="AJ115" s="563"/>
      <c r="AK115" s="595"/>
      <c r="AL115" s="416"/>
      <c r="AN115" s="579"/>
      <c r="AP115" s="583"/>
      <c r="AR115" s="583"/>
      <c r="AT115" s="599"/>
      <c r="AU115" s="563"/>
      <c r="BA115" s="579"/>
      <c r="BC115" s="611"/>
      <c r="BE115" s="579"/>
      <c r="BG115" s="611"/>
    </row>
    <row r="116" spans="1:59" ht="12.75" hidden="1" customHeight="1" outlineLevel="1">
      <c r="A116" s="593"/>
      <c r="B116" s="431">
        <f>B109+1</f>
        <v>2009</v>
      </c>
      <c r="E116" s="563"/>
      <c r="F116" s="563"/>
      <c r="H116" s="563"/>
      <c r="J116" s="563"/>
      <c r="S116" s="563"/>
      <c r="T116" s="416"/>
      <c r="U116" s="416"/>
      <c r="AC116" s="563"/>
      <c r="AJ116" s="563"/>
      <c r="AK116" s="416"/>
      <c r="AL116" s="416"/>
      <c r="AU116" s="563"/>
      <c r="BA116" s="421"/>
      <c r="BB116" s="421"/>
      <c r="BC116" s="612"/>
      <c r="BD116" s="421"/>
      <c r="BE116" s="421"/>
      <c r="BF116" s="421"/>
      <c r="BG116" s="612"/>
    </row>
    <row r="117" spans="1:59" ht="12.75" hidden="1" customHeight="1" outlineLevel="1">
      <c r="A117" s="410" t="str">
        <f>$A$12</f>
        <v>1Q</v>
      </c>
      <c r="B117" s="562" t="str">
        <f>$B$12</f>
        <v>Apr</v>
      </c>
      <c r="D117" s="539">
        <f>(X117/X110-1)*100</f>
        <v>-3.8706222624109499</v>
      </c>
      <c r="E117" s="563" t="s">
        <v>208</v>
      </c>
      <c r="F117" s="563"/>
      <c r="G117" s="601">
        <f>'qtrP&amp;L'!BQ10</f>
        <v>-9.6</v>
      </c>
      <c r="H117" s="563" t="s">
        <v>208</v>
      </c>
      <c r="I117" s="539">
        <f>D117-G117</f>
        <v>5.7293777375890498</v>
      </c>
      <c r="J117" s="563" t="s">
        <v>208</v>
      </c>
      <c r="K117" s="617">
        <f>K294+K471+K578+K721</f>
        <v>299</v>
      </c>
      <c r="L117" s="410">
        <f t="shared" ref="L117:N120" si="2">L294+L471+L578</f>
        <v>273</v>
      </c>
      <c r="M117" s="410">
        <f t="shared" si="2"/>
        <v>8</v>
      </c>
      <c r="N117" s="410">
        <f t="shared" si="2"/>
        <v>17</v>
      </c>
      <c r="P117" s="587">
        <f>AVERAGE(K117,K113)</f>
        <v>296.5</v>
      </c>
      <c r="R117" s="539">
        <f>(P117/P110-1)*100</f>
        <v>18.127490039840644</v>
      </c>
      <c r="S117" s="563" t="s">
        <v>208</v>
      </c>
      <c r="T117" s="595">
        <f>I117/R117*100</f>
        <v>31.606017849117602</v>
      </c>
      <c r="U117" s="416" t="s">
        <v>208</v>
      </c>
      <c r="X117" s="616">
        <f>+X294+X471+X578+X721</f>
        <v>299.79099999999994</v>
      </c>
      <c r="Z117" s="580">
        <f>X117/P117</f>
        <v>1.0110994940978075</v>
      </c>
      <c r="AB117" s="599">
        <f>(Z117/Z110-1)*100</f>
        <v>-18.622348019781263</v>
      </c>
      <c r="AC117" s="563" t="s">
        <v>208</v>
      </c>
      <c r="AE117" s="608">
        <f>+AE294+AE471+AE897</f>
        <v>3.0213200000000002</v>
      </c>
      <c r="AF117" s="482"/>
      <c r="AG117" s="582">
        <f>AVERAGE(AE117,AE113)</f>
        <v>3.0342739999999999</v>
      </c>
      <c r="AI117" s="539">
        <f>(AG117/AG110-1)*100</f>
        <v>11.048918596854884</v>
      </c>
      <c r="AJ117" s="563" t="s">
        <v>208</v>
      </c>
      <c r="AK117" s="595">
        <f>+I117/AI117*100</f>
        <v>51.854647016948228</v>
      </c>
      <c r="AL117" s="416" t="s">
        <v>208</v>
      </c>
      <c r="AN117" s="579">
        <f>+X117</f>
        <v>299.79099999999994</v>
      </c>
      <c r="AP117" s="583" t="e">
        <f>AL117/AE117</f>
        <v>#VALUE!</v>
      </c>
      <c r="AR117" s="583">
        <f>AN117/AG117</f>
        <v>98.801558461760521</v>
      </c>
      <c r="AT117" s="599">
        <f>(AR117/AR110-1)*100</f>
        <v>-13.435106841002931</v>
      </c>
      <c r="AU117" s="563" t="s">
        <v>208</v>
      </c>
      <c r="BA117" s="602">
        <v>33.664000000000001</v>
      </c>
      <c r="BB117" s="579"/>
      <c r="BC117" s="611">
        <f>BA117/BA110-1</f>
        <v>-2.4203600104350853E-2</v>
      </c>
      <c r="BD117" s="579"/>
      <c r="BE117" s="579">
        <f>'qtrP&amp;L'!BO10-qtrSales!BA117</f>
        <v>351.13200000000001</v>
      </c>
      <c r="BF117" s="579"/>
      <c r="BG117" s="611">
        <f>BE117/BE110-1</f>
        <v>-2.4072174833862703E-2</v>
      </c>
    </row>
    <row r="118" spans="1:59" ht="12.75" hidden="1" customHeight="1" outlineLevel="1">
      <c r="A118" s="410" t="str">
        <f>$A$13</f>
        <v>2Q</v>
      </c>
      <c r="B118" s="562" t="str">
        <f>$B$13</f>
        <v>Jul</v>
      </c>
      <c r="D118" s="539">
        <f>(X118/X111-1)*100</f>
        <v>-1.09351164863285</v>
      </c>
      <c r="G118" s="601">
        <f>'qtrP&amp;L'!BQ11</f>
        <v>-6</v>
      </c>
      <c r="I118" s="539">
        <f>D118-G118</f>
        <v>4.90648835136715</v>
      </c>
      <c r="K118" s="617">
        <f>K295+K472+K579+K722</f>
        <v>309</v>
      </c>
      <c r="L118" s="410">
        <f t="shared" si="2"/>
        <v>281</v>
      </c>
      <c r="M118" s="410">
        <f t="shared" si="2"/>
        <v>10</v>
      </c>
      <c r="N118" s="410">
        <f t="shared" si="2"/>
        <v>17</v>
      </c>
      <c r="P118" s="587">
        <f>AVERAGE(K118,K117)</f>
        <v>304</v>
      </c>
      <c r="R118" s="539">
        <f>(P118/P111-1)*100</f>
        <v>15.58935361216729</v>
      </c>
      <c r="S118" s="563"/>
      <c r="T118" s="595">
        <f>I118/R118*100</f>
        <v>31.473327717306372</v>
      </c>
      <c r="U118" s="416"/>
      <c r="X118" s="613">
        <f>+X295+X472+X579+X722</f>
        <v>361.79399999999998</v>
      </c>
      <c r="Z118" s="585">
        <f>X118/P118</f>
        <v>1.190111842105263</v>
      </c>
      <c r="AB118" s="599">
        <f>(Z118/Z111-1)*100</f>
        <v>-14.432873564442239</v>
      </c>
      <c r="AC118" s="563"/>
      <c r="AE118" s="608">
        <f>+AE295+AE472+AE898</f>
        <v>3.1167680000000004</v>
      </c>
      <c r="AF118" s="482"/>
      <c r="AG118" s="582">
        <f>AVERAGE(AE118,AE117)</f>
        <v>3.0690440000000003</v>
      </c>
      <c r="AI118" s="539">
        <f>(AG118/AG111-1)*100</f>
        <v>8.7526239870807654</v>
      </c>
      <c r="AJ118" s="563"/>
      <c r="AK118" s="595">
        <f>+I118/AI118*100</f>
        <v>56.057341873812128</v>
      </c>
      <c r="AL118" s="416"/>
      <c r="AN118" s="584">
        <f>+X118</f>
        <v>361.79399999999998</v>
      </c>
      <c r="AP118" s="586">
        <f>AL118/AE118</f>
        <v>0</v>
      </c>
      <c r="AR118" s="586">
        <f>AN118/AG118</f>
        <v>117.88491790929031</v>
      </c>
      <c r="AT118" s="599">
        <f>(AR118/AR111-1)*100</f>
        <v>-9.0536993727004305</v>
      </c>
      <c r="AU118" s="563"/>
      <c r="BA118" s="603">
        <v>44.085999999999999</v>
      </c>
      <c r="BB118" s="584"/>
      <c r="BC118" s="611">
        <f>BA118/BA111-1</f>
        <v>2.3304396267582739E-2</v>
      </c>
      <c r="BD118" s="584"/>
      <c r="BE118" s="584">
        <f>'qtrP&amp;L'!BO11-BA118</f>
        <v>414.53999999999996</v>
      </c>
      <c r="BF118" s="584"/>
      <c r="BG118" s="611">
        <f>BE118/BE111-1</f>
        <v>8.09069752172209E-3</v>
      </c>
    </row>
    <row r="119" spans="1:59" ht="12.75" hidden="1" customHeight="1" outlineLevel="1">
      <c r="A119" s="410" t="str">
        <f>$A$14</f>
        <v>3Q</v>
      </c>
      <c r="B119" s="562" t="str">
        <f>$B$14</f>
        <v>Oct</v>
      </c>
      <c r="D119" s="539">
        <f>(X119/X112-1)*100</f>
        <v>4.6254865871202311</v>
      </c>
      <c r="G119" s="601">
        <f>'qtrP&amp;L'!BQ12</f>
        <v>-1.9</v>
      </c>
      <c r="I119" s="539">
        <f>D119-G119</f>
        <v>6.5254865871202306</v>
      </c>
      <c r="K119" s="617">
        <f>K296+K473+K580+K723</f>
        <v>319</v>
      </c>
      <c r="L119" s="410">
        <f t="shared" si="2"/>
        <v>290</v>
      </c>
      <c r="M119" s="410">
        <f t="shared" si="2"/>
        <v>10</v>
      </c>
      <c r="N119" s="410">
        <f t="shared" si="2"/>
        <v>18</v>
      </c>
      <c r="P119" s="587">
        <f>AVERAGE(K119,K118)</f>
        <v>314</v>
      </c>
      <c r="R119" s="539">
        <f>(P119/P112-1)*100</f>
        <v>13.153153153153152</v>
      </c>
      <c r="S119" s="563"/>
      <c r="T119" s="595">
        <f>I119/R119*100</f>
        <v>49.611576107557923</v>
      </c>
      <c r="U119" s="416"/>
      <c r="X119" s="613">
        <f>+X296+X473+X580+X723</f>
        <v>395.63499999999999</v>
      </c>
      <c r="Z119" s="585">
        <f>X119/P119</f>
        <v>1.2599840764331209</v>
      </c>
      <c r="AB119" s="599">
        <f>(Z119/Z112-1)*100</f>
        <v>-7.536393223166038</v>
      </c>
      <c r="AC119" s="563"/>
      <c r="AE119" s="608">
        <f>+AE296+AE473+AE580</f>
        <v>3.2676906666666667</v>
      </c>
      <c r="AF119" s="482"/>
      <c r="AG119" s="582">
        <f>AVERAGE(AE119,AE118)</f>
        <v>3.1922293333333336</v>
      </c>
      <c r="AI119" s="539">
        <f>(AG119/AG112-1)*100</f>
        <v>9.0095324127531065</v>
      </c>
      <c r="AJ119" s="563"/>
      <c r="AK119" s="595">
        <f>+I119/AI119*100</f>
        <v>72.428693168175101</v>
      </c>
      <c r="AL119" s="416"/>
      <c r="AN119" s="584">
        <f>+X119</f>
        <v>395.63499999999999</v>
      </c>
      <c r="AP119" s="586">
        <f>AL119/AE119</f>
        <v>0</v>
      </c>
      <c r="AR119" s="586">
        <f>AN119/AG119</f>
        <v>123.93689759967118</v>
      </c>
      <c r="AT119" s="599">
        <f>(AR119/AR112-1)*100</f>
        <v>-4.0217086786806462</v>
      </c>
      <c r="AU119" s="563"/>
      <c r="BA119" s="603">
        <v>48.237000000000002</v>
      </c>
      <c r="BB119" s="584"/>
      <c r="BC119" s="611">
        <f>BA119/BA112-1</f>
        <v>8.9363143631436381E-2</v>
      </c>
      <c r="BD119" s="584"/>
      <c r="BE119" s="584">
        <f>'qtrP&amp;L'!BO12-qtrSales!BA119</f>
        <v>457.66299999999995</v>
      </c>
      <c r="BF119" s="584"/>
      <c r="BG119" s="611">
        <f>BE119/BE112-1</f>
        <v>5.5318177520850886E-2</v>
      </c>
    </row>
    <row r="120" spans="1:59" ht="12.75" hidden="1" customHeight="1" outlineLevel="1">
      <c r="A120" s="410" t="str">
        <f>$A$15</f>
        <v>4Q</v>
      </c>
      <c r="B120" s="562" t="str">
        <f>$B$15</f>
        <v>Jan</v>
      </c>
      <c r="D120" s="596">
        <f>(X120/X113-1)*100</f>
        <v>14.254351655117748</v>
      </c>
      <c r="G120" s="604">
        <f>'qtrP&amp;L'!BQ13</f>
        <v>4</v>
      </c>
      <c r="I120" s="596">
        <f>D120-G120</f>
        <v>10.254351655117748</v>
      </c>
      <c r="K120" s="410">
        <f>yrSales!$Q$26</f>
        <v>327</v>
      </c>
      <c r="L120" s="410">
        <f t="shared" si="2"/>
        <v>297</v>
      </c>
      <c r="M120" s="410">
        <f t="shared" si="2"/>
        <v>10</v>
      </c>
      <c r="N120" s="410">
        <f t="shared" si="2"/>
        <v>19</v>
      </c>
      <c r="P120" s="588">
        <f>AVERAGE(K120,K119)</f>
        <v>323</v>
      </c>
      <c r="R120" s="596">
        <f>(P120/P113-1)*100</f>
        <v>11.379310344827577</v>
      </c>
      <c r="S120" s="563"/>
      <c r="T120" s="598">
        <f>I120/R120*100</f>
        <v>90.113999393459082</v>
      </c>
      <c r="U120" s="416"/>
      <c r="X120" s="614">
        <f>+X297+X474+X581+X724</f>
        <v>452.774</v>
      </c>
      <c r="Z120" s="590">
        <f>X120/P120</f>
        <v>1.4017770897832817</v>
      </c>
      <c r="AB120" s="597">
        <f>(Z120/Z113-1)*100</f>
        <v>2.5813064395794116</v>
      </c>
      <c r="AC120" s="563"/>
      <c r="AE120" s="608">
        <f>+AE297+AE474+AE581</f>
        <v>3.3461946666666664</v>
      </c>
      <c r="AF120" s="482"/>
      <c r="AG120" s="591">
        <f>AVERAGE(AE120,AE119)</f>
        <v>3.3069426666666666</v>
      </c>
      <c r="AI120" s="596">
        <f>(AG120/AG113-1)*100</f>
        <v>9.5258808369551815</v>
      </c>
      <c r="AJ120" s="563"/>
      <c r="AK120" s="598">
        <f>+I120/AI120*100</f>
        <v>107.64728039990277</v>
      </c>
      <c r="AL120" s="416"/>
      <c r="AN120" s="589">
        <f>+X120</f>
        <v>452.774</v>
      </c>
      <c r="AP120" s="592">
        <f>AL120/AE120</f>
        <v>0</v>
      </c>
      <c r="AR120" s="592">
        <f>AN120/AG120</f>
        <v>136.91619288228765</v>
      </c>
      <c r="AT120" s="597">
        <f>(AR120/AR113-1)*100</f>
        <v>4.3172177954921676</v>
      </c>
      <c r="AU120" s="563"/>
      <c r="BA120" s="589">
        <f>BA121-(SUM(BA117:BA119))</f>
        <v>59.040999999999997</v>
      </c>
      <c r="BB120" s="610"/>
      <c r="BC120" s="615">
        <f>BA120/BA113-1</f>
        <v>0.20146110172768128</v>
      </c>
      <c r="BD120" s="610"/>
      <c r="BE120" s="589">
        <f>'qtrP&amp;L'!BO13-qtrSales!BA120</f>
        <v>529.452</v>
      </c>
      <c r="BF120" s="610"/>
      <c r="BG120" s="615">
        <f>BE120/BE113-1</f>
        <v>0.15364853999568573</v>
      </c>
    </row>
    <row r="121" spans="1:59" ht="12.75" hidden="1" customHeight="1" outlineLevel="1">
      <c r="B121" s="562" t="str">
        <f>$B$16</f>
        <v>Year</v>
      </c>
      <c r="D121" s="539">
        <f>(X121/X114-1)*100</f>
        <v>3.9879180709682327</v>
      </c>
      <c r="G121" s="601">
        <f>G117*X117/X121+G118*X118/X121+G119*X119/X121+G120*X120/X121</f>
        <v>-2.6419761270574589</v>
      </c>
      <c r="I121" s="539">
        <f>D121-G121</f>
        <v>6.629894198025692</v>
      </c>
      <c r="P121" s="587">
        <f>AVERAGE(P117:P120)</f>
        <v>309.375</v>
      </c>
      <c r="R121" s="539">
        <f>(P121/P114-1)*100</f>
        <v>14.424410540915389</v>
      </c>
      <c r="S121" s="563"/>
      <c r="T121" s="595">
        <f>I121/R121*100</f>
        <v>45.963016507466598</v>
      </c>
      <c r="U121" s="416"/>
      <c r="X121" s="579">
        <f>SUM(X117:X120)</f>
        <v>1509.9939999999997</v>
      </c>
      <c r="Z121" s="580">
        <f>SUM(Z117:Z120)</f>
        <v>4.8629725024194732</v>
      </c>
      <c r="AB121" s="599">
        <f>(Z121/Z114-1)*100</f>
        <v>-9.3154403896339222</v>
      </c>
      <c r="AC121" s="563"/>
      <c r="AE121" s="600"/>
      <c r="AG121" s="582">
        <f>AVERAGE(AG117:AG120)</f>
        <v>3.1506224999999999</v>
      </c>
      <c r="AI121" s="539">
        <f>(AG121/AG114-1)*100</f>
        <v>9.5665060742913468</v>
      </c>
      <c r="AJ121" s="563"/>
      <c r="AK121" s="595">
        <f>+I121/AI121*100</f>
        <v>69.303193313623765</v>
      </c>
      <c r="AL121" s="416"/>
      <c r="AN121" s="579">
        <f>SUM(AN117:AN120)</f>
        <v>1509.9939999999997</v>
      </c>
      <c r="AP121" s="583" t="e">
        <f>SUM(AP117:AP120)</f>
        <v>#VALUE!</v>
      </c>
      <c r="AR121" s="583">
        <f>SUM(AR117:AR120)</f>
        <v>477.53956685300966</v>
      </c>
      <c r="AT121" s="599">
        <f>(AR121/AR114-1)*100</f>
        <v>-5.2756785469380567</v>
      </c>
      <c r="AU121" s="563"/>
      <c r="BA121" s="602">
        <v>185.02799999999999</v>
      </c>
      <c r="BB121" s="579"/>
      <c r="BC121" s="611">
        <f>BA121/BA114-1</f>
        <v>8.2022432486169583E-2</v>
      </c>
      <c r="BD121" s="579"/>
      <c r="BE121" s="579">
        <f>'qtrP&amp;L'!BO14-BA121</f>
        <v>1752.787</v>
      </c>
      <c r="BF121" s="579"/>
      <c r="BG121" s="611">
        <f>BE121/BE114-1</f>
        <v>5.3600710740940194E-2</v>
      </c>
    </row>
    <row r="122" spans="1:59" ht="12.75" hidden="1" customHeight="1" outlineLevel="1">
      <c r="B122" s="562"/>
      <c r="D122" s="539"/>
      <c r="G122" s="601"/>
      <c r="I122" s="539"/>
      <c r="P122" s="587"/>
      <c r="R122" s="539"/>
      <c r="S122" s="563"/>
      <c r="T122" s="595"/>
      <c r="U122" s="416"/>
      <c r="X122" s="579"/>
      <c r="Z122" s="580"/>
      <c r="AB122" s="599"/>
      <c r="AC122" s="563"/>
      <c r="AG122" s="582"/>
      <c r="AI122" s="539"/>
      <c r="AJ122" s="563"/>
      <c r="AK122" s="595"/>
      <c r="AL122" s="416"/>
      <c r="AN122" s="579"/>
      <c r="AP122" s="583"/>
      <c r="AR122" s="583"/>
      <c r="AT122" s="599"/>
      <c r="AU122" s="563"/>
      <c r="BA122" s="579"/>
      <c r="BC122" s="611"/>
      <c r="BE122" s="579"/>
      <c r="BG122" s="611"/>
    </row>
    <row r="123" spans="1:59" ht="12.75" hidden="1" customHeight="1" outlineLevel="1">
      <c r="A123" s="593"/>
      <c r="B123" s="431">
        <f>B116+1</f>
        <v>2010</v>
      </c>
      <c r="E123" s="563"/>
      <c r="F123" s="563"/>
      <c r="H123" s="563"/>
      <c r="J123" s="563"/>
      <c r="S123" s="563"/>
      <c r="T123" s="416"/>
      <c r="U123" s="416"/>
      <c r="AC123" s="563"/>
      <c r="AJ123" s="563"/>
      <c r="AK123" s="416"/>
      <c r="AL123" s="416"/>
      <c r="AU123" s="563"/>
      <c r="BA123" s="421"/>
      <c r="BB123" s="421"/>
      <c r="BC123" s="612"/>
      <c r="BD123" s="421"/>
      <c r="BE123" s="421"/>
      <c r="BF123" s="421"/>
      <c r="BG123" s="612"/>
    </row>
    <row r="124" spans="1:59" ht="12.75" hidden="1" customHeight="1" outlineLevel="1">
      <c r="A124" s="410" t="str">
        <f>$A$12</f>
        <v>1Q</v>
      </c>
      <c r="B124" s="562" t="str">
        <f>$B$12</f>
        <v>Apr</v>
      </c>
      <c r="D124" s="539">
        <f>(X124/X117-1)*100</f>
        <v>23.806251688676472</v>
      </c>
      <c r="E124" s="563" t="s">
        <v>208</v>
      </c>
      <c r="F124" s="563"/>
      <c r="G124" s="601">
        <f>'qtrP&amp;L'!BU10</f>
        <v>16</v>
      </c>
      <c r="H124" s="563" t="s">
        <v>208</v>
      </c>
      <c r="I124" s="539">
        <f>D124-G124</f>
        <v>7.8062516886764719</v>
      </c>
      <c r="J124" s="563" t="s">
        <v>208</v>
      </c>
      <c r="K124" s="617">
        <f>K301+K478+K585+K728</f>
        <v>335</v>
      </c>
      <c r="L124" s="410">
        <f t="shared" ref="L124:N127" si="3">L301+L478+L585</f>
        <v>304</v>
      </c>
      <c r="M124" s="410">
        <f t="shared" si="3"/>
        <v>10</v>
      </c>
      <c r="N124" s="410">
        <f t="shared" si="3"/>
        <v>20</v>
      </c>
      <c r="P124" s="587">
        <f>AVERAGE(K124,K120)</f>
        <v>331</v>
      </c>
      <c r="R124" s="539">
        <f>(P124/P117-1)*100</f>
        <v>11.635750421585156</v>
      </c>
      <c r="S124" s="563" t="s">
        <v>208</v>
      </c>
      <c r="T124" s="595">
        <f>I124/R124*100</f>
        <v>67.088510889639849</v>
      </c>
      <c r="U124" s="416" t="s">
        <v>208</v>
      </c>
      <c r="X124" s="616">
        <f>+X301+X478+X585+X728</f>
        <v>371.16</v>
      </c>
      <c r="Z124" s="580">
        <f>X124/P124</f>
        <v>1.1213293051359516</v>
      </c>
      <c r="AB124" s="599">
        <f>(Z124/Z117-1)*100</f>
        <v>10.901974699977558</v>
      </c>
      <c r="AC124" s="563" t="s">
        <v>208</v>
      </c>
      <c r="AE124" s="608">
        <f>+AE301+AE478+AE585</f>
        <v>3.4195986666666665</v>
      </c>
      <c r="AF124" s="482"/>
      <c r="AG124" s="582">
        <f>AVERAGE(AE124,AE120)</f>
        <v>3.3828966666666664</v>
      </c>
      <c r="AI124" s="539">
        <f>(AG124/AG117-1)*100</f>
        <v>11.489491939972019</v>
      </c>
      <c r="AJ124" s="563" t="s">
        <v>208</v>
      </c>
      <c r="AK124" s="595">
        <f>+I124/AI124*100</f>
        <v>67.942531571117343</v>
      </c>
      <c r="AL124" s="416" t="s">
        <v>208</v>
      </c>
      <c r="AN124" s="579">
        <f>+X124</f>
        <v>371.16</v>
      </c>
      <c r="AP124" s="583" t="e">
        <f>AL124/AE124</f>
        <v>#VALUE!</v>
      </c>
      <c r="AR124" s="583">
        <f>AN124/AG124</f>
        <v>109.71662352480962</v>
      </c>
      <c r="AT124" s="599">
        <f>(AR124/AR117-1)*100</f>
        <v>11.047462441873911</v>
      </c>
      <c r="AU124" s="563" t="s">
        <v>208</v>
      </c>
      <c r="BA124" s="602">
        <v>45.975999999999999</v>
      </c>
      <c r="BB124" s="579"/>
      <c r="BC124" s="611">
        <f>BA124/BA117-1</f>
        <v>0.36573193916349811</v>
      </c>
      <c r="BD124" s="579"/>
      <c r="BE124" s="579">
        <f>'qtrP&amp;L'!BS10-qtrSales!BA124</f>
        <v>433.98500000000001</v>
      </c>
      <c r="BF124" s="579"/>
      <c r="BG124" s="611">
        <f>BE124/BE117-1</f>
        <v>0.23595969606871492</v>
      </c>
    </row>
    <row r="125" spans="1:59" ht="12.75" hidden="1" customHeight="1" outlineLevel="1">
      <c r="A125" s="410" t="str">
        <f>$A$13</f>
        <v>2Q</v>
      </c>
      <c r="B125" s="562" t="str">
        <f>$B$13</f>
        <v>Jul</v>
      </c>
      <c r="D125" s="539">
        <f>(X125/X118-1)*100</f>
        <v>18.446231833584847</v>
      </c>
      <c r="G125" s="601">
        <f>'qtrP&amp;L'!BU11</f>
        <v>11</v>
      </c>
      <c r="I125" s="539">
        <f>D125-G125</f>
        <v>7.4462318335848465</v>
      </c>
      <c r="K125" s="617">
        <f>K302+K479+K586+K729</f>
        <v>342</v>
      </c>
      <c r="L125" s="410">
        <f t="shared" si="3"/>
        <v>311</v>
      </c>
      <c r="M125" s="410">
        <f t="shared" si="3"/>
        <v>10</v>
      </c>
      <c r="N125" s="410">
        <f t="shared" si="3"/>
        <v>20</v>
      </c>
      <c r="P125" s="587">
        <f>AVERAGE(K125,K124)</f>
        <v>338.5</v>
      </c>
      <c r="R125" s="539">
        <f>(P125/P118-1)*100</f>
        <v>11.348684210526304</v>
      </c>
      <c r="S125" s="563"/>
      <c r="T125" s="595">
        <f>I125/R125*100</f>
        <v>65.613173258254946</v>
      </c>
      <c r="U125" s="416"/>
      <c r="X125" s="613">
        <f>+X302+X479+X586+X729</f>
        <v>428.53135999999995</v>
      </c>
      <c r="Z125" s="585">
        <f>X125/P125</f>
        <v>1.2659715214180205</v>
      </c>
      <c r="AB125" s="599">
        <f>(Z125/Z118-1)*100</f>
        <v>6.3741638919048604</v>
      </c>
      <c r="AC125" s="563"/>
      <c r="AE125" s="608">
        <f>+AE302+AE479+AE586</f>
        <v>3.4787653333333339</v>
      </c>
      <c r="AF125" s="482"/>
      <c r="AG125" s="582">
        <f>AVERAGE(AE125,AE124)</f>
        <v>3.4491820000000004</v>
      </c>
      <c r="AI125" s="539">
        <f>(AG125/AG118-1)*100</f>
        <v>12.386202348353436</v>
      </c>
      <c r="AJ125" s="563"/>
      <c r="AK125" s="595">
        <f>+I125/AI125*100</f>
        <v>60.117149907329861</v>
      </c>
      <c r="AL125" s="416"/>
      <c r="AN125" s="584">
        <f>+X125</f>
        <v>428.53135999999995</v>
      </c>
      <c r="AP125" s="586">
        <f>AL125/AE125</f>
        <v>0</v>
      </c>
      <c r="AR125" s="586">
        <f>AN125/AG125</f>
        <v>124.24144623275893</v>
      </c>
      <c r="AT125" s="599">
        <f>(AR125/AR118-1)*100</f>
        <v>5.3921472196806652</v>
      </c>
      <c r="AU125" s="563"/>
      <c r="BA125" s="603">
        <v>56.179000000000002</v>
      </c>
      <c r="BB125" s="584"/>
      <c r="BC125" s="611">
        <f>BA125/BA118-1</f>
        <v>0.27430476795354553</v>
      </c>
      <c r="BD125" s="584"/>
      <c r="BE125" s="584">
        <f>'qtrP&amp;L'!BS11-qtrSales!BA125</f>
        <v>495.98</v>
      </c>
      <c r="BF125" s="584"/>
      <c r="BG125" s="611">
        <f>BE125/BE118-1</f>
        <v>0.19645872533410547</v>
      </c>
    </row>
    <row r="126" spans="1:59" ht="12.75" hidden="1" customHeight="1" outlineLevel="1">
      <c r="A126" s="410" t="str">
        <f>$A$14</f>
        <v>3Q</v>
      </c>
      <c r="B126" s="562" t="str">
        <f>$B$14</f>
        <v>Oct</v>
      </c>
      <c r="D126" s="539">
        <f>(X126/X119-1)*100</f>
        <v>9.5517332895219234</v>
      </c>
      <c r="G126" s="601">
        <f>'qtrP&amp;L'!BU12</f>
        <v>6</v>
      </c>
      <c r="I126" s="539">
        <f>D126-G126</f>
        <v>3.5517332895219234</v>
      </c>
      <c r="K126" s="617">
        <f>K303+K480+K587+K730</f>
        <v>355</v>
      </c>
      <c r="L126" s="410">
        <f t="shared" si="3"/>
        <v>321</v>
      </c>
      <c r="M126" s="410">
        <f t="shared" si="3"/>
        <v>12</v>
      </c>
      <c r="N126" s="410">
        <f t="shared" si="3"/>
        <v>21</v>
      </c>
      <c r="P126" s="587">
        <f>AVERAGE(K126,K125)</f>
        <v>348.5</v>
      </c>
      <c r="R126" s="539">
        <f>(P126/P119-1)*100</f>
        <v>10.987261146496818</v>
      </c>
      <c r="S126" s="563"/>
      <c r="T126" s="595">
        <f>I126/R126*100</f>
        <v>32.325920374199526</v>
      </c>
      <c r="U126" s="416"/>
      <c r="X126" s="613">
        <f>+X303+X480+X587+X730</f>
        <v>433.42500000000001</v>
      </c>
      <c r="Z126" s="585">
        <f>X126/P126</f>
        <v>1.2436872309899569</v>
      </c>
      <c r="AB126" s="599">
        <f>(Z126/Z119-1)*100</f>
        <v>-1.2934167778769545</v>
      </c>
      <c r="AC126" s="563"/>
      <c r="AE126" s="608">
        <f>+AE303+AE480+AE587</f>
        <v>3.5963479999999999</v>
      </c>
      <c r="AF126" s="482"/>
      <c r="AG126" s="582">
        <f>AVERAGE(AE126,AE125)</f>
        <v>3.5375566666666671</v>
      </c>
      <c r="AI126" s="539">
        <f>(AG126/AG119-1)*100</f>
        <v>10.817748265371074</v>
      </c>
      <c r="AJ126" s="563"/>
      <c r="AK126" s="595">
        <f>+I126/AI126*100</f>
        <v>32.832463858411764</v>
      </c>
      <c r="AL126" s="416"/>
      <c r="AN126" s="584">
        <f>+X126</f>
        <v>433.42500000000001</v>
      </c>
      <c r="AP126" s="586">
        <f>AL126/AE126</f>
        <v>0</v>
      </c>
      <c r="AR126" s="586">
        <f>AN126/AG126</f>
        <v>122.52100555279678</v>
      </c>
      <c r="AT126" s="599">
        <f>(AR126/AR119-1)*100</f>
        <v>-1.1424297963693375</v>
      </c>
      <c r="AU126" s="563"/>
      <c r="BA126" s="603">
        <v>62.956000000000003</v>
      </c>
      <c r="BB126" s="584"/>
      <c r="BC126" s="611">
        <f>BA126/BA119-1</f>
        <v>0.30513920849140708</v>
      </c>
      <c r="BD126" s="584"/>
      <c r="BE126" s="584">
        <f>'qtrP&amp;L'!BS12-qtrSales!BA126</f>
        <v>510.63599999999997</v>
      </c>
      <c r="BF126" s="584"/>
      <c r="BG126" s="611">
        <f>BE126/BE119-1</f>
        <v>0.11574673941306157</v>
      </c>
    </row>
    <row r="127" spans="1:59" ht="12.75" hidden="1" customHeight="1" outlineLevel="1">
      <c r="A127" s="410" t="str">
        <f>$A$15</f>
        <v>4Q</v>
      </c>
      <c r="B127" s="562" t="str">
        <f>$B$15</f>
        <v>Jan</v>
      </c>
      <c r="D127" s="596">
        <f>(X127/X120-1)*100</f>
        <v>9.8540212114652803</v>
      </c>
      <c r="G127" s="604">
        <f>'qtrP&amp;L'!BU13</f>
        <v>4</v>
      </c>
      <c r="I127" s="596">
        <f>D127-G127</f>
        <v>5.8540212114652803</v>
      </c>
      <c r="K127" s="410">
        <f>yrSales!$R$26</f>
        <v>372</v>
      </c>
      <c r="L127" s="410">
        <f t="shared" si="3"/>
        <v>333</v>
      </c>
      <c r="M127" s="410">
        <f t="shared" si="3"/>
        <v>14</v>
      </c>
      <c r="N127" s="410">
        <f t="shared" si="3"/>
        <v>24</v>
      </c>
      <c r="P127" s="588">
        <f>AVERAGE(K127,K126)</f>
        <v>363.5</v>
      </c>
      <c r="R127" s="596">
        <f>(P127/P120-1)*100</f>
        <v>12.538699690402467</v>
      </c>
      <c r="S127" s="563"/>
      <c r="T127" s="598">
        <f>I127/R127*100</f>
        <v>46.687625958105848</v>
      </c>
      <c r="U127" s="416"/>
      <c r="X127" s="614">
        <f>+X304+X481+X588+X731</f>
        <v>497.39044599999983</v>
      </c>
      <c r="Z127" s="590">
        <f>X127/P127</f>
        <v>1.368336852819807</v>
      </c>
      <c r="AB127" s="597">
        <f>(Z127/Z120-1)*100</f>
        <v>-2.3855602440074675</v>
      </c>
      <c r="AC127" s="563"/>
      <c r="AE127" s="608">
        <f>+AE304+AE481+AE588</f>
        <v>3.7369199999999996</v>
      </c>
      <c r="AF127" s="482"/>
      <c r="AG127" s="591">
        <f>AVERAGE(AE127,AE126)</f>
        <v>3.6666339999999997</v>
      </c>
      <c r="AI127" s="596">
        <f>(AG127/AG120-1)*100</f>
        <v>10.876854230312215</v>
      </c>
      <c r="AJ127" s="563"/>
      <c r="AK127" s="598">
        <f>+I127/AI127*100</f>
        <v>53.8209034295134</v>
      </c>
      <c r="AL127" s="416"/>
      <c r="AN127" s="589">
        <f>+X127</f>
        <v>497.39044599999983</v>
      </c>
      <c r="AP127" s="592">
        <f>AL127/AE127</f>
        <v>0</v>
      </c>
      <c r="AR127" s="592">
        <f>AN127/AG127</f>
        <v>135.65314836441266</v>
      </c>
      <c r="AT127" s="597">
        <f>(AR127/AR120-1)*100</f>
        <v>-0.9224946233794884</v>
      </c>
      <c r="AU127" s="563"/>
      <c r="BA127" s="589">
        <f>BA128-(SUM(BA124:BA126))</f>
        <v>81.917000000000002</v>
      </c>
      <c r="BB127" s="610"/>
      <c r="BC127" s="615">
        <f>BA127/BA120-1</f>
        <v>0.38745956199928866</v>
      </c>
      <c r="BD127" s="610"/>
      <c r="BE127" s="589">
        <f>'qtrP&amp;L'!BS13-qtrSales!BA127</f>
        <v>586.47299999999996</v>
      </c>
      <c r="BF127" s="610"/>
      <c r="BG127" s="615">
        <f>BE127/BE120-1</f>
        <v>0.10769814827406443</v>
      </c>
    </row>
    <row r="128" spans="1:59" ht="12.75" hidden="1" customHeight="1" outlineLevel="1">
      <c r="B128" s="562" t="str">
        <f>$B$16</f>
        <v>Year</v>
      </c>
      <c r="D128" s="539">
        <f>(X128/X121-1)*100</f>
        <v>14.603555113464051</v>
      </c>
      <c r="G128" s="601">
        <f>G124*X124/X128+G125*X125/X128+G126*X126/X128+G127*X127/X128</f>
        <v>8.8081229678792727</v>
      </c>
      <c r="I128" s="539">
        <f>D128-G128</f>
        <v>5.7954321455847779</v>
      </c>
      <c r="P128" s="587">
        <f>AVERAGE(P124:P127)</f>
        <v>345.375</v>
      </c>
      <c r="R128" s="539">
        <f>(P128/P121-1)*100</f>
        <v>11.636363636363644</v>
      </c>
      <c r="S128" s="563"/>
      <c r="T128" s="595">
        <f>I128/R128*100</f>
        <v>49.80449500111915</v>
      </c>
      <c r="U128" s="416"/>
      <c r="X128" s="579">
        <f>SUM(X124:X127)</f>
        <v>1730.5068059999999</v>
      </c>
      <c r="Z128" s="580">
        <f>SUM(Z124:Z127)</f>
        <v>4.9993249103637361</v>
      </c>
      <c r="AB128" s="599">
        <f>(Z128/Z121-1)*100</f>
        <v>2.8038901695706331</v>
      </c>
      <c r="AC128" s="563"/>
      <c r="AG128" s="582">
        <f>AVERAGE(AG124:AG127)</f>
        <v>3.5090673333333338</v>
      </c>
      <c r="AI128" s="539">
        <f>(AG128/AG121-1)*100</f>
        <v>11.376952755632708</v>
      </c>
      <c r="AJ128" s="563"/>
      <c r="AK128" s="595">
        <f>+I128/AI128*100</f>
        <v>50.940109096572193</v>
      </c>
      <c r="AL128" s="416"/>
      <c r="AN128" s="579">
        <f>SUM(AN124:AN127)</f>
        <v>1730.5068059999999</v>
      </c>
      <c r="AP128" s="583" t="e">
        <f>SUM(AP124:AP127)</f>
        <v>#VALUE!</v>
      </c>
      <c r="AR128" s="583">
        <f>SUM(AR124:AR127)</f>
        <v>492.13222367477795</v>
      </c>
      <c r="AT128" s="599">
        <f>(AR128/AR121-1)*100</f>
        <v>3.0558005733292593</v>
      </c>
      <c r="AU128" s="563"/>
      <c r="BA128" s="602">
        <v>247.02799999999999</v>
      </c>
      <c r="BB128" s="579"/>
      <c r="BC128" s="611">
        <f>BA128/BA121-1</f>
        <v>0.33508441965540348</v>
      </c>
      <c r="BD128" s="579"/>
      <c r="BE128" s="579">
        <f>'qtrP&amp;L'!BS14-qtrSales!BA128</f>
        <v>2027.0739999999998</v>
      </c>
      <c r="BF128" s="579"/>
      <c r="BG128" s="611">
        <f>BE128/BE121-1</f>
        <v>0.15648621309948085</v>
      </c>
    </row>
    <row r="129" spans="1:59" ht="12.75" hidden="1" customHeight="1" outlineLevel="1" collapsed="1">
      <c r="A129" s="562"/>
      <c r="C129" s="539"/>
      <c r="F129" s="601"/>
      <c r="H129" s="539"/>
      <c r="P129" s="587"/>
      <c r="R129" s="539"/>
      <c r="S129" s="563"/>
      <c r="T129" s="595"/>
      <c r="U129" s="416"/>
      <c r="X129" s="579"/>
      <c r="Z129" s="580"/>
      <c r="AB129" s="599"/>
      <c r="AC129" s="563"/>
      <c r="AG129" s="582"/>
      <c r="AI129" s="539"/>
      <c r="AJ129" s="563"/>
      <c r="AK129" s="595"/>
      <c r="AL129" s="416"/>
      <c r="AN129" s="579"/>
      <c r="AP129" s="583"/>
      <c r="AR129" s="583"/>
      <c r="AT129" s="599"/>
      <c r="AU129" s="563"/>
      <c r="BA129" s="482">
        <f>BA128/(BA128+BE128)</f>
        <v>0.10862661393376374</v>
      </c>
      <c r="BC129" s="611"/>
      <c r="BE129" s="579"/>
      <c r="BG129" s="611"/>
    </row>
    <row r="130" spans="1:59" ht="12.75" hidden="1" customHeight="1" outlineLevel="1">
      <c r="A130" s="593"/>
      <c r="B130" s="431">
        <f>B123+1</f>
        <v>2011</v>
      </c>
      <c r="E130" s="563"/>
      <c r="F130" s="563"/>
      <c r="H130" s="563"/>
      <c r="J130" s="563"/>
      <c r="S130" s="563"/>
      <c r="T130" s="416"/>
      <c r="U130" s="416"/>
      <c r="X130" s="584"/>
      <c r="Z130" s="619" t="s">
        <v>639</v>
      </c>
      <c r="AA130" s="620"/>
      <c r="AB130" s="621"/>
      <c r="AC130" s="622"/>
      <c r="AJ130" s="563"/>
      <c r="AK130" s="416"/>
      <c r="AL130" s="416"/>
      <c r="AN130" s="619" t="s">
        <v>639</v>
      </c>
      <c r="AP130" s="619"/>
      <c r="AR130" s="619"/>
      <c r="AU130" s="563"/>
      <c r="BA130" s="421"/>
      <c r="BB130" s="421"/>
      <c r="BC130" s="612"/>
      <c r="BD130" s="421"/>
      <c r="BE130" s="421"/>
      <c r="BF130" s="421"/>
      <c r="BG130" s="612"/>
    </row>
    <row r="131" spans="1:59" ht="12.75" hidden="1" customHeight="1" outlineLevel="1">
      <c r="A131" s="410" t="str">
        <f>$A$12</f>
        <v>1Q</v>
      </c>
      <c r="B131" s="562" t="str">
        <f>$B$12</f>
        <v>Apr</v>
      </c>
      <c r="D131" s="539">
        <f>(X131/X124-1)*100</f>
        <v>4.7586210798577389</v>
      </c>
      <c r="E131" s="563" t="s">
        <v>208</v>
      </c>
      <c r="F131" s="601">
        <f>segSales!AU116</f>
        <v>-1</v>
      </c>
      <c r="G131" s="601">
        <f>(((X308/X131)*G308)+((X485/X131)*G485)+((X592/X131)*G592))</f>
        <v>-5.6704851752021552</v>
      </c>
      <c r="H131" s="563" t="s">
        <v>208</v>
      </c>
      <c r="I131" s="539">
        <f>D131-F131</f>
        <v>5.7586210798577389</v>
      </c>
      <c r="J131" s="563" t="s">
        <v>208</v>
      </c>
      <c r="K131" s="410">
        <f>K308+K485+K592+K735+K779</f>
        <v>382</v>
      </c>
      <c r="L131" s="410">
        <f t="shared" ref="L131:N134" si="4">L308+L485+L592</f>
        <v>343</v>
      </c>
      <c r="M131" s="410">
        <f t="shared" si="4"/>
        <v>14</v>
      </c>
      <c r="N131" s="410">
        <f t="shared" si="4"/>
        <v>24</v>
      </c>
      <c r="P131" s="587">
        <f>AVERAGE(K131,K127)</f>
        <v>377</v>
      </c>
      <c r="R131" s="539">
        <f>(P131/P124-1)*100</f>
        <v>13.897280966767367</v>
      </c>
      <c r="S131" s="563" t="s">
        <v>208</v>
      </c>
      <c r="T131" s="595">
        <f>I131/R131*100</f>
        <v>41.437034292019831</v>
      </c>
      <c r="U131" s="416" t="s">
        <v>208</v>
      </c>
      <c r="W131" s="579">
        <f>W308+W485+W592</f>
        <v>485.07</v>
      </c>
      <c r="X131" s="579">
        <f>+X308+X485+X592</f>
        <v>388.82209800000004</v>
      </c>
      <c r="Z131" s="580">
        <f>W131/P131</f>
        <v>1.2866578249336871</v>
      </c>
      <c r="AB131" s="599">
        <f>(Z131/Z124-1)*100</f>
        <v>14.743975658220299</v>
      </c>
      <c r="AC131" s="563" t="s">
        <v>208</v>
      </c>
      <c r="AE131" s="600">
        <f>+AE308+AE485+AE592</f>
        <v>3.7884133333333332</v>
      </c>
      <c r="AF131" s="482"/>
      <c r="AG131" s="582">
        <f>AVERAGE(AE131,AE127)</f>
        <v>3.7626666666666662</v>
      </c>
      <c r="AI131" s="539">
        <f>(AG131/AG124-1)*100</f>
        <v>11.226177959914029</v>
      </c>
      <c r="AJ131" s="563" t="s">
        <v>208</v>
      </c>
      <c r="AK131" s="595">
        <f>+I131/AI131*100</f>
        <v>51.296363735016357</v>
      </c>
      <c r="AL131" s="416" t="s">
        <v>208</v>
      </c>
      <c r="AN131" s="579">
        <f>+W131</f>
        <v>485.07</v>
      </c>
      <c r="AP131" s="583">
        <f>W131/AG131</f>
        <v>128.91654854712971</v>
      </c>
      <c r="AR131" s="583">
        <f>AN131/AG131</f>
        <v>128.91654854712971</v>
      </c>
      <c r="AT131" s="599">
        <f>(AR131/AR124-1)*100</f>
        <v>17.499558777415825</v>
      </c>
      <c r="AU131" s="563" t="s">
        <v>208</v>
      </c>
      <c r="AV131" s="579">
        <f>W131-X131</f>
        <v>96.247901999999954</v>
      </c>
      <c r="AW131" s="458"/>
      <c r="BA131" s="602">
        <v>57.167999999999999</v>
      </c>
      <c r="BB131" s="579"/>
      <c r="BC131" s="611">
        <f>BA131/BA124-1</f>
        <v>0.24343135548982087</v>
      </c>
      <c r="BD131" s="579"/>
      <c r="BE131" s="579">
        <f>'qtrP&amp;L'!BW10-qtrSales!BA131</f>
        <v>466.851</v>
      </c>
      <c r="BF131" s="579"/>
      <c r="BG131" s="611">
        <f>BE131/BE124-1</f>
        <v>7.5730728020553695E-2</v>
      </c>
    </row>
    <row r="132" spans="1:59" ht="12.75" hidden="1" customHeight="1" outlineLevel="1">
      <c r="A132" s="410" t="str">
        <f>$A$13</f>
        <v>2Q</v>
      </c>
      <c r="B132" s="562" t="str">
        <f>$B$13</f>
        <v>Jul</v>
      </c>
      <c r="D132" s="539">
        <f>(X132/X125-1)*100</f>
        <v>7.5949032061504385</v>
      </c>
      <c r="F132" s="601">
        <f>segSales!AU117</f>
        <v>1.2</v>
      </c>
      <c r="G132" s="601">
        <f>(((X309/X132)*G309)+((X486/X132)*G486)+((X593/X132)*G593))</f>
        <v>-1.8225600822656642</v>
      </c>
      <c r="I132" s="539">
        <f>D132-F132</f>
        <v>6.3949032061504383</v>
      </c>
      <c r="K132" s="410">
        <f>K309+K486+K593+K736+K780</f>
        <v>392</v>
      </c>
      <c r="L132" s="410">
        <f t="shared" si="4"/>
        <v>355</v>
      </c>
      <c r="M132" s="410">
        <f t="shared" si="4"/>
        <v>15</v>
      </c>
      <c r="N132" s="410">
        <f t="shared" si="4"/>
        <v>25</v>
      </c>
      <c r="P132" s="587">
        <f>AVERAGE(K132,K131)</f>
        <v>387</v>
      </c>
      <c r="R132" s="539">
        <f>(P132/P125-1)*100</f>
        <v>14.327917282127034</v>
      </c>
      <c r="S132" s="563"/>
      <c r="T132" s="595">
        <f>I132/R132*100</f>
        <v>44.632468768699439</v>
      </c>
      <c r="U132" s="416"/>
      <c r="W132" s="623">
        <f>W309+W486+W593</f>
        <v>571.62</v>
      </c>
      <c r="X132" s="584">
        <f>+X309+X486+X593</f>
        <v>461.07790200000005</v>
      </c>
      <c r="Z132" s="585">
        <f>W132/P132</f>
        <v>1.4770542635658914</v>
      </c>
      <c r="AB132" s="599">
        <f>(Z132/Z125-1)*100</f>
        <v>16.67357745231395</v>
      </c>
      <c r="AC132" s="563"/>
      <c r="AE132" s="600">
        <f>+AE309+AE486+AE593</f>
        <v>3.8623853333333336</v>
      </c>
      <c r="AF132" s="482"/>
      <c r="AG132" s="582">
        <f>AVERAGE(AE132,AE131)</f>
        <v>3.8253993333333334</v>
      </c>
      <c r="AI132" s="539">
        <f>(AG132/AG125-1)*100</f>
        <v>10.907436410526694</v>
      </c>
      <c r="AJ132" s="563"/>
      <c r="AK132" s="595">
        <f>+I132/AI132*100</f>
        <v>58.628837844782296</v>
      </c>
      <c r="AL132" s="416"/>
      <c r="AN132" s="584">
        <f>+W132</f>
        <v>571.62</v>
      </c>
      <c r="AP132" s="586">
        <f>W132/AG132</f>
        <v>149.42753688983058</v>
      </c>
      <c r="AR132" s="586">
        <f>AN132/AG132</f>
        <v>149.42753688983058</v>
      </c>
      <c r="AT132" s="599">
        <f>(AR132/AR125-1)*100</f>
        <v>20.271891080442671</v>
      </c>
      <c r="AU132" s="563"/>
      <c r="AV132" s="623">
        <f>W132-X132</f>
        <v>110.54209799999995</v>
      </c>
      <c r="AW132" s="458"/>
      <c r="BA132" s="603">
        <v>74.126000000000005</v>
      </c>
      <c r="BB132" s="584"/>
      <c r="BC132" s="611">
        <f>BA132/BA125-1</f>
        <v>0.31946100856191828</v>
      </c>
      <c r="BD132" s="584"/>
      <c r="BE132" s="584">
        <f>'qtrP&amp;L'!BW11-qtrSales!BA132</f>
        <v>535.05500000000006</v>
      </c>
      <c r="BF132" s="584"/>
      <c r="BG132" s="611">
        <f>BE132/BE125-1</f>
        <v>7.8783418686237505E-2</v>
      </c>
    </row>
    <row r="133" spans="1:59" ht="12.75" hidden="1" customHeight="1" outlineLevel="1">
      <c r="A133" s="410" t="str">
        <f>$A$14</f>
        <v>3Q</v>
      </c>
      <c r="B133" s="562" t="str">
        <f>$B$14</f>
        <v>Oct</v>
      </c>
      <c r="D133" s="539">
        <f>(X133/X126-1)*100</f>
        <v>2.7311943242775749</v>
      </c>
      <c r="F133" s="601">
        <f>segSales!AU118</f>
        <v>-3</v>
      </c>
      <c r="G133" s="601">
        <f>(((X310/X133)*G310)+((X487/X133)*G487)+((X594/X133)*G594))</f>
        <v>-6.8758379028663228</v>
      </c>
      <c r="I133" s="539">
        <f>D133-F133</f>
        <v>5.7311943242775749</v>
      </c>
      <c r="K133" s="410">
        <f>K310+K487+K594+K737+K781</f>
        <v>408</v>
      </c>
      <c r="L133" s="410">
        <f t="shared" si="4"/>
        <v>364</v>
      </c>
      <c r="M133" s="410">
        <f t="shared" si="4"/>
        <v>15</v>
      </c>
      <c r="N133" s="410">
        <f t="shared" si="4"/>
        <v>27</v>
      </c>
      <c r="P133" s="587">
        <f>AVERAGE(K133,K132)</f>
        <v>400</v>
      </c>
      <c r="R133" s="539">
        <f>(P133/P126-1)*100</f>
        <v>14.777618364418931</v>
      </c>
      <c r="S133" s="563"/>
      <c r="T133" s="595">
        <f>I133/R133*100</f>
        <v>38.782936349723023</v>
      </c>
      <c r="U133" s="416"/>
      <c r="W133" s="623">
        <f>W310+W487+W594</f>
        <v>566.37200000000007</v>
      </c>
      <c r="X133" s="584">
        <f>+X310+X487+X594</f>
        <v>445.26267900000011</v>
      </c>
      <c r="Z133" s="585">
        <f>W133/P133</f>
        <v>1.4159300000000001</v>
      </c>
      <c r="AB133" s="599">
        <f>(Z133/Z126-1)*100</f>
        <v>13.849363788429381</v>
      </c>
      <c r="AC133" s="563"/>
      <c r="AE133" s="600">
        <f>+AE310+AE487+AE594</f>
        <v>3.9591493333333334</v>
      </c>
      <c r="AF133" s="482"/>
      <c r="AG133" s="582">
        <f>AVERAGE(AE133,AE132)</f>
        <v>3.9107673333333333</v>
      </c>
      <c r="AI133" s="539">
        <f>(AG133/AG126-1)*100</f>
        <v>10.549955854652971</v>
      </c>
      <c r="AJ133" s="563"/>
      <c r="AK133" s="595">
        <f>+I133/AI133*100</f>
        <v>54.324344132206761</v>
      </c>
      <c r="AL133" s="416"/>
      <c r="AN133" s="584">
        <f>+W133</f>
        <v>566.37200000000007</v>
      </c>
      <c r="AP133" s="586">
        <f>W133/AG133</f>
        <v>144.82375240596434</v>
      </c>
      <c r="AR133" s="586">
        <f>AN133/AG133</f>
        <v>144.82375240596434</v>
      </c>
      <c r="AT133" s="599">
        <f>(AR133/AR126-1)*100</f>
        <v>18.203202587622293</v>
      </c>
      <c r="AU133" s="563"/>
      <c r="AV133" s="623">
        <f>W133-X133</f>
        <v>121.10932099999997</v>
      </c>
      <c r="AW133" s="458"/>
      <c r="BA133" s="603">
        <v>73.016000000000005</v>
      </c>
      <c r="BB133" s="584"/>
      <c r="BC133" s="611">
        <f>BA133/BA126-1</f>
        <v>0.15979414194040276</v>
      </c>
      <c r="BD133" s="584"/>
      <c r="BE133" s="584">
        <f>'qtrP&amp;L'!BW12-BA133</f>
        <v>536.93700000000001</v>
      </c>
      <c r="BF133" s="584"/>
      <c r="BG133" s="611">
        <f>BE133/BE126-1</f>
        <v>5.15063567786056E-2</v>
      </c>
    </row>
    <row r="134" spans="1:59" ht="12.75" hidden="1" customHeight="1" outlineLevel="1">
      <c r="A134" s="410" t="str">
        <f>$A$15</f>
        <v>4Q</v>
      </c>
      <c r="B134" s="562" t="str">
        <f>$B$15</f>
        <v>Jan</v>
      </c>
      <c r="D134" s="596">
        <f>(X134/X127-1)*100</f>
        <v>6.1597910145624324</v>
      </c>
      <c r="F134" s="604">
        <f>segSales!AU119</f>
        <v>2</v>
      </c>
      <c r="G134" s="604">
        <f>(((X311/X134)*G311)+((X488/X134)*G488)+((X595/X134)*G595))</f>
        <v>-0.97434146083790751</v>
      </c>
      <c r="I134" s="596">
        <f>D134-F134</f>
        <v>4.1597910145624324</v>
      </c>
      <c r="K134" s="410">
        <f>yrSales!$S$26</f>
        <v>429</v>
      </c>
      <c r="L134" s="410">
        <f t="shared" si="4"/>
        <v>379</v>
      </c>
      <c r="M134" s="410">
        <f t="shared" si="4"/>
        <v>15</v>
      </c>
      <c r="N134" s="410">
        <f t="shared" si="4"/>
        <v>33</v>
      </c>
      <c r="P134" s="588">
        <f>AVERAGE(K134,K133)</f>
        <v>418.5</v>
      </c>
      <c r="R134" s="596">
        <f>(P134/P127-1)*100</f>
        <v>15.130674002751032</v>
      </c>
      <c r="S134" s="563"/>
      <c r="T134" s="598">
        <f>I134/R134*100</f>
        <v>27.492436978062617</v>
      </c>
      <c r="U134" s="416"/>
      <c r="W134" s="624">
        <f>W311+W488+W595</f>
        <v>694.16099999999994</v>
      </c>
      <c r="X134" s="589">
        <f>+X311+X488+X595</f>
        <v>528.02865799999984</v>
      </c>
      <c r="Z134" s="590">
        <f>W134/P134</f>
        <v>1.6586881720430107</v>
      </c>
      <c r="AB134" s="597">
        <f>(Z134/Z127-1)*100</f>
        <v>21.219286656268931</v>
      </c>
      <c r="AC134" s="563"/>
      <c r="AE134" s="600">
        <f>+AE311+AE488+AE595</f>
        <v>4.0914159999999997</v>
      </c>
      <c r="AF134" s="482"/>
      <c r="AG134" s="591">
        <f>AVERAGE(AE134,AE133)</f>
        <v>4.0252826666666666</v>
      </c>
      <c r="AI134" s="596">
        <f>(AG134/AG127-1)*100</f>
        <v>9.7814144162375207</v>
      </c>
      <c r="AJ134" s="563"/>
      <c r="AK134" s="598">
        <f>+I134/AI134*100</f>
        <v>42.527499986679032</v>
      </c>
      <c r="AL134" s="416"/>
      <c r="AN134" s="589">
        <f>+W134</f>
        <v>694.16099999999994</v>
      </c>
      <c r="AP134" s="592">
        <f>W134/AG134</f>
        <v>172.45024945660131</v>
      </c>
      <c r="AR134" s="592">
        <f>AN134/AG134</f>
        <v>172.45024945660131</v>
      </c>
      <c r="AT134" s="597">
        <f>(AR134/AR127-1)*100</f>
        <v>27.125873255325072</v>
      </c>
      <c r="AU134" s="563"/>
      <c r="AV134" s="624">
        <f>W134-X134</f>
        <v>166.13234200000011</v>
      </c>
      <c r="AW134" s="625"/>
      <c r="BA134" s="589">
        <f>BA135-(SUM(BA131:BA133))</f>
        <v>99.514999999999986</v>
      </c>
      <c r="BB134" s="610"/>
      <c r="BC134" s="615">
        <f>BA134/BA127-1</f>
        <v>0.21482720314464632</v>
      </c>
      <c r="BD134" s="610"/>
      <c r="BE134" s="415"/>
      <c r="BF134" s="610"/>
      <c r="BG134" s="415"/>
    </row>
    <row r="135" spans="1:59" ht="12.75" hidden="1" customHeight="1" outlineLevel="1">
      <c r="B135" s="562" t="str">
        <f>$B$16</f>
        <v>Year</v>
      </c>
      <c r="D135" s="539">
        <f>(X135/X128-1)*100</f>
        <v>5.3559183170297509</v>
      </c>
      <c r="F135" s="601">
        <f>segSales!AU120</f>
        <v>0</v>
      </c>
      <c r="G135" s="601">
        <f>(((X312/X135)*G312)+((X489/X135)*G489)+((X596/X135)*G596))</f>
        <v>-3.6316464466066076</v>
      </c>
      <c r="I135" s="539">
        <f>D135-F135</f>
        <v>5.3559183170297509</v>
      </c>
      <c r="P135" s="587">
        <f>AVERAGE(P131:P134)</f>
        <v>395.625</v>
      </c>
      <c r="R135" s="539">
        <f>(P135/P128-1)*100</f>
        <v>14.549402823018465</v>
      </c>
      <c r="S135" s="563"/>
      <c r="T135" s="595">
        <f>I135/R135*100</f>
        <v>36.811946044659685</v>
      </c>
      <c r="U135" s="416"/>
      <c r="W135" s="579">
        <f>SUM(W131:W134)</f>
        <v>2317.223</v>
      </c>
      <c r="X135" s="579">
        <f>SUM(X131:X134)</f>
        <v>1823.1913370000002</v>
      </c>
      <c r="Z135" s="580">
        <f>W135/P135</f>
        <v>5.8571197472353873</v>
      </c>
      <c r="AB135" s="599">
        <f>(Z135/Z128-1)*100</f>
        <v>17.158213403842183</v>
      </c>
      <c r="AC135" s="563"/>
      <c r="AG135" s="582">
        <f>AVERAGE(AG131:AG134)</f>
        <v>3.8810289999999998</v>
      </c>
      <c r="AI135" s="539">
        <f>(AG135/AG128-1)*100</f>
        <v>10.600015084730007</v>
      </c>
      <c r="AJ135" s="563"/>
      <c r="AK135" s="595">
        <f>+I135/AI135*100</f>
        <v>50.527459387725685</v>
      </c>
      <c r="AL135" s="416"/>
      <c r="AN135" s="579">
        <f>+W135</f>
        <v>2317.223</v>
      </c>
      <c r="AP135" s="583">
        <f>SUM(AP131:AP134)</f>
        <v>595.618087299526</v>
      </c>
      <c r="AR135" s="583">
        <f>SUM(AR131:AR134)</f>
        <v>595.618087299526</v>
      </c>
      <c r="AT135" s="599">
        <f>(AR135/AR128-1)*100</f>
        <v>21.028060884128564</v>
      </c>
      <c r="AU135" s="563"/>
      <c r="AV135" s="579">
        <f>SUM(AV131:AV134)</f>
        <v>494.03166299999998</v>
      </c>
      <c r="AW135" s="458"/>
      <c r="BA135" s="602">
        <v>303.82499999999999</v>
      </c>
      <c r="BB135" s="579"/>
      <c r="BC135" s="611">
        <f>BA135/BA128-1</f>
        <v>0.22992130446750969</v>
      </c>
      <c r="BD135" s="579"/>
      <c r="BF135" s="579"/>
    </row>
    <row r="136" spans="1:59" ht="12.75" hidden="1" customHeight="1" outlineLevel="1">
      <c r="B136" s="562"/>
      <c r="D136" s="539"/>
      <c r="G136" s="601"/>
      <c r="I136" s="539"/>
      <c r="P136" s="587"/>
      <c r="R136" s="539"/>
      <c r="S136" s="563"/>
      <c r="T136" s="595"/>
      <c r="U136" s="416"/>
      <c r="W136" s="579"/>
      <c r="X136" s="579"/>
      <c r="Z136" s="580"/>
      <c r="AB136" s="599"/>
      <c r="AC136" s="563"/>
      <c r="AG136" s="582"/>
      <c r="AI136" s="539"/>
      <c r="AJ136" s="563"/>
      <c r="AK136" s="595"/>
      <c r="AL136" s="416"/>
      <c r="AN136" s="579"/>
      <c r="AP136" s="583"/>
      <c r="AR136" s="583"/>
      <c r="AT136" s="599"/>
      <c r="AU136" s="563"/>
      <c r="AW136" s="602"/>
      <c r="AX136" s="579"/>
      <c r="AY136" s="611"/>
    </row>
    <row r="137" spans="1:59" ht="12.75" hidden="1" customHeight="1" outlineLevel="1">
      <c r="B137" s="431">
        <f>B130+1</f>
        <v>2012</v>
      </c>
      <c r="D137" s="539"/>
      <c r="G137" s="601"/>
      <c r="I137" s="539"/>
      <c r="P137" s="587"/>
      <c r="R137" s="539"/>
      <c r="S137" s="563"/>
      <c r="T137" s="595"/>
      <c r="U137" s="416"/>
      <c r="W137" s="579"/>
      <c r="X137" s="579"/>
      <c r="Z137" s="580"/>
      <c r="AB137" s="599"/>
      <c r="AC137" s="563"/>
      <c r="AG137" s="582"/>
      <c r="AI137" s="539"/>
      <c r="AJ137" s="563"/>
      <c r="AK137" s="595"/>
      <c r="AL137" s="416"/>
      <c r="AN137" s="579"/>
      <c r="AP137" s="583"/>
      <c r="AR137" s="583"/>
      <c r="AT137" s="599"/>
      <c r="AU137" s="563"/>
      <c r="AW137" s="602"/>
      <c r="AX137" s="579"/>
      <c r="AY137" s="611"/>
    </row>
    <row r="138" spans="1:59" ht="12.75" hidden="1" customHeight="1" outlineLevel="1">
      <c r="A138" s="410" t="str">
        <f>$A$12</f>
        <v>1Q</v>
      </c>
      <c r="B138" s="562" t="str">
        <f>$B$12</f>
        <v>Apr</v>
      </c>
      <c r="D138" s="539">
        <f>(W138/W131-1)*100</f>
        <v>9.6740676603376698</v>
      </c>
      <c r="E138" s="563" t="s">
        <v>208</v>
      </c>
      <c r="F138" s="601">
        <f>segSales!AU123</f>
        <v>2</v>
      </c>
      <c r="G138" s="601">
        <f>(((X315/X138)*G315)+((X492/X138)*G492)+((X599/X138)*G599))</f>
        <v>-1.7058823529411762</v>
      </c>
      <c r="H138" s="563" t="s">
        <v>208</v>
      </c>
      <c r="I138" s="539">
        <f>D138-F138</f>
        <v>7.6740676603376698</v>
      </c>
      <c r="J138" s="563" t="s">
        <v>208</v>
      </c>
      <c r="K138" s="410">
        <f>K315+K492+K599+K742+K786</f>
        <v>443</v>
      </c>
      <c r="L138" s="410">
        <f t="shared" ref="L138:N141" si="5">L315+L492+L599</f>
        <v>388</v>
      </c>
      <c r="M138" s="410">
        <f t="shared" si="5"/>
        <v>17</v>
      </c>
      <c r="N138" s="410">
        <f t="shared" si="5"/>
        <v>35</v>
      </c>
      <c r="P138" s="587">
        <f>AVERAGE(K138,K134)</f>
        <v>436</v>
      </c>
      <c r="R138" s="539">
        <f>(P138/P131-1)*100</f>
        <v>15.649867374005311</v>
      </c>
      <c r="S138" s="563" t="s">
        <v>208</v>
      </c>
      <c r="T138" s="595">
        <f>I138/R138*100</f>
        <v>49.035991660123734</v>
      </c>
      <c r="U138" s="416" t="s">
        <v>208</v>
      </c>
      <c r="W138" s="579">
        <f>W315+W492+W599</f>
        <v>531.99599999999998</v>
      </c>
      <c r="X138" s="579">
        <f>+X315+X492+X599</f>
        <v>415.88783000000001</v>
      </c>
      <c r="Z138" s="580">
        <f>W138/P138</f>
        <v>1.2201743119266055</v>
      </c>
      <c r="AB138" s="599">
        <f>(Z138/Z131-1)*100</f>
        <v>-5.1671479175520503</v>
      </c>
      <c r="AC138" s="563" t="s">
        <v>208</v>
      </c>
      <c r="AE138" s="600">
        <f>+AE315+AE492+AE599</f>
        <v>4.1847573333333337</v>
      </c>
      <c r="AF138" s="482"/>
      <c r="AG138" s="582">
        <f>AVERAGE(AE138,AE134)</f>
        <v>4.1380866666666662</v>
      </c>
      <c r="AI138" s="539">
        <f>(AG138/AG131-1)*100</f>
        <v>9.9774982282069491</v>
      </c>
      <c r="AJ138" s="563" t="s">
        <v>208</v>
      </c>
      <c r="AK138" s="595">
        <f>+I138/AI138*100</f>
        <v>76.913746159760251</v>
      </c>
      <c r="AL138" s="416" t="s">
        <v>208</v>
      </c>
      <c r="AN138" s="579">
        <f>+W138</f>
        <v>531.99599999999998</v>
      </c>
      <c r="AP138" s="583">
        <f>W138/AG138</f>
        <v>128.56086468303388</v>
      </c>
      <c r="AR138" s="583">
        <f>AN138/AG138</f>
        <v>128.56086468303388</v>
      </c>
      <c r="AT138" s="599">
        <f>(AP138/AP131-1)*100</f>
        <v>-0.27590240981807401</v>
      </c>
      <c r="AU138" s="563" t="s">
        <v>208</v>
      </c>
      <c r="AV138" s="579">
        <f>W138-X138</f>
        <v>116.10816999999997</v>
      </c>
      <c r="AW138" s="458">
        <f>AV138/AV131-1</f>
        <v>0.20634494453707708</v>
      </c>
      <c r="AX138" s="579"/>
      <c r="AY138" s="611"/>
      <c r="BA138" s="579"/>
      <c r="BC138" s="611"/>
    </row>
    <row r="139" spans="1:59" ht="12.75" hidden="1" customHeight="1" outlineLevel="1">
      <c r="A139" s="410" t="str">
        <f>$A$13</f>
        <v>2Q</v>
      </c>
      <c r="B139" s="562" t="str">
        <f>$B$13</f>
        <v>Jul</v>
      </c>
      <c r="D139" s="539">
        <f>(W139/W132-1)*100</f>
        <v>10.04198593471186</v>
      </c>
      <c r="F139" s="601">
        <f>segSales!AU124</f>
        <v>4</v>
      </c>
      <c r="G139" s="601">
        <f>(((X316/X139)*G316)+((X493/X139)*G493)+((X600/X139)*G600))</f>
        <v>-1.32421340629275</v>
      </c>
      <c r="I139" s="539">
        <f>D139-F139</f>
        <v>6.0419859347118603</v>
      </c>
      <c r="K139" s="410">
        <f>K316+K493+K600+K743+K787</f>
        <v>457</v>
      </c>
      <c r="L139" s="410">
        <f t="shared" si="5"/>
        <v>397</v>
      </c>
      <c r="M139" s="410">
        <f t="shared" si="5"/>
        <v>18</v>
      </c>
      <c r="N139" s="410">
        <f t="shared" si="5"/>
        <v>37</v>
      </c>
      <c r="P139" s="587">
        <f>AVERAGE(K139,K138)</f>
        <v>450</v>
      </c>
      <c r="R139" s="539">
        <f>(P139/P132-1)*100</f>
        <v>16.279069767441868</v>
      </c>
      <c r="S139" s="563"/>
      <c r="T139" s="595">
        <f>I139/R139*100</f>
        <v>37.115056456087125</v>
      </c>
      <c r="U139" s="416"/>
      <c r="W139" s="623">
        <f>W316+W493+W600</f>
        <v>629.02199999999993</v>
      </c>
      <c r="X139" s="579">
        <f>+X316+X493+X600</f>
        <v>494.35263900000001</v>
      </c>
      <c r="Z139" s="585">
        <f>W139/P139</f>
        <v>1.3978266666666666</v>
      </c>
      <c r="AB139" s="599">
        <f>(Z139/Z132-1)*100</f>
        <v>-5.3638920961477936</v>
      </c>
      <c r="AC139" s="563"/>
      <c r="AE139" s="600">
        <f>+AE316+AE493+AE600</f>
        <v>4.2072933333333333</v>
      </c>
      <c r="AF139" s="482"/>
      <c r="AG139" s="582">
        <f>AVERAGE(AE139,AE138)</f>
        <v>4.1960253333333331</v>
      </c>
      <c r="AI139" s="539">
        <f>(AG139/AG132-1)*100</f>
        <v>9.6885571336430267</v>
      </c>
      <c r="AJ139" s="563"/>
      <c r="AK139" s="595">
        <f>+I139/AI139*100</f>
        <v>62.362081901043531</v>
      </c>
      <c r="AL139" s="416"/>
      <c r="AN139" s="584">
        <f>+W139</f>
        <v>629.02199999999993</v>
      </c>
      <c r="AP139" s="586">
        <f>W139/AG139</f>
        <v>149.90900912895663</v>
      </c>
      <c r="AR139" s="586">
        <f>AN139/AG139</f>
        <v>149.90900912895663</v>
      </c>
      <c r="AT139" s="599">
        <f t="shared" ref="AT139:AT141" si="6">(AP139/AP132-1)*100</f>
        <v>0.32221118620259226</v>
      </c>
      <c r="AU139" s="563"/>
      <c r="AV139" s="623">
        <f>W139-X139</f>
        <v>134.66936099999992</v>
      </c>
      <c r="AW139" s="458">
        <f>AV139/AV132-1</f>
        <v>0.21826311818326438</v>
      </c>
      <c r="AX139" s="610"/>
      <c r="AY139" s="517"/>
      <c r="AZ139" s="416"/>
      <c r="BA139" s="416"/>
      <c r="BB139" s="416"/>
      <c r="BC139" s="416"/>
      <c r="BD139" s="416"/>
      <c r="BF139" s="416"/>
    </row>
    <row r="140" spans="1:59" ht="12.75" hidden="1" customHeight="1" outlineLevel="1">
      <c r="A140" s="410" t="str">
        <f>$A$14</f>
        <v>3Q</v>
      </c>
      <c r="B140" s="562" t="str">
        <f>$B$14</f>
        <v>Oct</v>
      </c>
      <c r="D140" s="539">
        <f>(W140/W133-1)*100</f>
        <v>13.835959404772824</v>
      </c>
      <c r="F140" s="601">
        <f>segSales!AU125</f>
        <v>8</v>
      </c>
      <c r="G140" s="601">
        <f>(((X317/X140)*G317)+((X494/X140)*G494)+((X601/X140)*G601))</f>
        <v>-0.14167336389289392</v>
      </c>
      <c r="I140" s="539">
        <f>D140-F140</f>
        <v>5.835959404772824</v>
      </c>
      <c r="K140" s="410">
        <f>K317+K494+K601+K744+K788</f>
        <v>467</v>
      </c>
      <c r="L140" s="410">
        <f t="shared" si="5"/>
        <v>405</v>
      </c>
      <c r="M140" s="410">
        <f t="shared" si="5"/>
        <v>21</v>
      </c>
      <c r="N140" s="410">
        <f t="shared" si="5"/>
        <v>37</v>
      </c>
      <c r="P140" s="587">
        <f>AVERAGE(K140,K139)</f>
        <v>462</v>
      </c>
      <c r="R140" s="539">
        <f>(P140/P133-1)*100</f>
        <v>15.500000000000004</v>
      </c>
      <c r="S140" s="563"/>
      <c r="T140" s="595">
        <f>I140/R140*100</f>
        <v>37.65135099853434</v>
      </c>
      <c r="U140" s="416"/>
      <c r="W140" s="623">
        <f>W317+W494+W601</f>
        <v>644.73500000000001</v>
      </c>
      <c r="X140" s="579">
        <f>+X317+X494+X601</f>
        <v>503.53861551931141</v>
      </c>
      <c r="Z140" s="585">
        <f>W140/P140</f>
        <v>1.395530303030303</v>
      </c>
      <c r="AB140" s="599">
        <f>(Z140/Z133-1)*100</f>
        <v>-1.4407277880754799</v>
      </c>
      <c r="AC140" s="563"/>
      <c r="AE140" s="600">
        <f>+AE317+AE494+AE601</f>
        <v>4.2983599200000011</v>
      </c>
      <c r="AF140" s="482"/>
      <c r="AG140" s="582">
        <f>AVERAGE(AE140,AE139)</f>
        <v>4.2528266266666677</v>
      </c>
      <c r="AI140" s="539">
        <f>(AG140/AG133-1)*100</f>
        <v>8.7466030110715067</v>
      </c>
      <c r="AJ140" s="563"/>
      <c r="AK140" s="595">
        <f>+I140/AI140*100</f>
        <v>66.722582440127084</v>
      </c>
      <c r="AL140" s="416"/>
      <c r="AN140" s="584">
        <f>+W140</f>
        <v>644.73500000000001</v>
      </c>
      <c r="AP140" s="586">
        <f>W140/AG140</f>
        <v>151.60152449133301</v>
      </c>
      <c r="AR140" s="586">
        <f>AN140/AG140</f>
        <v>151.60152449133301</v>
      </c>
      <c r="AT140" s="599">
        <f t="shared" si="6"/>
        <v>4.6800141363341208</v>
      </c>
      <c r="AU140" s="563"/>
      <c r="AV140" s="623">
        <f>W140-X140</f>
        <v>141.19638448068861</v>
      </c>
      <c r="AW140" s="458">
        <f>AV140/AV133-1</f>
        <v>0.1658589389720766</v>
      </c>
      <c r="AX140" s="610"/>
      <c r="AY140" s="517"/>
      <c r="AZ140" s="416"/>
      <c r="BA140" s="416"/>
      <c r="BB140" s="416"/>
      <c r="BC140" s="416"/>
      <c r="BD140" s="416"/>
      <c r="BF140" s="416"/>
    </row>
    <row r="141" spans="1:59" ht="12.75" hidden="1" customHeight="1" outlineLevel="1">
      <c r="A141" s="410" t="str">
        <f>$A$15</f>
        <v>4Q</v>
      </c>
      <c r="B141" s="562" t="str">
        <f>$B$15</f>
        <v>Jan</v>
      </c>
      <c r="D141" s="596">
        <f>(W141/W134-1)*100</f>
        <v>16.583616769020448</v>
      </c>
      <c r="F141" s="604">
        <f>segSales!AU126</f>
        <v>11</v>
      </c>
      <c r="G141" s="604">
        <f>(((X318/X141)*G318)+((X495/X141)*G495)+((X602/X141)*G602))</f>
        <v>4.2440135324303032</v>
      </c>
      <c r="I141" s="596">
        <f>D141-F141</f>
        <v>5.5836167690204483</v>
      </c>
      <c r="K141" s="410">
        <f>K318+K495+K602+K745+K789</f>
        <v>476</v>
      </c>
      <c r="L141" s="410">
        <f t="shared" si="5"/>
        <v>411</v>
      </c>
      <c r="M141" s="410">
        <f t="shared" si="5"/>
        <v>23</v>
      </c>
      <c r="N141" s="410">
        <f t="shared" si="5"/>
        <v>38</v>
      </c>
      <c r="P141" s="588">
        <f>AVERAGE(K141,K140)</f>
        <v>471.5</v>
      </c>
      <c r="R141" s="596">
        <f>(P141/P134-1)*100</f>
        <v>12.664277180406213</v>
      </c>
      <c r="S141" s="563"/>
      <c r="T141" s="598">
        <f>I141/R141*100</f>
        <v>44.089502223302972</v>
      </c>
      <c r="U141" s="416"/>
      <c r="W141" s="624">
        <f>W318+W495+W602</f>
        <v>809.27800000000002</v>
      </c>
      <c r="X141" s="626">
        <f>+X318+X495+X602</f>
        <v>632.81426322318362</v>
      </c>
      <c r="Z141" s="590">
        <f>W141/P141</f>
        <v>1.716390243902439</v>
      </c>
      <c r="AB141" s="597">
        <f>(Z141/Z134-1)*100</f>
        <v>3.478777556383994</v>
      </c>
      <c r="AC141" s="563"/>
      <c r="AE141" s="600">
        <f>+AE318+AE495+AE602</f>
        <v>4.3885186266666674</v>
      </c>
      <c r="AF141" s="482"/>
      <c r="AG141" s="591">
        <f>AVERAGE(AE141,AE140)</f>
        <v>4.3434392733333347</v>
      </c>
      <c r="AI141" s="596">
        <f>(AG141/AG134-1)*100</f>
        <v>7.9039568898184642</v>
      </c>
      <c r="AJ141" s="563"/>
      <c r="AK141" s="598">
        <f>+I141/AI141*100</f>
        <v>70.643310013659388</v>
      </c>
      <c r="AL141" s="416"/>
      <c r="AN141" s="589">
        <f>+W141</f>
        <v>809.27800000000002</v>
      </c>
      <c r="AP141" s="592">
        <f>W141/AG141</f>
        <v>186.32193270631976</v>
      </c>
      <c r="AR141" s="592">
        <f>AN141/AG141</f>
        <v>186.32193270631976</v>
      </c>
      <c r="AT141" s="597">
        <f t="shared" si="6"/>
        <v>8.0438754327284201</v>
      </c>
      <c r="AU141" s="563"/>
      <c r="AV141" s="624">
        <f>W141-X141</f>
        <v>176.4637367768164</v>
      </c>
      <c r="AW141" s="625">
        <f>AV141/AV134-1</f>
        <v>6.2187739319393254E-2</v>
      </c>
      <c r="AX141" s="610"/>
      <c r="AY141" s="627" t="s">
        <v>94</v>
      </c>
      <c r="AZ141" s="416"/>
      <c r="BA141" s="416"/>
      <c r="BB141" s="416"/>
      <c r="BC141" s="416"/>
      <c r="BD141" s="416"/>
      <c r="BF141" s="416"/>
    </row>
    <row r="142" spans="1:59" ht="12.75" hidden="1" customHeight="1" outlineLevel="1">
      <c r="B142" s="562" t="str">
        <f>$B$16</f>
        <v>Year</v>
      </c>
      <c r="D142" s="539">
        <f>(W142/W135-1)*100</f>
        <v>12.851935269069914</v>
      </c>
      <c r="F142" s="601">
        <f>segSales!AU127</f>
        <v>7</v>
      </c>
      <c r="G142" s="601">
        <f>(((X319/X142)*G319)+((X496/X142)*G496)+((X603/X142)*G603))</f>
        <v>0.61089331034062366</v>
      </c>
      <c r="I142" s="539">
        <f>D142-F142</f>
        <v>5.851935269069914</v>
      </c>
      <c r="P142" s="587">
        <f>AVERAGE(P138:P141)</f>
        <v>454.875</v>
      </c>
      <c r="R142" s="539">
        <f>(P142/P135-1)*100</f>
        <v>14.976303317535544</v>
      </c>
      <c r="S142" s="563"/>
      <c r="T142" s="595">
        <f>I142/R142*100</f>
        <v>39.074631068789614</v>
      </c>
      <c r="U142" s="416"/>
      <c r="W142" s="579">
        <f>SUM(W138:W141)</f>
        <v>2615.0309999999999</v>
      </c>
      <c r="X142" s="579">
        <f>SUM(X138:X141)</f>
        <v>2046.5933477424951</v>
      </c>
      <c r="Z142" s="580">
        <f>W142/P142</f>
        <v>5.7489002473206927</v>
      </c>
      <c r="AB142" s="599">
        <f>(Z142/Z135-1)*100</f>
        <v>-1.8476572886489961</v>
      </c>
      <c r="AC142" s="563"/>
      <c r="AG142" s="582">
        <f>AVERAGE(AG138:AG141)</f>
        <v>4.2325944750000009</v>
      </c>
      <c r="AI142" s="539">
        <f>(AG142/AG135-1)*100</f>
        <v>9.0585634634526393</v>
      </c>
      <c r="AJ142" s="563"/>
      <c r="AK142" s="595">
        <f>+I142/AI142*100</f>
        <v>64.60114004477559</v>
      </c>
      <c r="AL142" s="416"/>
      <c r="AN142" s="579">
        <f>+W142</f>
        <v>2615.0309999999999</v>
      </c>
      <c r="AP142" s="583">
        <f>SUM(AP138:AP141)</f>
        <v>616.39333100964325</v>
      </c>
      <c r="AR142" s="583">
        <f>SUM(AR138:AR141)</f>
        <v>616.39333100964325</v>
      </c>
      <c r="AT142" s="599">
        <f>(AP142/AP135-1)*100</f>
        <v>3.4880142415268489</v>
      </c>
      <c r="AU142" s="563"/>
      <c r="AV142" s="579">
        <f>SUM(AV138:AV141)</f>
        <v>568.43765225750485</v>
      </c>
      <c r="AW142" s="458">
        <f>AV142/AV135-1</f>
        <v>0.15060975809865229</v>
      </c>
      <c r="AX142" s="628"/>
      <c r="AY142" s="629">
        <f>segSales!AE127/100</f>
        <v>0.31364080140525119</v>
      </c>
      <c r="AZ142" s="416"/>
      <c r="BA142" s="416"/>
      <c r="BB142" s="416"/>
      <c r="BC142" s="416"/>
      <c r="BD142" s="416"/>
      <c r="BF142" s="416"/>
    </row>
    <row r="143" spans="1:59" ht="12.75" hidden="1" customHeight="1" outlineLevel="1">
      <c r="B143" s="562"/>
      <c r="D143" s="539"/>
      <c r="G143" s="601"/>
      <c r="I143" s="539"/>
      <c r="P143" s="587"/>
      <c r="R143" s="539"/>
      <c r="S143" s="563"/>
      <c r="T143" s="595"/>
      <c r="U143" s="416"/>
      <c r="W143" s="630"/>
      <c r="X143" s="579"/>
      <c r="Z143" s="580"/>
      <c r="AB143" s="599"/>
      <c r="AC143" s="563"/>
      <c r="AG143" s="582"/>
      <c r="AI143" s="539"/>
      <c r="AJ143" s="563"/>
      <c r="AK143" s="595"/>
      <c r="AL143" s="416"/>
      <c r="AN143" s="579"/>
      <c r="AP143" s="583"/>
      <c r="AR143" s="583"/>
      <c r="AT143" s="599"/>
      <c r="AU143" s="563"/>
      <c r="AV143" s="579"/>
      <c r="AW143" s="631"/>
      <c r="AX143" s="628"/>
      <c r="AY143" s="632"/>
      <c r="AZ143" s="416"/>
      <c r="BA143" s="416"/>
      <c r="BB143" s="416"/>
      <c r="BC143" s="416"/>
      <c r="BD143" s="416"/>
      <c r="BF143" s="416"/>
    </row>
    <row r="144" spans="1:59" ht="12.75" hidden="1" customHeight="1" outlineLevel="1">
      <c r="B144" s="431">
        <f>B137+1</f>
        <v>2013</v>
      </c>
      <c r="D144" s="539"/>
      <c r="G144" s="601"/>
      <c r="I144" s="539"/>
      <c r="P144" s="587"/>
      <c r="R144" s="539"/>
      <c r="S144" s="563"/>
      <c r="T144" s="595"/>
      <c r="U144" s="416"/>
      <c r="W144" s="579"/>
      <c r="X144" s="579"/>
      <c r="AG144" s="582"/>
      <c r="AI144" s="539"/>
      <c r="AJ144" s="563"/>
      <c r="AK144" s="595"/>
      <c r="AL144" s="416"/>
      <c r="AN144" s="579"/>
      <c r="AP144" s="583"/>
      <c r="AR144" s="583"/>
      <c r="AT144" s="599"/>
      <c r="AU144" s="563"/>
      <c r="AV144" s="579"/>
      <c r="AW144" s="631"/>
      <c r="AX144" s="628"/>
      <c r="AY144" s="632"/>
      <c r="AZ144" s="416"/>
      <c r="BA144" s="416"/>
      <c r="BB144" s="416"/>
      <c r="BC144" s="416"/>
      <c r="BD144" s="416"/>
      <c r="BF144" s="416"/>
    </row>
    <row r="145" spans="1:58" ht="12.75" hidden="1" customHeight="1" outlineLevel="1">
      <c r="A145" s="410" t="str">
        <f>$A$12</f>
        <v>1Q</v>
      </c>
      <c r="B145" s="562" t="str">
        <f>$B$12</f>
        <v>Apr</v>
      </c>
      <c r="D145" s="539">
        <f>(W145/W138-1)*100</f>
        <v>13.718336228091953</v>
      </c>
      <c r="E145" s="563" t="s">
        <v>208</v>
      </c>
      <c r="F145" s="601">
        <f>segSales!AU130</f>
        <v>9</v>
      </c>
      <c r="G145" s="601">
        <f>(((X322/X145)*G322)+((X499/X145)*G499)+((X606/X145)*G606))</f>
        <v>0.65490346423843593</v>
      </c>
      <c r="H145" s="563" t="s">
        <v>208</v>
      </c>
      <c r="I145" s="539">
        <f>D145-F145</f>
        <v>4.7183362280919532</v>
      </c>
      <c r="J145" s="563" t="s">
        <v>208</v>
      </c>
      <c r="K145" s="410">
        <f>K322+K499+K606+K749+K793</f>
        <v>482</v>
      </c>
      <c r="L145" s="410">
        <f t="shared" ref="L145:N148" si="7">L322+L499+L606</f>
        <v>415</v>
      </c>
      <c r="M145" s="410">
        <f t="shared" si="7"/>
        <v>24</v>
      </c>
      <c r="N145" s="410">
        <f t="shared" si="7"/>
        <v>39</v>
      </c>
      <c r="P145" s="587">
        <f>AVERAGE(K145,K141)</f>
        <v>479</v>
      </c>
      <c r="R145" s="539">
        <f>(P145/P138-1)*100</f>
        <v>9.8623853211009092</v>
      </c>
      <c r="S145" s="563" t="s">
        <v>208</v>
      </c>
      <c r="T145" s="595">
        <f>I145/R145*100</f>
        <v>47.841734777862641</v>
      </c>
      <c r="U145" s="416" t="s">
        <v>208</v>
      </c>
      <c r="W145" s="579">
        <f>W499+W606+W322</f>
        <v>604.97700000000009</v>
      </c>
      <c r="X145" s="579">
        <f>+X322+X499+X606</f>
        <v>437.28566468211824</v>
      </c>
      <c r="Z145" s="580">
        <f>W145/P145</f>
        <v>1.2630000000000001</v>
      </c>
      <c r="AB145" s="599">
        <f>(Z145/Z138-1)*100</f>
        <v>3.5098008255701307</v>
      </c>
      <c r="AC145" s="563" t="s">
        <v>208</v>
      </c>
      <c r="AE145" s="600">
        <f>+AE322+AE499+AE606</f>
        <v>4.423122666666667</v>
      </c>
      <c r="AG145" s="582">
        <f>AVERAGE(AE145,AE141)</f>
        <v>4.4058206466666672</v>
      </c>
      <c r="AI145" s="539">
        <f>(AG145/AG138-1)*100</f>
        <v>6.4699945063177555</v>
      </c>
      <c r="AJ145" s="563" t="s">
        <v>208</v>
      </c>
      <c r="AK145" s="595">
        <f>+I145/AI145*100</f>
        <v>72.926433298894437</v>
      </c>
      <c r="AL145" s="416" t="s">
        <v>208</v>
      </c>
      <c r="AN145" s="579">
        <f>+W145</f>
        <v>604.97700000000009</v>
      </c>
      <c r="AP145" s="583">
        <f>W145/AG145</f>
        <v>137.31312473141875</v>
      </c>
      <c r="AR145" s="583">
        <f>AN145/AG145</f>
        <v>137.31312473141875</v>
      </c>
      <c r="AT145" s="599">
        <f>(AP145/AP138-1)*100</f>
        <v>6.8078727301372099</v>
      </c>
      <c r="AU145" s="563" t="s">
        <v>208</v>
      </c>
      <c r="AV145" s="579">
        <f>W145-X145</f>
        <v>167.69133531788185</v>
      </c>
      <c r="AW145" s="458">
        <f>AV145/AV138-1</f>
        <v>0.44426817955947362</v>
      </c>
      <c r="AX145" s="628"/>
      <c r="AY145" s="632"/>
      <c r="AZ145" s="416"/>
      <c r="BA145" s="416"/>
      <c r="BB145" s="416"/>
      <c r="BC145" s="416"/>
      <c r="BD145" s="416"/>
      <c r="BF145" s="416"/>
    </row>
    <row r="146" spans="1:58" ht="12.75" hidden="1" customHeight="1" outlineLevel="1">
      <c r="A146" s="410" t="str">
        <f>$A$13</f>
        <v>2Q</v>
      </c>
      <c r="B146" s="562" t="str">
        <f>$B$13</f>
        <v>Jul</v>
      </c>
      <c r="D146" s="539">
        <f>(W146/W139-1)*100</f>
        <v>12.133120940126108</v>
      </c>
      <c r="F146" s="601">
        <f>segSales!AU131</f>
        <v>9</v>
      </c>
      <c r="G146" s="601">
        <f>(((X323/X146)*G323)+((X500/X146)*G500)+((X607/X146)*G607))</f>
        <v>0.6713697009780365</v>
      </c>
      <c r="I146" s="539">
        <f>D146-F146</f>
        <v>3.1331209401261084</v>
      </c>
      <c r="K146" s="410">
        <f>K323+K500+K607+K750+K794</f>
        <v>491</v>
      </c>
      <c r="L146" s="410">
        <f t="shared" si="7"/>
        <v>423</v>
      </c>
      <c r="M146" s="410">
        <f t="shared" si="7"/>
        <v>24</v>
      </c>
      <c r="N146" s="410">
        <f t="shared" si="7"/>
        <v>40</v>
      </c>
      <c r="P146" s="587">
        <f>AVERAGE(K146,K145)</f>
        <v>486.5</v>
      </c>
      <c r="R146" s="539">
        <f>(P146/P139-1)*100</f>
        <v>8.1111111111111143</v>
      </c>
      <c r="S146" s="563"/>
      <c r="T146" s="595">
        <f>I146/R146*100</f>
        <v>38.627518439910915</v>
      </c>
      <c r="U146" s="416"/>
      <c r="W146" s="623">
        <f>W500+W607+W323</f>
        <v>705.34199999999998</v>
      </c>
      <c r="X146" s="584">
        <f>+X323+X500+X607</f>
        <v>513.75330642780102</v>
      </c>
      <c r="Z146" s="585">
        <f>W146/P146</f>
        <v>1.4498293936279547</v>
      </c>
      <c r="AB146" s="599">
        <f>(Z146/Z139-1)*100</f>
        <v>3.7202557514013357</v>
      </c>
      <c r="AC146" s="563"/>
      <c r="AE146" s="600">
        <f>+AE323+AE500+AE607</f>
        <v>4.4838426666666669</v>
      </c>
      <c r="AG146" s="582">
        <f>AVERAGE(AE146,AE145)</f>
        <v>4.4534826666666669</v>
      </c>
      <c r="AI146" s="539">
        <f>(AG146/AG139-1)*100</f>
        <v>6.1357430635150312</v>
      </c>
      <c r="AJ146" s="563"/>
      <c r="AK146" s="595">
        <f>+I146/AI146*100</f>
        <v>51.063431237148528</v>
      </c>
      <c r="AL146" s="416"/>
      <c r="AN146" s="584">
        <f>+W146</f>
        <v>705.34199999999998</v>
      </c>
      <c r="AP146" s="586">
        <f>W146/AG146</f>
        <v>158.37986869901368</v>
      </c>
      <c r="AR146" s="586">
        <f>AN146/AG146</f>
        <v>158.37986869901368</v>
      </c>
      <c r="AT146" s="599">
        <f t="shared" ref="AT146:AT148" si="8">(AP146/AP139-1)*100</f>
        <v>5.6506674410542912</v>
      </c>
      <c r="AU146" s="563"/>
      <c r="AV146" s="623">
        <f>W146-X146</f>
        <v>191.58869357219896</v>
      </c>
      <c r="AW146" s="458">
        <f>AV146/AV139-1</f>
        <v>0.4226598548440359</v>
      </c>
      <c r="AX146" s="628"/>
      <c r="AY146" s="632"/>
      <c r="AZ146" s="416"/>
      <c r="BA146" s="416"/>
      <c r="BB146" s="416"/>
      <c r="BC146" s="416"/>
      <c r="BD146" s="416"/>
      <c r="BF146" s="416"/>
    </row>
    <row r="147" spans="1:58" ht="12.75" hidden="1" customHeight="1" outlineLevel="1">
      <c r="A147" s="410" t="str">
        <f>$A$14</f>
        <v>3Q</v>
      </c>
      <c r="B147" s="562" t="str">
        <f>$B$14</f>
        <v>Oct</v>
      </c>
      <c r="D147" s="539">
        <f>(W147/W140-1)*100</f>
        <v>10.903239315377622</v>
      </c>
      <c r="F147" s="601">
        <f>segSales!AU132</f>
        <v>7</v>
      </c>
      <c r="G147" s="601">
        <f>(((X324/X147)*G324)+((X501/X147)*G501)+((X608/X147)*G608))</f>
        <v>0.80037680669274525</v>
      </c>
      <c r="I147" s="539">
        <f>D147-F147</f>
        <v>3.9032393153776219</v>
      </c>
      <c r="K147" s="410">
        <f>K324+K501+K608+K751+K795</f>
        <v>500</v>
      </c>
      <c r="L147" s="410">
        <f t="shared" si="7"/>
        <v>430</v>
      </c>
      <c r="M147" s="410">
        <f t="shared" si="7"/>
        <v>24</v>
      </c>
      <c r="N147" s="410">
        <f t="shared" si="7"/>
        <v>42</v>
      </c>
      <c r="P147" s="587">
        <f>AVERAGE(K147,K146)</f>
        <v>495.5</v>
      </c>
      <c r="R147" s="539">
        <f>(P147/P140-1)*100</f>
        <v>7.2510822510822415</v>
      </c>
      <c r="S147" s="563"/>
      <c r="T147" s="595">
        <f>I147/R147*100</f>
        <v>53.8297481702825</v>
      </c>
      <c r="U147" s="416"/>
      <c r="W147" s="623">
        <f>W501+W608+W324</f>
        <v>715.03199999999993</v>
      </c>
      <c r="X147" s="584">
        <f>+X324+X501+X608</f>
        <v>526.62728368539035</v>
      </c>
      <c r="Z147" s="585">
        <f>W147/P147</f>
        <v>1.4430514631685165</v>
      </c>
      <c r="AB147" s="599">
        <f>(Z147/Z140-1)*100</f>
        <v>3.4052402900190959</v>
      </c>
      <c r="AC147" s="563"/>
      <c r="AE147" s="600">
        <f>+AE324+AE501+AE608</f>
        <v>4.552617333333334</v>
      </c>
      <c r="AF147" s="482"/>
      <c r="AG147" s="582">
        <f>AVERAGE(AE147,AE146)</f>
        <v>4.5182300000000009</v>
      </c>
      <c r="AI147" s="539">
        <f>(AG147/AG140-1)*100</f>
        <v>6.2406346797483803</v>
      </c>
      <c r="AJ147" s="563"/>
      <c r="AK147" s="595">
        <f>+I147/AI147*100</f>
        <v>62.545550503767011</v>
      </c>
      <c r="AL147" s="416"/>
      <c r="AN147" s="584">
        <f>+W147</f>
        <v>715.03199999999993</v>
      </c>
      <c r="AP147" s="586">
        <f>W147/AG147</f>
        <v>158.2548918492418</v>
      </c>
      <c r="AR147" s="586">
        <f>AN147/AG147</f>
        <v>158.2548918492418</v>
      </c>
      <c r="AT147" s="599">
        <f t="shared" si="8"/>
        <v>4.3887206149362701</v>
      </c>
      <c r="AU147" s="563"/>
      <c r="AV147" s="623">
        <f>W147-X147</f>
        <v>188.40471631460957</v>
      </c>
      <c r="AW147" s="458">
        <f>AV147/AV140-1</f>
        <v>0.33434518884849806</v>
      </c>
      <c r="AX147" s="628"/>
      <c r="AY147" s="632"/>
      <c r="AZ147" s="416"/>
      <c r="BA147" s="416"/>
      <c r="BB147" s="416"/>
      <c r="BC147" s="416"/>
      <c r="BD147" s="416"/>
      <c r="BF147" s="416"/>
    </row>
    <row r="148" spans="1:58" ht="12.75" hidden="1" customHeight="1" outlineLevel="1">
      <c r="A148" s="410" t="str">
        <f>$A$15</f>
        <v>4Q</v>
      </c>
      <c r="B148" s="562" t="str">
        <f>$B$15</f>
        <v>Jan</v>
      </c>
      <c r="D148" s="596">
        <f>(W148/W141-1)*100</f>
        <v>4.6532835440973308</v>
      </c>
      <c r="F148" s="604">
        <f>segSales!AU133</f>
        <v>1</v>
      </c>
      <c r="G148" s="604">
        <f>(((X325/X148)*G325)+((X502/X148)*G502)+((X609/X148)*G609))</f>
        <v>0.75133927855213967</v>
      </c>
      <c r="I148" s="596">
        <f>D148-F148</f>
        <v>3.6532835440973308</v>
      </c>
      <c r="K148" s="410">
        <f>K325+K502+K609+K752+K796</f>
        <v>511</v>
      </c>
      <c r="L148" s="410">
        <f t="shared" si="7"/>
        <v>438</v>
      </c>
      <c r="M148" s="410">
        <f t="shared" si="7"/>
        <v>25</v>
      </c>
      <c r="N148" s="410">
        <f t="shared" si="7"/>
        <v>44</v>
      </c>
      <c r="P148" s="588">
        <f>AVERAGE(K148,K147)</f>
        <v>505.5</v>
      </c>
      <c r="R148" s="596">
        <f>(P148/P141-1)*100</f>
        <v>7.2110286320254513</v>
      </c>
      <c r="S148" s="563"/>
      <c r="T148" s="598">
        <f>I148/R148*100</f>
        <v>50.662446795349744</v>
      </c>
      <c r="U148" s="416"/>
      <c r="W148" s="624">
        <f>W502+W609+W325</f>
        <v>846.93600000000004</v>
      </c>
      <c r="X148" s="589">
        <f>+X325+X502+X609</f>
        <v>659.7599406886826</v>
      </c>
      <c r="Z148" s="590">
        <f>W148/P148</f>
        <v>1.6754421364985164</v>
      </c>
      <c r="AB148" s="597">
        <f>(Z148/Z141-1)*100</f>
        <v>-2.3857107991258286</v>
      </c>
      <c r="AC148" s="563"/>
      <c r="AE148" s="600">
        <f>+AE325+AE502+AE609</f>
        <v>4.6388280000000002</v>
      </c>
      <c r="AF148" s="482"/>
      <c r="AG148" s="591">
        <f>AVERAGE(AE148,AE147)</f>
        <v>4.5957226666666671</v>
      </c>
      <c r="AI148" s="596">
        <f>(AG148/AG141-1)*100</f>
        <v>5.8083785096808782</v>
      </c>
      <c r="AJ148" s="563"/>
      <c r="AK148" s="598">
        <f>+I148/AI148*100</f>
        <v>62.896788458403144</v>
      </c>
      <c r="AL148" s="416"/>
      <c r="AN148" s="589">
        <f>+W148</f>
        <v>846.93600000000004</v>
      </c>
      <c r="AP148" s="592">
        <f>W148/AG148</f>
        <v>184.28788276171002</v>
      </c>
      <c r="AR148" s="592">
        <f>AN148/AG148</f>
        <v>184.28788276171002</v>
      </c>
      <c r="AT148" s="597">
        <f t="shared" si="8"/>
        <v>-1.0916857264548718</v>
      </c>
      <c r="AU148" s="563"/>
      <c r="AV148" s="624">
        <f>W148-X148</f>
        <v>187.17605931131743</v>
      </c>
      <c r="AW148" s="625">
        <f>AV148/AV141-1</f>
        <v>6.0705517916406215E-2</v>
      </c>
      <c r="AX148" s="628"/>
      <c r="AY148" s="627" t="s">
        <v>94</v>
      </c>
      <c r="AZ148" s="416"/>
      <c r="BA148" s="416"/>
      <c r="BB148" s="416"/>
      <c r="BC148" s="416"/>
      <c r="BD148" s="416"/>
      <c r="BF148" s="416"/>
    </row>
    <row r="149" spans="1:58" ht="12.75" hidden="1" customHeight="1" outlineLevel="1">
      <c r="B149" s="562" t="str">
        <f>$B$16</f>
        <v>Year</v>
      </c>
      <c r="D149" s="539">
        <f>(W149/W142-1)*100</f>
        <v>9.8375889234200145</v>
      </c>
      <c r="F149" s="601">
        <f>segSales!AU134</f>
        <v>6.1944861640197182</v>
      </c>
      <c r="G149" s="601">
        <f>(((X326/X149)*G326)+((X503/X149)*G503)+((X610/X149)*G610))</f>
        <v>0.72447045195514848</v>
      </c>
      <c r="I149" s="539">
        <f>D149-F149</f>
        <v>3.6431027594002963</v>
      </c>
      <c r="P149" s="587">
        <f>AVERAGE(P145:P148)</f>
        <v>491.625</v>
      </c>
      <c r="R149" s="539">
        <f>(P149/P142-1)*100</f>
        <v>8.0791426215993454</v>
      </c>
      <c r="S149" s="563"/>
      <c r="T149" s="595">
        <f>I149/R149*100</f>
        <v>45.092690277066907</v>
      </c>
      <c r="U149" s="416"/>
      <c r="W149" s="579">
        <f>SUM(W145:W148)</f>
        <v>2872.2869999999998</v>
      </c>
      <c r="X149" s="579">
        <f>SUM(X145:X148)</f>
        <v>2137.4261954839922</v>
      </c>
      <c r="Z149" s="580">
        <f>W149/P149</f>
        <v>5.8424347826086951</v>
      </c>
      <c r="AB149" s="599">
        <f>(Z149/Z142-1)*100</f>
        <v>1.6269987521803753</v>
      </c>
      <c r="AC149" s="563"/>
      <c r="AG149" s="582">
        <f>AVERAGE(AG145:AG148)</f>
        <v>4.4933139950000012</v>
      </c>
      <c r="AI149" s="539">
        <f>(AG149/AG142-1)*100</f>
        <v>6.1598039108152536</v>
      </c>
      <c r="AJ149" s="563"/>
      <c r="AK149" s="595">
        <f>+I149/AI149*100</f>
        <v>59.143161245828189</v>
      </c>
      <c r="AL149" s="416"/>
      <c r="AN149" s="579">
        <f>+W149</f>
        <v>2872.2869999999998</v>
      </c>
      <c r="AP149" s="583">
        <f>SUM(AP145:AP148)</f>
        <v>638.23576804138429</v>
      </c>
      <c r="AR149" s="583">
        <f>SUM(AR145:AR148)</f>
        <v>638.23576804138429</v>
      </c>
      <c r="AT149" s="599">
        <f>(AP149/AP142-1)*100</f>
        <v>3.5435875005272122</v>
      </c>
      <c r="AU149" s="563"/>
      <c r="AV149" s="579">
        <f>SUM(AV145:AV148)</f>
        <v>734.86080451600787</v>
      </c>
      <c r="AW149" s="458">
        <f>AV149/AV142-1</f>
        <v>0.29277292170489888</v>
      </c>
      <c r="AX149" s="416"/>
      <c r="AY149" s="629">
        <f>segSales!AE134/100</f>
        <v>0.3227379775077639</v>
      </c>
      <c r="AZ149" s="416"/>
      <c r="BA149" s="416"/>
      <c r="BB149" s="416"/>
      <c r="BC149" s="416"/>
      <c r="BD149" s="416"/>
      <c r="BF149" s="416"/>
    </row>
    <row r="150" spans="1:58" ht="12.75" hidden="1" customHeight="1" outlineLevel="1">
      <c r="B150" s="562"/>
      <c r="D150" s="539"/>
      <c r="F150" s="580"/>
      <c r="G150" s="633"/>
      <c r="I150" s="539"/>
      <c r="P150" s="587"/>
      <c r="R150" s="539"/>
      <c r="S150" s="563"/>
      <c r="T150" s="595"/>
      <c r="U150" s="416"/>
      <c r="X150" s="579"/>
      <c r="Z150" s="580"/>
      <c r="AB150" s="599"/>
      <c r="AC150" s="563"/>
      <c r="AG150" s="582"/>
      <c r="AI150" s="539"/>
      <c r="AJ150" s="563"/>
      <c r="AK150" s="595"/>
      <c r="AL150" s="416"/>
      <c r="AN150" s="579"/>
      <c r="AP150" s="583"/>
      <c r="AR150" s="583"/>
      <c r="AT150" s="599"/>
      <c r="AU150" s="563"/>
      <c r="AW150" s="416"/>
      <c r="AX150" s="416"/>
      <c r="AY150" s="416"/>
      <c r="AZ150" s="416"/>
      <c r="BA150" s="416"/>
      <c r="BB150" s="416"/>
      <c r="BC150" s="416"/>
      <c r="BD150" s="416"/>
      <c r="BF150" s="416"/>
    </row>
    <row r="151" spans="1:58" ht="12.75" customHeight="1" collapsed="1">
      <c r="B151" s="431">
        <f>B144+1</f>
        <v>2014</v>
      </c>
      <c r="D151" s="539"/>
      <c r="G151" s="601"/>
      <c r="I151" s="539"/>
      <c r="P151" s="587"/>
      <c r="R151" s="539"/>
      <c r="S151" s="563"/>
      <c r="T151" s="595"/>
      <c r="U151" s="416"/>
      <c r="W151" s="579"/>
      <c r="X151" s="579"/>
      <c r="Z151" s="580"/>
      <c r="AB151" s="599"/>
      <c r="AC151" s="563"/>
      <c r="AG151" s="582"/>
      <c r="AI151" s="539"/>
      <c r="AJ151" s="563"/>
      <c r="AK151" s="595"/>
      <c r="AL151" s="416"/>
      <c r="AN151" s="579"/>
      <c r="AP151" s="583"/>
      <c r="AR151" s="583"/>
      <c r="AT151" s="599"/>
      <c r="AU151" s="563"/>
      <c r="AV151" s="579"/>
      <c r="AW151" s="631"/>
      <c r="AX151" s="628"/>
      <c r="AY151" s="632"/>
      <c r="AZ151" s="416"/>
      <c r="BA151" s="416"/>
      <c r="BB151" s="416"/>
      <c r="BC151" s="416"/>
      <c r="BD151" s="416"/>
      <c r="BF151" s="416"/>
    </row>
    <row r="152" spans="1:58" ht="12.75" customHeight="1">
      <c r="A152" s="410" t="str">
        <f>$A$12</f>
        <v>1Q</v>
      </c>
      <c r="B152" s="562" t="str">
        <f>$B$12</f>
        <v>Apr</v>
      </c>
      <c r="D152" s="539">
        <f>(W152/W145-1)*100</f>
        <v>5.1750727713615552</v>
      </c>
      <c r="E152" s="563" t="s">
        <v>208</v>
      </c>
      <c r="F152" s="601">
        <f>segSales!AU137</f>
        <v>0</v>
      </c>
      <c r="G152" s="601">
        <f>(((X329/X152)*G329)+((X506/X152)*G506)+((X613/X152)*G613))</f>
        <v>0</v>
      </c>
      <c r="H152" s="563" t="s">
        <v>208</v>
      </c>
      <c r="I152" s="539">
        <f>D152-F152</f>
        <v>5.1750727713615552</v>
      </c>
      <c r="J152" s="563" t="s">
        <v>208</v>
      </c>
      <c r="K152" s="410">
        <f>K329+K506+K613+K756</f>
        <v>516</v>
      </c>
      <c r="L152" s="410">
        <f t="shared" ref="L152:N155" si="9">L329+L506+L613</f>
        <v>445</v>
      </c>
      <c r="M152" s="410">
        <f t="shared" si="9"/>
        <v>25</v>
      </c>
      <c r="N152" s="410">
        <f t="shared" si="9"/>
        <v>44</v>
      </c>
      <c r="P152" s="587">
        <f>AVERAGE(K152,K148)</f>
        <v>513.5</v>
      </c>
      <c r="R152" s="539">
        <f>(P152/P145-1)*100</f>
        <v>7.2025052192066896</v>
      </c>
      <c r="S152" s="563" t="s">
        <v>208</v>
      </c>
      <c r="T152" s="595">
        <f>I152/R152*100</f>
        <v>71.851010361802366</v>
      </c>
      <c r="U152" s="416" t="s">
        <v>208</v>
      </c>
      <c r="W152" s="579">
        <f>W506+W613+W329</f>
        <v>636.28500000000008</v>
      </c>
      <c r="X152" s="579">
        <f>+X329+X506+X613</f>
        <v>461.24674607725638</v>
      </c>
      <c r="Y152" s="482"/>
      <c r="Z152" s="580">
        <f>W152/P152</f>
        <v>1.239113924050633</v>
      </c>
      <c r="AB152" s="599">
        <f>(Z152/Z145-1)*100</f>
        <v>-1.891217414835078</v>
      </c>
      <c r="AC152" s="563" t="s">
        <v>208</v>
      </c>
      <c r="AE152" s="600">
        <f>+AE329+AE506+AE613</f>
        <v>4.7054240000000007</v>
      </c>
      <c r="AG152" s="582">
        <f>AVERAGE(AE152,AE148)</f>
        <v>4.6721260000000004</v>
      </c>
      <c r="AI152" s="539">
        <f>(AG152/AG145-1)*100</f>
        <v>6.0443984149652907</v>
      </c>
      <c r="AJ152" s="563" t="s">
        <v>208</v>
      </c>
      <c r="AK152" s="595">
        <f>+I152/AI152*100</f>
        <v>85.617664754669747</v>
      </c>
      <c r="AL152" s="416" t="s">
        <v>208</v>
      </c>
      <c r="AN152" s="579">
        <f>+W152</f>
        <v>636.28500000000008</v>
      </c>
      <c r="AP152" s="583">
        <f>W152/AG152</f>
        <v>136.18746583461149</v>
      </c>
      <c r="AR152" s="583">
        <f>AN152/AG152</f>
        <v>136.18746583461149</v>
      </c>
      <c r="AT152" s="599">
        <f>(AP152/AP145-1)*100</f>
        <v>-0.81977516643731985</v>
      </c>
      <c r="AU152" s="563" t="s">
        <v>208</v>
      </c>
      <c r="AV152" s="579">
        <f>W152-X152</f>
        <v>175.03825392274371</v>
      </c>
      <c r="AW152" s="458">
        <f>AV152/AV145-1</f>
        <v>4.381215398478866E-2</v>
      </c>
      <c r="AX152" s="628"/>
      <c r="AY152" s="632"/>
      <c r="AZ152" s="416"/>
      <c r="BA152" s="416"/>
      <c r="BB152" s="416"/>
      <c r="BC152" s="416"/>
      <c r="BD152" s="416"/>
      <c r="BF152" s="416"/>
    </row>
    <row r="153" spans="1:58" ht="12.75" customHeight="1">
      <c r="A153" s="410" t="str">
        <f>$A$13</f>
        <v>2Q</v>
      </c>
      <c r="B153" s="562" t="str">
        <f>$B$13</f>
        <v>Jul</v>
      </c>
      <c r="D153" s="539">
        <f>(W153/W146-1)*100</f>
        <v>5.6980868855108557</v>
      </c>
      <c r="F153" s="601">
        <f>segSales!AU138</f>
        <v>0</v>
      </c>
      <c r="G153" s="601">
        <f>(((X330/X153)*G330)+((X507/X153)*G507)+((X614/X153)*G614))</f>
        <v>0</v>
      </c>
      <c r="I153" s="539">
        <f>D153-F153</f>
        <v>5.6980868855108557</v>
      </c>
      <c r="K153" s="410">
        <f>K330+K507+K614+K757</f>
        <v>525</v>
      </c>
      <c r="L153" s="410">
        <f t="shared" si="9"/>
        <v>452</v>
      </c>
      <c r="M153" s="410">
        <f t="shared" si="9"/>
        <v>26</v>
      </c>
      <c r="N153" s="410">
        <f t="shared" si="9"/>
        <v>45</v>
      </c>
      <c r="P153" s="587">
        <f>AVERAGE(K153,K152)</f>
        <v>520.5</v>
      </c>
      <c r="R153" s="539">
        <f>(P153/P146-1)*100</f>
        <v>6.9886947584789416</v>
      </c>
      <c r="S153" s="563"/>
      <c r="T153" s="595">
        <f>I153/R153*100</f>
        <v>81.53291970003022</v>
      </c>
      <c r="U153" s="416"/>
      <c r="W153" s="623">
        <f>W507+W614+W330</f>
        <v>745.53300000000002</v>
      </c>
      <c r="X153" s="584">
        <f>+X330+X507+X614</f>
        <v>545.73857791693638</v>
      </c>
      <c r="Y153" s="482"/>
      <c r="Z153" s="585">
        <f>W153/P153</f>
        <v>1.4323400576368877</v>
      </c>
      <c r="AB153" s="599">
        <f>(Z153/Z146-1)*100</f>
        <v>-1.2063030359250049</v>
      </c>
      <c r="AC153" s="563"/>
      <c r="AE153" s="600">
        <f>+AE330+AE507+AE614</f>
        <v>4.7944760000000004</v>
      </c>
      <c r="AG153" s="582">
        <f>AVERAGE(AE153,AE152)</f>
        <v>4.7499500000000001</v>
      </c>
      <c r="AI153" s="539">
        <f>(AG153/AG146-1)*100</f>
        <v>6.6569773708186952</v>
      </c>
      <c r="AJ153" s="563"/>
      <c r="AK153" s="595">
        <f>+I153/AI153*100</f>
        <v>85.595707602804836</v>
      </c>
      <c r="AL153" s="416"/>
      <c r="AN153" s="584">
        <f>+W153</f>
        <v>745.53300000000002</v>
      </c>
      <c r="AP153" s="586">
        <f>W153/AG153</f>
        <v>156.95596795755745</v>
      </c>
      <c r="AR153" s="586">
        <f>AN153/AG153</f>
        <v>156.95596795755745</v>
      </c>
      <c r="AT153" s="599">
        <f t="shared" ref="AT153:AT155" si="10">(AP153/AP146-1)*100</f>
        <v>-0.89904149634207897</v>
      </c>
      <c r="AU153" s="563"/>
      <c r="AV153" s="623">
        <f>W153-X153</f>
        <v>199.79442208306364</v>
      </c>
      <c r="AW153" s="458">
        <f>AV153/AV146-1</f>
        <v>4.2829920481567418E-2</v>
      </c>
      <c r="AX153" s="628"/>
      <c r="AY153" s="632"/>
      <c r="AZ153" s="416"/>
      <c r="BA153" s="416"/>
      <c r="BB153" s="416"/>
      <c r="BC153" s="416"/>
      <c r="BD153" s="416"/>
      <c r="BF153" s="416"/>
    </row>
    <row r="154" spans="1:58" ht="12.75" customHeight="1">
      <c r="A154" s="410" t="str">
        <f>$A$14</f>
        <v>3Q</v>
      </c>
      <c r="B154" s="562" t="str">
        <f>$B$14</f>
        <v>Oct</v>
      </c>
      <c r="D154" s="539">
        <f>(W154/W147-1)*100</f>
        <v>4.3691750858702916</v>
      </c>
      <c r="F154" s="601">
        <f>segSales!AU139</f>
        <v>-1</v>
      </c>
      <c r="G154" s="601">
        <f>(((X331/X154)*G331)+((X508/X154)*G508)+((X615/X154)*G615))</f>
        <v>0</v>
      </c>
      <c r="I154" s="539">
        <f>D154-F154</f>
        <v>5.3691750858702916</v>
      </c>
      <c r="K154" s="410">
        <f>K331+K508+K615+K758</f>
        <v>539</v>
      </c>
      <c r="L154" s="410">
        <f t="shared" si="9"/>
        <v>459</v>
      </c>
      <c r="M154" s="410">
        <f t="shared" si="9"/>
        <v>30</v>
      </c>
      <c r="N154" s="410">
        <f t="shared" si="9"/>
        <v>48</v>
      </c>
      <c r="P154" s="587">
        <f>AVERAGE(K154,K153)</f>
        <v>532</v>
      </c>
      <c r="R154" s="539">
        <f>(P154/P147-1)*100</f>
        <v>7.3662966700302812</v>
      </c>
      <c r="S154" s="563"/>
      <c r="T154" s="595">
        <f>I154/R154*100</f>
        <v>72.888390549280174</v>
      </c>
      <c r="U154" s="416"/>
      <c r="W154" s="623">
        <f>W508+W615+W331</f>
        <v>746.27300000000002</v>
      </c>
      <c r="X154" s="584">
        <f>+X331+X508+X615</f>
        <v>555.85376072872805</v>
      </c>
      <c r="Y154" s="482"/>
      <c r="Z154" s="585">
        <f>W154/P154</f>
        <v>1.4027687969924814</v>
      </c>
      <c r="AB154" s="599">
        <f>(Z154/Z147-1)*100</f>
        <v>-2.7914920017880873</v>
      </c>
      <c r="AC154" s="563"/>
      <c r="AE154" s="600">
        <f>+AE331+AE508+AE615</f>
        <v>4.8930293333333337</v>
      </c>
      <c r="AF154" s="482"/>
      <c r="AG154" s="582">
        <f>AVERAGE(AE154,AE153)</f>
        <v>4.843752666666667</v>
      </c>
      <c r="AI154" s="539">
        <f>(AG154/AG147-1)*100</f>
        <v>7.2046501985659539</v>
      </c>
      <c r="AJ154" s="563"/>
      <c r="AK154" s="595">
        <f>+I154/AI154*100</f>
        <v>74.523744219240456</v>
      </c>
      <c r="AL154" s="416"/>
      <c r="AN154" s="584">
        <f>+W154</f>
        <v>746.27300000000002</v>
      </c>
      <c r="AP154" s="586">
        <f>W154/AG154</f>
        <v>154.0691796952473</v>
      </c>
      <c r="AR154" s="586">
        <f>AN154/AG154</f>
        <v>154.0691796952473</v>
      </c>
      <c r="AT154" s="599">
        <f t="shared" si="10"/>
        <v>-2.6449180212273826</v>
      </c>
      <c r="AU154" s="563"/>
      <c r="AV154" s="623">
        <f>W154-X154</f>
        <v>190.41923927127198</v>
      </c>
      <c r="AW154" s="458">
        <f>AV154/AV147-1</f>
        <v>1.0692529338270029E-2</v>
      </c>
      <c r="AX154" s="628"/>
      <c r="AY154" s="632"/>
      <c r="AZ154" s="416"/>
      <c r="BA154" s="416"/>
      <c r="BB154" s="416"/>
      <c r="BC154" s="416"/>
      <c r="BD154" s="416"/>
      <c r="BF154" s="416"/>
    </row>
    <row r="155" spans="1:58" ht="12.75" customHeight="1">
      <c r="A155" s="410" t="str">
        <f>$A$15</f>
        <v>4Q</v>
      </c>
      <c r="B155" s="562" t="str">
        <f>$B$15</f>
        <v>Jan</v>
      </c>
      <c r="D155" s="596">
        <f>(W155/W148-1)*100</f>
        <v>10.893267023718444</v>
      </c>
      <c r="F155" s="604">
        <f>segSales!AU140</f>
        <v>6.122122568883599</v>
      </c>
      <c r="G155" s="604">
        <f>(((X332/X155)*G332)+((X509/X155)*G509)+((X616/X155)*G616))</f>
        <v>0</v>
      </c>
      <c r="I155" s="596">
        <f>D155-F155</f>
        <v>4.771144454834845</v>
      </c>
      <c r="K155" s="410">
        <f>K332+K509+K616+K759</f>
        <v>546</v>
      </c>
      <c r="L155" s="410">
        <f t="shared" si="9"/>
        <v>461</v>
      </c>
      <c r="M155" s="410">
        <f t="shared" si="9"/>
        <v>32</v>
      </c>
      <c r="N155" s="410">
        <f t="shared" si="9"/>
        <v>50</v>
      </c>
      <c r="P155" s="588">
        <f>AVERAGE(K155,K154)</f>
        <v>542.5</v>
      </c>
      <c r="R155" s="596">
        <f>(P155/P148-1)*100</f>
        <v>7.3194856577645906</v>
      </c>
      <c r="S155" s="563"/>
      <c r="T155" s="598">
        <f>I155/R155*100</f>
        <v>65.184149241054428</v>
      </c>
      <c r="U155" s="416"/>
      <c r="W155" s="624">
        <f>W509+W616+W332</f>
        <v>939.19500000000005</v>
      </c>
      <c r="X155" s="589">
        <f>+X332+X509+X616</f>
        <v>691.49339456237396</v>
      </c>
      <c r="Y155" s="482"/>
      <c r="Z155" s="590">
        <f>W155/P155</f>
        <v>1.7312350230414748</v>
      </c>
      <c r="AB155" s="597">
        <f>(Z155/Z148-1)*100</f>
        <v>3.3300395953726802</v>
      </c>
      <c r="AC155" s="563"/>
      <c r="AE155" s="600">
        <f>+AE332+AE509+AE616</f>
        <v>4.9647040000000002</v>
      </c>
      <c r="AF155" s="482"/>
      <c r="AG155" s="591">
        <f>AVERAGE(AE155,AE154)</f>
        <v>4.928866666666667</v>
      </c>
      <c r="AI155" s="596">
        <f>(AG155/AG148-1)*100</f>
        <v>7.2490013902782646</v>
      </c>
      <c r="AJ155" s="563"/>
      <c r="AK155" s="598">
        <f>+I155/AI155*100</f>
        <v>65.817954749374067</v>
      </c>
      <c r="AL155" s="416"/>
      <c r="AN155" s="589">
        <f>+W155</f>
        <v>939.19500000000005</v>
      </c>
      <c r="AP155" s="592">
        <f>W155/AG155</f>
        <v>190.54988976505754</v>
      </c>
      <c r="AR155" s="592">
        <f>AN155/AG155</f>
        <v>190.54988976505754</v>
      </c>
      <c r="AT155" s="597">
        <f t="shared" si="10"/>
        <v>3.3979483129905397</v>
      </c>
      <c r="AU155" s="563"/>
      <c r="AV155" s="624">
        <f>W155-X155</f>
        <v>247.70160543762609</v>
      </c>
      <c r="AW155" s="625">
        <f>AV155/AV148-1</f>
        <v>0.32336157919448749</v>
      </c>
      <c r="AX155" s="628"/>
      <c r="AY155" s="627" t="s">
        <v>94</v>
      </c>
      <c r="AZ155" s="416"/>
      <c r="BA155" s="416"/>
      <c r="BB155" s="416"/>
      <c r="BC155" s="416"/>
      <c r="BD155" s="416"/>
      <c r="BF155" s="416"/>
    </row>
    <row r="156" spans="1:58" ht="12.75" customHeight="1">
      <c r="B156" s="562" t="str">
        <f>$B$16</f>
        <v>Year</v>
      </c>
      <c r="D156" s="539">
        <f>(W156/W149-1)*100</f>
        <v>6.7889803491085976</v>
      </c>
      <c r="F156" s="601">
        <f>segSales!AU141</f>
        <v>1.5251115844607805</v>
      </c>
      <c r="G156" s="601">
        <f>(((X333/X156)*G333)+((X510/X156)*G510)+((X617/X156)*G617))</f>
        <v>0</v>
      </c>
      <c r="I156" s="539">
        <f>D156-F156</f>
        <v>5.2638687646478175</v>
      </c>
      <c r="P156" s="587">
        <f>AVERAGE(P152:P155)</f>
        <v>527.125</v>
      </c>
      <c r="R156" s="539">
        <f>(P156/P149-1)*100</f>
        <v>7.2209509280447559</v>
      </c>
      <c r="S156" s="563"/>
      <c r="T156" s="595">
        <f>I156/R156*100</f>
        <v>72.897168490703692</v>
      </c>
      <c r="U156" s="416"/>
      <c r="W156" s="579">
        <f>SUM(W152:W155)</f>
        <v>3067.2860000000005</v>
      </c>
      <c r="X156" s="579">
        <f>SUM(X152:X155)</f>
        <v>2254.3324792852945</v>
      </c>
      <c r="Z156" s="580">
        <f>W156/P156</f>
        <v>5.8188968460991237</v>
      </c>
      <c r="AB156" s="599">
        <f>(Z156/Z149-1)*100</f>
        <v>-0.40287889185579573</v>
      </c>
      <c r="AC156" s="563"/>
      <c r="AG156" s="582">
        <f>AVERAGE(AG152:AG155)</f>
        <v>4.7986738333333339</v>
      </c>
      <c r="AI156" s="539">
        <f>(AG156/AG149-1)*100</f>
        <v>6.7958713473646792</v>
      </c>
      <c r="AJ156" s="563"/>
      <c r="AK156" s="595">
        <f>+I156/AI156*100</f>
        <v>77.456863080391514</v>
      </c>
      <c r="AL156" s="416"/>
      <c r="AN156" s="579">
        <f>+W156</f>
        <v>3067.2860000000005</v>
      </c>
      <c r="AP156" s="583">
        <f>SUM(AP152:AP155)</f>
        <v>637.76250325247372</v>
      </c>
      <c r="AR156" s="583">
        <f>SUM(AR152:AR155)</f>
        <v>637.76250325247372</v>
      </c>
      <c r="AT156" s="599">
        <f>(AP156/AP149-1)*100</f>
        <v>-7.4152031679908248E-2</v>
      </c>
      <c r="AU156" s="563"/>
      <c r="AV156" s="579">
        <f>SUM(AV152:AV155)</f>
        <v>812.95352071470541</v>
      </c>
      <c r="AW156" s="458">
        <f>AV156/AV149-1</f>
        <v>0.1062687188087692</v>
      </c>
      <c r="AX156" s="416"/>
      <c r="AY156" s="629">
        <f>segSales!AE141/100</f>
        <v>0.14999999999999991</v>
      </c>
      <c r="AZ156" s="416"/>
      <c r="BA156" s="416"/>
      <c r="BB156" s="416"/>
      <c r="BC156" s="416"/>
      <c r="BD156" s="416"/>
      <c r="BF156" s="416"/>
    </row>
    <row r="157" spans="1:58" ht="12.75" customHeight="1">
      <c r="B157" s="562"/>
      <c r="D157" s="539"/>
      <c r="G157" s="633"/>
      <c r="I157" s="539"/>
      <c r="P157" s="587"/>
      <c r="R157" s="539"/>
      <c r="S157" s="563"/>
      <c r="T157" s="595"/>
      <c r="U157" s="416"/>
      <c r="X157" s="579"/>
      <c r="Z157" s="580"/>
      <c r="AB157" s="599"/>
      <c r="AC157" s="563"/>
      <c r="AG157" s="582"/>
      <c r="AI157" s="539"/>
      <c r="AJ157" s="563"/>
      <c r="AK157" s="595"/>
      <c r="AL157" s="416"/>
      <c r="AN157" s="579"/>
      <c r="AP157" s="583"/>
      <c r="AR157" s="583"/>
      <c r="AT157" s="599"/>
      <c r="AU157" s="563"/>
      <c r="AW157" s="416"/>
      <c r="AX157" s="416"/>
      <c r="AY157" s="416"/>
      <c r="AZ157" s="416"/>
      <c r="BA157" s="416"/>
      <c r="BB157" s="416"/>
      <c r="BC157" s="416"/>
      <c r="BD157" s="416"/>
      <c r="BF157" s="416"/>
    </row>
    <row r="158" spans="1:58" ht="12.75" customHeight="1">
      <c r="B158" s="431">
        <f>B151+1</f>
        <v>2015</v>
      </c>
      <c r="D158" s="539"/>
      <c r="G158" s="601"/>
      <c r="I158" s="539"/>
      <c r="P158" s="587"/>
      <c r="R158" s="539"/>
      <c r="S158" s="563"/>
      <c r="T158" s="595"/>
      <c r="U158" s="416"/>
      <c r="W158" s="579"/>
      <c r="X158" s="579"/>
      <c r="Z158" s="580"/>
      <c r="AB158" s="599"/>
      <c r="AC158" s="563"/>
      <c r="AG158" s="582"/>
      <c r="AI158" s="539"/>
      <c r="AJ158" s="563"/>
      <c r="AK158" s="595"/>
      <c r="AL158" s="416"/>
      <c r="AN158" s="579"/>
      <c r="AP158" s="583"/>
      <c r="AR158" s="583"/>
      <c r="AT158" s="599"/>
      <c r="AU158" s="563"/>
      <c r="AV158" s="579"/>
      <c r="AW158" s="631"/>
      <c r="AX158" s="628"/>
      <c r="AY158" s="632"/>
      <c r="AZ158" s="416"/>
      <c r="BA158" s="416"/>
      <c r="BB158" s="416"/>
      <c r="BC158" s="416"/>
      <c r="BD158" s="416"/>
      <c r="BF158" s="416"/>
    </row>
    <row r="159" spans="1:58" ht="12.75" customHeight="1">
      <c r="A159" s="410" t="str">
        <f>$A$12</f>
        <v>1Q</v>
      </c>
      <c r="B159" s="562" t="str">
        <f>$B$12</f>
        <v>Apr</v>
      </c>
      <c r="D159" s="539">
        <f>(W159/W152-1)*100</f>
        <v>7.6575748288895573</v>
      </c>
      <c r="E159" s="563" t="s">
        <v>208</v>
      </c>
      <c r="F159" s="601">
        <f>segSales!AU144</f>
        <v>4</v>
      </c>
      <c r="G159" s="601">
        <f>(((X365/X159)*G365)+((X541/X159)*G541)+((X712/X159)*G712))</f>
        <v>0</v>
      </c>
      <c r="H159" s="563" t="s">
        <v>208</v>
      </c>
      <c r="I159" s="539">
        <f>D159-F159</f>
        <v>3.6575748288895573</v>
      </c>
      <c r="J159" s="563" t="s">
        <v>208</v>
      </c>
      <c r="K159" s="410">
        <f>K336+K513+K620+K763</f>
        <v>550</v>
      </c>
      <c r="P159" s="587">
        <f>AVERAGE(K159,K155)</f>
        <v>548</v>
      </c>
      <c r="R159" s="539">
        <f>(P159/P152-1)*100</f>
        <v>6.7185978578383709</v>
      </c>
      <c r="S159" s="563" t="s">
        <v>208</v>
      </c>
      <c r="T159" s="595">
        <f>I159/R159*100</f>
        <v>54.439555786515527</v>
      </c>
      <c r="U159" s="416" t="s">
        <v>208</v>
      </c>
      <c r="W159" s="579">
        <f>W513+W620+W336</f>
        <v>685.00900000000001</v>
      </c>
      <c r="X159" s="579">
        <f>+X336+X513+X620</f>
        <v>474.65879628217397</v>
      </c>
      <c r="Y159" s="482"/>
      <c r="Z159" s="580">
        <f>W159/P159</f>
        <v>1.2500164233576643</v>
      </c>
      <c r="AB159" s="599">
        <f>(Z159/Z152-1)*100</f>
        <v>0.87986254495400207</v>
      </c>
      <c r="AC159" s="563" t="s">
        <v>208</v>
      </c>
      <c r="AE159" s="600">
        <f>+AE336+AE513+AE620</f>
        <v>4.9871040000000004</v>
      </c>
      <c r="AG159" s="582">
        <f>AVERAGE(AE159,AE155)</f>
        <v>4.9759039999999999</v>
      </c>
      <c r="AI159" s="539">
        <f>(AG159/AG152-1)*100</f>
        <v>6.5019222512406438</v>
      </c>
      <c r="AJ159" s="563" t="s">
        <v>208</v>
      </c>
      <c r="AK159" s="595">
        <f>+I159/AI159*100</f>
        <v>56.253746008599968</v>
      </c>
      <c r="AL159" s="416" t="s">
        <v>208</v>
      </c>
      <c r="AN159" s="579">
        <f>+W159</f>
        <v>685.00900000000001</v>
      </c>
      <c r="AP159" s="583">
        <f>W159/AG159</f>
        <v>137.66523630680979</v>
      </c>
      <c r="AR159" s="583">
        <f>AN159/AG159</f>
        <v>137.66523630680979</v>
      </c>
      <c r="AT159" s="599">
        <f>(AP159/AP152-1)*100</f>
        <v>1.0851002059124371</v>
      </c>
      <c r="AU159" s="563" t="s">
        <v>208</v>
      </c>
      <c r="AV159" s="579">
        <f>W159-X159</f>
        <v>210.35020371782605</v>
      </c>
      <c r="AW159" s="458">
        <f>AV159/AV152-1</f>
        <v>0.20173847146960178</v>
      </c>
      <c r="AX159" s="628"/>
      <c r="AY159" s="632"/>
      <c r="AZ159" s="416"/>
      <c r="BA159" s="416"/>
      <c r="BB159" s="416"/>
      <c r="BC159" s="416"/>
      <c r="BD159" s="416"/>
      <c r="BF159" s="416"/>
    </row>
    <row r="160" spans="1:58" ht="12.75" customHeight="1">
      <c r="A160" s="410" t="str">
        <f>$A$13</f>
        <v>2Q</v>
      </c>
      <c r="B160" s="562" t="str">
        <f>$B$13</f>
        <v>Jul</v>
      </c>
      <c r="D160" s="539">
        <f>(W160/W153-1)*100</f>
        <v>6.7343766137783367</v>
      </c>
      <c r="F160" s="601">
        <f>segSales!AU145</f>
        <v>4</v>
      </c>
      <c r="G160" s="601">
        <f>(((X366/X160)*G366)+((X542/X160)*G542)+((X713/X160)*G713))</f>
        <v>0</v>
      </c>
      <c r="I160" s="539">
        <f>D160-F160</f>
        <v>2.7343766137783367</v>
      </c>
      <c r="K160" s="410">
        <f>K337+K514+K621+K764</f>
        <v>556</v>
      </c>
      <c r="P160" s="587">
        <f>AVERAGE(K160,K159)</f>
        <v>553</v>
      </c>
      <c r="R160" s="539">
        <f>(P160/P153-1)*100</f>
        <v>6.243996157540832</v>
      </c>
      <c r="S160" s="563"/>
      <c r="T160" s="595">
        <f>I160/R160*100</f>
        <v>43.79209315297301</v>
      </c>
      <c r="U160" s="416"/>
      <c r="W160" s="623">
        <f>W514+W621+W337</f>
        <v>795.74</v>
      </c>
      <c r="X160" s="584">
        <f>+X337+X514+X621</f>
        <v>558.09047723084132</v>
      </c>
      <c r="Y160" s="482"/>
      <c r="Z160" s="585">
        <f>W160/P160</f>
        <v>1.4389511754068716</v>
      </c>
      <c r="AB160" s="599">
        <f>(Z160/Z153-1)*100</f>
        <v>0.4615606283392637</v>
      </c>
      <c r="AC160" s="563"/>
      <c r="AE160" s="600">
        <f>+AE337+AE514+AE621</f>
        <v>5.0516373333333329</v>
      </c>
      <c r="AG160" s="582">
        <f>AVERAGE(AE160,AE159)</f>
        <v>5.0193706666666671</v>
      </c>
      <c r="AI160" s="539">
        <f>(AG160/AG153-1)*100</f>
        <v>5.6720737411271038</v>
      </c>
      <c r="AJ160" s="563"/>
      <c r="AK160" s="595">
        <f>+I160/AI160*100</f>
        <v>48.207705657137417</v>
      </c>
      <c r="AL160" s="416"/>
      <c r="AN160" s="584">
        <f>+W160</f>
        <v>795.74</v>
      </c>
      <c r="AP160" s="586">
        <f>W160/AG160</f>
        <v>158.53381884794055</v>
      </c>
      <c r="AR160" s="586">
        <f>AN160/AG160</f>
        <v>158.53381884794055</v>
      </c>
      <c r="AT160" s="599">
        <f t="shared" ref="AT160:AT162" si="11">(AP160/AP153-1)*100</f>
        <v>1.005282507518146</v>
      </c>
      <c r="AU160" s="563"/>
      <c r="AV160" s="623">
        <f>W160-X160</f>
        <v>237.64952276915869</v>
      </c>
      <c r="AW160" s="458">
        <f>AV160/AV153-1</f>
        <v>0.18947025793521388</v>
      </c>
      <c r="AX160" s="628"/>
      <c r="AY160" s="632"/>
      <c r="AZ160" s="416"/>
      <c r="BA160" s="416"/>
      <c r="BB160" s="416"/>
      <c r="BC160" s="416"/>
      <c r="BD160" s="416"/>
      <c r="BF160" s="416"/>
    </row>
    <row r="161" spans="1:58" ht="12.75" customHeight="1">
      <c r="A161" s="410" t="str">
        <f>$A$14</f>
        <v>3Q</v>
      </c>
      <c r="B161" s="562" t="str">
        <f>$B$14</f>
        <v>Oct</v>
      </c>
      <c r="D161" s="539">
        <f>(W161/W154-1)*100</f>
        <v>2.5797529858376134</v>
      </c>
      <c r="F161" s="601">
        <f>segSales!AU146</f>
        <v>1</v>
      </c>
      <c r="G161" s="601">
        <f>(((X367/X161)*G367)+((X543/X161)*G543)+((X714/X161)*G714))</f>
        <v>0</v>
      </c>
      <c r="I161" s="539">
        <f>D161-F161</f>
        <v>1.5797529858376134</v>
      </c>
      <c r="K161" s="410">
        <f>K338+K515+K622+K765</f>
        <v>568</v>
      </c>
      <c r="P161" s="587">
        <f>AVERAGE(K161,K160)</f>
        <v>562</v>
      </c>
      <c r="R161" s="539">
        <f>(P161/P154-1)*100</f>
        <v>5.6390977443609103</v>
      </c>
      <c r="S161" s="563"/>
      <c r="T161" s="595">
        <f>I161/R161*100</f>
        <v>28.014286282186973</v>
      </c>
      <c r="U161" s="416"/>
      <c r="W161" s="700">
        <f>W515+W622+W338</f>
        <v>765.52499999999998</v>
      </c>
      <c r="X161" s="584">
        <f>+X338+X515+X622</f>
        <v>562.62375470249413</v>
      </c>
      <c r="Y161" s="482"/>
      <c r="Z161" s="585">
        <f>W161/P161</f>
        <v>1.3621441281138789</v>
      </c>
      <c r="AB161" s="599">
        <f>(Z161/Z154-1)*100</f>
        <v>-2.8960345400967924</v>
      </c>
      <c r="AC161" s="563"/>
      <c r="AE161" s="600">
        <f>+AE338+AE515+AE622</f>
        <v>5.1807039999999995</v>
      </c>
      <c r="AF161" s="482"/>
      <c r="AG161" s="582">
        <f>AVERAGE(AE161,AE160)</f>
        <v>5.1161706666666662</v>
      </c>
      <c r="AI161" s="539">
        <f>(AG161/AG154-1)*100</f>
        <v>5.6241104521026042</v>
      </c>
      <c r="AJ161" s="563"/>
      <c r="AK161" s="595">
        <f>+I161/AI161*100</f>
        <v>28.088939562824805</v>
      </c>
      <c r="AL161" s="416"/>
      <c r="AN161" s="584">
        <f>+W161</f>
        <v>765.52499999999998</v>
      </c>
      <c r="AP161" s="586">
        <f>W161/AG161</f>
        <v>149.62851121984986</v>
      </c>
      <c r="AR161" s="586">
        <f>AN161/AG161</f>
        <v>149.62851121984986</v>
      </c>
      <c r="AT161" s="599">
        <f t="shared" si="11"/>
        <v>-2.8822561943804725</v>
      </c>
      <c r="AU161" s="563"/>
      <c r="AV161" s="623">
        <f>W161-X161</f>
        <v>202.90124529750585</v>
      </c>
      <c r="AW161" s="458">
        <f>AV161/AV154-1</f>
        <v>6.555013072209559E-2</v>
      </c>
      <c r="AX161" s="628"/>
      <c r="AY161" s="632"/>
      <c r="AZ161" s="416"/>
      <c r="BA161" s="416"/>
      <c r="BB161" s="416"/>
      <c r="BC161" s="416"/>
      <c r="BD161" s="416"/>
      <c r="BF161" s="416"/>
    </row>
    <row r="162" spans="1:58" ht="12.75" customHeight="1">
      <c r="A162" s="410" t="str">
        <f>$A$15</f>
        <v>4Q</v>
      </c>
      <c r="B162" s="562" t="str">
        <f>$B$15</f>
        <v>Jan</v>
      </c>
      <c r="D162" s="596">
        <f>(W162/W155-1)*100</f>
        <v>-5.4727718950808857E-2</v>
      </c>
      <c r="F162" s="604">
        <f>segSales!AU147</f>
        <v>-2</v>
      </c>
      <c r="G162" s="604">
        <f>(((X368/X162)*G368)+((X544/X162)*G544)+((X715/X162)*G715))</f>
        <v>0</v>
      </c>
      <c r="I162" s="596">
        <f>D162-F162</f>
        <v>1.9452722810491911</v>
      </c>
      <c r="K162" s="410">
        <f>K339+K516+K623+K766</f>
        <v>574</v>
      </c>
      <c r="P162" s="588">
        <f>AVERAGE(K162,K161)</f>
        <v>571</v>
      </c>
      <c r="R162" s="596">
        <f>(P162/P155-1)*100</f>
        <v>5.2534562211981495</v>
      </c>
      <c r="S162" s="563"/>
      <c r="T162" s="598">
        <f>I162/R162*100</f>
        <v>37.028428507690798</v>
      </c>
      <c r="U162" s="416"/>
      <c r="W162" s="624">
        <f>W516+W623+W339</f>
        <v>938.68100000000004</v>
      </c>
      <c r="X162" s="589">
        <f>+X339+X516+X623</f>
        <v>700.63891806316178</v>
      </c>
      <c r="Y162" s="482"/>
      <c r="Z162" s="590">
        <f>W162/P162</f>
        <v>1.6439246935201401</v>
      </c>
      <c r="AB162" s="597">
        <f>(Z162/Z155-1)*100</f>
        <v>-5.0432395578473121</v>
      </c>
      <c r="AC162" s="563"/>
      <c r="AE162" s="600">
        <f>+AE339+AE516+AE623</f>
        <v>5.2452373333333329</v>
      </c>
      <c r="AF162" s="482"/>
      <c r="AG162" s="591">
        <f>AVERAGE(AE162,AE161)</f>
        <v>5.2129706666666662</v>
      </c>
      <c r="AI162" s="596">
        <f>(AG162/AG155-1)*100</f>
        <v>5.7640836974016896</v>
      </c>
      <c r="AJ162" s="563"/>
      <c r="AK162" s="598">
        <f>+I162/AI162*100</f>
        <v>33.748161601575518</v>
      </c>
      <c r="AL162" s="416"/>
      <c r="AN162" s="589">
        <f>+W162</f>
        <v>938.68100000000004</v>
      </c>
      <c r="AP162" s="592">
        <f>W162/AG162</f>
        <v>180.0664266158669</v>
      </c>
      <c r="AR162" s="592">
        <f>AN162/AG162</f>
        <v>180.0664266158669</v>
      </c>
      <c r="AT162" s="597">
        <f t="shared" si="11"/>
        <v>-5.5016894326816228</v>
      </c>
      <c r="AU162" s="563"/>
      <c r="AV162" s="624">
        <f>W162-X162</f>
        <v>238.04208193683826</v>
      </c>
      <c r="AW162" s="625">
        <f>AV162/AV155-1</f>
        <v>-3.8996612410815423E-2</v>
      </c>
      <c r="AX162" s="628"/>
      <c r="AY162" s="627" t="s">
        <v>94</v>
      </c>
      <c r="AZ162" s="416"/>
      <c r="BA162" s="416"/>
      <c r="BB162" s="416"/>
      <c r="BC162" s="416"/>
      <c r="BD162" s="416"/>
      <c r="BF162" s="416"/>
    </row>
    <row r="163" spans="1:58" ht="12.75" customHeight="1">
      <c r="B163" s="562" t="str">
        <f>$B$16</f>
        <v>Year</v>
      </c>
      <c r="D163" s="539">
        <f>(W163/W156-1)*100</f>
        <v>3.8362578514034684</v>
      </c>
      <c r="F163" s="601">
        <f>segSales!AU148</f>
        <v>1.5340975572611579</v>
      </c>
      <c r="G163" s="601">
        <f>(((X369/X163)*G369)+((X545/X163)*G545)+((X716/X163)*G716))</f>
        <v>0</v>
      </c>
      <c r="I163" s="539">
        <f>D163-F163</f>
        <v>2.3021602941423103</v>
      </c>
      <c r="P163" s="587">
        <f>AVERAGE(P159:P162)</f>
        <v>558.5</v>
      </c>
      <c r="R163" s="539">
        <f>(P163/P156-1)*100</f>
        <v>5.9520986483281968</v>
      </c>
      <c r="S163" s="563"/>
      <c r="T163" s="595">
        <f>I163/R163*100</f>
        <v>38.678127332263429</v>
      </c>
      <c r="U163" s="416"/>
      <c r="W163" s="579">
        <f>SUM(W159:W162)</f>
        <v>3184.9549999999999</v>
      </c>
      <c r="X163" s="579">
        <f>SUM(X159:X162)</f>
        <v>2296.0119462786715</v>
      </c>
      <c r="Z163" s="580">
        <f>W163/P163</f>
        <v>5.7026947179946283</v>
      </c>
      <c r="AB163" s="599">
        <f>(Z163/Z156-1)*100</f>
        <v>-1.9969786572586301</v>
      </c>
      <c r="AC163" s="563"/>
      <c r="AG163" s="582">
        <f>AVERAGE(AG159:AG162)</f>
        <v>5.0811039999999998</v>
      </c>
      <c r="AI163" s="539">
        <f>(AG163/AG156-1)*100</f>
        <v>5.8855879035745851</v>
      </c>
      <c r="AJ163" s="563"/>
      <c r="AK163" s="595">
        <f>+I163/AI163*100</f>
        <v>39.115213838605719</v>
      </c>
      <c r="AL163" s="416"/>
      <c r="AN163" s="579">
        <f>+W163</f>
        <v>3184.9549999999999</v>
      </c>
      <c r="AP163" s="583">
        <f>SUM(AP159:AP162)</f>
        <v>625.89399299046715</v>
      </c>
      <c r="AR163" s="583">
        <f>SUM(AR159:AR162)</f>
        <v>625.89399299046715</v>
      </c>
      <c r="AT163" s="599">
        <f>(AP163/AP156-1)*100</f>
        <v>-1.8609608124465327</v>
      </c>
      <c r="AU163" s="563"/>
      <c r="AV163" s="579">
        <f>SUM(AV159:AV162)</f>
        <v>888.94305372132885</v>
      </c>
      <c r="AW163" s="458">
        <f>AV163/AV156-1</f>
        <v>9.3473404161922513E-2</v>
      </c>
      <c r="AX163" s="416"/>
      <c r="AY163" s="629">
        <f>segSales!AE148/100</f>
        <v>0.10000000000000009</v>
      </c>
      <c r="AZ163" s="416"/>
      <c r="BA163" s="416"/>
      <c r="BB163" s="416"/>
      <c r="BC163" s="416"/>
      <c r="BD163" s="416"/>
      <c r="BF163" s="416"/>
    </row>
    <row r="164" spans="1:58" ht="12.75" customHeight="1">
      <c r="B164" s="562"/>
      <c r="D164" s="539"/>
      <c r="G164" s="633"/>
      <c r="I164" s="539"/>
      <c r="P164" s="587"/>
      <c r="R164" s="539"/>
      <c r="S164" s="563"/>
      <c r="T164" s="595"/>
      <c r="U164" s="416"/>
      <c r="X164" s="579"/>
      <c r="Z164" s="580"/>
      <c r="AB164" s="599"/>
      <c r="AC164" s="563"/>
      <c r="AG164" s="582"/>
      <c r="AI164" s="539"/>
      <c r="AJ164" s="563"/>
      <c r="AK164" s="595"/>
      <c r="AL164" s="416"/>
      <c r="AN164" s="579"/>
      <c r="AP164" s="583"/>
      <c r="AR164" s="583"/>
      <c r="AT164" s="599"/>
      <c r="AU164" s="563"/>
      <c r="AW164" s="416"/>
      <c r="AX164" s="416"/>
      <c r="AY164" s="416"/>
      <c r="AZ164" s="416"/>
      <c r="BA164" s="416"/>
      <c r="BB164" s="416"/>
      <c r="BC164" s="416"/>
      <c r="BD164" s="416"/>
      <c r="BF164" s="416"/>
    </row>
    <row r="165" spans="1:58" ht="12.75" customHeight="1">
      <c r="B165" s="431">
        <f>B158+1</f>
        <v>2016</v>
      </c>
      <c r="D165" s="539"/>
      <c r="G165" s="601"/>
      <c r="I165" s="539"/>
      <c r="P165" s="587"/>
      <c r="R165" s="539"/>
      <c r="S165" s="563"/>
      <c r="T165" s="595"/>
      <c r="U165" s="416"/>
      <c r="W165" s="579"/>
      <c r="X165" s="579"/>
      <c r="Z165" s="580"/>
      <c r="AB165" s="599"/>
      <c r="AC165" s="563"/>
      <c r="AG165" s="582"/>
      <c r="AI165" s="539"/>
      <c r="AJ165" s="563"/>
      <c r="AK165" s="595"/>
      <c r="AL165" s="416"/>
      <c r="AN165" s="579"/>
      <c r="AP165" s="583"/>
      <c r="AR165" s="583"/>
      <c r="AT165" s="599"/>
      <c r="AU165" s="563"/>
      <c r="AV165" s="579"/>
      <c r="AW165" s="631"/>
      <c r="AX165" s="628"/>
      <c r="AY165" s="632"/>
      <c r="AZ165" s="416"/>
      <c r="BA165" s="416"/>
      <c r="BB165" s="416"/>
      <c r="BC165" s="416"/>
      <c r="BD165" s="416"/>
      <c r="BF165" s="416"/>
    </row>
    <row r="166" spans="1:58" ht="12.75" customHeight="1">
      <c r="A166" s="410" t="str">
        <f>$A$12</f>
        <v>1Q</v>
      </c>
      <c r="B166" s="562" t="str">
        <f>$B$12</f>
        <v>Apr</v>
      </c>
      <c r="D166" s="539">
        <f>(W166/W159-1)*100</f>
        <v>1.4719514634114361</v>
      </c>
      <c r="E166" s="563" t="s">
        <v>208</v>
      </c>
      <c r="F166" s="601">
        <f>segSales!AU151</f>
        <v>1</v>
      </c>
      <c r="G166" s="601">
        <f>(((X372/X166)*G372)+((X548/X166)*G548)+((X719/X166)*G719))</f>
        <v>0</v>
      </c>
      <c r="H166" s="563" t="s">
        <v>208</v>
      </c>
      <c r="I166" s="539">
        <f>D166-F166</f>
        <v>0.47195146341143612</v>
      </c>
      <c r="J166" s="563" t="s">
        <v>208</v>
      </c>
      <c r="K166" s="410">
        <f>K343+K520+K627</f>
        <v>574</v>
      </c>
      <c r="P166" s="587">
        <f>AVERAGE(K166,K162)</f>
        <v>574</v>
      </c>
      <c r="R166" s="539">
        <f>(P166/P159-1)*100</f>
        <v>4.7445255474452663</v>
      </c>
      <c r="S166" s="563" t="s">
        <v>208</v>
      </c>
      <c r="T166" s="595">
        <f>I166/R166*100</f>
        <v>9.9472846903640928</v>
      </c>
      <c r="U166" s="416" t="s">
        <v>208</v>
      </c>
      <c r="W166" s="579">
        <f>W520+W627+W343</f>
        <v>695.09199999999998</v>
      </c>
      <c r="X166" s="579">
        <f>+X343+X520+X627</f>
        <v>475.67140192301241</v>
      </c>
      <c r="Y166" s="482"/>
      <c r="Z166" s="580">
        <f>W166/P166</f>
        <v>1.2109616724738677</v>
      </c>
      <c r="AB166" s="599">
        <f>(Z166/Z159-1)*100</f>
        <v>-3.1243390209939603</v>
      </c>
      <c r="AC166" s="563" t="s">
        <v>208</v>
      </c>
      <c r="AE166" s="600">
        <f>AE343+AE520+AE627+AE777</f>
        <v>5.248704</v>
      </c>
      <c r="AG166" s="582">
        <f>AVERAGE(AE166,AE162)</f>
        <v>5.246970666666666</v>
      </c>
      <c r="AI166" s="539">
        <f>(AG166/AG159-1)*100</f>
        <v>5.4475863414299441</v>
      </c>
      <c r="AJ166" s="563" t="s">
        <v>208</v>
      </c>
      <c r="AK166" s="595">
        <f>+I166/AI166*100</f>
        <v>8.6634967090315627</v>
      </c>
      <c r="AL166" s="416" t="s">
        <v>208</v>
      </c>
      <c r="AN166" s="579">
        <f>+W166</f>
        <v>695.09199999999998</v>
      </c>
      <c r="AP166" s="583">
        <f>W166/AG166</f>
        <v>132.47491631996928</v>
      </c>
      <c r="AR166" s="583">
        <f>AN166/AG166</f>
        <v>132.47491631996928</v>
      </c>
      <c r="AT166" s="599">
        <f>(AP166/AP159-1)*100</f>
        <v>-3.7702473958443838</v>
      </c>
      <c r="AU166" s="563" t="s">
        <v>208</v>
      </c>
      <c r="AV166" s="579">
        <f>W166-X166</f>
        <v>219.42059807698757</v>
      </c>
      <c r="AW166" s="458">
        <f>AV166/AV159-1</f>
        <v>4.3120444852665862E-2</v>
      </c>
      <c r="AX166" s="628"/>
      <c r="AY166" s="632"/>
      <c r="AZ166" s="416"/>
      <c r="BA166" s="416"/>
      <c r="BB166" s="416"/>
      <c r="BC166" s="416"/>
      <c r="BD166" s="416"/>
      <c r="BF166" s="416"/>
    </row>
    <row r="167" spans="1:58" ht="12.75" customHeight="1">
      <c r="A167" s="410" t="str">
        <f>$A$13</f>
        <v>2Q</v>
      </c>
      <c r="B167" s="562" t="str">
        <f>$B$13</f>
        <v>Jul</v>
      </c>
      <c r="D167" s="539">
        <f>(W167/W160-1)*100</f>
        <v>1.7998341166712839</v>
      </c>
      <c r="F167" s="601">
        <f>segSales!AU152</f>
        <v>1</v>
      </c>
      <c r="G167" s="601">
        <f>(((X373/X167)*G373)+((X549/X167)*G549)+((X720/X167)*G720))</f>
        <v>0</v>
      </c>
      <c r="I167" s="539">
        <f>D167-F167</f>
        <v>0.7998341166712839</v>
      </c>
      <c r="K167" s="410">
        <f>K344+K521+K628</f>
        <v>581</v>
      </c>
      <c r="P167" s="587">
        <f>AVERAGE(K167,K166)</f>
        <v>577.5</v>
      </c>
      <c r="R167" s="539">
        <f>(P167/P160-1)*100</f>
        <v>4.4303797468354444</v>
      </c>
      <c r="S167" s="563"/>
      <c r="T167" s="595">
        <f>I167/R167*100</f>
        <v>18.053398633437546</v>
      </c>
      <c r="U167" s="416"/>
      <c r="W167" s="623">
        <f>W521+W628+W344</f>
        <v>810.06200000000001</v>
      </c>
      <c r="X167" s="584">
        <f>+X344+X521+X628</f>
        <v>559.95652691604892</v>
      </c>
      <c r="Y167" s="482"/>
      <c r="Z167" s="585">
        <f>W167/P167</f>
        <v>1.4027047619047619</v>
      </c>
      <c r="AB167" s="599">
        <f>(Z167/Z160-1)*100</f>
        <v>-2.5189467246420461</v>
      </c>
      <c r="AC167" s="563"/>
      <c r="AE167" s="600">
        <f>AE344+AE521+AE628+AE778</f>
        <v>5.3144373333333332</v>
      </c>
      <c r="AG167" s="582">
        <f>AVERAGE(AE167,AE166)</f>
        <v>5.2815706666666671</v>
      </c>
      <c r="AI167" s="539">
        <f>(AG167/AG160-1)*100</f>
        <v>5.2237624477756484</v>
      </c>
      <c r="AJ167" s="563"/>
      <c r="AK167" s="595">
        <f>+I167/AI167*100</f>
        <v>15.311456534779152</v>
      </c>
      <c r="AL167" s="416"/>
      <c r="AN167" s="584">
        <f>+W167</f>
        <v>810.06200000000001</v>
      </c>
      <c r="AP167" s="586">
        <f>W167/AG167</f>
        <v>153.37520808204025</v>
      </c>
      <c r="AR167" s="586">
        <f>AN167/AG167</f>
        <v>153.37520808204025</v>
      </c>
      <c r="AT167" s="599">
        <f t="shared" ref="AT167:AT169" si="12">(AP167/AP160-1)*100</f>
        <v>-3.2539497271861229</v>
      </c>
      <c r="AU167" s="563"/>
      <c r="AV167" s="623">
        <f>W167-X167</f>
        <v>250.1054730839511</v>
      </c>
      <c r="AW167" s="458">
        <f>AV167/AV160-1</f>
        <v>5.2413108890992932E-2</v>
      </c>
      <c r="AX167" s="628"/>
      <c r="AY167" s="632"/>
      <c r="AZ167" s="416"/>
      <c r="BA167" s="416"/>
      <c r="BB167" s="416"/>
      <c r="BC167" s="416"/>
      <c r="BD167" s="416"/>
      <c r="BF167" s="416"/>
    </row>
    <row r="168" spans="1:58" ht="12.75" customHeight="1">
      <c r="A168" s="410" t="str">
        <f>$A$14</f>
        <v>3Q</v>
      </c>
      <c r="B168" s="562" t="str">
        <f>$B$14</f>
        <v>Oct</v>
      </c>
      <c r="D168" s="539">
        <f>(W168/W161-1)*100</f>
        <v>1.7834819241696831</v>
      </c>
      <c r="F168" s="601">
        <f>segSales!AU153</f>
        <v>1</v>
      </c>
      <c r="G168" s="601">
        <f>(((X374/X168)*G374)+((X550/X168)*G550)+((X721/X168)*G721))</f>
        <v>2.3141151455220877E-2</v>
      </c>
      <c r="I168" s="539">
        <f>D168-F168</f>
        <v>0.7834819241696831</v>
      </c>
      <c r="K168" s="410">
        <f>K345+K522+K629</f>
        <v>592</v>
      </c>
      <c r="P168" s="587">
        <f>AVERAGE(K168,K167)</f>
        <v>586.5</v>
      </c>
      <c r="R168" s="539">
        <f>(P168/P161-1)*100</f>
        <v>4.3594306049822062</v>
      </c>
      <c r="S168" s="563"/>
      <c r="T168" s="595">
        <f>I168/R168*100</f>
        <v>17.972115974831098</v>
      </c>
      <c r="U168" s="416"/>
      <c r="W168" s="623">
        <f>W522+W629+W345</f>
        <v>779.178</v>
      </c>
      <c r="X168" s="584">
        <f>+X345+X522+X629</f>
        <v>563.06619077333335</v>
      </c>
      <c r="Y168" s="482"/>
      <c r="Z168" s="585">
        <f>W168/P168</f>
        <v>1.3285217391304347</v>
      </c>
      <c r="AB168" s="599">
        <f>(Z168/Z161-1)*100</f>
        <v>-2.4683429814435387</v>
      </c>
      <c r="AC168" s="563"/>
      <c r="AE168" s="600">
        <f>AE345+AE522+AE629+AE779</f>
        <v>5.4479039999999994</v>
      </c>
      <c r="AF168" s="482"/>
      <c r="AG168" s="582">
        <f>AVERAGE(AE168,AE167)</f>
        <v>5.3811706666666659</v>
      </c>
      <c r="AI168" s="539">
        <f>(AG168/AG161-1)*100</f>
        <v>5.1796552004520047</v>
      </c>
      <c r="AJ168" s="563"/>
      <c r="AK168" s="595">
        <f>+I168/AI168*100</f>
        <v>15.126140521888642</v>
      </c>
      <c r="AL168" s="416"/>
      <c r="AN168" s="584">
        <f>+W168</f>
        <v>779.178</v>
      </c>
      <c r="AP168" s="586">
        <f>W168/AG168</f>
        <v>144.79711725676546</v>
      </c>
      <c r="AR168" s="586">
        <f>AN168/AG168</f>
        <v>144.79711725676546</v>
      </c>
      <c r="AT168" s="599">
        <f t="shared" si="12"/>
        <v>-3.2289260406966225</v>
      </c>
      <c r="AU168" s="563"/>
      <c r="AV168" s="623">
        <f>W168-X168</f>
        <v>216.11180922666665</v>
      </c>
      <c r="AW168" s="458">
        <f>AV168/AV161-1</f>
        <v>6.51083432720716E-2</v>
      </c>
      <c r="AX168" s="628"/>
      <c r="AY168" s="632"/>
      <c r="AZ168" s="416"/>
      <c r="BA168" s="416"/>
      <c r="BB168" s="416"/>
      <c r="BC168" s="416"/>
      <c r="BD168" s="416"/>
      <c r="BF168" s="416"/>
    </row>
    <row r="169" spans="1:58" ht="12.75" customHeight="1">
      <c r="A169" s="410" t="str">
        <f>$A$15</f>
        <v>4Q</v>
      </c>
      <c r="B169" s="562" t="str">
        <f>$B$15</f>
        <v>Jan</v>
      </c>
      <c r="D169" s="596">
        <f>(W169/W162-1)*100</f>
        <v>1.1931635987092459</v>
      </c>
      <c r="F169" s="604">
        <f>segSales!AU154</f>
        <v>0</v>
      </c>
      <c r="G169" s="604">
        <f>(((X375/X169)*G375)+((X551/X169)*G551)+((X722/X169)*G722))</f>
        <v>3.2746316411395297E-2</v>
      </c>
      <c r="I169" s="596">
        <f>D169-F169</f>
        <v>1.1931635987092459</v>
      </c>
      <c r="K169" s="410">
        <f>K346+K523+K630</f>
        <v>594</v>
      </c>
      <c r="P169" s="588">
        <f>AVERAGE(K169,K168)</f>
        <v>593</v>
      </c>
      <c r="R169" s="596">
        <f>(P169/P162-1)*100</f>
        <v>3.8528896672504365</v>
      </c>
      <c r="S169" s="563"/>
      <c r="T169" s="598">
        <f>I169/R169*100</f>
        <v>30.968018857408168</v>
      </c>
      <c r="U169" s="416"/>
      <c r="W169" s="624">
        <f>W523+W630+W346</f>
        <v>949.88099999999997</v>
      </c>
      <c r="X169" s="589">
        <f>+X346+X523+X630</f>
        <v>706.03361030111262</v>
      </c>
      <c r="Y169" s="482"/>
      <c r="Z169" s="590">
        <f>W169/P169</f>
        <v>1.601822934232715</v>
      </c>
      <c r="AB169" s="597">
        <f>(Z169/Z162-1)*100</f>
        <v>-2.561051576959561</v>
      </c>
      <c r="AC169" s="563"/>
      <c r="AE169" s="600">
        <f>AE346+AE523+AE630+AE780</f>
        <v>5.4497039999999997</v>
      </c>
      <c r="AF169" s="482"/>
      <c r="AG169" s="591">
        <f>AVERAGE(AE169,AE168)</f>
        <v>5.4488039999999991</v>
      </c>
      <c r="AI169" s="596">
        <f>(AG169/AG162-1)*100</f>
        <v>4.5239720000981976</v>
      </c>
      <c r="AJ169" s="563"/>
      <c r="AK169" s="598">
        <f>+I169/AI169*100</f>
        <v>26.374248087374259</v>
      </c>
      <c r="AL169" s="416"/>
      <c r="AN169" s="589">
        <f>+W169</f>
        <v>949.88099999999997</v>
      </c>
      <c r="AP169" s="592">
        <f>W169/AG169</f>
        <v>174.32834801912495</v>
      </c>
      <c r="AR169" s="592">
        <f>AN169/AG169</f>
        <v>174.32834801912495</v>
      </c>
      <c r="AT169" s="597">
        <f t="shared" si="12"/>
        <v>-3.1866454533375665</v>
      </c>
      <c r="AU169" s="563"/>
      <c r="AV169" s="624">
        <f>W169-X169</f>
        <v>243.84738969888735</v>
      </c>
      <c r="AW169" s="625">
        <f>AV169/AV162-1</f>
        <v>2.4387737306000634E-2</v>
      </c>
      <c r="AX169" s="628"/>
      <c r="AY169" s="627" t="s">
        <v>94</v>
      </c>
      <c r="AZ169" s="416"/>
      <c r="BA169" s="416"/>
      <c r="BB169" s="416"/>
      <c r="BC169" s="416"/>
      <c r="BD169" s="416"/>
      <c r="BF169" s="416"/>
    </row>
    <row r="170" spans="1:58" ht="12.75" customHeight="1">
      <c r="B170" s="562" t="str">
        <f>$B$16</f>
        <v>Year</v>
      </c>
      <c r="D170" s="539">
        <f>(W170/W163-1)*100</f>
        <v>1.5465838606824933</v>
      </c>
      <c r="F170" s="601">
        <f>segSales!AU155</f>
        <v>1</v>
      </c>
      <c r="G170" s="601">
        <f>(((X376/X170)*G376)+((X552/X170)*G552)+((X723/X170)*G723))</f>
        <v>-2.6185305629253157E-3</v>
      </c>
      <c r="I170" s="539">
        <f>D170-F170</f>
        <v>0.54658386068249332</v>
      </c>
      <c r="P170" s="587">
        <f>AVERAGE(P166:P169)</f>
        <v>582.75</v>
      </c>
      <c r="R170" s="539">
        <f>(P170/P163-1)*100</f>
        <v>4.3419874664279323</v>
      </c>
      <c r="S170" s="563"/>
      <c r="T170" s="595">
        <f>I170/R170*100</f>
        <v>12.58833345118237</v>
      </c>
      <c r="U170" s="416"/>
      <c r="W170" s="579">
        <f>SUM(W166:W169)</f>
        <v>3234.2129999999997</v>
      </c>
      <c r="X170" s="579">
        <f>SUM(X166:X169)</f>
        <v>2304.7277299135071</v>
      </c>
      <c r="Z170" s="580">
        <f>W170/P170</f>
        <v>5.5499150579150571</v>
      </c>
      <c r="AB170" s="599">
        <f>(Z170/Z163-1)*100</f>
        <v>-2.679078359174325</v>
      </c>
      <c r="AC170" s="563"/>
      <c r="AG170" s="582">
        <f>AVERAGE(AG166:AG169)</f>
        <v>5.3396289999999995</v>
      </c>
      <c r="AI170" s="539">
        <f>(AG170/AG163-1)*100</f>
        <v>5.087969071288434</v>
      </c>
      <c r="AJ170" s="563"/>
      <c r="AK170" s="595">
        <f>+I170/AI170*100</f>
        <v>10.742672626822417</v>
      </c>
      <c r="AL170" s="416"/>
      <c r="AN170" s="579">
        <f>+W170</f>
        <v>3234.2129999999997</v>
      </c>
      <c r="AP170" s="583">
        <f>SUM(AP166:AP169)</f>
        <v>604.97558967789996</v>
      </c>
      <c r="AR170" s="583">
        <f>SUM(AR166:AR169)</f>
        <v>604.97558967789996</v>
      </c>
      <c r="AT170" s="599">
        <f>(AP170/AP163-1)*100</f>
        <v>-3.3421639361996269</v>
      </c>
      <c r="AU170" s="563"/>
      <c r="AV170" s="579">
        <f>SUM(AV166:AV169)</f>
        <v>929.48527008649262</v>
      </c>
      <c r="AW170" s="458">
        <f>AV170/AV163-1</f>
        <v>4.5607214315297684E-2</v>
      </c>
      <c r="AX170" s="416"/>
      <c r="AY170" s="629">
        <f>segSales!AE155/100</f>
        <v>0.14999999999999991</v>
      </c>
      <c r="AZ170" s="416"/>
      <c r="BA170" s="416"/>
      <c r="BB170" s="416"/>
      <c r="BC170" s="416"/>
      <c r="BD170" s="416"/>
      <c r="BF170" s="416"/>
    </row>
    <row r="171" spans="1:58" ht="12.75" customHeight="1">
      <c r="B171" s="562"/>
      <c r="D171" s="539"/>
      <c r="G171" s="633"/>
      <c r="I171" s="539"/>
      <c r="P171" s="587"/>
      <c r="R171" s="539"/>
      <c r="S171" s="563"/>
      <c r="T171" s="595"/>
      <c r="U171" s="416"/>
      <c r="X171" s="579"/>
      <c r="Z171" s="580"/>
      <c r="AB171" s="599"/>
      <c r="AC171" s="563"/>
      <c r="AG171" s="582"/>
      <c r="AI171" s="539"/>
      <c r="AJ171" s="563"/>
      <c r="AK171" s="595"/>
      <c r="AL171" s="416"/>
      <c r="AN171" s="579"/>
      <c r="AP171" s="583"/>
      <c r="AR171" s="583"/>
      <c r="AT171" s="599"/>
      <c r="AU171" s="563"/>
      <c r="AW171" s="416"/>
      <c r="AX171" s="416"/>
      <c r="AY171" s="416"/>
      <c r="AZ171" s="416"/>
      <c r="BA171" s="416"/>
      <c r="BB171" s="416"/>
      <c r="BC171" s="416"/>
      <c r="BD171" s="416"/>
      <c r="BF171" s="416"/>
    </row>
    <row r="172" spans="1:58" ht="12.75" customHeight="1">
      <c r="B172" s="431">
        <f>B165+1</f>
        <v>2017</v>
      </c>
      <c r="D172" s="539"/>
      <c r="G172" s="601"/>
      <c r="I172" s="539"/>
      <c r="P172" s="587"/>
      <c r="R172" s="539"/>
      <c r="S172" s="563"/>
      <c r="T172" s="595"/>
      <c r="U172" s="416"/>
      <c r="W172" s="579"/>
      <c r="X172" s="579"/>
      <c r="Z172" s="580"/>
      <c r="AB172" s="599"/>
      <c r="AC172" s="563"/>
      <c r="AG172" s="582"/>
      <c r="AI172" s="539"/>
      <c r="AJ172" s="563"/>
      <c r="AK172" s="595"/>
      <c r="AL172" s="416"/>
      <c r="AN172" s="579"/>
      <c r="AP172" s="583"/>
      <c r="AR172" s="583"/>
      <c r="AT172" s="599"/>
      <c r="AU172" s="563"/>
      <c r="AV172" s="579"/>
      <c r="AW172" s="631"/>
      <c r="AX172" s="628"/>
      <c r="AY172" s="632"/>
      <c r="AZ172" s="416"/>
      <c r="BA172" s="416"/>
      <c r="BB172" s="416"/>
      <c r="BC172" s="416"/>
      <c r="BD172" s="416"/>
      <c r="BF172" s="416"/>
    </row>
    <row r="173" spans="1:58" ht="12.75" customHeight="1">
      <c r="A173" s="410" t="str">
        <f>$A$12</f>
        <v>1Q</v>
      </c>
      <c r="B173" s="562" t="str">
        <f>$B$12</f>
        <v>Apr</v>
      </c>
      <c r="D173" s="539">
        <f>(W173/W166-1)*100</f>
        <v>-1.5221006715657848</v>
      </c>
      <c r="E173" s="563" t="s">
        <v>208</v>
      </c>
      <c r="F173" s="601">
        <f>segSales!AU158</f>
        <v>-3.1</v>
      </c>
      <c r="G173" s="601" t="e">
        <f>(((X379/X173)*G379)+((X555/X173)*G555)+((X726/X173)*G726))</f>
        <v>#DIV/0!</v>
      </c>
      <c r="H173" s="563" t="s">
        <v>208</v>
      </c>
      <c r="I173" s="539">
        <f>D173-F173</f>
        <v>1.5778993284342153</v>
      </c>
      <c r="J173" s="563" t="s">
        <v>208</v>
      </c>
      <c r="K173" s="410">
        <f>K527+K634+K350</f>
        <v>597</v>
      </c>
      <c r="P173" s="587">
        <f>P527+P634+P350</f>
        <v>595.5</v>
      </c>
      <c r="R173" s="539">
        <f>(P173/P166-1)*100</f>
        <v>3.7456445993031329</v>
      </c>
      <c r="S173" s="563" t="s">
        <v>208</v>
      </c>
      <c r="T173" s="595">
        <f>I173/R173*100</f>
        <v>42.126242535871647</v>
      </c>
      <c r="U173" s="416" t="s">
        <v>208</v>
      </c>
      <c r="W173" s="579">
        <f>W527+W634+W350</f>
        <v>684.51199999999994</v>
      </c>
      <c r="X173" s="579">
        <f>+X365+X541+X648</f>
        <v>0</v>
      </c>
      <c r="Y173" s="482"/>
      <c r="Z173" s="580">
        <f>W173/P173</f>
        <v>1.149474391267842</v>
      </c>
      <c r="AB173" s="599">
        <f>(Z173/Z166-1)*100</f>
        <v>-5.0775579940869342</v>
      </c>
      <c r="AC173" s="563" t="s">
        <v>208</v>
      </c>
      <c r="AE173" s="600">
        <f>AE527+AE634+AE350</f>
        <v>5.4665039999999987</v>
      </c>
      <c r="AG173" s="582">
        <f>AVERAGE(AE173,AE169)</f>
        <v>5.4581039999999987</v>
      </c>
      <c r="AI173" s="539">
        <f>(AG173/AG166-1)*100</f>
        <v>4.0239091610447808</v>
      </c>
      <c r="AJ173" s="563" t="s">
        <v>208</v>
      </c>
      <c r="AK173" s="595">
        <f>+I173/AI173*100</f>
        <v>39.213095159049871</v>
      </c>
      <c r="AL173" s="416" t="s">
        <v>208</v>
      </c>
      <c r="AN173" s="579">
        <f>+W173</f>
        <v>684.51199999999994</v>
      </c>
      <c r="AP173" s="583">
        <f>W173/AG173</f>
        <v>125.41204784665153</v>
      </c>
      <c r="AR173" s="583">
        <f>AN173/AG173</f>
        <v>125.41204784665153</v>
      </c>
      <c r="AT173" s="599">
        <f>(AP173/AP166-1)*100</f>
        <v>-5.3314760782778414</v>
      </c>
      <c r="AU173" s="563" t="s">
        <v>208</v>
      </c>
      <c r="AV173" s="579">
        <f>W173-X173</f>
        <v>684.51199999999994</v>
      </c>
      <c r="AW173" s="458">
        <f>AV173/AV166-1</f>
        <v>2.1196341911338101</v>
      </c>
      <c r="AX173" s="628"/>
      <c r="AY173" s="632"/>
      <c r="AZ173" s="416"/>
      <c r="BA173" s="416"/>
      <c r="BB173" s="416"/>
      <c r="BC173" s="416"/>
      <c r="BD173" s="416"/>
      <c r="BF173" s="416"/>
    </row>
    <row r="174" spans="1:58" ht="12.75" customHeight="1">
      <c r="A174" s="410" t="str">
        <f>$A$13</f>
        <v>2Q</v>
      </c>
      <c r="B174" s="562" t="str">
        <f>$B$13</f>
        <v>Jul</v>
      </c>
      <c r="D174" s="539">
        <f>(W174/W167-1)*100</f>
        <v>-3.1923482400112557</v>
      </c>
      <c r="F174" s="601">
        <f>segSales!AU159</f>
        <v>-4.9000000000000004</v>
      </c>
      <c r="G174" s="601" t="e">
        <f>(((X380/X174)*G380)+((X556/X174)*G556)+((X727/X174)*G727))</f>
        <v>#DIV/0!</v>
      </c>
      <c r="I174" s="539">
        <f>D174-F174</f>
        <v>1.7076517599887446</v>
      </c>
      <c r="K174" s="410">
        <f>K528+K635+K351</f>
        <v>600</v>
      </c>
      <c r="P174" s="587">
        <f>P528+P635+P351</f>
        <v>598.5</v>
      </c>
      <c r="R174" s="539">
        <f>(P174/P167-1)*100</f>
        <v>3.6363636363636376</v>
      </c>
      <c r="S174" s="563"/>
      <c r="T174" s="595">
        <f>I174/R174*100</f>
        <v>46.960423399690463</v>
      </c>
      <c r="U174" s="416"/>
      <c r="W174" s="623">
        <f>W528+W635+W351</f>
        <v>784.202</v>
      </c>
      <c r="X174" s="584">
        <f>+X366+X542+X649</f>
        <v>0</v>
      </c>
      <c r="Y174" s="482"/>
      <c r="Z174" s="585">
        <f>W174/P174</f>
        <v>1.3102790309106098</v>
      </c>
      <c r="AB174" s="599">
        <f>(Z174/Z167-1)*100</f>
        <v>-6.5891079508880619</v>
      </c>
      <c r="AC174" s="563"/>
      <c r="AE174" s="600">
        <f>AE528+AE635+AE351</f>
        <v>5.5065039999999996</v>
      </c>
      <c r="AG174" s="582">
        <f>AVERAGE(AE174,AE173)</f>
        <v>5.4865039999999992</v>
      </c>
      <c r="AI174" s="539">
        <f>(AG174/AG167-1)*100</f>
        <v>3.8801588820295052</v>
      </c>
      <c r="AJ174" s="563"/>
      <c r="AK174" s="595">
        <f>+I174/AI174*100</f>
        <v>44.009841140720575</v>
      </c>
      <c r="AL174" s="416"/>
      <c r="AN174" s="584">
        <f>+W174</f>
        <v>784.202</v>
      </c>
      <c r="AP174" s="586">
        <f>W174/AG174</f>
        <v>142.93291319937069</v>
      </c>
      <c r="AR174" s="586">
        <f>AN174/AG174</f>
        <v>142.93291319937069</v>
      </c>
      <c r="AT174" s="599">
        <f t="shared" ref="AT174:AT176" si="13">(AP174/AP167-1)*100</f>
        <v>-6.8083329850049719</v>
      </c>
      <c r="AU174" s="563"/>
      <c r="AV174" s="623">
        <f>W174-X174</f>
        <v>784.202</v>
      </c>
      <c r="AW174" s="458">
        <f>AV174/AV167-1</f>
        <v>2.1354851628407689</v>
      </c>
      <c r="AX174" s="628"/>
      <c r="AY174" s="632"/>
      <c r="AZ174" s="416"/>
      <c r="BA174" s="416"/>
      <c r="BB174" s="416"/>
      <c r="BC174" s="416"/>
      <c r="BD174" s="416"/>
      <c r="BF174" s="416"/>
    </row>
    <row r="175" spans="1:58" ht="12.75" customHeight="1">
      <c r="A175" s="410" t="str">
        <f>$A$14</f>
        <v>3Q</v>
      </c>
      <c r="B175" s="562" t="str">
        <f>$B$14</f>
        <v>Oct</v>
      </c>
      <c r="D175" s="539">
        <f>(W175/W168-1)*100</f>
        <v>2.9681279502244529</v>
      </c>
      <c r="F175" s="601">
        <f>segSales!AU160</f>
        <v>2</v>
      </c>
      <c r="G175" s="601" t="e">
        <f>(((X381/X175)*G381)+((X557/X175)*G557)+((X728/X175)*G728))</f>
        <v>#DIV/0!</v>
      </c>
      <c r="I175" s="539">
        <f>D175-F175</f>
        <v>0.96812795022445286</v>
      </c>
      <c r="K175" s="410">
        <f>K529+K636+K352</f>
        <v>604</v>
      </c>
      <c r="P175" s="587">
        <f>P529+P636+P352</f>
        <v>602</v>
      </c>
      <c r="R175" s="539">
        <f>(P175/P168-1)*100</f>
        <v>2.6427962489343537</v>
      </c>
      <c r="S175" s="563"/>
      <c r="T175" s="595">
        <f>I175/R175*100</f>
        <v>36.632712439138203</v>
      </c>
      <c r="U175" s="416"/>
      <c r="W175" s="623">
        <f>W529+W636+W352</f>
        <v>802.30499999999995</v>
      </c>
      <c r="X175" s="584">
        <f>+X367+X543+X650</f>
        <v>0</v>
      </c>
      <c r="Y175" s="482"/>
      <c r="Z175" s="585">
        <f>W175/P175</f>
        <v>1.3327325581395348</v>
      </c>
      <c r="AB175" s="599">
        <f>(Z175/Z168-1)*100</f>
        <v>0.31695522060906089</v>
      </c>
      <c r="AC175" s="563"/>
      <c r="AE175" s="600">
        <f>AE529+AE636+AE352</f>
        <v>5.5477039999999995</v>
      </c>
      <c r="AF175" s="482"/>
      <c r="AG175" s="582">
        <f>AVERAGE(AE175,AE174)</f>
        <v>5.5271039999999996</v>
      </c>
      <c r="AI175" s="539">
        <f>(AG175/AG168-1)*100</f>
        <v>2.7119253852569525</v>
      </c>
      <c r="AJ175" s="563"/>
      <c r="AK175" s="595">
        <f>+I175/AI175*100</f>
        <v>35.698915445371796</v>
      </c>
      <c r="AL175" s="416"/>
      <c r="AN175" s="584">
        <f>+W175</f>
        <v>802.30499999999995</v>
      </c>
      <c r="AP175" s="586">
        <f>W175/AG175</f>
        <v>145.15829627957064</v>
      </c>
      <c r="AR175" s="586">
        <f>AN175/AG175</f>
        <v>145.15829627957064</v>
      </c>
      <c r="AT175" s="599">
        <f t="shared" si="13"/>
        <v>0.24943799272238998</v>
      </c>
      <c r="AU175" s="563"/>
      <c r="AV175" s="623">
        <f>W175-X175</f>
        <v>802.30499999999995</v>
      </c>
      <c r="AW175" s="458">
        <f>AV175/AV168-1</f>
        <v>2.7124533030886369</v>
      </c>
      <c r="AX175" s="628"/>
      <c r="AY175" s="632"/>
      <c r="AZ175" s="416"/>
      <c r="BA175" s="416"/>
      <c r="BB175" s="416"/>
      <c r="BC175" s="416"/>
      <c r="BD175" s="416"/>
      <c r="BF175" s="416"/>
    </row>
    <row r="176" spans="1:58" ht="12.75" customHeight="1">
      <c r="A176" s="410" t="str">
        <f>$A$15</f>
        <v>4Q</v>
      </c>
      <c r="B176" s="562" t="str">
        <f>$B$15</f>
        <v>Jan</v>
      </c>
      <c r="D176" s="596">
        <f>(W176/W169-1)*100</f>
        <v>5.6801852021463706</v>
      </c>
      <c r="F176" s="604">
        <f>segSales!AU161</f>
        <v>4</v>
      </c>
      <c r="G176" s="604" t="e">
        <f>(((X382/X176)*G382)+((X558/X176)*G558)+((X729/X176)*G729))</f>
        <v>#DIV/0!</v>
      </c>
      <c r="I176" s="596">
        <f>D176-F176</f>
        <v>1.6801852021463706</v>
      </c>
      <c r="K176" s="410">
        <f>K530+K637+K353</f>
        <v>603</v>
      </c>
      <c r="P176" s="588">
        <f>P530+P637+P353</f>
        <v>603.5</v>
      </c>
      <c r="R176" s="596">
        <f>(P176/P169-1)*100</f>
        <v>1.7706576728499179</v>
      </c>
      <c r="S176" s="563"/>
      <c r="T176" s="598">
        <f>I176/R176*100</f>
        <v>94.8904595116949</v>
      </c>
      <c r="U176" s="416"/>
      <c r="W176" s="624">
        <f>W530+W637+W353</f>
        <v>1003.836</v>
      </c>
      <c r="X176" s="589">
        <f>+X368+X544+X651</f>
        <v>0</v>
      </c>
      <c r="Y176" s="482"/>
      <c r="Z176" s="590">
        <f>W176/P176</f>
        <v>1.6633570836785418</v>
      </c>
      <c r="AB176" s="597">
        <f>(Z176/Z169-1)*100</f>
        <v>3.8415075805680265</v>
      </c>
      <c r="AC176" s="563"/>
      <c r="AE176" s="600">
        <f>AE530+AE637+AE353</f>
        <v>5.532703999999999</v>
      </c>
      <c r="AF176" s="482"/>
      <c r="AG176" s="591">
        <f>AVERAGE(AE176,AE175)</f>
        <v>5.5402039999999992</v>
      </c>
      <c r="AI176" s="596">
        <f>(AG176/AG169-1)*100</f>
        <v>1.6774323319392659</v>
      </c>
      <c r="AJ176" s="563"/>
      <c r="AK176" s="598">
        <f>+I176/AI176*100</f>
        <v>100.16411214656404</v>
      </c>
      <c r="AL176" s="416"/>
      <c r="AN176" s="589">
        <f>+W176</f>
        <v>1003.836</v>
      </c>
      <c r="AP176" s="592">
        <f>W176/AG176</f>
        <v>181.19116191389344</v>
      </c>
      <c r="AR176" s="592">
        <f>AN176/AG176</f>
        <v>181.19116191389344</v>
      </c>
      <c r="AT176" s="597">
        <f t="shared" si="13"/>
        <v>3.9367171046762905</v>
      </c>
      <c r="AU176" s="563"/>
      <c r="AV176" s="624">
        <f>W176-X176</f>
        <v>1003.836</v>
      </c>
      <c r="AW176" s="625">
        <f>AV176/AV169-1</f>
        <v>3.1166567386248314</v>
      </c>
      <c r="AX176" s="628"/>
      <c r="AY176" s="627" t="s">
        <v>94</v>
      </c>
      <c r="AZ176" s="416"/>
      <c r="BA176" s="416"/>
      <c r="BB176" s="416"/>
      <c r="BC176" s="416"/>
      <c r="BD176" s="416"/>
      <c r="BF176" s="416"/>
    </row>
    <row r="177" spans="1:58" ht="12.75" customHeight="1">
      <c r="B177" s="562" t="str">
        <f>$B$16</f>
        <v>Year</v>
      </c>
      <c r="D177" s="539">
        <f>(W177/W170-1)*100</f>
        <v>1.2566271918392546</v>
      </c>
      <c r="F177" s="601">
        <f>segSales!AU162</f>
        <v>0</v>
      </c>
      <c r="G177" s="601" t="e">
        <f>(((X383/X177)*G383)+((X559/X177)*G559)+((X730/X177)*G730))</f>
        <v>#DIV/0!</v>
      </c>
      <c r="I177" s="539">
        <f>D177-F177</f>
        <v>1.2566271918392546</v>
      </c>
      <c r="P177" s="587">
        <f>AVERAGE(P173:P176)</f>
        <v>599.875</v>
      </c>
      <c r="R177" s="539">
        <f>(P177/P170-1)*100</f>
        <v>2.9386529386529414</v>
      </c>
      <c r="S177" s="563"/>
      <c r="T177" s="595">
        <f>I177/R177*100</f>
        <v>42.762014367551821</v>
      </c>
      <c r="U177" s="416"/>
      <c r="W177" s="579">
        <f>SUM(W173:W176)</f>
        <v>3274.8549999999996</v>
      </c>
      <c r="X177" s="579">
        <f>SUM(X173:X176)</f>
        <v>0</v>
      </c>
      <c r="Z177" s="580">
        <f>W177/P177</f>
        <v>5.4592290060429249</v>
      </c>
      <c r="AB177" s="599">
        <f>(Z177/Z170-1)*100</f>
        <v>-1.6340079249104855</v>
      </c>
      <c r="AC177" s="563"/>
      <c r="AG177" s="582">
        <f>AVERAGE(AG173:AG176)</f>
        <v>5.502978999999999</v>
      </c>
      <c r="AI177" s="539">
        <f>(AG177/AG170-1)*100</f>
        <v>3.0592013040606325</v>
      </c>
      <c r="AJ177" s="563"/>
      <c r="AK177" s="595">
        <f>+I177/AI177*100</f>
        <v>41.07696967085068</v>
      </c>
      <c r="AL177" s="416"/>
      <c r="AN177" s="579">
        <f>+W177</f>
        <v>3274.8549999999996</v>
      </c>
      <c r="AP177" s="583">
        <f>SUM(AP173:AP176)</f>
        <v>594.69441923948625</v>
      </c>
      <c r="AR177" s="583">
        <f>SUM(AR173:AR176)</f>
        <v>594.69441923948625</v>
      </c>
      <c r="AT177" s="599">
        <f>(AP177/AP170-1)*100</f>
        <v>-1.6994355828286567</v>
      </c>
      <c r="AU177" s="563"/>
      <c r="AV177" s="579">
        <f>SUM(AV173:AV176)</f>
        <v>3274.8549999999996</v>
      </c>
      <c r="AW177" s="458">
        <f>AV177/AV170-1</f>
        <v>2.5232995136063425</v>
      </c>
      <c r="AX177" s="416"/>
      <c r="AY177" s="629">
        <f>segSales!AE162/100</f>
        <v>0.14999999999999991</v>
      </c>
      <c r="AZ177" s="416"/>
      <c r="BA177" s="416"/>
      <c r="BB177" s="416"/>
      <c r="BC177" s="416"/>
      <c r="BD177" s="416"/>
      <c r="BF177" s="416"/>
    </row>
    <row r="178" spans="1:58" ht="12.75" customHeight="1">
      <c r="B178" s="562"/>
      <c r="D178" s="539"/>
      <c r="G178" s="633"/>
      <c r="I178" s="539"/>
      <c r="P178" s="587"/>
      <c r="R178" s="539"/>
      <c r="S178" s="563"/>
      <c r="T178" s="595"/>
      <c r="U178" s="416"/>
      <c r="X178" s="579"/>
      <c r="Z178" s="580"/>
      <c r="AB178" s="599"/>
      <c r="AC178" s="563"/>
      <c r="AG178" s="582"/>
      <c r="AI178" s="539"/>
      <c r="AJ178" s="563"/>
      <c r="AK178" s="595"/>
      <c r="AL178" s="416"/>
      <c r="AN178" s="579"/>
      <c r="AP178" s="583"/>
      <c r="AR178" s="583"/>
      <c r="AT178" s="599"/>
      <c r="AU178" s="563"/>
      <c r="AW178" s="416"/>
      <c r="AX178" s="416"/>
      <c r="AY178" s="416"/>
      <c r="AZ178" s="416"/>
      <c r="BA178" s="416"/>
      <c r="BB178" s="416"/>
      <c r="BC178" s="416"/>
      <c r="BD178" s="416"/>
      <c r="BF178" s="416"/>
    </row>
    <row r="179" spans="1:58" ht="12.75" customHeight="1">
      <c r="B179" s="518">
        <f>B172+1</f>
        <v>2018</v>
      </c>
      <c r="D179" s="539"/>
      <c r="G179" s="601"/>
      <c r="I179" s="539"/>
      <c r="P179" s="587"/>
      <c r="R179" s="539"/>
      <c r="S179" s="563"/>
      <c r="T179" s="595"/>
      <c r="U179" s="416"/>
      <c r="W179" s="579"/>
      <c r="X179" s="579"/>
      <c r="Z179" s="580"/>
      <c r="AB179" s="599"/>
      <c r="AC179" s="563"/>
      <c r="AG179" s="582"/>
      <c r="AI179" s="539"/>
      <c r="AJ179" s="563"/>
      <c r="AK179" s="595"/>
      <c r="AL179" s="416"/>
      <c r="AN179" s="579"/>
      <c r="AP179" s="583"/>
      <c r="AR179" s="583"/>
      <c r="AT179" s="599"/>
      <c r="AU179" s="563"/>
      <c r="AV179" s="579"/>
      <c r="AW179" s="631"/>
      <c r="AX179" s="628"/>
      <c r="AY179" s="632"/>
      <c r="AZ179" s="416"/>
      <c r="BA179" s="416"/>
      <c r="BB179" s="416"/>
      <c r="BC179" s="416"/>
      <c r="BD179" s="416"/>
      <c r="BF179" s="416"/>
    </row>
    <row r="180" spans="1:58" ht="12.75" customHeight="1">
      <c r="A180" s="410" t="str">
        <f>$A$12</f>
        <v>1Q</v>
      </c>
      <c r="B180" s="562" t="str">
        <f>$B$12</f>
        <v>Apr</v>
      </c>
      <c r="D180" s="539">
        <f>(W180/W173-1)*100</f>
        <v>10.142595710092861</v>
      </c>
      <c r="E180" s="563" t="s">
        <v>208</v>
      </c>
      <c r="F180" s="601">
        <f>segSales!AU165</f>
        <v>8.953376273900238</v>
      </c>
      <c r="G180" s="601" t="e">
        <f>(((X386/X180)*G386)+((X562/X180)*G562)+((X733/X180)*G733))</f>
        <v>#DIV/0!</v>
      </c>
      <c r="H180" s="563" t="s">
        <v>208</v>
      </c>
      <c r="I180" s="539">
        <f>D180-F180</f>
        <v>1.1892194361926229</v>
      </c>
      <c r="J180" s="563" t="s">
        <v>208</v>
      </c>
      <c r="K180" s="410">
        <f>K534+K641+K357</f>
        <v>605</v>
      </c>
      <c r="P180" s="587">
        <f>P534+P641+P357</f>
        <v>604</v>
      </c>
      <c r="R180" s="539">
        <f>(P180/P173-1)*100</f>
        <v>1.4273719563392184</v>
      </c>
      <c r="S180" s="563" t="s">
        <v>208</v>
      </c>
      <c r="T180" s="595">
        <f>I180/R180*100</f>
        <v>83.315314617965072</v>
      </c>
      <c r="U180" s="416" t="s">
        <v>208</v>
      </c>
      <c r="W180" s="579">
        <f>W534+W641+W357</f>
        <v>753.93928474707081</v>
      </c>
      <c r="X180" s="579">
        <f>+X372+X548+X655</f>
        <v>0</v>
      </c>
      <c r="Y180" s="482"/>
      <c r="Z180" s="580">
        <f t="shared" ref="Z180:Z183" si="14">W180/P180</f>
        <v>1.2482438489189913</v>
      </c>
      <c r="AB180" s="599">
        <f>(Z180/Z173-1)*100</f>
        <v>8.5925757373514813</v>
      </c>
      <c r="AC180" s="563" t="s">
        <v>208</v>
      </c>
      <c r="AE180" s="600">
        <f>AE534+AE641+AE357</f>
        <v>5.5455706666666664</v>
      </c>
      <c r="AG180" s="582">
        <f>AVERAGE(AE180,AE176)</f>
        <v>5.5391373333333327</v>
      </c>
      <c r="AI180" s="539">
        <f>(AG180/AG173-1)*100</f>
        <v>1.4846425303243427</v>
      </c>
      <c r="AJ180" s="563" t="s">
        <v>208</v>
      </c>
      <c r="AK180" s="595">
        <f>+I180/AI180*100</f>
        <v>80.101398949740442</v>
      </c>
      <c r="AL180" s="416" t="s">
        <v>208</v>
      </c>
      <c r="AN180" s="579">
        <f>+W180</f>
        <v>753.93928474707081</v>
      </c>
      <c r="AP180" s="583">
        <f>W180/AG180</f>
        <v>136.11131831125164</v>
      </c>
      <c r="AR180" s="583">
        <f>AN180/AG180</f>
        <v>136.11131831125164</v>
      </c>
      <c r="AT180" s="599">
        <f>(AP180/AP173-1)*100</f>
        <v>8.5312939612330663</v>
      </c>
      <c r="AU180" s="563" t="s">
        <v>208</v>
      </c>
      <c r="AV180" s="579">
        <f>W180-X180</f>
        <v>753.93928474707081</v>
      </c>
      <c r="AW180" s="458">
        <f>AV180/AV173-1</f>
        <v>0.10142595710092861</v>
      </c>
      <c r="AX180" s="628"/>
      <c r="AY180" s="632"/>
      <c r="AZ180" s="416"/>
      <c r="BA180" s="416"/>
      <c r="BB180" s="416"/>
      <c r="BC180" s="416"/>
      <c r="BD180" s="416"/>
      <c r="BF180" s="416"/>
    </row>
    <row r="181" spans="1:58" ht="12.75" customHeight="1">
      <c r="A181" s="410" t="str">
        <f>$A$13</f>
        <v>2Q</v>
      </c>
      <c r="B181" s="562" t="str">
        <f>$B$13</f>
        <v>Jul</v>
      </c>
      <c r="D181" s="539">
        <f>(W181/W174-1)*100</f>
        <v>5.5570357369096213</v>
      </c>
      <c r="F181" s="601">
        <f>segSales!AU166</f>
        <v>4.2497443260792505</v>
      </c>
      <c r="G181" s="601" t="e">
        <f>(((X387/X181)*G387)+((X563/X181)*G563)+((X734/X181)*G734))</f>
        <v>#DIV/0!</v>
      </c>
      <c r="I181" s="539">
        <f>D181-F181</f>
        <v>1.3072914108303708</v>
      </c>
      <c r="K181" s="410">
        <f>K535+K642+K358</f>
        <v>606</v>
      </c>
      <c r="P181" s="587">
        <f>P535+P642+P358</f>
        <v>605.5</v>
      </c>
      <c r="R181" s="539">
        <f>(P181/P174-1)*100</f>
        <v>1.1695906432748648</v>
      </c>
      <c r="S181" s="563"/>
      <c r="T181" s="595">
        <f>I181/R181*100</f>
        <v>111.77341562599565</v>
      </c>
      <c r="U181" s="416"/>
      <c r="W181" s="623">
        <f>W535+W642+W358</f>
        <v>827.78038538955991</v>
      </c>
      <c r="X181" s="584">
        <f>+X373+X549+X656</f>
        <v>0</v>
      </c>
      <c r="Y181" s="482"/>
      <c r="Z181" s="585">
        <f t="shared" si="14"/>
        <v>1.3671022054327993</v>
      </c>
      <c r="AB181" s="599">
        <f>(Z181/Z174-1)*100</f>
        <v>4.3367231850378385</v>
      </c>
      <c r="AC181" s="563"/>
      <c r="AE181" s="600">
        <f>AE535+AE642+AE358</f>
        <v>5.5605706666666661</v>
      </c>
      <c r="AG181" s="582">
        <f>AVERAGE(AE181,AE180)</f>
        <v>5.5530706666666667</v>
      </c>
      <c r="AI181" s="539">
        <f>(AG181/AG174-1)*100</f>
        <v>1.2132801993157694</v>
      </c>
      <c r="AJ181" s="563"/>
      <c r="AK181" s="595">
        <f>+I181/AI181*100</f>
        <v>107.74851609443714</v>
      </c>
      <c r="AL181" s="416"/>
      <c r="AN181" s="584">
        <f>+W181</f>
        <v>827.78038538955991</v>
      </c>
      <c r="AP181" s="586">
        <f>W181/AG181</f>
        <v>149.06714412234382</v>
      </c>
      <c r="AR181" s="586">
        <f>AN181/AG181</f>
        <v>149.06714412234382</v>
      </c>
      <c r="AT181" s="599">
        <f t="shared" ref="AT181:AT183" si="15">(AP181/AP174-1)*100</f>
        <v>4.2916853687972933</v>
      </c>
      <c r="AU181" s="563"/>
      <c r="AV181" s="623">
        <f>W181-X181</f>
        <v>827.78038538955991</v>
      </c>
      <c r="AW181" s="458">
        <f>AV181/AV174-1</f>
        <v>5.5570357369096213E-2</v>
      </c>
      <c r="AX181" s="628"/>
      <c r="AY181" s="632"/>
      <c r="AZ181" s="416"/>
      <c r="BA181" s="416"/>
      <c r="BB181" s="416"/>
      <c r="BC181" s="416"/>
      <c r="BD181" s="416"/>
      <c r="BF181" s="416"/>
    </row>
    <row r="182" spans="1:58" ht="12.75" customHeight="1">
      <c r="A182" s="410" t="str">
        <f>$A$14</f>
        <v>3Q</v>
      </c>
      <c r="B182" s="562" t="str">
        <f>$B$14</f>
        <v>Oct</v>
      </c>
      <c r="D182" s="539">
        <f>(W182/W175-1)*100</f>
        <v>1.3813555720473714</v>
      </c>
      <c r="F182" s="601">
        <f>segSales!AU167</f>
        <v>0.12008400795208805</v>
      </c>
      <c r="G182" s="601" t="e">
        <f>(((X388/X182)*G388)+((X564/X182)*G564)+((X735/X182)*G735))</f>
        <v>#DIV/0!</v>
      </c>
      <c r="I182" s="539">
        <f>D182-F182</f>
        <v>1.2612715640952834</v>
      </c>
      <c r="K182" s="410">
        <f>K536+K643+K359</f>
        <v>611</v>
      </c>
      <c r="P182" s="587">
        <f>P536+P643+P359</f>
        <v>608.5</v>
      </c>
      <c r="R182" s="539">
        <f>(P182/P175-1)*100</f>
        <v>1.0797342192691017</v>
      </c>
      <c r="S182" s="563"/>
      <c r="T182" s="595">
        <f>I182/R182*100</f>
        <v>116.81315101313254</v>
      </c>
      <c r="U182" s="416"/>
      <c r="W182" s="623">
        <f>W536+W643+W359</f>
        <v>813.38768482231455</v>
      </c>
      <c r="X182" s="584">
        <f>+X374+X550+X657</f>
        <v>0</v>
      </c>
      <c r="Y182" s="482"/>
      <c r="Z182" s="585">
        <f t="shared" si="14"/>
        <v>1.3367094245231135</v>
      </c>
      <c r="AB182" s="599">
        <f>(Z182/Z175-1)*100</f>
        <v>0.29839943200085095</v>
      </c>
      <c r="AC182" s="563"/>
      <c r="AE182" s="600">
        <f>AE536+AE643+AE359</f>
        <v>5.6167706666666657</v>
      </c>
      <c r="AF182" s="482"/>
      <c r="AG182" s="582">
        <f>AVERAGE(AE182,AE181)</f>
        <v>5.5886706666666655</v>
      </c>
      <c r="AI182" s="539">
        <f>(AG182/AG175-1)*100</f>
        <v>1.1139046174391876</v>
      </c>
      <c r="AJ182" s="563"/>
      <c r="AK182" s="595">
        <f>+I182/AI182*100</f>
        <v>113.22976351376343</v>
      </c>
      <c r="AL182" s="416"/>
      <c r="AN182" s="584">
        <f>+W182</f>
        <v>813.38768482231455</v>
      </c>
      <c r="AP182" s="586">
        <f>W182/AG182</f>
        <v>145.54224668734247</v>
      </c>
      <c r="AR182" s="586">
        <f>AN182/AG182</f>
        <v>145.54224668734247</v>
      </c>
      <c r="AT182" s="599">
        <f t="shared" si="15"/>
        <v>0.26450462537281894</v>
      </c>
      <c r="AU182" s="563"/>
      <c r="AV182" s="623">
        <f>W182-X182</f>
        <v>813.38768482231455</v>
      </c>
      <c r="AW182" s="458">
        <f>AV182/AV175-1</f>
        <v>1.3813555720473714E-2</v>
      </c>
      <c r="AX182" s="628"/>
      <c r="AY182" s="632"/>
      <c r="AZ182" s="416"/>
      <c r="BA182" s="416"/>
      <c r="BB182" s="416"/>
      <c r="BC182" s="416"/>
      <c r="BD182" s="416"/>
      <c r="BF182" s="416"/>
    </row>
    <row r="183" spans="1:58" ht="12.75" customHeight="1">
      <c r="A183" s="410" t="str">
        <f>$A$15</f>
        <v>4Q</v>
      </c>
      <c r="B183" s="562" t="str">
        <f>$B$15</f>
        <v>Jan</v>
      </c>
      <c r="D183" s="596">
        <f>(W183/W176-1)*100</f>
        <v>0.66233678700178267</v>
      </c>
      <c r="F183" s="604">
        <f>segSales!AU168</f>
        <v>-0.32321614287592798</v>
      </c>
      <c r="G183" s="604" t="e">
        <f>(((X389/X183)*G389)+((X565/X183)*G565)+((X736/X183)*G736))</f>
        <v>#DIV/0!</v>
      </c>
      <c r="I183" s="596">
        <f>D183-F183</f>
        <v>0.98555292987771059</v>
      </c>
      <c r="K183" s="410">
        <f>K537+K644+K360</f>
        <v>606</v>
      </c>
      <c r="P183" s="588">
        <f>P537+P644+P360</f>
        <v>608.5</v>
      </c>
      <c r="R183" s="596">
        <f>(P183/P176-1)*100</f>
        <v>0.82850041425019949</v>
      </c>
      <c r="S183" s="563"/>
      <c r="T183" s="598">
        <f>I183/R183*100</f>
        <v>118.95623863624077</v>
      </c>
      <c r="U183" s="416"/>
      <c r="W183" s="624">
        <f>W537+W644+W360</f>
        <v>1010.4847751091671</v>
      </c>
      <c r="X183" s="589">
        <f>+X375+X551+X658</f>
        <v>0</v>
      </c>
      <c r="Y183" s="482"/>
      <c r="Z183" s="590">
        <f t="shared" si="14"/>
        <v>1.6606158999328959</v>
      </c>
      <c r="AB183" s="597">
        <f>(Z183/Z176-1)*100</f>
        <v>-0.1647982728749775</v>
      </c>
      <c r="AC183" s="563"/>
      <c r="AE183" s="600">
        <f>AE537+AE644+AE360</f>
        <v>5.5777039999999989</v>
      </c>
      <c r="AF183" s="482"/>
      <c r="AG183" s="591">
        <f>AVERAGE(AE183,AE182)</f>
        <v>5.5972373333333323</v>
      </c>
      <c r="AI183" s="596">
        <f>(AG183/AG176-1)*100</f>
        <v>1.0294446437953075</v>
      </c>
      <c r="AJ183" s="563"/>
      <c r="AK183" s="598">
        <f>+I183/AI183*100</f>
        <v>95.736369684164941</v>
      </c>
      <c r="AL183" s="416"/>
      <c r="AN183" s="589">
        <f>+W183</f>
        <v>1010.4847751091671</v>
      </c>
      <c r="AP183" s="592">
        <f>W183/AG183</f>
        <v>180.53277267544263</v>
      </c>
      <c r="AR183" s="592">
        <f>AN183/AG183</f>
        <v>180.53277267544263</v>
      </c>
      <c r="AT183" s="597">
        <f t="shared" si="15"/>
        <v>-0.36336719269104423</v>
      </c>
      <c r="AU183" s="563"/>
      <c r="AV183" s="624">
        <f>W183-X183</f>
        <v>1010.4847751091671</v>
      </c>
      <c r="AW183" s="625">
        <f>AV183/AV176-1</f>
        <v>6.6233678700178267E-3</v>
      </c>
      <c r="AX183" s="628"/>
      <c r="AY183" s="627" t="s">
        <v>94</v>
      </c>
      <c r="AZ183" s="416"/>
      <c r="BA183" s="416"/>
      <c r="BB183" s="416"/>
      <c r="BC183" s="416"/>
      <c r="BD183" s="416"/>
      <c r="BF183" s="416"/>
    </row>
    <row r="184" spans="1:58" ht="12.75" customHeight="1">
      <c r="B184" s="562" t="str">
        <f>$B$16</f>
        <v>Year</v>
      </c>
      <c r="D184" s="539">
        <f>(W184/W177-1)*100</f>
        <v>3.9921501888820377</v>
      </c>
      <c r="F184" s="601">
        <f>segSales!AU169</f>
        <v>2.948325097702496</v>
      </c>
      <c r="G184" s="601" t="e">
        <f>(((X390/X184)*G390)+((X566/X184)*G566)+((X737/X184)*G737))</f>
        <v>#DIV/0!</v>
      </c>
      <c r="I184" s="539">
        <f>D184-F184</f>
        <v>1.0438250911795417</v>
      </c>
      <c r="P184" s="587">
        <f>AVERAGE(P180:P183)</f>
        <v>606.625</v>
      </c>
      <c r="R184" s="539">
        <f>(P184/P177-1)*100</f>
        <v>1.125234423838295</v>
      </c>
      <c r="S184" s="563"/>
      <c r="T184" s="595">
        <f>I184/R184*100</f>
        <v>92.765122455011877</v>
      </c>
      <c r="U184" s="416"/>
      <c r="W184" s="579">
        <f>SUM(W180:W183)</f>
        <v>3405.5921300681121</v>
      </c>
      <c r="X184" s="579">
        <f>SUM(X180:X183)</f>
        <v>0</v>
      </c>
      <c r="Z184" s="580">
        <f>W184/P184</f>
        <v>5.6139989780640631</v>
      </c>
      <c r="AB184" s="599">
        <f>(Z184/Z177-1)*100</f>
        <v>2.8350151981135108</v>
      </c>
      <c r="AC184" s="563"/>
      <c r="AG184" s="582">
        <f>AVERAGE(AG180:AG183)</f>
        <v>5.5695289999999993</v>
      </c>
      <c r="AI184" s="539">
        <f>(AG184/AG177-1)*100</f>
        <v>1.2093449747854867</v>
      </c>
      <c r="AJ184" s="563"/>
      <c r="AK184" s="595">
        <f>+I184/AI184*100</f>
        <v>86.313261554230635</v>
      </c>
      <c r="AL184" s="416"/>
      <c r="AN184" s="579">
        <f>+W184</f>
        <v>3405.5921300681121</v>
      </c>
      <c r="AP184" s="583">
        <f>SUM(AP180:AP183)</f>
        <v>611.25348179638058</v>
      </c>
      <c r="AR184" s="583">
        <f>SUM(AR180:AR183)</f>
        <v>611.25348179638058</v>
      </c>
      <c r="AT184" s="599">
        <f>(AP184/AP177-1)*100</f>
        <v>2.7844657728704814</v>
      </c>
      <c r="AU184" s="563"/>
      <c r="AV184" s="579">
        <f>SUM(AV180:AV183)</f>
        <v>3405.5921300681121</v>
      </c>
      <c r="AW184" s="458">
        <f>AV184/AV177-1</f>
        <v>3.9921501888820377E-2</v>
      </c>
      <c r="AX184" s="416"/>
      <c r="AY184" s="629">
        <f>segSales!AE169/100</f>
        <v>0.14999999999999991</v>
      </c>
      <c r="AZ184" s="416"/>
      <c r="BA184" s="416"/>
      <c r="BB184" s="416"/>
      <c r="BC184" s="416"/>
      <c r="BD184" s="416"/>
      <c r="BF184" s="416"/>
    </row>
    <row r="185" spans="1:58" ht="12.75" customHeight="1">
      <c r="B185" s="562"/>
      <c r="D185" s="539"/>
      <c r="F185" s="601"/>
      <c r="G185" s="601"/>
      <c r="I185" s="539"/>
      <c r="P185" s="587"/>
      <c r="R185" s="539"/>
      <c r="S185" s="563"/>
      <c r="T185" s="595"/>
      <c r="U185" s="416"/>
      <c r="W185" s="579"/>
      <c r="X185" s="579"/>
      <c r="Z185" s="580"/>
      <c r="AB185" s="599"/>
      <c r="AC185" s="563"/>
      <c r="AG185" s="582"/>
      <c r="AI185" s="539"/>
      <c r="AJ185" s="563"/>
      <c r="AK185" s="595"/>
      <c r="AL185" s="416"/>
      <c r="AN185" s="579"/>
      <c r="AP185" s="583"/>
      <c r="AR185" s="583"/>
      <c r="AT185" s="599"/>
      <c r="AU185" s="563"/>
      <c r="AV185" s="579"/>
      <c r="AW185" s="458"/>
      <c r="AX185" s="416"/>
      <c r="AY185" s="629"/>
      <c r="AZ185" s="416"/>
      <c r="BA185" s="416"/>
      <c r="BB185" s="416"/>
      <c r="BC185" s="416"/>
      <c r="BD185" s="416"/>
      <c r="BF185" s="416"/>
    </row>
    <row r="186" spans="1:58" ht="12.75" customHeight="1">
      <c r="A186" s="574" t="s">
        <v>719</v>
      </c>
      <c r="B186" s="562"/>
      <c r="D186" s="539"/>
      <c r="F186" s="601"/>
      <c r="G186" s="601"/>
      <c r="I186" s="539"/>
      <c r="P186" s="587"/>
      <c r="R186" s="539"/>
      <c r="S186" s="563"/>
      <c r="T186" s="595"/>
      <c r="U186" s="416"/>
      <c r="W186" s="579"/>
      <c r="X186" s="579"/>
      <c r="Z186" s="580"/>
      <c r="AB186" s="599"/>
      <c r="AC186" s="563"/>
      <c r="AG186" s="582"/>
      <c r="AI186" s="539"/>
      <c r="AJ186" s="563"/>
      <c r="AK186" s="595"/>
      <c r="AL186" s="416"/>
      <c r="AN186" s="579"/>
      <c r="AP186" s="583"/>
      <c r="AR186" s="583"/>
      <c r="AT186" s="599"/>
      <c r="AU186" s="563"/>
      <c r="AV186" s="579"/>
      <c r="AW186" s="458"/>
      <c r="AX186" s="416"/>
      <c r="AY186" s="629"/>
      <c r="AZ186" s="416"/>
      <c r="BA186" s="416"/>
      <c r="BB186" s="416"/>
      <c r="BC186" s="416"/>
      <c r="BD186" s="416"/>
      <c r="BF186" s="416"/>
    </row>
    <row r="187" spans="1:58" ht="12.75" customHeight="1">
      <c r="B187" s="562"/>
      <c r="D187" s="539"/>
      <c r="F187" s="601"/>
      <c r="G187" s="601"/>
      <c r="I187" s="539"/>
      <c r="P187" s="587"/>
      <c r="R187" s="539"/>
      <c r="S187" s="563"/>
      <c r="T187" s="595"/>
      <c r="U187" s="416"/>
      <c r="W187" s="579"/>
      <c r="X187" s="579"/>
      <c r="Z187" s="580"/>
      <c r="AB187" s="599"/>
      <c r="AC187" s="563"/>
      <c r="AG187" s="582"/>
      <c r="AI187" s="539"/>
      <c r="AJ187" s="563"/>
      <c r="AK187" s="595"/>
      <c r="AL187" s="416"/>
      <c r="AN187" s="579"/>
      <c r="AP187" s="583"/>
      <c r="AR187" s="583"/>
      <c r="AT187" s="599"/>
      <c r="AU187" s="563"/>
      <c r="AV187" s="579"/>
      <c r="AW187" s="458"/>
      <c r="AX187" s="416"/>
      <c r="AY187" s="629"/>
      <c r="AZ187" s="416"/>
      <c r="BA187" s="416"/>
      <c r="BB187" s="416"/>
      <c r="BC187" s="416"/>
      <c r="BD187" s="416"/>
      <c r="BF187" s="416"/>
    </row>
    <row r="188" spans="1:58" ht="12.75" hidden="1" customHeight="1" outlineLevel="1">
      <c r="A188" s="593"/>
      <c r="B188" s="431">
        <f>+B11</f>
        <v>1994</v>
      </c>
      <c r="E188" s="563"/>
      <c r="F188" s="563"/>
      <c r="H188" s="563"/>
      <c r="J188" s="563"/>
      <c r="S188" s="563"/>
      <c r="T188" s="416"/>
      <c r="U188" s="416"/>
      <c r="AC188" s="563"/>
      <c r="AJ188" s="563"/>
      <c r="AK188" s="416"/>
      <c r="AL188" s="416"/>
      <c r="AU188" s="563"/>
    </row>
    <row r="189" spans="1:58" ht="12.75" hidden="1" customHeight="1" outlineLevel="1">
      <c r="A189" s="410" t="str">
        <f>$A$12</f>
        <v>1Q</v>
      </c>
      <c r="B189" s="562" t="str">
        <f>$B$12</f>
        <v>Apr</v>
      </c>
      <c r="D189" s="635"/>
      <c r="E189" s="632"/>
      <c r="F189" s="632"/>
      <c r="G189" s="636"/>
      <c r="H189" s="632"/>
      <c r="I189" s="635"/>
      <c r="J189" s="632"/>
      <c r="K189" s="454">
        <v>16</v>
      </c>
      <c r="L189" s="454"/>
      <c r="M189" s="454"/>
      <c r="N189" s="454"/>
      <c r="P189" s="587">
        <f>AVERAGE(K189,16)</f>
        <v>16</v>
      </c>
      <c r="R189" s="635"/>
      <c r="S189" s="632"/>
      <c r="T189" s="595"/>
      <c r="U189" s="416"/>
      <c r="V189" s="416"/>
      <c r="W189" s="416"/>
      <c r="X189" s="631"/>
      <c r="Y189" s="416"/>
      <c r="Z189" s="637"/>
      <c r="AA189" s="416"/>
      <c r="AB189" s="599"/>
      <c r="AC189" s="632"/>
      <c r="AD189" s="416"/>
      <c r="AE189" s="638">
        <f>0.160887/0.75</f>
        <v>0.21451600000000001</v>
      </c>
      <c r="AF189" s="416"/>
      <c r="AG189" s="608">
        <f>+AE189</f>
        <v>0.21451600000000001</v>
      </c>
      <c r="AI189" s="635"/>
      <c r="AJ189" s="632"/>
      <c r="AK189" s="595"/>
      <c r="AL189" s="416"/>
      <c r="AM189" s="416"/>
      <c r="AN189" s="628"/>
      <c r="AO189" s="416"/>
      <c r="AP189" s="639"/>
      <c r="AQ189" s="416"/>
      <c r="AR189" s="639"/>
      <c r="AS189" s="416"/>
      <c r="AT189" s="599"/>
      <c r="AU189" s="632"/>
    </row>
    <row r="190" spans="1:58" ht="12.75" hidden="1" customHeight="1" outlineLevel="1">
      <c r="A190" s="410" t="str">
        <f>$A$13</f>
        <v>2Q</v>
      </c>
      <c r="B190" s="562" t="str">
        <f>$B$13</f>
        <v>Jul</v>
      </c>
      <c r="D190" s="635"/>
      <c r="E190" s="416"/>
      <c r="F190" s="416"/>
      <c r="G190" s="636"/>
      <c r="H190" s="416"/>
      <c r="I190" s="635"/>
      <c r="J190" s="416"/>
      <c r="K190" s="454">
        <v>16</v>
      </c>
      <c r="L190" s="454"/>
      <c r="M190" s="454"/>
      <c r="N190" s="454"/>
      <c r="O190" s="454"/>
      <c r="P190" s="587">
        <f>AVERAGE(K190,K189)</f>
        <v>16</v>
      </c>
      <c r="R190" s="635"/>
      <c r="S190" s="632"/>
      <c r="T190" s="640"/>
      <c r="U190" s="416"/>
      <c r="V190" s="416"/>
      <c r="W190" s="416"/>
      <c r="X190" s="641"/>
      <c r="Y190" s="416"/>
      <c r="Z190" s="642"/>
      <c r="AA190" s="416"/>
      <c r="AB190" s="599"/>
      <c r="AC190" s="632"/>
      <c r="AD190" s="416"/>
      <c r="AE190" s="638">
        <f>+AE189</f>
        <v>0.21451600000000001</v>
      </c>
      <c r="AF190" s="459"/>
      <c r="AG190" s="582">
        <f>AVERAGE(AE190,AE189)</f>
        <v>0.21451600000000001</v>
      </c>
      <c r="AI190" s="635"/>
      <c r="AJ190" s="632"/>
      <c r="AK190" s="595"/>
      <c r="AL190" s="416"/>
      <c r="AM190" s="416"/>
      <c r="AN190" s="610"/>
      <c r="AO190" s="416"/>
      <c r="AP190" s="643"/>
      <c r="AQ190" s="416"/>
      <c r="AR190" s="643"/>
      <c r="AS190" s="416"/>
      <c r="AT190" s="599"/>
      <c r="AU190" s="632"/>
    </row>
    <row r="191" spans="1:58" ht="12.75" hidden="1" customHeight="1" outlineLevel="1">
      <c r="A191" s="410" t="str">
        <f>$A$14</f>
        <v>3Q</v>
      </c>
      <c r="B191" s="562" t="str">
        <f>$B$14</f>
        <v>Oct</v>
      </c>
      <c r="D191" s="635"/>
      <c r="E191" s="416"/>
      <c r="F191" s="416"/>
      <c r="G191" s="636"/>
      <c r="H191" s="416"/>
      <c r="I191" s="635"/>
      <c r="J191" s="416"/>
      <c r="K191" s="454">
        <f>+K190+1</f>
        <v>17</v>
      </c>
      <c r="L191" s="454"/>
      <c r="M191" s="454"/>
      <c r="N191" s="454"/>
      <c r="O191" s="454"/>
      <c r="P191" s="587">
        <f>AVERAGE(K191,K190)</f>
        <v>16.5</v>
      </c>
      <c r="R191" s="635"/>
      <c r="S191" s="632"/>
      <c r="T191" s="640"/>
      <c r="U191" s="416"/>
      <c r="V191" s="416"/>
      <c r="W191" s="416"/>
      <c r="X191" s="641"/>
      <c r="Y191" s="416"/>
      <c r="Z191" s="642"/>
      <c r="AA191" s="416"/>
      <c r="AB191" s="599"/>
      <c r="AC191" s="632"/>
      <c r="AD191" s="416"/>
      <c r="AE191" s="638">
        <f>0.168793/0.75</f>
        <v>0.22505733333333333</v>
      </c>
      <c r="AF191" s="459"/>
      <c r="AG191" s="582">
        <f>AVERAGE(AE191,AE190)</f>
        <v>0.21978666666666669</v>
      </c>
      <c r="AI191" s="635"/>
      <c r="AJ191" s="632"/>
      <c r="AK191" s="595"/>
      <c r="AL191" s="416"/>
      <c r="AM191" s="416"/>
      <c r="AN191" s="610"/>
      <c r="AO191" s="416"/>
      <c r="AP191" s="643"/>
      <c r="AQ191" s="416"/>
      <c r="AR191" s="643"/>
      <c r="AS191" s="416"/>
      <c r="AT191" s="599"/>
      <c r="AU191" s="632"/>
    </row>
    <row r="192" spans="1:58" ht="12.75" hidden="1" customHeight="1" outlineLevel="1">
      <c r="A192" s="410" t="str">
        <f>$A$15</f>
        <v>4Q</v>
      </c>
      <c r="B192" s="562" t="str">
        <f>$B$15</f>
        <v>Jan</v>
      </c>
      <c r="D192" s="635"/>
      <c r="E192" s="416"/>
      <c r="F192" s="416"/>
      <c r="G192" s="636"/>
      <c r="H192" s="416"/>
      <c r="I192" s="635"/>
      <c r="J192" s="416"/>
      <c r="K192" s="454">
        <f>+K191+2</f>
        <v>19</v>
      </c>
      <c r="L192" s="454"/>
      <c r="M192" s="454"/>
      <c r="N192" s="454"/>
      <c r="O192" s="454"/>
      <c r="P192" s="588">
        <f>AVERAGE(K192,K191)</f>
        <v>18</v>
      </c>
      <c r="R192" s="635"/>
      <c r="S192" s="632"/>
      <c r="T192" s="640"/>
      <c r="U192" s="416"/>
      <c r="V192" s="416"/>
      <c r="W192" s="416"/>
      <c r="X192" s="641"/>
      <c r="Y192" s="416"/>
      <c r="Z192" s="642"/>
      <c r="AA192" s="416"/>
      <c r="AB192" s="599"/>
      <c r="AC192" s="632"/>
      <c r="AD192" s="416"/>
      <c r="AE192" s="638">
        <f>0.19268/0.75</f>
        <v>0.25690666666666667</v>
      </c>
      <c r="AF192" s="459"/>
      <c r="AG192" s="591">
        <f>AVERAGE(AE192,AE191)</f>
        <v>0.240982</v>
      </c>
      <c r="AI192" s="635"/>
      <c r="AJ192" s="632"/>
      <c r="AK192" s="595"/>
      <c r="AL192" s="416"/>
      <c r="AM192" s="416"/>
      <c r="AN192" s="610"/>
      <c r="AO192" s="416"/>
      <c r="AP192" s="643"/>
      <c r="AQ192" s="416"/>
      <c r="AR192" s="643"/>
      <c r="AS192" s="416"/>
      <c r="AT192" s="599"/>
      <c r="AU192" s="632"/>
    </row>
    <row r="193" spans="1:47" ht="12.75" hidden="1" customHeight="1" outlineLevel="1">
      <c r="B193" s="562" t="str">
        <f>$B$16</f>
        <v>Year</v>
      </c>
      <c r="D193" s="635"/>
      <c r="E193" s="416"/>
      <c r="F193" s="416"/>
      <c r="G193" s="644"/>
      <c r="H193" s="416"/>
      <c r="I193" s="635"/>
      <c r="J193" s="416"/>
      <c r="P193" s="587">
        <f>AVERAGE(P189:P192)</f>
        <v>16.625</v>
      </c>
      <c r="R193" s="635"/>
      <c r="S193" s="632"/>
      <c r="T193" s="595"/>
      <c r="U193" s="416"/>
      <c r="V193" s="416"/>
      <c r="W193" s="416"/>
      <c r="X193" s="628"/>
      <c r="Y193" s="416"/>
      <c r="Z193" s="637"/>
      <c r="AA193" s="416"/>
      <c r="AB193" s="599"/>
      <c r="AC193" s="632"/>
      <c r="AD193" s="416"/>
      <c r="AE193" s="416"/>
      <c r="AF193" s="416"/>
      <c r="AG193" s="582">
        <f>AVERAGE(AG189:AG192)</f>
        <v>0.22245016666666667</v>
      </c>
      <c r="AI193" s="635"/>
      <c r="AJ193" s="632"/>
      <c r="AK193" s="595"/>
      <c r="AL193" s="416"/>
      <c r="AM193" s="416"/>
      <c r="AN193" s="628"/>
      <c r="AO193" s="416"/>
      <c r="AP193" s="639"/>
      <c r="AQ193" s="416"/>
      <c r="AR193" s="639"/>
      <c r="AS193" s="416"/>
      <c r="AT193" s="599"/>
      <c r="AU193" s="632"/>
    </row>
    <row r="194" spans="1:47" ht="12.75" hidden="1" customHeight="1" outlineLevel="1">
      <c r="B194" s="562"/>
      <c r="G194" s="594"/>
    </row>
    <row r="195" spans="1:47" ht="12.75" hidden="1" customHeight="1" outlineLevel="1">
      <c r="A195" s="593"/>
      <c r="B195" s="431">
        <f>+B18</f>
        <v>1995</v>
      </c>
      <c r="E195" s="563"/>
      <c r="F195" s="563"/>
      <c r="H195" s="563"/>
      <c r="J195" s="563"/>
      <c r="S195" s="563"/>
      <c r="T195" s="416"/>
      <c r="U195" s="416"/>
      <c r="AC195" s="563"/>
      <c r="AJ195" s="563"/>
      <c r="AK195" s="416"/>
      <c r="AL195" s="416"/>
      <c r="AU195" s="563"/>
    </row>
    <row r="196" spans="1:47" ht="12.75" hidden="1" customHeight="1" outlineLevel="1">
      <c r="A196" s="410" t="str">
        <f>$A$12</f>
        <v>1Q</v>
      </c>
      <c r="B196" s="562" t="str">
        <f>$B$12</f>
        <v>Apr</v>
      </c>
      <c r="D196" s="635"/>
      <c r="E196" s="632"/>
      <c r="F196" s="632"/>
      <c r="G196" s="636"/>
      <c r="H196" s="632"/>
      <c r="I196" s="635"/>
      <c r="J196" s="632"/>
      <c r="K196" s="454">
        <v>20</v>
      </c>
      <c r="L196" s="454"/>
      <c r="M196" s="454"/>
      <c r="N196" s="454"/>
      <c r="P196" s="587">
        <f>AVERAGE(K196,K192)</f>
        <v>19.5</v>
      </c>
      <c r="R196" s="645">
        <f>(P196/P189-1)*100</f>
        <v>21.875</v>
      </c>
      <c r="S196" s="563" t="s">
        <v>208</v>
      </c>
      <c r="T196" s="595"/>
      <c r="U196" s="416"/>
      <c r="V196" s="416"/>
      <c r="W196" s="416"/>
      <c r="X196" s="631"/>
      <c r="Y196" s="416"/>
      <c r="Z196" s="637"/>
      <c r="AA196" s="416"/>
      <c r="AB196" s="599"/>
      <c r="AC196" s="632"/>
      <c r="AD196" s="416"/>
      <c r="AE196" s="638">
        <f>0.203825/0.75</f>
        <v>0.27176666666666666</v>
      </c>
      <c r="AF196" s="416"/>
      <c r="AG196" s="582">
        <f>AVERAGE(AE196,AE192)</f>
        <v>0.26433666666666666</v>
      </c>
      <c r="AI196" s="539">
        <f>(AG196/AG189-1)*100</f>
        <v>23.224685648933718</v>
      </c>
      <c r="AJ196" s="563" t="s">
        <v>208</v>
      </c>
      <c r="AK196" s="595"/>
      <c r="AL196" s="416"/>
      <c r="AM196" s="416"/>
      <c r="AN196" s="628"/>
      <c r="AO196" s="416"/>
      <c r="AP196" s="639"/>
      <c r="AQ196" s="416"/>
      <c r="AR196" s="639"/>
      <c r="AS196" s="416"/>
      <c r="AT196" s="599"/>
      <c r="AU196" s="632"/>
    </row>
    <row r="197" spans="1:47" ht="12.75" hidden="1" customHeight="1" outlineLevel="1">
      <c r="A197" s="410" t="str">
        <f>$A$13</f>
        <v>2Q</v>
      </c>
      <c r="B197" s="562" t="str">
        <f>$B$13</f>
        <v>Jul</v>
      </c>
      <c r="D197" s="635"/>
      <c r="E197" s="416"/>
      <c r="F197" s="416"/>
      <c r="G197" s="636"/>
      <c r="H197" s="416"/>
      <c r="I197" s="635"/>
      <c r="J197" s="416"/>
      <c r="K197" s="454">
        <f>+K196+2</f>
        <v>22</v>
      </c>
      <c r="L197" s="454"/>
      <c r="M197" s="454"/>
      <c r="N197" s="454"/>
      <c r="O197" s="454"/>
      <c r="P197" s="587">
        <f>AVERAGE(K197,K196)</f>
        <v>21</v>
      </c>
      <c r="R197" s="645">
        <f>(P197/P190-1)*100</f>
        <v>31.25</v>
      </c>
      <c r="S197" s="563"/>
      <c r="T197" s="640"/>
      <c r="U197" s="416"/>
      <c r="V197" s="416"/>
      <c r="W197" s="416"/>
      <c r="X197" s="641"/>
      <c r="Y197" s="416"/>
      <c r="Z197" s="642"/>
      <c r="AA197" s="416"/>
      <c r="AB197" s="599"/>
      <c r="AC197" s="632"/>
      <c r="AD197" s="416"/>
      <c r="AE197" s="638">
        <f>0.220407/0.75</f>
        <v>0.29387599999999997</v>
      </c>
      <c r="AF197" s="459"/>
      <c r="AG197" s="582">
        <f>AVERAGE(AE197,AE196)</f>
        <v>0.28282133333333331</v>
      </c>
      <c r="AI197" s="539">
        <f>(AG197/AG190-1)*100</f>
        <v>31.841603112743712</v>
      </c>
      <c r="AJ197" s="563"/>
      <c r="AK197" s="595"/>
      <c r="AL197" s="416"/>
      <c r="AM197" s="416"/>
      <c r="AN197" s="610"/>
      <c r="AO197" s="416"/>
      <c r="AP197" s="643"/>
      <c r="AQ197" s="416"/>
      <c r="AR197" s="643"/>
      <c r="AS197" s="416"/>
      <c r="AT197" s="599"/>
      <c r="AU197" s="632"/>
    </row>
    <row r="198" spans="1:47" ht="12.75" hidden="1" customHeight="1" outlineLevel="1">
      <c r="A198" s="410" t="str">
        <f>$A$14</f>
        <v>3Q</v>
      </c>
      <c r="B198" s="562" t="str">
        <f>$B$14</f>
        <v>Oct</v>
      </c>
      <c r="D198" s="635"/>
      <c r="E198" s="416"/>
      <c r="F198" s="416"/>
      <c r="G198" s="636"/>
      <c r="H198" s="416"/>
      <c r="I198" s="635"/>
      <c r="J198" s="416"/>
      <c r="K198" s="454">
        <v>22</v>
      </c>
      <c r="L198" s="454"/>
      <c r="M198" s="454"/>
      <c r="N198" s="454"/>
      <c r="O198" s="454"/>
      <c r="P198" s="587">
        <f>AVERAGE(K198,K197)</f>
        <v>22</v>
      </c>
      <c r="R198" s="645">
        <f>(P198/P191-1)*100</f>
        <v>33.333333333333329</v>
      </c>
      <c r="S198" s="563"/>
      <c r="T198" s="640"/>
      <c r="U198" s="416"/>
      <c r="V198" s="416"/>
      <c r="W198" s="416"/>
      <c r="X198" s="641"/>
      <c r="Y198" s="416"/>
      <c r="Z198" s="642"/>
      <c r="AA198" s="416"/>
      <c r="AB198" s="599"/>
      <c r="AC198" s="632"/>
      <c r="AD198" s="416"/>
      <c r="AE198" s="638">
        <f>+AE197</f>
        <v>0.29387599999999997</v>
      </c>
      <c r="AF198" s="459"/>
      <c r="AG198" s="582">
        <f>AVERAGE(AE198,AE197)</f>
        <v>0.29387599999999997</v>
      </c>
      <c r="AI198" s="539">
        <f>(AG198/AG191-1)*100</f>
        <v>33.709657850036365</v>
      </c>
      <c r="AJ198" s="563"/>
      <c r="AK198" s="595"/>
      <c r="AL198" s="416"/>
      <c r="AM198" s="416"/>
      <c r="AN198" s="610"/>
      <c r="AO198" s="416"/>
      <c r="AP198" s="643"/>
      <c r="AQ198" s="416"/>
      <c r="AR198" s="643"/>
      <c r="AS198" s="416"/>
      <c r="AT198" s="599"/>
      <c r="AU198" s="632"/>
    </row>
    <row r="199" spans="1:47" ht="12.75" hidden="1" customHeight="1" outlineLevel="1">
      <c r="A199" s="410" t="str">
        <f>$A$15</f>
        <v>4Q</v>
      </c>
      <c r="B199" s="562" t="str">
        <f>$B$15</f>
        <v>Jan</v>
      </c>
      <c r="D199" s="635"/>
      <c r="E199" s="416"/>
      <c r="F199" s="416"/>
      <c r="G199" s="636"/>
      <c r="H199" s="416"/>
      <c r="I199" s="635"/>
      <c r="J199" s="416"/>
      <c r="K199" s="454">
        <f>+K198+1</f>
        <v>23</v>
      </c>
      <c r="L199" s="454"/>
      <c r="M199" s="454"/>
      <c r="N199" s="454"/>
      <c r="O199" s="454"/>
      <c r="P199" s="588">
        <f>AVERAGE(K199,K198)</f>
        <v>22.5</v>
      </c>
      <c r="R199" s="646">
        <f>(P199/P192-1)*100</f>
        <v>25</v>
      </c>
      <c r="S199" s="563"/>
      <c r="T199" s="640"/>
      <c r="U199" s="416"/>
      <c r="V199" s="416"/>
      <c r="W199" s="416"/>
      <c r="X199" s="641"/>
      <c r="Y199" s="416"/>
      <c r="Z199" s="642"/>
      <c r="AA199" s="416"/>
      <c r="AB199" s="599"/>
      <c r="AC199" s="632"/>
      <c r="AD199" s="416"/>
      <c r="AE199" s="638">
        <f>0.230283/0.75</f>
        <v>0.30704399999999998</v>
      </c>
      <c r="AF199" s="459"/>
      <c r="AG199" s="591">
        <f>AVERAGE(AE199,AE198)</f>
        <v>0.30045999999999995</v>
      </c>
      <c r="AI199" s="596">
        <f>(AG199/AG192-1)*100</f>
        <v>24.681511482185357</v>
      </c>
      <c r="AJ199" s="563"/>
      <c r="AK199" s="595"/>
      <c r="AL199" s="416"/>
      <c r="AM199" s="416"/>
      <c r="AN199" s="610"/>
      <c r="AO199" s="416"/>
      <c r="AP199" s="643"/>
      <c r="AQ199" s="416"/>
      <c r="AR199" s="643"/>
      <c r="AS199" s="416"/>
      <c r="AT199" s="599"/>
      <c r="AU199" s="632"/>
    </row>
    <row r="200" spans="1:47" ht="12.75" hidden="1" customHeight="1" outlineLevel="1">
      <c r="B200" s="562" t="str">
        <f>$B$16</f>
        <v>Year</v>
      </c>
      <c r="D200" s="635"/>
      <c r="E200" s="416"/>
      <c r="F200" s="416"/>
      <c r="G200" s="644"/>
      <c r="H200" s="416"/>
      <c r="I200" s="635"/>
      <c r="J200" s="416"/>
      <c r="P200" s="587">
        <f>AVERAGE(P196:P199)</f>
        <v>21.25</v>
      </c>
      <c r="R200" s="618">
        <f>(P200/P193-1)*100</f>
        <v>27.819548872180455</v>
      </c>
      <c r="S200" s="563"/>
      <c r="T200" s="595"/>
      <c r="U200" s="416"/>
      <c r="V200" s="416"/>
      <c r="W200" s="416"/>
      <c r="X200" s="628"/>
      <c r="Y200" s="416"/>
      <c r="Z200" s="637"/>
      <c r="AA200" s="416"/>
      <c r="AB200" s="599"/>
      <c r="AC200" s="632"/>
      <c r="AD200" s="416"/>
      <c r="AE200" s="416"/>
      <c r="AF200" s="416"/>
      <c r="AG200" s="582">
        <f>AVERAGE(AG196:AG199)</f>
        <v>0.2853735</v>
      </c>
      <c r="AI200" s="539">
        <f>(AG200/AG193-1)*100</f>
        <v>28.286485137869821</v>
      </c>
      <c r="AJ200" s="563"/>
      <c r="AK200" s="595"/>
      <c r="AL200" s="416"/>
      <c r="AM200" s="416"/>
      <c r="AN200" s="628"/>
      <c r="AO200" s="416"/>
      <c r="AP200" s="639"/>
      <c r="AQ200" s="416"/>
      <c r="AR200" s="639"/>
      <c r="AS200" s="416"/>
      <c r="AT200" s="599"/>
      <c r="AU200" s="632"/>
    </row>
    <row r="201" spans="1:47" ht="12.75" hidden="1" customHeight="1" outlineLevel="1">
      <c r="B201" s="562"/>
      <c r="G201" s="594"/>
    </row>
    <row r="202" spans="1:47" ht="12.75" hidden="1" customHeight="1" outlineLevel="1">
      <c r="A202" s="593"/>
      <c r="B202" s="431">
        <f>+B25</f>
        <v>1996</v>
      </c>
      <c r="E202" s="563"/>
      <c r="F202" s="563"/>
      <c r="H202" s="563"/>
      <c r="J202" s="563"/>
      <c r="S202" s="563"/>
      <c r="T202" s="416"/>
      <c r="U202" s="416"/>
      <c r="AC202" s="563"/>
      <c r="AJ202" s="563"/>
      <c r="AK202" s="416"/>
      <c r="AL202" s="416"/>
      <c r="AU202" s="563"/>
    </row>
    <row r="203" spans="1:47" ht="12.75" hidden="1" customHeight="1" outlineLevel="1">
      <c r="A203" s="410" t="str">
        <f>$A$12</f>
        <v>1Q</v>
      </c>
      <c r="B203" s="562" t="str">
        <f>$B$12</f>
        <v>Apr</v>
      </c>
      <c r="D203" s="635"/>
      <c r="E203" s="632"/>
      <c r="F203" s="632"/>
      <c r="G203" s="636"/>
      <c r="H203" s="632"/>
      <c r="I203" s="635"/>
      <c r="J203" s="632"/>
      <c r="K203" s="454">
        <v>23</v>
      </c>
      <c r="L203" s="454"/>
      <c r="M203" s="454"/>
      <c r="N203" s="454"/>
      <c r="P203" s="587">
        <f>AVERAGE(K203,K199)</f>
        <v>23</v>
      </c>
      <c r="R203" s="645">
        <f>(P203/P196-1)*100</f>
        <v>17.948717948717952</v>
      </c>
      <c r="S203" s="563" t="s">
        <v>208</v>
      </c>
      <c r="T203" s="595"/>
      <c r="U203" s="416"/>
      <c r="V203" s="416"/>
      <c r="W203" s="416"/>
      <c r="X203" s="631"/>
      <c r="Y203" s="416"/>
      <c r="Z203" s="637"/>
      <c r="AA203" s="416"/>
      <c r="AB203" s="599"/>
      <c r="AC203" s="632"/>
      <c r="AD203" s="416"/>
      <c r="AE203" s="638">
        <f>+AE199</f>
        <v>0.30704399999999998</v>
      </c>
      <c r="AF203" s="416"/>
      <c r="AG203" s="582">
        <f>AVERAGE(AE203,AE199)</f>
        <v>0.30704399999999998</v>
      </c>
      <c r="AI203" s="539">
        <f>(AG203/AG196-1)*100</f>
        <v>16.156416690836185</v>
      </c>
      <c r="AJ203" s="563" t="s">
        <v>208</v>
      </c>
      <c r="AK203" s="595"/>
      <c r="AL203" s="416"/>
      <c r="AM203" s="416"/>
      <c r="AN203" s="628"/>
      <c r="AO203" s="416"/>
      <c r="AP203" s="639"/>
      <c r="AQ203" s="416"/>
      <c r="AR203" s="639"/>
      <c r="AS203" s="416"/>
      <c r="AT203" s="599"/>
      <c r="AU203" s="632"/>
    </row>
    <row r="204" spans="1:47" ht="12.75" hidden="1" customHeight="1" outlineLevel="1">
      <c r="A204" s="410" t="str">
        <f>$A$13</f>
        <v>2Q</v>
      </c>
      <c r="B204" s="562" t="str">
        <f>$B$13</f>
        <v>Jul</v>
      </c>
      <c r="D204" s="635"/>
      <c r="E204" s="416"/>
      <c r="F204" s="416"/>
      <c r="G204" s="636"/>
      <c r="H204" s="416"/>
      <c r="I204" s="635"/>
      <c r="J204" s="416"/>
      <c r="K204" s="454">
        <v>23</v>
      </c>
      <c r="L204" s="454"/>
      <c r="M204" s="454"/>
      <c r="N204" s="454"/>
      <c r="O204" s="454"/>
      <c r="P204" s="587">
        <f>AVERAGE(K204,K203)</f>
        <v>23</v>
      </c>
      <c r="R204" s="645">
        <f>(P204/P197-1)*100</f>
        <v>9.5238095238095344</v>
      </c>
      <c r="S204" s="563"/>
      <c r="T204" s="640"/>
      <c r="U204" s="416"/>
      <c r="V204" s="416"/>
      <c r="W204" s="416"/>
      <c r="X204" s="641"/>
      <c r="Y204" s="416"/>
      <c r="Z204" s="642"/>
      <c r="AA204" s="416"/>
      <c r="AB204" s="599"/>
      <c r="AC204" s="632"/>
      <c r="AD204" s="416"/>
      <c r="AE204" s="638">
        <f>+AE203</f>
        <v>0.30704399999999998</v>
      </c>
      <c r="AF204" s="459"/>
      <c r="AG204" s="582">
        <f>AVERAGE(AE204,AE203)</f>
        <v>0.30704399999999998</v>
      </c>
      <c r="AI204" s="539">
        <f>(AG204/AG197-1)*100</f>
        <v>8.5646533029097185</v>
      </c>
      <c r="AJ204" s="563"/>
      <c r="AK204" s="595"/>
      <c r="AL204" s="416"/>
      <c r="AM204" s="416"/>
      <c r="AN204" s="610"/>
      <c r="AO204" s="416"/>
      <c r="AP204" s="643"/>
      <c r="AQ204" s="416"/>
      <c r="AR204" s="643"/>
      <c r="AS204" s="416"/>
      <c r="AT204" s="599"/>
      <c r="AU204" s="632"/>
    </row>
    <row r="205" spans="1:47" ht="12.75" hidden="1" customHeight="1" outlineLevel="1">
      <c r="A205" s="410" t="str">
        <f>$A$14</f>
        <v>3Q</v>
      </c>
      <c r="B205" s="562" t="str">
        <f>$B$14</f>
        <v>Oct</v>
      </c>
      <c r="D205" s="635"/>
      <c r="E205" s="416"/>
      <c r="F205" s="416"/>
      <c r="G205" s="636"/>
      <c r="H205" s="416"/>
      <c r="I205" s="635"/>
      <c r="J205" s="416"/>
      <c r="K205" s="454">
        <v>23</v>
      </c>
      <c r="L205" s="454"/>
      <c r="M205" s="454"/>
      <c r="N205" s="454"/>
      <c r="O205" s="454"/>
      <c r="P205" s="587">
        <f>AVERAGE(K205,K204)</f>
        <v>23</v>
      </c>
      <c r="R205" s="645">
        <f>(P205/P198-1)*100</f>
        <v>4.5454545454545414</v>
      </c>
      <c r="S205" s="563"/>
      <c r="T205" s="640"/>
      <c r="U205" s="416"/>
      <c r="V205" s="416"/>
      <c r="W205" s="416"/>
      <c r="X205" s="641"/>
      <c r="Y205" s="416"/>
      <c r="Z205" s="642"/>
      <c r="AA205" s="416"/>
      <c r="AB205" s="599"/>
      <c r="AC205" s="632"/>
      <c r="AD205" s="416"/>
      <c r="AE205" s="638">
        <f>+AE204</f>
        <v>0.30704399999999998</v>
      </c>
      <c r="AF205" s="459"/>
      <c r="AG205" s="582">
        <f>AVERAGE(AE205,AE204)</f>
        <v>0.30704399999999998</v>
      </c>
      <c r="AI205" s="539">
        <f>(AG205/AG198-1)*100</f>
        <v>4.4808014264519747</v>
      </c>
      <c r="AJ205" s="563"/>
      <c r="AK205" s="595"/>
      <c r="AL205" s="416"/>
      <c r="AM205" s="416"/>
      <c r="AN205" s="610"/>
      <c r="AO205" s="416"/>
      <c r="AP205" s="643"/>
      <c r="AQ205" s="416"/>
      <c r="AR205" s="643"/>
      <c r="AS205" s="416"/>
      <c r="AT205" s="599"/>
      <c r="AU205" s="632"/>
    </row>
    <row r="206" spans="1:47" ht="12.75" hidden="1" customHeight="1" outlineLevel="1">
      <c r="A206" s="410" t="str">
        <f>$A$15</f>
        <v>4Q</v>
      </c>
      <c r="B206" s="562" t="str">
        <f>$B$15</f>
        <v>Jan</v>
      </c>
      <c r="D206" s="635"/>
      <c r="E206" s="416"/>
      <c r="F206" s="416"/>
      <c r="G206" s="636"/>
      <c r="H206" s="416"/>
      <c r="I206" s="635"/>
      <c r="J206" s="416"/>
      <c r="K206" s="454">
        <f>+K205+2</f>
        <v>25</v>
      </c>
      <c r="L206" s="454"/>
      <c r="M206" s="454"/>
      <c r="N206" s="454"/>
      <c r="O206" s="454"/>
      <c r="P206" s="588">
        <f>AVERAGE(K206,K205)</f>
        <v>24</v>
      </c>
      <c r="R206" s="646">
        <f>(P206/P199-1)*100</f>
        <v>6.6666666666666652</v>
      </c>
      <c r="S206" s="563"/>
      <c r="T206" s="640"/>
      <c r="U206" s="416"/>
      <c r="V206" s="416"/>
      <c r="W206" s="416"/>
      <c r="X206" s="641"/>
      <c r="Y206" s="416"/>
      <c r="Z206" s="642"/>
      <c r="AA206" s="416"/>
      <c r="AB206" s="599"/>
      <c r="AC206" s="632"/>
      <c r="AD206" s="416"/>
      <c r="AE206" s="638">
        <f>0.250359/0.75</f>
        <v>0.333812</v>
      </c>
      <c r="AF206" s="459"/>
      <c r="AG206" s="591">
        <f>AVERAGE(AE206,AE205)</f>
        <v>0.32042799999999999</v>
      </c>
      <c r="AI206" s="596">
        <f>(AG206/AG199-1)*100</f>
        <v>6.6458097583705245</v>
      </c>
      <c r="AJ206" s="563"/>
      <c r="AK206" s="595"/>
      <c r="AL206" s="416"/>
      <c r="AM206" s="416"/>
      <c r="AN206" s="610"/>
      <c r="AO206" s="416"/>
      <c r="AP206" s="643"/>
      <c r="AQ206" s="416"/>
      <c r="AR206" s="643"/>
      <c r="AS206" s="416"/>
      <c r="AT206" s="599"/>
      <c r="AU206" s="632"/>
    </row>
    <row r="207" spans="1:47" ht="12.75" hidden="1" customHeight="1" outlineLevel="1">
      <c r="B207" s="562" t="str">
        <f>$B$16</f>
        <v>Year</v>
      </c>
      <c r="D207" s="635"/>
      <c r="E207" s="416"/>
      <c r="F207" s="416"/>
      <c r="G207" s="644"/>
      <c r="H207" s="416"/>
      <c r="I207" s="635"/>
      <c r="J207" s="416"/>
      <c r="P207" s="587">
        <f>AVERAGE(P203:P206)</f>
        <v>23.25</v>
      </c>
      <c r="R207" s="618">
        <f>(P207/P200-1)*100</f>
        <v>9.4117647058823639</v>
      </c>
      <c r="S207" s="563"/>
      <c r="T207" s="595"/>
      <c r="U207" s="416"/>
      <c r="V207" s="416"/>
      <c r="W207" s="416"/>
      <c r="X207" s="628"/>
      <c r="Y207" s="416"/>
      <c r="Z207" s="637"/>
      <c r="AA207" s="416"/>
      <c r="AB207" s="599"/>
      <c r="AC207" s="632"/>
      <c r="AD207" s="416"/>
      <c r="AE207" s="416"/>
      <c r="AF207" s="416"/>
      <c r="AG207" s="582">
        <f>AVERAGE(AG203:AG206)</f>
        <v>0.31039</v>
      </c>
      <c r="AI207" s="539">
        <f>(AG207/AG200-1)*100</f>
        <v>8.7662309219321379</v>
      </c>
      <c r="AJ207" s="563"/>
      <c r="AK207" s="595"/>
      <c r="AL207" s="416"/>
      <c r="AM207" s="416"/>
      <c r="AN207" s="628"/>
      <c r="AO207" s="416"/>
      <c r="AP207" s="639"/>
      <c r="AQ207" s="416"/>
      <c r="AR207" s="639"/>
      <c r="AS207" s="416"/>
      <c r="AT207" s="599"/>
      <c r="AU207" s="632"/>
    </row>
    <row r="208" spans="1:47" ht="12.75" hidden="1" customHeight="1" outlineLevel="1">
      <c r="B208" s="562"/>
      <c r="G208" s="594"/>
    </row>
    <row r="209" spans="1:47" ht="12.75" hidden="1" customHeight="1" outlineLevel="1">
      <c r="A209" s="593"/>
      <c r="B209" s="431">
        <f>+B32</f>
        <v>1997</v>
      </c>
      <c r="E209" s="563"/>
      <c r="F209" s="563"/>
      <c r="H209" s="563"/>
      <c r="J209" s="563"/>
      <c r="S209" s="563"/>
      <c r="T209" s="416"/>
      <c r="U209" s="416"/>
      <c r="AC209" s="563"/>
      <c r="AJ209" s="563"/>
      <c r="AK209" s="416"/>
      <c r="AL209" s="416"/>
      <c r="AU209" s="563"/>
    </row>
    <row r="210" spans="1:47" ht="12.75" hidden="1" customHeight="1" outlineLevel="1">
      <c r="A210" s="410" t="str">
        <f>$A$12</f>
        <v>1Q</v>
      </c>
      <c r="B210" s="562" t="str">
        <f>$B$12</f>
        <v>Apr</v>
      </c>
      <c r="D210" s="635"/>
      <c r="E210" s="632"/>
      <c r="F210" s="632"/>
      <c r="G210" s="636"/>
      <c r="H210" s="632"/>
      <c r="I210" s="635"/>
      <c r="J210" s="632"/>
      <c r="K210" s="454">
        <v>25</v>
      </c>
      <c r="L210" s="454"/>
      <c r="M210" s="454"/>
      <c r="N210" s="454"/>
      <c r="P210" s="587">
        <f>AVERAGE(K210,K206)</f>
        <v>25</v>
      </c>
      <c r="R210" s="645">
        <f>(P210/P203-1)*100</f>
        <v>8.6956521739130377</v>
      </c>
      <c r="S210" s="563" t="s">
        <v>208</v>
      </c>
      <c r="T210" s="595"/>
      <c r="U210" s="416"/>
      <c r="V210" s="416"/>
      <c r="W210" s="416"/>
      <c r="X210" s="631"/>
      <c r="Y210" s="416"/>
      <c r="Z210" s="637"/>
      <c r="AA210" s="416"/>
      <c r="AB210" s="599"/>
      <c r="AC210" s="632"/>
      <c r="AD210" s="416"/>
      <c r="AE210" s="638">
        <f>+AE206</f>
        <v>0.333812</v>
      </c>
      <c r="AF210" s="416"/>
      <c r="AG210" s="582">
        <f>AVERAGE(AE210,AE206)</f>
        <v>0.333812</v>
      </c>
      <c r="AI210" s="539">
        <f>(AG210/AG203-1)*100</f>
        <v>8.7179687601776976</v>
      </c>
      <c r="AJ210" s="563" t="s">
        <v>208</v>
      </c>
      <c r="AK210" s="595"/>
      <c r="AL210" s="416"/>
      <c r="AM210" s="416"/>
      <c r="AN210" s="628"/>
      <c r="AO210" s="416"/>
      <c r="AP210" s="639"/>
      <c r="AQ210" s="416"/>
      <c r="AR210" s="639"/>
      <c r="AS210" s="416"/>
      <c r="AT210" s="599"/>
      <c r="AU210" s="632"/>
    </row>
    <row r="211" spans="1:47" ht="12.75" hidden="1" customHeight="1" outlineLevel="1">
      <c r="A211" s="410" t="str">
        <f>$A$13</f>
        <v>2Q</v>
      </c>
      <c r="B211" s="562" t="str">
        <f>$B$13</f>
        <v>Jul</v>
      </c>
      <c r="D211" s="635"/>
      <c r="E211" s="416"/>
      <c r="F211" s="416"/>
      <c r="G211" s="636"/>
      <c r="H211" s="416"/>
      <c r="I211" s="635"/>
      <c r="J211" s="416"/>
      <c r="K211" s="454">
        <f>+K210-1</f>
        <v>24</v>
      </c>
      <c r="L211" s="454"/>
      <c r="M211" s="454"/>
      <c r="N211" s="454"/>
      <c r="O211" s="454"/>
      <c r="P211" s="587">
        <f>AVERAGE(K211,K210)</f>
        <v>24.5</v>
      </c>
      <c r="R211" s="645">
        <f>(P211/P204-1)*100</f>
        <v>6.5217391304347894</v>
      </c>
      <c r="S211" s="563"/>
      <c r="T211" s="640"/>
      <c r="U211" s="416"/>
      <c r="V211" s="416"/>
      <c r="W211" s="416"/>
      <c r="X211" s="641"/>
      <c r="Y211" s="416"/>
      <c r="Z211" s="642"/>
      <c r="AA211" s="416"/>
      <c r="AB211" s="599"/>
      <c r="AC211" s="632"/>
      <c r="AD211" s="416"/>
      <c r="AE211" s="638">
        <f>0.242859/0.75</f>
        <v>0.32381199999999999</v>
      </c>
      <c r="AF211" s="459"/>
      <c r="AG211" s="582">
        <f>AVERAGE(AE211,AE210)</f>
        <v>0.32881199999999999</v>
      </c>
      <c r="AI211" s="539">
        <f>(AG211/AG204-1)*100</f>
        <v>7.0895376558408607</v>
      </c>
      <c r="AJ211" s="563"/>
      <c r="AK211" s="595"/>
      <c r="AL211" s="416"/>
      <c r="AM211" s="416"/>
      <c r="AN211" s="610"/>
      <c r="AO211" s="416"/>
      <c r="AP211" s="643"/>
      <c r="AQ211" s="416"/>
      <c r="AR211" s="643"/>
      <c r="AS211" s="416"/>
      <c r="AT211" s="599"/>
      <c r="AU211" s="632"/>
    </row>
    <row r="212" spans="1:47" ht="12.75" hidden="1" customHeight="1" outlineLevel="1">
      <c r="A212" s="410" t="str">
        <f>$A$14</f>
        <v>3Q</v>
      </c>
      <c r="B212" s="562" t="str">
        <f>$B$14</f>
        <v>Oct</v>
      </c>
      <c r="D212" s="635"/>
      <c r="E212" s="416"/>
      <c r="F212" s="416"/>
      <c r="G212" s="636"/>
      <c r="H212" s="416"/>
      <c r="I212" s="635"/>
      <c r="J212" s="416"/>
      <c r="K212" s="454">
        <v>24</v>
      </c>
      <c r="L212" s="454"/>
      <c r="M212" s="454"/>
      <c r="N212" s="454"/>
      <c r="O212" s="454"/>
      <c r="P212" s="587">
        <f>AVERAGE(K212,K211)</f>
        <v>24</v>
      </c>
      <c r="R212" s="645">
        <f>(P212/P205-1)*100</f>
        <v>4.3478260869565188</v>
      </c>
      <c r="S212" s="563"/>
      <c r="T212" s="640"/>
      <c r="U212" s="416"/>
      <c r="V212" s="416"/>
      <c r="W212" s="416"/>
      <c r="X212" s="641"/>
      <c r="Y212" s="416"/>
      <c r="Z212" s="642"/>
      <c r="AA212" s="416"/>
      <c r="AB212" s="599"/>
      <c r="AC212" s="632"/>
      <c r="AD212" s="416"/>
      <c r="AE212" s="638">
        <f>+AE211</f>
        <v>0.32381199999999999</v>
      </c>
      <c r="AF212" s="459"/>
      <c r="AG212" s="582">
        <f>AVERAGE(AE212,AE211)</f>
        <v>0.32381199999999999</v>
      </c>
      <c r="AI212" s="539">
        <f>(AG212/AG205-1)*100</f>
        <v>5.4611065515040247</v>
      </c>
      <c r="AJ212" s="563"/>
      <c r="AK212" s="595"/>
      <c r="AL212" s="416"/>
      <c r="AM212" s="416"/>
      <c r="AN212" s="610"/>
      <c r="AO212" s="416"/>
      <c r="AP212" s="643"/>
      <c r="AQ212" s="416"/>
      <c r="AR212" s="643"/>
      <c r="AS212" s="416"/>
      <c r="AT212" s="599"/>
      <c r="AU212" s="632"/>
    </row>
    <row r="213" spans="1:47" ht="12.75" hidden="1" customHeight="1" outlineLevel="1">
      <c r="A213" s="410" t="str">
        <f>$A$15</f>
        <v>4Q</v>
      </c>
      <c r="B213" s="562" t="str">
        <f>$B$15</f>
        <v>Jan</v>
      </c>
      <c r="D213" s="635"/>
      <c r="E213" s="416"/>
      <c r="F213" s="416"/>
      <c r="G213" s="636"/>
      <c r="H213" s="416"/>
      <c r="I213" s="635"/>
      <c r="J213" s="416"/>
      <c r="K213" s="454">
        <f>+K212+2</f>
        <v>26</v>
      </c>
      <c r="L213" s="454"/>
      <c r="M213" s="454"/>
      <c r="N213" s="454"/>
      <c r="O213" s="454"/>
      <c r="P213" s="588">
        <f>AVERAGE(K213,K212)</f>
        <v>25</v>
      </c>
      <c r="R213" s="646">
        <f>(P213/P206-1)*100</f>
        <v>4.1666666666666741</v>
      </c>
      <c r="S213" s="563"/>
      <c r="T213" s="640"/>
      <c r="U213" s="416"/>
      <c r="V213" s="416"/>
      <c r="W213" s="416"/>
      <c r="X213" s="641"/>
      <c r="Y213" s="416"/>
      <c r="Z213" s="642"/>
      <c r="AA213" s="416"/>
      <c r="AB213" s="599"/>
      <c r="AC213" s="632"/>
      <c r="AD213" s="416"/>
      <c r="AE213" s="638">
        <f>0.260289/0.75</f>
        <v>0.34705199999999997</v>
      </c>
      <c r="AF213" s="459"/>
      <c r="AG213" s="591">
        <f>AVERAGE(AE213,AE212)</f>
        <v>0.33543199999999995</v>
      </c>
      <c r="AI213" s="596">
        <f>(AG213/AG206-1)*100</f>
        <v>4.6824871734055584</v>
      </c>
      <c r="AJ213" s="563"/>
      <c r="AK213" s="595"/>
      <c r="AL213" s="416"/>
      <c r="AM213" s="416"/>
      <c r="AN213" s="610"/>
      <c r="AO213" s="416"/>
      <c r="AP213" s="643"/>
      <c r="AQ213" s="416"/>
      <c r="AR213" s="643"/>
      <c r="AS213" s="416"/>
      <c r="AT213" s="599"/>
      <c r="AU213" s="632"/>
    </row>
    <row r="214" spans="1:47" ht="12.75" hidden="1" customHeight="1" outlineLevel="1">
      <c r="B214" s="562" t="str">
        <f>$B$16</f>
        <v>Year</v>
      </c>
      <c r="D214" s="635"/>
      <c r="E214" s="416"/>
      <c r="F214" s="416"/>
      <c r="G214" s="644"/>
      <c r="H214" s="416"/>
      <c r="I214" s="635"/>
      <c r="J214" s="416"/>
      <c r="P214" s="587">
        <f>AVERAGE(P210:P213)</f>
        <v>24.625</v>
      </c>
      <c r="R214" s="618">
        <f>(P214/P207-1)*100</f>
        <v>5.9139784946236507</v>
      </c>
      <c r="S214" s="563"/>
      <c r="T214" s="595"/>
      <c r="U214" s="416"/>
      <c r="V214" s="416"/>
      <c r="W214" s="416"/>
      <c r="X214" s="628"/>
      <c r="Y214" s="416"/>
      <c r="Z214" s="637"/>
      <c r="AA214" s="416"/>
      <c r="AB214" s="599"/>
      <c r="AC214" s="632"/>
      <c r="AD214" s="416"/>
      <c r="AE214" s="416"/>
      <c r="AF214" s="416"/>
      <c r="AG214" s="582">
        <f>AVERAGE(AG210:AG213)</f>
        <v>0.33046699999999996</v>
      </c>
      <c r="AI214" s="539">
        <f>(AG214/AG207-1)*100</f>
        <v>6.4683140565095387</v>
      </c>
      <c r="AJ214" s="563"/>
      <c r="AK214" s="595"/>
      <c r="AL214" s="416"/>
      <c r="AM214" s="416"/>
      <c r="AN214" s="628"/>
      <c r="AO214" s="416"/>
      <c r="AP214" s="639"/>
      <c r="AQ214" s="416"/>
      <c r="AR214" s="639"/>
      <c r="AS214" s="416"/>
      <c r="AT214" s="599"/>
      <c r="AU214" s="632"/>
    </row>
    <row r="215" spans="1:47" ht="12.75" hidden="1" customHeight="1" outlineLevel="1">
      <c r="B215" s="562"/>
      <c r="G215" s="594"/>
    </row>
    <row r="216" spans="1:47" ht="12.75" hidden="1" customHeight="1" outlineLevel="1">
      <c r="A216" s="593"/>
      <c r="B216" s="431">
        <f>+B39</f>
        <v>1998</v>
      </c>
      <c r="E216" s="563"/>
      <c r="F216" s="563"/>
      <c r="H216" s="563"/>
      <c r="J216" s="563"/>
      <c r="S216" s="563"/>
      <c r="T216" s="416"/>
      <c r="U216" s="416"/>
      <c r="AC216" s="563"/>
      <c r="AJ216" s="563"/>
      <c r="AK216" s="416"/>
      <c r="AL216" s="416"/>
      <c r="AU216" s="563"/>
    </row>
    <row r="217" spans="1:47" ht="12.75" hidden="1" customHeight="1" outlineLevel="1">
      <c r="A217" s="410" t="str">
        <f>$A$12</f>
        <v>1Q</v>
      </c>
      <c r="B217" s="562" t="str">
        <f>$B$12</f>
        <v>Apr</v>
      </c>
      <c r="D217" s="635"/>
      <c r="E217" s="632"/>
      <c r="F217" s="632"/>
      <c r="G217" s="636"/>
      <c r="H217" s="632"/>
      <c r="I217" s="635"/>
      <c r="J217" s="632"/>
      <c r="K217" s="454">
        <v>27</v>
      </c>
      <c r="L217" s="454"/>
      <c r="M217" s="454"/>
      <c r="N217" s="454"/>
      <c r="P217" s="587">
        <f>AVERAGE(K217,K213)</f>
        <v>26.5</v>
      </c>
      <c r="R217" s="645">
        <f>(P217/P210-1)*100</f>
        <v>6.0000000000000053</v>
      </c>
      <c r="S217" s="563" t="s">
        <v>208</v>
      </c>
      <c r="T217" s="595"/>
      <c r="U217" s="416"/>
      <c r="V217" s="416"/>
      <c r="W217" s="416"/>
      <c r="X217" s="631"/>
      <c r="Y217" s="416"/>
      <c r="Z217" s="637"/>
      <c r="AA217" s="416"/>
      <c r="AB217" s="599"/>
      <c r="AC217" s="632"/>
      <c r="AD217" s="416"/>
      <c r="AE217" s="638">
        <f>0.265404/0.75</f>
        <v>0.35387199999999996</v>
      </c>
      <c r="AF217" s="416"/>
      <c r="AG217" s="582">
        <f>AVERAGE(AE217,AE213)</f>
        <v>0.35046199999999994</v>
      </c>
      <c r="AI217" s="539">
        <f>(AG217/AG210-1)*100</f>
        <v>4.9878374653996582</v>
      </c>
      <c r="AJ217" s="563" t="s">
        <v>208</v>
      </c>
      <c r="AK217" s="595"/>
      <c r="AL217" s="416"/>
      <c r="AM217" s="416"/>
      <c r="AN217" s="628"/>
      <c r="AO217" s="416"/>
      <c r="AP217" s="639"/>
      <c r="AQ217" s="416"/>
      <c r="AR217" s="639"/>
      <c r="AS217" s="416"/>
      <c r="AT217" s="599"/>
      <c r="AU217" s="632"/>
    </row>
    <row r="218" spans="1:47" ht="12.75" hidden="1" customHeight="1" outlineLevel="1">
      <c r="A218" s="410" t="str">
        <f>$A$13</f>
        <v>2Q</v>
      </c>
      <c r="B218" s="562" t="str">
        <f>$B$13</f>
        <v>Jul</v>
      </c>
      <c r="D218" s="635"/>
      <c r="E218" s="416"/>
      <c r="F218" s="416"/>
      <c r="G218" s="636"/>
      <c r="H218" s="416"/>
      <c r="I218" s="635"/>
      <c r="J218" s="416"/>
      <c r="K218" s="454">
        <f>+K217+3</f>
        <v>30</v>
      </c>
      <c r="L218" s="454"/>
      <c r="M218" s="454"/>
      <c r="N218" s="454"/>
      <c r="O218" s="454"/>
      <c r="P218" s="587">
        <f>AVERAGE(K218,K217)</f>
        <v>28.5</v>
      </c>
      <c r="R218" s="645">
        <f>(P218/P211-1)*100</f>
        <v>16.326530612244895</v>
      </c>
      <c r="S218" s="563"/>
      <c r="T218" s="640"/>
      <c r="U218" s="416"/>
      <c r="V218" s="416"/>
      <c r="W218" s="416"/>
      <c r="X218" s="641"/>
      <c r="Y218" s="416"/>
      <c r="Z218" s="642"/>
      <c r="AA218" s="416"/>
      <c r="AB218" s="599"/>
      <c r="AC218" s="632"/>
      <c r="AD218" s="416"/>
      <c r="AE218" s="638">
        <f>0.288979/0.75</f>
        <v>0.38530533333333333</v>
      </c>
      <c r="AF218" s="459"/>
      <c r="AG218" s="582">
        <f>AVERAGE(AE218,AE217)</f>
        <v>0.36958866666666668</v>
      </c>
      <c r="AI218" s="539">
        <f>(AG218/AG211-1)*100</f>
        <v>12.401210012611052</v>
      </c>
      <c r="AJ218" s="563"/>
      <c r="AK218" s="595"/>
      <c r="AL218" s="416"/>
      <c r="AM218" s="416"/>
      <c r="AN218" s="610"/>
      <c r="AO218" s="416"/>
      <c r="AP218" s="643"/>
      <c r="AQ218" s="416"/>
      <c r="AR218" s="643"/>
      <c r="AS218" s="416"/>
      <c r="AT218" s="599"/>
      <c r="AU218" s="632"/>
    </row>
    <row r="219" spans="1:47" ht="12.75" hidden="1" customHeight="1" outlineLevel="1">
      <c r="A219" s="410" t="str">
        <f>$A$14</f>
        <v>3Q</v>
      </c>
      <c r="B219" s="562" t="str">
        <f>$B$14</f>
        <v>Oct</v>
      </c>
      <c r="D219" s="635"/>
      <c r="E219" s="416"/>
      <c r="F219" s="416"/>
      <c r="G219" s="636"/>
      <c r="H219" s="416"/>
      <c r="I219" s="635"/>
      <c r="J219" s="416"/>
      <c r="K219" s="454">
        <f>+K218+2</f>
        <v>32</v>
      </c>
      <c r="L219" s="454"/>
      <c r="M219" s="454"/>
      <c r="N219" s="454"/>
      <c r="O219" s="454"/>
      <c r="P219" s="587">
        <f>AVERAGE(K219,K218)</f>
        <v>31</v>
      </c>
      <c r="R219" s="645">
        <f>(P219/P212-1)*100</f>
        <v>29.166666666666675</v>
      </c>
      <c r="S219" s="563"/>
      <c r="T219" s="640"/>
      <c r="U219" s="416"/>
      <c r="V219" s="416"/>
      <c r="W219" s="416"/>
      <c r="X219" s="641"/>
      <c r="Y219" s="416"/>
      <c r="Z219" s="642"/>
      <c r="AA219" s="416"/>
      <c r="AB219" s="599"/>
      <c r="AC219" s="632"/>
      <c r="AD219" s="416"/>
      <c r="AE219" s="638">
        <f>0.30348/0.75</f>
        <v>0.40464000000000006</v>
      </c>
      <c r="AF219" s="459"/>
      <c r="AG219" s="582">
        <f>AVERAGE(AE219,AE218)</f>
        <v>0.39497266666666669</v>
      </c>
      <c r="AI219" s="539">
        <f>(AG219/AG212-1)*100</f>
        <v>21.975920184139785</v>
      </c>
      <c r="AJ219" s="563"/>
      <c r="AK219" s="595"/>
      <c r="AL219" s="416"/>
      <c r="AM219" s="416"/>
      <c r="AN219" s="610"/>
      <c r="AO219" s="416"/>
      <c r="AP219" s="643"/>
      <c r="AQ219" s="416"/>
      <c r="AR219" s="643"/>
      <c r="AS219" s="416"/>
      <c r="AT219" s="599"/>
      <c r="AU219" s="632"/>
    </row>
    <row r="220" spans="1:47" ht="12.75" hidden="1" customHeight="1" outlineLevel="1">
      <c r="A220" s="410" t="str">
        <f>$A$15</f>
        <v>4Q</v>
      </c>
      <c r="B220" s="562" t="str">
        <f>$B$15</f>
        <v>Jan</v>
      </c>
      <c r="D220" s="635"/>
      <c r="E220" s="416"/>
      <c r="F220" s="416"/>
      <c r="G220" s="636"/>
      <c r="H220" s="416"/>
      <c r="I220" s="635"/>
      <c r="J220" s="416"/>
      <c r="K220" s="454">
        <v>32</v>
      </c>
      <c r="L220" s="454"/>
      <c r="M220" s="454"/>
      <c r="N220" s="454"/>
      <c r="O220" s="454"/>
      <c r="P220" s="588">
        <f>AVERAGE(K220,K219)</f>
        <v>32</v>
      </c>
      <c r="R220" s="646">
        <f>(P220/P213-1)*100</f>
        <v>28.000000000000004</v>
      </c>
      <c r="S220" s="563"/>
      <c r="T220" s="640"/>
      <c r="U220" s="416"/>
      <c r="V220" s="416"/>
      <c r="W220" s="416"/>
      <c r="X220" s="641"/>
      <c r="Y220" s="416"/>
      <c r="Z220" s="642"/>
      <c r="AA220" s="416"/>
      <c r="AB220" s="599"/>
      <c r="AC220" s="632"/>
      <c r="AD220" s="416"/>
      <c r="AE220" s="638">
        <f>+AE219</f>
        <v>0.40464000000000006</v>
      </c>
      <c r="AF220" s="459"/>
      <c r="AG220" s="591">
        <f>AVERAGE(AE220,AE219)</f>
        <v>0.40464000000000006</v>
      </c>
      <c r="AI220" s="596">
        <f>(AG220/AG213-1)*100</f>
        <v>20.632497793889716</v>
      </c>
      <c r="AJ220" s="563"/>
      <c r="AK220" s="595"/>
      <c r="AL220" s="416"/>
      <c r="AM220" s="416"/>
      <c r="AN220" s="610"/>
      <c r="AO220" s="416"/>
      <c r="AP220" s="643"/>
      <c r="AQ220" s="416"/>
      <c r="AR220" s="643"/>
      <c r="AS220" s="416"/>
      <c r="AT220" s="599"/>
      <c r="AU220" s="632"/>
    </row>
    <row r="221" spans="1:47" ht="12.75" hidden="1" customHeight="1" outlineLevel="1">
      <c r="B221" s="562" t="str">
        <f>$B$16</f>
        <v>Year</v>
      </c>
      <c r="D221" s="635"/>
      <c r="E221" s="416"/>
      <c r="F221" s="416"/>
      <c r="G221" s="644"/>
      <c r="H221" s="416"/>
      <c r="I221" s="635"/>
      <c r="J221" s="416"/>
      <c r="P221" s="587">
        <f>AVERAGE(P217:P220)</f>
        <v>29.5</v>
      </c>
      <c r="R221" s="618">
        <f>(P221/P214-1)*100</f>
        <v>19.796954314720814</v>
      </c>
      <c r="S221" s="563"/>
      <c r="T221" s="595"/>
      <c r="U221" s="416"/>
      <c r="V221" s="416"/>
      <c r="W221" s="416"/>
      <c r="X221" s="628"/>
      <c r="Y221" s="416"/>
      <c r="Z221" s="637"/>
      <c r="AA221" s="416"/>
      <c r="AB221" s="599"/>
      <c r="AC221" s="632"/>
      <c r="AD221" s="416"/>
      <c r="AE221" s="416"/>
      <c r="AF221" s="416"/>
      <c r="AG221" s="582">
        <f>AVERAGE(AG217:AG220)</f>
        <v>0.37991583333333334</v>
      </c>
      <c r="AI221" s="539">
        <f>(AG221/AG214-1)*100</f>
        <v>14.963319585112389</v>
      </c>
      <c r="AJ221" s="563"/>
      <c r="AK221" s="595"/>
      <c r="AL221" s="416"/>
      <c r="AM221" s="416"/>
      <c r="AN221" s="628"/>
      <c r="AO221" s="416"/>
      <c r="AP221" s="639"/>
      <c r="AQ221" s="416"/>
      <c r="AR221" s="639"/>
      <c r="AS221" s="416"/>
      <c r="AT221" s="599"/>
      <c r="AU221" s="632"/>
    </row>
    <row r="222" spans="1:47" ht="12.75" hidden="1" customHeight="1" outlineLevel="1">
      <c r="B222" s="562"/>
      <c r="G222" s="594"/>
    </row>
    <row r="223" spans="1:47" ht="12.75" hidden="1" customHeight="1" outlineLevel="1">
      <c r="A223" s="593"/>
      <c r="B223" s="431">
        <f>+B46</f>
        <v>1999</v>
      </c>
      <c r="E223" s="563"/>
      <c r="F223" s="563"/>
      <c r="H223" s="563"/>
      <c r="J223" s="563"/>
      <c r="S223" s="563"/>
      <c r="T223" s="416"/>
      <c r="U223" s="416"/>
      <c r="AC223" s="563"/>
      <c r="AJ223" s="563"/>
      <c r="AK223" s="416"/>
      <c r="AL223" s="416"/>
      <c r="AU223" s="563"/>
    </row>
    <row r="224" spans="1:47" ht="12.75" hidden="1" customHeight="1" outlineLevel="1">
      <c r="A224" s="410" t="str">
        <f>$A$12</f>
        <v>1Q</v>
      </c>
      <c r="B224" s="562" t="str">
        <f>$B$12</f>
        <v>Apr</v>
      </c>
      <c r="D224" s="635"/>
      <c r="E224" s="632"/>
      <c r="F224" s="632"/>
      <c r="G224" s="636"/>
      <c r="H224" s="632"/>
      <c r="I224" s="635"/>
      <c r="J224" s="632"/>
      <c r="K224" s="454">
        <f>+K220+2</f>
        <v>34</v>
      </c>
      <c r="L224" s="454"/>
      <c r="M224" s="454"/>
      <c r="N224" s="454"/>
      <c r="P224" s="587">
        <f>AVERAGE(K224,K220)</f>
        <v>33</v>
      </c>
      <c r="R224" s="645">
        <f>(P224/P217-1)*100</f>
        <v>24.528301886792448</v>
      </c>
      <c r="S224" s="563" t="s">
        <v>208</v>
      </c>
      <c r="T224" s="595"/>
      <c r="U224" s="416"/>
      <c r="V224" s="416"/>
      <c r="W224" s="416"/>
      <c r="X224" s="631"/>
      <c r="Y224" s="416"/>
      <c r="Z224" s="637"/>
      <c r="AA224" s="416"/>
      <c r="AB224" s="599"/>
      <c r="AC224" s="632"/>
      <c r="AD224" s="416"/>
      <c r="AE224" s="638">
        <f>0.318718/0.75</f>
        <v>0.42495733333333335</v>
      </c>
      <c r="AF224" s="416"/>
      <c r="AG224" s="582">
        <f>AVERAGE(AE224,AE220)</f>
        <v>0.4147986666666667</v>
      </c>
      <c r="AI224" s="539">
        <f>(AG224/AG217-1)*100</f>
        <v>18.357672634027878</v>
      </c>
      <c r="AJ224" s="563" t="s">
        <v>208</v>
      </c>
      <c r="AK224" s="595"/>
      <c r="AL224" s="416"/>
      <c r="AM224" s="416"/>
      <c r="AN224" s="628"/>
      <c r="AO224" s="416"/>
      <c r="AP224" s="639"/>
      <c r="AQ224" s="416"/>
      <c r="AR224" s="639"/>
      <c r="AS224" s="416"/>
      <c r="AT224" s="599"/>
      <c r="AU224" s="632"/>
    </row>
    <row r="225" spans="1:47" ht="12.75" hidden="1" customHeight="1" outlineLevel="1">
      <c r="A225" s="410" t="str">
        <f>$A$13</f>
        <v>2Q</v>
      </c>
      <c r="B225" s="562" t="str">
        <f>$B$13</f>
        <v>Jul</v>
      </c>
      <c r="D225" s="635"/>
      <c r="E225" s="416"/>
      <c r="F225" s="416"/>
      <c r="G225" s="636"/>
      <c r="H225" s="416"/>
      <c r="I225" s="635"/>
      <c r="J225" s="416"/>
      <c r="K225" s="454">
        <f>+K224-1+1</f>
        <v>34</v>
      </c>
      <c r="L225" s="454"/>
      <c r="M225" s="454"/>
      <c r="N225" s="454"/>
      <c r="O225" s="454"/>
      <c r="P225" s="587">
        <f>AVERAGE(K225,K224)</f>
        <v>34</v>
      </c>
      <c r="R225" s="645">
        <f>(P225/P218-1)*100</f>
        <v>19.298245614035082</v>
      </c>
      <c r="S225" s="563"/>
      <c r="T225" s="640"/>
      <c r="U225" s="416"/>
      <c r="V225" s="416"/>
      <c r="W225" s="416"/>
      <c r="X225" s="641"/>
      <c r="Y225" s="416"/>
      <c r="Z225" s="642"/>
      <c r="AA225" s="416"/>
      <c r="AB225" s="599"/>
      <c r="AC225" s="632"/>
      <c r="AD225" s="416"/>
      <c r="AE225" s="638">
        <f>0.313796/0.75</f>
        <v>0.41839466666666669</v>
      </c>
      <c r="AF225" s="459"/>
      <c r="AG225" s="582">
        <f>AVERAGE(AE225,AE224)</f>
        <v>0.42167600000000005</v>
      </c>
      <c r="AI225" s="539">
        <f>(AG225/AG218-1)*100</f>
        <v>14.093325372531273</v>
      </c>
      <c r="AJ225" s="563"/>
      <c r="AK225" s="595"/>
      <c r="AL225" s="416"/>
      <c r="AM225" s="416"/>
      <c r="AN225" s="610"/>
      <c r="AO225" s="416"/>
      <c r="AP225" s="643"/>
      <c r="AQ225" s="416"/>
      <c r="AR225" s="643"/>
      <c r="AS225" s="416"/>
      <c r="AT225" s="599"/>
      <c r="AU225" s="632"/>
    </row>
    <row r="226" spans="1:47" ht="12.75" hidden="1" customHeight="1" outlineLevel="1">
      <c r="A226" s="410" t="str">
        <f>$A$14</f>
        <v>3Q</v>
      </c>
      <c r="B226" s="562" t="str">
        <f>$B$14</f>
        <v>Oct</v>
      </c>
      <c r="D226" s="635"/>
      <c r="E226" s="416"/>
      <c r="F226" s="416"/>
      <c r="G226" s="636"/>
      <c r="H226" s="416"/>
      <c r="I226" s="635"/>
      <c r="J226" s="416"/>
      <c r="K226" s="454">
        <f>+K225+2</f>
        <v>36</v>
      </c>
      <c r="L226" s="454"/>
      <c r="M226" s="454"/>
      <c r="N226" s="454"/>
      <c r="O226" s="454"/>
      <c r="P226" s="587">
        <f>AVERAGE(K226,K225)</f>
        <v>35</v>
      </c>
      <c r="R226" s="645">
        <f>(P226/P219-1)*100</f>
        <v>12.903225806451623</v>
      </c>
      <c r="S226" s="563"/>
      <c r="T226" s="640"/>
      <c r="U226" s="416"/>
      <c r="V226" s="416"/>
      <c r="W226" s="416"/>
      <c r="X226" s="641"/>
      <c r="Y226" s="416"/>
      <c r="Z226" s="642"/>
      <c r="AA226" s="416"/>
      <c r="AB226" s="599"/>
      <c r="AC226" s="632"/>
      <c r="AD226" s="416"/>
      <c r="AE226" s="638">
        <f>0.333308/0.75</f>
        <v>0.44441066666666668</v>
      </c>
      <c r="AF226" s="459"/>
      <c r="AG226" s="582">
        <f>AVERAGE(AE226,AE225)</f>
        <v>0.43140266666666671</v>
      </c>
      <c r="AI226" s="539">
        <f>(AG226/AG219-1)*100</f>
        <v>9.2234230554350649</v>
      </c>
      <c r="AJ226" s="563"/>
      <c r="AK226" s="595"/>
      <c r="AL226" s="416"/>
      <c r="AM226" s="416"/>
      <c r="AN226" s="610"/>
      <c r="AO226" s="416"/>
      <c r="AP226" s="643"/>
      <c r="AQ226" s="416"/>
      <c r="AR226" s="643"/>
      <c r="AS226" s="416"/>
      <c r="AT226" s="599"/>
      <c r="AU226" s="632"/>
    </row>
    <row r="227" spans="1:47" ht="12.75" hidden="1" customHeight="1" outlineLevel="1">
      <c r="A227" s="410" t="str">
        <f>$A$15</f>
        <v>4Q</v>
      </c>
      <c r="B227" s="562" t="str">
        <f>$B$15</f>
        <v>Jan</v>
      </c>
      <c r="D227" s="635"/>
      <c r="E227" s="416"/>
      <c r="F227" s="416"/>
      <c r="G227" s="636"/>
      <c r="H227" s="416"/>
      <c r="I227" s="635"/>
      <c r="J227" s="416"/>
      <c r="K227" s="454">
        <f>+K226+2-1</f>
        <v>37</v>
      </c>
      <c r="L227" s="454"/>
      <c r="M227" s="454"/>
      <c r="N227" s="454"/>
      <c r="O227" s="454"/>
      <c r="P227" s="588">
        <f>AVERAGE(K227,K226)</f>
        <v>36.5</v>
      </c>
      <c r="R227" s="646">
        <f>(P227/P220-1)*100</f>
        <v>14.0625</v>
      </c>
      <c r="S227" s="563"/>
      <c r="T227" s="640"/>
      <c r="U227" s="416"/>
      <c r="V227" s="416"/>
      <c r="W227" s="416"/>
      <c r="X227" s="641"/>
      <c r="Y227" s="416"/>
      <c r="Z227" s="642"/>
      <c r="AA227" s="416"/>
      <c r="AB227" s="599"/>
      <c r="AC227" s="632"/>
      <c r="AD227" s="416"/>
      <c r="AE227" s="638">
        <f>0.346025/0.75</f>
        <v>0.4613666666666667</v>
      </c>
      <c r="AF227" s="459"/>
      <c r="AG227" s="591">
        <f>AVERAGE(AE227,AE226)</f>
        <v>0.45288866666666672</v>
      </c>
      <c r="AI227" s="596">
        <f>(AG227/AG220-1)*100</f>
        <v>11.92385000659022</v>
      </c>
      <c r="AJ227" s="563"/>
      <c r="AK227" s="595"/>
      <c r="AL227" s="416"/>
      <c r="AM227" s="416"/>
      <c r="AN227" s="610"/>
      <c r="AO227" s="416"/>
      <c r="AP227" s="643"/>
      <c r="AQ227" s="416"/>
      <c r="AR227" s="643"/>
      <c r="AS227" s="416"/>
      <c r="AT227" s="599"/>
      <c r="AU227" s="632"/>
    </row>
    <row r="228" spans="1:47" ht="12.75" hidden="1" customHeight="1" outlineLevel="1">
      <c r="B228" s="562" t="str">
        <f>$B$16</f>
        <v>Year</v>
      </c>
      <c r="D228" s="635"/>
      <c r="E228" s="416"/>
      <c r="F228" s="416"/>
      <c r="G228" s="644"/>
      <c r="H228" s="416"/>
      <c r="I228" s="635"/>
      <c r="J228" s="416"/>
      <c r="P228" s="587">
        <f>AVERAGE(P224:P227)</f>
        <v>34.625</v>
      </c>
      <c r="R228" s="618">
        <f>(P228/P221-1)*100</f>
        <v>17.372881355932201</v>
      </c>
      <c r="S228" s="563"/>
      <c r="T228" s="595"/>
      <c r="U228" s="416"/>
      <c r="V228" s="416"/>
      <c r="W228" s="416"/>
      <c r="X228" s="628"/>
      <c r="Y228" s="416"/>
      <c r="Z228" s="637"/>
      <c r="AA228" s="416"/>
      <c r="AB228" s="599"/>
      <c r="AC228" s="632"/>
      <c r="AD228" s="416"/>
      <c r="AE228" s="416"/>
      <c r="AF228" s="416"/>
      <c r="AG228" s="582">
        <f>AVERAGE(AG224:AG227)</f>
        <v>0.4301915</v>
      </c>
      <c r="AI228" s="539">
        <f>(AG228/AG221-1)*100</f>
        <v>13.23336967179134</v>
      </c>
      <c r="AJ228" s="563"/>
      <c r="AK228" s="595"/>
      <c r="AL228" s="416"/>
      <c r="AM228" s="416"/>
      <c r="AN228" s="628"/>
      <c r="AO228" s="416"/>
      <c r="AP228" s="639"/>
      <c r="AQ228" s="416"/>
      <c r="AR228" s="639"/>
      <c r="AS228" s="416"/>
      <c r="AT228" s="599"/>
      <c r="AU228" s="632"/>
    </row>
    <row r="229" spans="1:47" ht="12.75" hidden="1" customHeight="1" outlineLevel="1">
      <c r="B229" s="562"/>
      <c r="G229" s="594"/>
    </row>
    <row r="230" spans="1:47" ht="12.75" hidden="1" customHeight="1" outlineLevel="1">
      <c r="A230" s="593"/>
      <c r="B230" s="431">
        <f>+B53</f>
        <v>2000</v>
      </c>
      <c r="E230" s="563"/>
      <c r="F230" s="563"/>
      <c r="H230" s="563"/>
      <c r="J230" s="563"/>
      <c r="S230" s="563"/>
      <c r="T230" s="416"/>
      <c r="U230" s="416"/>
      <c r="AC230" s="563"/>
      <c r="AJ230" s="563"/>
      <c r="AK230" s="416"/>
      <c r="AL230" s="416"/>
      <c r="AU230" s="563"/>
    </row>
    <row r="231" spans="1:47" ht="12.75" hidden="1" customHeight="1" outlineLevel="1">
      <c r="A231" s="410" t="str">
        <f>$A$12</f>
        <v>1Q</v>
      </c>
      <c r="B231" s="562" t="str">
        <f>$B$12</f>
        <v>Apr</v>
      </c>
      <c r="D231" s="635"/>
      <c r="E231" s="632"/>
      <c r="F231" s="632"/>
      <c r="G231" s="636"/>
      <c r="H231" s="632"/>
      <c r="I231" s="635"/>
      <c r="J231" s="632"/>
      <c r="K231" s="454">
        <f>+K227+1</f>
        <v>38</v>
      </c>
      <c r="L231" s="454"/>
      <c r="M231" s="454"/>
      <c r="N231" s="454"/>
      <c r="P231" s="587">
        <f>AVERAGE(K231,K227)</f>
        <v>37.5</v>
      </c>
      <c r="R231" s="645">
        <f>(P231/P224-1)*100</f>
        <v>13.636363636363647</v>
      </c>
      <c r="S231" s="563" t="s">
        <v>208</v>
      </c>
      <c r="T231" s="595"/>
      <c r="U231" s="416"/>
      <c r="V231" s="416"/>
      <c r="W231" s="416"/>
      <c r="X231" s="631"/>
      <c r="Y231" s="416"/>
      <c r="Z231" s="637"/>
      <c r="AA231" s="416"/>
      <c r="AB231" s="599"/>
      <c r="AC231" s="632"/>
      <c r="AD231" s="416"/>
      <c r="AE231" s="638">
        <f>0.352819/0.75</f>
        <v>0.47042533333333331</v>
      </c>
      <c r="AF231" s="416"/>
      <c r="AG231" s="582">
        <f>AVERAGE(AE231,AE227)</f>
        <v>0.46589599999999998</v>
      </c>
      <c r="AI231" s="539">
        <f>(AG231/AG224-1)*100</f>
        <v>12.318586687838895</v>
      </c>
      <c r="AJ231" s="563" t="s">
        <v>208</v>
      </c>
      <c r="AK231" s="595"/>
      <c r="AL231" s="416"/>
      <c r="AM231" s="416"/>
      <c r="AN231" s="628"/>
      <c r="AO231" s="416"/>
      <c r="AP231" s="639"/>
      <c r="AQ231" s="416"/>
      <c r="AR231" s="639"/>
      <c r="AS231" s="416"/>
      <c r="AT231" s="599"/>
      <c r="AU231" s="632"/>
    </row>
    <row r="232" spans="1:47" ht="12.75" hidden="1" customHeight="1" outlineLevel="1">
      <c r="A232" s="410" t="str">
        <f>$A$13</f>
        <v>2Q</v>
      </c>
      <c r="B232" s="562" t="str">
        <f>$B$13</f>
        <v>Jul</v>
      </c>
      <c r="D232" s="635"/>
      <c r="E232" s="416"/>
      <c r="F232" s="416"/>
      <c r="G232" s="636"/>
      <c r="H232" s="416"/>
      <c r="I232" s="635"/>
      <c r="J232" s="416"/>
      <c r="K232" s="454">
        <f>+K231+1</f>
        <v>39</v>
      </c>
      <c r="L232" s="454"/>
      <c r="M232" s="454"/>
      <c r="N232" s="454"/>
      <c r="O232" s="454"/>
      <c r="P232" s="587">
        <f>AVERAGE(K232,K231)</f>
        <v>38.5</v>
      </c>
      <c r="R232" s="645">
        <f>(P232/P225-1)*100</f>
        <v>13.235294117647056</v>
      </c>
      <c r="S232" s="563"/>
      <c r="T232" s="640"/>
      <c r="U232" s="416"/>
      <c r="V232" s="416"/>
      <c r="W232" s="416"/>
      <c r="X232" s="641"/>
      <c r="Y232" s="416"/>
      <c r="Z232" s="642"/>
      <c r="AA232" s="416"/>
      <c r="AB232" s="599"/>
      <c r="AC232" s="632"/>
      <c r="AD232" s="416"/>
      <c r="AE232" s="638">
        <f>0.369303/0.75</f>
        <v>0.49240400000000001</v>
      </c>
      <c r="AF232" s="459"/>
      <c r="AG232" s="582">
        <f>AVERAGE(AE232,AE231)</f>
        <v>0.48141466666666666</v>
      </c>
      <c r="AI232" s="539">
        <f>(AG232/AG225-1)*100</f>
        <v>14.166959150311275</v>
      </c>
      <c r="AJ232" s="563"/>
      <c r="AK232" s="595"/>
      <c r="AL232" s="416"/>
      <c r="AM232" s="416"/>
      <c r="AN232" s="610"/>
      <c r="AO232" s="416"/>
      <c r="AP232" s="643"/>
      <c r="AQ232" s="416"/>
      <c r="AR232" s="643"/>
      <c r="AS232" s="416"/>
      <c r="AT232" s="599"/>
      <c r="AU232" s="632"/>
    </row>
    <row r="233" spans="1:47" ht="12.75" hidden="1" customHeight="1" outlineLevel="1">
      <c r="A233" s="410" t="str">
        <f>$A$14</f>
        <v>3Q</v>
      </c>
      <c r="B233" s="562" t="str">
        <f>$B$14</f>
        <v>Oct</v>
      </c>
      <c r="D233" s="635"/>
      <c r="E233" s="416"/>
      <c r="F233" s="416"/>
      <c r="G233" s="636"/>
      <c r="H233" s="416"/>
      <c r="I233" s="635"/>
      <c r="J233" s="416"/>
      <c r="K233" s="454">
        <f>+K232+1</f>
        <v>40</v>
      </c>
      <c r="L233" s="454"/>
      <c r="M233" s="454"/>
      <c r="N233" s="454"/>
      <c r="O233" s="454"/>
      <c r="P233" s="587">
        <f>AVERAGE(K233,K232)</f>
        <v>39.5</v>
      </c>
      <c r="R233" s="645">
        <f>(P233/P226-1)*100</f>
        <v>12.857142857142856</v>
      </c>
      <c r="S233" s="563"/>
      <c r="T233" s="640"/>
      <c r="U233" s="416"/>
      <c r="V233" s="416"/>
      <c r="W233" s="416"/>
      <c r="X233" s="641"/>
      <c r="Y233" s="416"/>
      <c r="Z233" s="642"/>
      <c r="AA233" s="416"/>
      <c r="AB233" s="599"/>
      <c r="AC233" s="632"/>
      <c r="AD233" s="416"/>
      <c r="AE233" s="638">
        <f>0.386144/0.75</f>
        <v>0.51485866666666669</v>
      </c>
      <c r="AF233" s="459"/>
      <c r="AG233" s="582">
        <f>AVERAGE(AE233,AE232)</f>
        <v>0.50363133333333332</v>
      </c>
      <c r="AI233" s="539">
        <f>(AG233/AG226-1)*100</f>
        <v>16.742749233508047</v>
      </c>
      <c r="AJ233" s="563"/>
      <c r="AK233" s="595"/>
      <c r="AL233" s="416"/>
      <c r="AM233" s="416"/>
      <c r="AN233" s="610"/>
      <c r="AO233" s="416"/>
      <c r="AP233" s="643"/>
      <c r="AQ233" s="416"/>
      <c r="AR233" s="643"/>
      <c r="AS233" s="416"/>
      <c r="AT233" s="599"/>
      <c r="AU233" s="632"/>
    </row>
    <row r="234" spans="1:47" ht="12.75" hidden="1" customHeight="1" outlineLevel="1">
      <c r="A234" s="410" t="str">
        <f>$A$15</f>
        <v>4Q</v>
      </c>
      <c r="B234" s="562" t="str">
        <f>$B$15</f>
        <v>Jan</v>
      </c>
      <c r="D234" s="635"/>
      <c r="E234" s="416"/>
      <c r="F234" s="416"/>
      <c r="G234" s="636"/>
      <c r="H234" s="416"/>
      <c r="I234" s="635"/>
      <c r="J234" s="416"/>
      <c r="K234" s="454">
        <f>+K233+2</f>
        <v>42</v>
      </c>
      <c r="L234" s="454"/>
      <c r="M234" s="454"/>
      <c r="N234" s="454"/>
      <c r="O234" s="454"/>
      <c r="P234" s="588">
        <f>AVERAGE(K234,K233)</f>
        <v>41</v>
      </c>
      <c r="R234" s="646">
        <f>(P234/P227-1)*100</f>
        <v>12.328767123287676</v>
      </c>
      <c r="S234" s="563"/>
      <c r="T234" s="640"/>
      <c r="U234" s="416"/>
      <c r="V234" s="416"/>
      <c r="W234" s="416"/>
      <c r="X234" s="641"/>
      <c r="Y234" s="416"/>
      <c r="Z234" s="642"/>
      <c r="AA234" s="416"/>
      <c r="AB234" s="599"/>
      <c r="AC234" s="632"/>
      <c r="AD234" s="416"/>
      <c r="AE234" s="638">
        <f>0.40862/0.75</f>
        <v>0.54482666666666668</v>
      </c>
      <c r="AF234" s="459"/>
      <c r="AG234" s="591">
        <f>AVERAGE(AE234,AE233)</f>
        <v>0.52984266666666668</v>
      </c>
      <c r="AI234" s="596">
        <f>(AG234/AG227-1)*100</f>
        <v>16.991814029349371</v>
      </c>
      <c r="AJ234" s="563"/>
      <c r="AK234" s="595"/>
      <c r="AL234" s="416"/>
      <c r="AM234" s="416"/>
      <c r="AN234" s="610"/>
      <c r="AO234" s="416"/>
      <c r="AP234" s="643"/>
      <c r="AQ234" s="416"/>
      <c r="AR234" s="643"/>
      <c r="AS234" s="416"/>
      <c r="AT234" s="599"/>
      <c r="AU234" s="632"/>
    </row>
    <row r="235" spans="1:47" ht="12.75" hidden="1" customHeight="1" outlineLevel="1">
      <c r="B235" s="562" t="str">
        <f>$B$16</f>
        <v>Year</v>
      </c>
      <c r="D235" s="635"/>
      <c r="E235" s="416"/>
      <c r="F235" s="416"/>
      <c r="G235" s="644"/>
      <c r="H235" s="416"/>
      <c r="I235" s="635"/>
      <c r="J235" s="416"/>
      <c r="P235" s="587">
        <f>AVERAGE(P231:P234)</f>
        <v>39.125</v>
      </c>
      <c r="R235" s="618">
        <f>(P235/P228-1)*100</f>
        <v>12.996389891696758</v>
      </c>
      <c r="S235" s="563"/>
      <c r="T235" s="595"/>
      <c r="U235" s="416"/>
      <c r="V235" s="416"/>
      <c r="W235" s="416"/>
      <c r="X235" s="628"/>
      <c r="Y235" s="416"/>
      <c r="Z235" s="637"/>
      <c r="AA235" s="416"/>
      <c r="AB235" s="599"/>
      <c r="AC235" s="632"/>
      <c r="AD235" s="416"/>
      <c r="AE235" s="416"/>
      <c r="AF235" s="416"/>
      <c r="AG235" s="582">
        <f>AVERAGE(AG231:AG234)</f>
        <v>0.49519616666666666</v>
      </c>
      <c r="AI235" s="539">
        <f>(AG235/AG228-1)*100</f>
        <v>15.110634837430915</v>
      </c>
      <c r="AJ235" s="563"/>
      <c r="AK235" s="595"/>
      <c r="AL235" s="416"/>
      <c r="AM235" s="416"/>
      <c r="AN235" s="628"/>
      <c r="AO235" s="416"/>
      <c r="AP235" s="639"/>
      <c r="AQ235" s="416"/>
      <c r="AR235" s="639"/>
      <c r="AS235" s="416"/>
      <c r="AT235" s="599"/>
      <c r="AU235" s="632"/>
    </row>
    <row r="236" spans="1:47" ht="12.75" hidden="1" customHeight="1" outlineLevel="1">
      <c r="B236" s="562"/>
      <c r="G236" s="594"/>
    </row>
    <row r="237" spans="1:47" ht="12.75" hidden="1" customHeight="1" outlineLevel="1">
      <c r="A237" s="593"/>
      <c r="B237" s="431">
        <f>+B60</f>
        <v>2001</v>
      </c>
      <c r="E237" s="563"/>
      <c r="F237" s="563"/>
      <c r="H237" s="563"/>
      <c r="J237" s="563"/>
      <c r="S237" s="563"/>
      <c r="T237" s="416"/>
      <c r="U237" s="416"/>
      <c r="AC237" s="563"/>
      <c r="AJ237" s="563"/>
      <c r="AK237" s="416"/>
      <c r="AL237" s="416"/>
      <c r="AU237" s="563"/>
    </row>
    <row r="238" spans="1:47" ht="12.75" hidden="1" customHeight="1" outlineLevel="1">
      <c r="A238" s="410" t="str">
        <f>$A$12</f>
        <v>1Q</v>
      </c>
      <c r="B238" s="562" t="str">
        <f>$B$12</f>
        <v>Apr</v>
      </c>
      <c r="D238" s="539"/>
      <c r="E238" s="563"/>
      <c r="F238" s="563"/>
      <c r="G238" s="606"/>
      <c r="H238" s="563"/>
      <c r="I238" s="539"/>
      <c r="J238" s="563"/>
      <c r="K238" s="454">
        <v>45</v>
      </c>
      <c r="L238" s="454"/>
      <c r="M238" s="454"/>
      <c r="N238" s="454"/>
      <c r="P238" s="587">
        <f>AVERAGE(K238,K234)</f>
        <v>43.5</v>
      </c>
      <c r="R238" s="645">
        <f>(P238/P231-1)*100</f>
        <v>15.999999999999993</v>
      </c>
      <c r="S238" s="563" t="s">
        <v>208</v>
      </c>
      <c r="T238" s="595"/>
      <c r="U238" s="416"/>
      <c r="X238" s="602">
        <v>37.005000000000003</v>
      </c>
      <c r="Z238" s="580">
        <f>X238/P238</f>
        <v>0.85068965517241391</v>
      </c>
      <c r="AB238" s="599"/>
      <c r="AC238" s="563" t="s">
        <v>208</v>
      </c>
      <c r="AE238" s="581">
        <f>0.436329/0.75</f>
        <v>0.58177200000000007</v>
      </c>
      <c r="AG238" s="582">
        <f>AVERAGE(AE238,AE234)</f>
        <v>0.56329933333333337</v>
      </c>
      <c r="AI238" s="539">
        <f>(AG238/AG231-1)*100</f>
        <v>20.906668727212384</v>
      </c>
      <c r="AJ238" s="563" t="s">
        <v>208</v>
      </c>
      <c r="AK238" s="595"/>
      <c r="AL238" s="416" t="s">
        <v>208</v>
      </c>
      <c r="AN238" s="579">
        <f>+X238</f>
        <v>37.005000000000003</v>
      </c>
      <c r="AP238" s="583" t="e">
        <f>AL238/AE238</f>
        <v>#VALUE!</v>
      </c>
      <c r="AR238" s="583">
        <f>AN238/AG238</f>
        <v>65.693314034338172</v>
      </c>
      <c r="AT238" s="599"/>
      <c r="AU238" s="563" t="s">
        <v>208</v>
      </c>
    </row>
    <row r="239" spans="1:47" ht="12.75" hidden="1" customHeight="1" outlineLevel="1">
      <c r="A239" s="410" t="str">
        <f>$A$13</f>
        <v>2Q</v>
      </c>
      <c r="B239" s="562" t="str">
        <f>$B$13</f>
        <v>Jul</v>
      </c>
      <c r="D239" s="539"/>
      <c r="G239" s="606"/>
      <c r="I239" s="539"/>
      <c r="K239" s="454">
        <v>46</v>
      </c>
      <c r="L239" s="454"/>
      <c r="M239" s="454"/>
      <c r="N239" s="454"/>
      <c r="O239" s="454"/>
      <c r="P239" s="587">
        <f>AVERAGE(K239,K238)</f>
        <v>45.5</v>
      </c>
      <c r="R239" s="645">
        <f>(P239/P232-1)*100</f>
        <v>18.181818181818187</v>
      </c>
      <c r="S239" s="563"/>
      <c r="T239" s="640"/>
      <c r="U239" s="416"/>
      <c r="X239" s="647">
        <v>42.860999999999997</v>
      </c>
      <c r="Z239" s="585">
        <f>X239/P239</f>
        <v>0.94199999999999995</v>
      </c>
      <c r="AB239" s="599"/>
      <c r="AC239" s="563"/>
      <c r="AE239" s="581">
        <f>0.444099/0.75</f>
        <v>0.59213199999999999</v>
      </c>
      <c r="AF239" s="454"/>
      <c r="AG239" s="582">
        <f>AVERAGE(AE239,AE238)</f>
        <v>0.58695200000000003</v>
      </c>
      <c r="AI239" s="539">
        <f>(AG239/AG232-1)*100</f>
        <v>21.922334453181058</v>
      </c>
      <c r="AJ239" s="563"/>
      <c r="AK239" s="595"/>
      <c r="AL239" s="416"/>
      <c r="AN239" s="584">
        <f>+X239</f>
        <v>42.860999999999997</v>
      </c>
      <c r="AP239" s="586">
        <f>AL239/AE239</f>
        <v>0</v>
      </c>
      <c r="AR239" s="586">
        <f>AN239/AG239</f>
        <v>73.023006992053851</v>
      </c>
      <c r="AT239" s="599"/>
      <c r="AU239" s="563"/>
    </row>
    <row r="240" spans="1:47" ht="12.75" hidden="1" customHeight="1" outlineLevel="1">
      <c r="A240" s="410" t="str">
        <f>$A$14</f>
        <v>3Q</v>
      </c>
      <c r="B240" s="562" t="str">
        <f>$B$14</f>
        <v>Oct</v>
      </c>
      <c r="D240" s="539"/>
      <c r="G240" s="606"/>
      <c r="I240" s="539"/>
      <c r="K240" s="454">
        <v>48</v>
      </c>
      <c r="L240" s="454"/>
      <c r="M240" s="454"/>
      <c r="N240" s="454"/>
      <c r="O240" s="454"/>
      <c r="P240" s="587">
        <f>AVERAGE(K240,K239)</f>
        <v>47</v>
      </c>
      <c r="R240" s="645">
        <f>(P240/P233-1)*100</f>
        <v>18.98734177215189</v>
      </c>
      <c r="S240" s="563"/>
      <c r="T240" s="640"/>
      <c r="U240" s="416"/>
      <c r="X240" s="647">
        <v>51.600999999999999</v>
      </c>
      <c r="Z240" s="585">
        <f>X240/P240</f>
        <v>1.0978936170212765</v>
      </c>
      <c r="AB240" s="599"/>
      <c r="AC240" s="563"/>
      <c r="AE240" s="581">
        <f>0.480835/0.75</f>
        <v>0.64111333333333331</v>
      </c>
      <c r="AF240" s="454"/>
      <c r="AG240" s="582">
        <f>AVERAGE(AE240,AE239)</f>
        <v>0.61662266666666665</v>
      </c>
      <c r="AI240" s="539">
        <f>(AG240/AG233-1)*100</f>
        <v>22.435326369685772</v>
      </c>
      <c r="AJ240" s="563"/>
      <c r="AK240" s="595"/>
      <c r="AL240" s="416"/>
      <c r="AN240" s="584">
        <f>+X240</f>
        <v>51.600999999999999</v>
      </c>
      <c r="AP240" s="586">
        <f>AL240/AE240</f>
        <v>0</v>
      </c>
      <c r="AR240" s="586">
        <f>AN240/AG240</f>
        <v>83.683268211569697</v>
      </c>
      <c r="AT240" s="599"/>
      <c r="AU240" s="563"/>
    </row>
    <row r="241" spans="1:47" ht="12.75" hidden="1" customHeight="1" outlineLevel="1">
      <c r="A241" s="410" t="str">
        <f>$A$15</f>
        <v>4Q</v>
      </c>
      <c r="B241" s="562" t="str">
        <f>$B$15</f>
        <v>Jan</v>
      </c>
      <c r="D241" s="596"/>
      <c r="G241" s="609">
        <v>3</v>
      </c>
      <c r="I241" s="596"/>
      <c r="K241" s="454">
        <v>49</v>
      </c>
      <c r="L241" s="454"/>
      <c r="M241" s="454"/>
      <c r="N241" s="454"/>
      <c r="O241" s="454"/>
      <c r="P241" s="588">
        <f>AVERAGE(K241,K240)</f>
        <v>48.5</v>
      </c>
      <c r="R241" s="646">
        <f>(P241/P234-1)*100</f>
        <v>18.292682926829261</v>
      </c>
      <c r="S241" s="563"/>
      <c r="T241" s="648"/>
      <c r="U241" s="416"/>
      <c r="X241" s="649">
        <v>53.530999999999999</v>
      </c>
      <c r="Z241" s="590">
        <f>X241/P241</f>
        <v>1.1037319587628867</v>
      </c>
      <c r="AB241" s="597"/>
      <c r="AC241" s="563"/>
      <c r="AE241" s="581">
        <f>0.489256/0.75</f>
        <v>0.65234133333333333</v>
      </c>
      <c r="AF241" s="454"/>
      <c r="AG241" s="591">
        <f>AVERAGE(AE241,AE240)</f>
        <v>0.64672733333333332</v>
      </c>
      <c r="AI241" s="596">
        <f>(AG241/AG234-1)*100</f>
        <v>22.06025939775833</v>
      </c>
      <c r="AJ241" s="563"/>
      <c r="AK241" s="598"/>
      <c r="AL241" s="416"/>
      <c r="AN241" s="589">
        <f>+X241</f>
        <v>53.530999999999999</v>
      </c>
      <c r="AP241" s="592">
        <f>AL241/AE241</f>
        <v>0</v>
      </c>
      <c r="AR241" s="592">
        <f>AN241/AG241</f>
        <v>82.772131686614969</v>
      </c>
      <c r="AT241" s="597"/>
      <c r="AU241" s="563"/>
    </row>
    <row r="242" spans="1:47" ht="12.75" hidden="1" customHeight="1" outlineLevel="1">
      <c r="B242" s="562" t="str">
        <f>$B$16</f>
        <v>Year</v>
      </c>
      <c r="D242" s="539"/>
      <c r="G242" s="601"/>
      <c r="I242" s="539"/>
      <c r="P242" s="587">
        <f>AVERAGE(P238:P241)</f>
        <v>46.125</v>
      </c>
      <c r="R242" s="618">
        <f>(P242/P235-1)*100</f>
        <v>17.891373801916941</v>
      </c>
      <c r="S242" s="563"/>
      <c r="T242" s="595"/>
      <c r="U242" s="416"/>
      <c r="X242" s="579">
        <f>SUM(X238:X241)</f>
        <v>184.99799999999999</v>
      </c>
      <c r="Z242" s="580">
        <f>SUM(Z238:Z241)</f>
        <v>3.9943152309565768</v>
      </c>
      <c r="AB242" s="599"/>
      <c r="AC242" s="563"/>
      <c r="AG242" s="582">
        <f>AVERAGE(AG238:AG241)</f>
        <v>0.60340033333333332</v>
      </c>
      <c r="AI242" s="539">
        <f>(AG242/AG235-1)*100</f>
        <v>21.850768230906482</v>
      </c>
      <c r="AJ242" s="563"/>
      <c r="AK242" s="595"/>
      <c r="AL242" s="416"/>
      <c r="AN242" s="579">
        <f>SUM(AN238:AN241)</f>
        <v>184.99799999999999</v>
      </c>
      <c r="AP242" s="583" t="e">
        <f>SUM(AP238:AP241)</f>
        <v>#VALUE!</v>
      </c>
      <c r="AR242" s="583">
        <f>SUM(AR238:AR241)</f>
        <v>305.17172092457668</v>
      </c>
      <c r="AT242" s="599"/>
      <c r="AU242" s="563"/>
    </row>
    <row r="243" spans="1:47" ht="12.75" hidden="1" customHeight="1" outlineLevel="1">
      <c r="B243" s="562"/>
      <c r="G243" s="594"/>
    </row>
    <row r="244" spans="1:47" ht="12.75" hidden="1" customHeight="1" outlineLevel="1" collapsed="1">
      <c r="A244" s="593"/>
      <c r="B244" s="431">
        <f>+B67</f>
        <v>2002</v>
      </c>
      <c r="E244" s="563"/>
      <c r="F244" s="563"/>
      <c r="H244" s="563"/>
      <c r="J244" s="563"/>
      <c r="S244" s="563"/>
      <c r="T244" s="416"/>
      <c r="U244" s="416"/>
      <c r="AC244" s="563"/>
      <c r="AF244" s="482"/>
      <c r="AJ244" s="563"/>
      <c r="AK244" s="416"/>
      <c r="AL244" s="416"/>
      <c r="AU244" s="563"/>
    </row>
    <row r="245" spans="1:47" ht="12.75" hidden="1" customHeight="1" outlineLevel="1">
      <c r="A245" s="410" t="str">
        <f>$A$12</f>
        <v>1Q</v>
      </c>
      <c r="B245" s="562" t="str">
        <f>$B$12</f>
        <v>Apr</v>
      </c>
      <c r="D245" s="645">
        <f>(X245/X238-1)*100</f>
        <v>23.734630455343854</v>
      </c>
      <c r="E245" s="563" t="s">
        <v>208</v>
      </c>
      <c r="F245" s="563"/>
      <c r="G245" s="606">
        <v>12.1</v>
      </c>
      <c r="H245" s="563" t="s">
        <v>208</v>
      </c>
      <c r="I245" s="645">
        <f>D245-G245</f>
        <v>11.634630455343855</v>
      </c>
      <c r="J245" s="563" t="s">
        <v>208</v>
      </c>
      <c r="K245" s="454">
        <v>49</v>
      </c>
      <c r="L245" s="454"/>
      <c r="M245" s="454"/>
      <c r="N245" s="454"/>
      <c r="P245" s="587">
        <f>AVERAGE(K245,K241)</f>
        <v>49</v>
      </c>
      <c r="R245" s="645">
        <f>(P245/P238-1)*100</f>
        <v>12.643678160919535</v>
      </c>
      <c r="S245" s="563" t="s">
        <v>208</v>
      </c>
      <c r="T245" s="595">
        <f>I245/R245*100</f>
        <v>92.019349964992344</v>
      </c>
      <c r="U245" s="416" t="s">
        <v>208</v>
      </c>
      <c r="X245" s="579">
        <f>+segSales!D51</f>
        <v>45.787999999999997</v>
      </c>
      <c r="Z245" s="580">
        <f>X245/P245</f>
        <v>0.9344489795918367</v>
      </c>
      <c r="AB245" s="599">
        <f>(Z245/Z238-1)*100</f>
        <v>9.8460494858664696</v>
      </c>
      <c r="AC245" s="563" t="s">
        <v>208</v>
      </c>
      <c r="AE245" s="581">
        <f>+AE241</f>
        <v>0.65234133333333333</v>
      </c>
      <c r="AF245" s="482"/>
      <c r="AG245" s="582">
        <f>AVERAGE(AE245,AE238)</f>
        <v>0.6170566666666667</v>
      </c>
      <c r="AI245" s="539">
        <f>(AG245/AG238-1)*100</f>
        <v>9.5432978795169774</v>
      </c>
      <c r="AJ245" s="563" t="s">
        <v>208</v>
      </c>
      <c r="AK245" s="595">
        <f>+I245/AI245*100</f>
        <v>121.91414961818971</v>
      </c>
      <c r="AL245" s="416" t="s">
        <v>208</v>
      </c>
      <c r="AN245" s="579">
        <f>+X245</f>
        <v>45.787999999999997</v>
      </c>
      <c r="AP245" s="583" t="e">
        <f>AL245/AE245</f>
        <v>#VALUE!</v>
      </c>
      <c r="AR245" s="583">
        <f>AN245/AG245</f>
        <v>74.203881869304269</v>
      </c>
      <c r="AT245" s="599">
        <f>(AR245/AR238-1)*100</f>
        <v>12.954998480541846</v>
      </c>
      <c r="AU245" s="563" t="s">
        <v>208</v>
      </c>
    </row>
    <row r="246" spans="1:47" ht="12.75" hidden="1" customHeight="1" outlineLevel="1">
      <c r="A246" s="410" t="str">
        <f>$A$13</f>
        <v>2Q</v>
      </c>
      <c r="B246" s="562" t="str">
        <f>$B$13</f>
        <v>Jul</v>
      </c>
      <c r="D246" s="645">
        <f>(X246/X239-1)*100</f>
        <v>19.320594479830167</v>
      </c>
      <c r="G246" s="606">
        <v>7.9</v>
      </c>
      <c r="I246" s="645">
        <f>D246-G246</f>
        <v>11.420594479830166</v>
      </c>
      <c r="K246" s="454">
        <v>50</v>
      </c>
      <c r="L246" s="454"/>
      <c r="M246" s="454"/>
      <c r="N246" s="454"/>
      <c r="O246" s="454"/>
      <c r="P246" s="587">
        <f>AVERAGE(K246,K245)</f>
        <v>49.5</v>
      </c>
      <c r="R246" s="645">
        <f>(P246/P239-1)*100</f>
        <v>8.7912087912087813</v>
      </c>
      <c r="S246" s="563"/>
      <c r="T246" s="595">
        <f>I246/R246*100</f>
        <v>129.9092622080683</v>
      </c>
      <c r="U246" s="416"/>
      <c r="X246" s="539">
        <f>+segSales!D52</f>
        <v>51.142000000000003</v>
      </c>
      <c r="Z246" s="585">
        <f>X246/P246</f>
        <v>1.0331717171717172</v>
      </c>
      <c r="AB246" s="599">
        <f>(Z246/Z239-1)*100</f>
        <v>9.6785262390358007</v>
      </c>
      <c r="AC246" s="563"/>
      <c r="AE246" s="581">
        <f>0.503574/0.75</f>
        <v>0.67143199999999992</v>
      </c>
      <c r="AF246" s="482"/>
      <c r="AG246" s="582">
        <f>AVERAGE(AE246,AE245)</f>
        <v>0.66188666666666662</v>
      </c>
      <c r="AI246" s="539">
        <f>(AG246/AG239-1)*100</f>
        <v>12.766745264803014</v>
      </c>
      <c r="AJ246" s="563"/>
      <c r="AK246" s="595">
        <f>+I246/AI246*100</f>
        <v>89.455802892189865</v>
      </c>
      <c r="AL246" s="416"/>
      <c r="AN246" s="584">
        <f>+X246</f>
        <v>51.142000000000003</v>
      </c>
      <c r="AP246" s="586">
        <f>AL246/AE246</f>
        <v>0</v>
      </c>
      <c r="AR246" s="586">
        <f>AN246/AG246</f>
        <v>77.267004421703618</v>
      </c>
      <c r="AT246" s="599">
        <f>(AR246/AR239-1)*100</f>
        <v>5.811863417390617</v>
      </c>
      <c r="AU246" s="563"/>
    </row>
    <row r="247" spans="1:47" ht="12.75" hidden="1" customHeight="1" outlineLevel="1">
      <c r="A247" s="410" t="str">
        <f>$A$14</f>
        <v>3Q</v>
      </c>
      <c r="B247" s="562" t="str">
        <f>$B$14</f>
        <v>Oct</v>
      </c>
      <c r="D247" s="645">
        <f>(X247/X240-1)*100</f>
        <v>11.742020503478612</v>
      </c>
      <c r="G247" s="606">
        <v>7.7</v>
      </c>
      <c r="I247" s="645">
        <f>D247-G247</f>
        <v>4.0420205034786116</v>
      </c>
      <c r="K247" s="454">
        <f>+K246</f>
        <v>50</v>
      </c>
      <c r="L247" s="454"/>
      <c r="M247" s="454"/>
      <c r="N247" s="454"/>
      <c r="O247" s="454"/>
      <c r="P247" s="587">
        <f>AVERAGE(K247,K246)</f>
        <v>50</v>
      </c>
      <c r="R247" s="645">
        <f>(P247/P240-1)*100</f>
        <v>6.3829787234042534</v>
      </c>
      <c r="S247" s="563"/>
      <c r="T247" s="595">
        <f>I247/R247*100</f>
        <v>63.324987887831597</v>
      </c>
      <c r="U247" s="416"/>
      <c r="X247" s="539">
        <f>+segSales!D53</f>
        <v>57.66</v>
      </c>
      <c r="Z247" s="585">
        <f>X247/P247</f>
        <v>1.1532</v>
      </c>
      <c r="AB247" s="599">
        <f>(Z247/Z240-1)*100</f>
        <v>5.0374992732699075</v>
      </c>
      <c r="AC247" s="563"/>
      <c r="AE247" s="581">
        <f>+AE246</f>
        <v>0.67143199999999992</v>
      </c>
      <c r="AF247" s="482"/>
      <c r="AG247" s="582">
        <f>AVERAGE(AE247,AE246)</f>
        <v>0.67143199999999992</v>
      </c>
      <c r="AI247" s="539">
        <f>(AG247/AG240-1)*100</f>
        <v>8.8886342160629628</v>
      </c>
      <c r="AJ247" s="563"/>
      <c r="AK247" s="595">
        <f>+I247/AI247*100</f>
        <v>45.474033526704638</v>
      </c>
      <c r="AL247" s="416"/>
      <c r="AN247" s="584">
        <f>+X247</f>
        <v>57.66</v>
      </c>
      <c r="AP247" s="586">
        <f>AL247/AE247</f>
        <v>0</v>
      </c>
      <c r="AR247" s="586">
        <f>AN247/AG247</f>
        <v>85.876157228133309</v>
      </c>
      <c r="AT247" s="599">
        <f>(AR247/AR240-1)*100</f>
        <v>2.6204629233881116</v>
      </c>
      <c r="AU247" s="563"/>
    </row>
    <row r="248" spans="1:47" ht="12.75" hidden="1" customHeight="1" outlineLevel="1">
      <c r="A248" s="410" t="str">
        <f>$A$15</f>
        <v>4Q</v>
      </c>
      <c r="B248" s="562" t="str">
        <f>$B$15</f>
        <v>Jan</v>
      </c>
      <c r="D248" s="646">
        <f>(X248/X241-1)*100</f>
        <v>10.963740636266838</v>
      </c>
      <c r="G248" s="609">
        <v>5</v>
      </c>
      <c r="I248" s="646">
        <f>D248-G248</f>
        <v>5.9637406362668379</v>
      </c>
      <c r="K248" s="410">
        <f>+yrSales!J27</f>
        <v>53</v>
      </c>
      <c r="O248" s="454"/>
      <c r="P248" s="588">
        <f>AVERAGE(K248,K247)</f>
        <v>51.5</v>
      </c>
      <c r="R248" s="646">
        <f>(P248/P241-1)*100</f>
        <v>6.1855670103092786</v>
      </c>
      <c r="S248" s="563"/>
      <c r="T248" s="598">
        <f>I248/R248*100</f>
        <v>96.413806952980536</v>
      </c>
      <c r="U248" s="416"/>
      <c r="X248" s="596">
        <f>+segSales!D54</f>
        <v>59.4</v>
      </c>
      <c r="Z248" s="590">
        <f>X248/P248</f>
        <v>1.1533980582524272</v>
      </c>
      <c r="AB248" s="597">
        <f>(Z248/Z241-1)*100</f>
        <v>4.4998334147367203</v>
      </c>
      <c r="AC248" s="563"/>
      <c r="AE248" s="581">
        <f>0.530774/0.75</f>
        <v>0.70769866666666659</v>
      </c>
      <c r="AF248" s="482"/>
      <c r="AG248" s="591">
        <f>AVERAGE(AE248,AE247)</f>
        <v>0.68956533333333325</v>
      </c>
      <c r="AI248" s="596">
        <f>(AG248/AG241-1)*100</f>
        <v>6.6238115805630438</v>
      </c>
      <c r="AJ248" s="563"/>
      <c r="AK248" s="598">
        <f>+I248/AI248*100</f>
        <v>90.034877407547</v>
      </c>
      <c r="AL248" s="416"/>
      <c r="AN248" s="589">
        <f>+X248</f>
        <v>59.4</v>
      </c>
      <c r="AP248" s="592">
        <f>AL248/AE248</f>
        <v>0</v>
      </c>
      <c r="AR248" s="592">
        <f>AN248/AG248</f>
        <v>86.14122132976523</v>
      </c>
      <c r="AT248" s="597">
        <f>(AR248/AR241-1)*100</f>
        <v>4.0703188071874674</v>
      </c>
      <c r="AU248" s="563"/>
    </row>
    <row r="249" spans="1:47" ht="12.75" hidden="1" customHeight="1" outlineLevel="1">
      <c r="B249" s="562" t="str">
        <f>$B$16</f>
        <v>Year</v>
      </c>
      <c r="D249" s="539">
        <f>(X249/X242-1)*100</f>
        <v>15.671520773197557</v>
      </c>
      <c r="G249" s="606">
        <v>7</v>
      </c>
      <c r="I249" s="618">
        <f>D249-G249</f>
        <v>8.6715207731975568</v>
      </c>
      <c r="P249" s="587">
        <f>AVERAGE(P245:P248)</f>
        <v>50</v>
      </c>
      <c r="R249" s="618">
        <f>(P249/P242-1)*100</f>
        <v>8.4010840108400977</v>
      </c>
      <c r="S249" s="563"/>
      <c r="T249" s="595">
        <f>I249/R249*100</f>
        <v>103.21906984870652</v>
      </c>
      <c r="U249" s="416"/>
      <c r="X249" s="579">
        <f>SUM(X245:X248)</f>
        <v>213.99</v>
      </c>
      <c r="Z249" s="580">
        <f>SUM(Z245:Z248)</f>
        <v>4.2742187550159807</v>
      </c>
      <c r="AB249" s="599">
        <f>(Z249/Z242-1)*100</f>
        <v>7.0075471732953698</v>
      </c>
      <c r="AC249" s="563"/>
      <c r="AG249" s="582">
        <f>AVERAGE(AG245:AG248)</f>
        <v>0.65998516666666662</v>
      </c>
      <c r="AI249" s="539">
        <f>(AG249/AG242-1)*100</f>
        <v>9.3776602708759871</v>
      </c>
      <c r="AJ249" s="563"/>
      <c r="AK249" s="595">
        <f>+I249/AI249*100</f>
        <v>92.469982092745738</v>
      </c>
      <c r="AL249" s="416"/>
      <c r="AN249" s="579">
        <f>SUM(AN245:AN248)</f>
        <v>213.99</v>
      </c>
      <c r="AP249" s="583" t="e">
        <f>SUM(AP245:AP248)</f>
        <v>#VALUE!</v>
      </c>
      <c r="AR249" s="583">
        <f>SUM(AR245:AR248)</f>
        <v>323.48826484890645</v>
      </c>
      <c r="AT249" s="599">
        <f>(AR249/AR242-1)*100</f>
        <v>6.0020449695785238</v>
      </c>
      <c r="AU249" s="563"/>
    </row>
    <row r="250" spans="1:47" ht="12.75" hidden="1" customHeight="1" outlineLevel="1">
      <c r="B250" s="562"/>
      <c r="G250" s="594"/>
    </row>
    <row r="251" spans="1:47" ht="12.75" hidden="1" customHeight="1" outlineLevel="1">
      <c r="A251" s="593"/>
      <c r="B251" s="431">
        <f>+B74</f>
        <v>2003</v>
      </c>
      <c r="E251" s="563"/>
      <c r="F251" s="563"/>
      <c r="H251" s="563"/>
      <c r="J251" s="563"/>
      <c r="S251" s="563"/>
      <c r="T251" s="416"/>
      <c r="U251" s="416"/>
      <c r="AC251" s="563"/>
      <c r="AJ251" s="563"/>
      <c r="AK251" s="416"/>
      <c r="AL251" s="416"/>
      <c r="AU251" s="563"/>
    </row>
    <row r="252" spans="1:47" ht="12.75" hidden="1" customHeight="1" outlineLevel="1">
      <c r="A252" s="410" t="str">
        <f>$A$12</f>
        <v>1Q</v>
      </c>
      <c r="B252" s="562" t="str">
        <f>$B$12</f>
        <v>Apr</v>
      </c>
      <c r="D252" s="645">
        <f>(X252/X245-1)*100</f>
        <v>13.804927055123617</v>
      </c>
      <c r="E252" s="563" t="s">
        <v>208</v>
      </c>
      <c r="F252" s="563"/>
      <c r="G252" s="606">
        <v>5</v>
      </c>
      <c r="H252" s="563" t="s">
        <v>208</v>
      </c>
      <c r="I252" s="645">
        <f>D252-G252</f>
        <v>8.804927055123617</v>
      </c>
      <c r="J252" s="563" t="s">
        <v>208</v>
      </c>
      <c r="K252" s="454">
        <f>+K248+1</f>
        <v>54</v>
      </c>
      <c r="L252" s="454"/>
      <c r="M252" s="454"/>
      <c r="N252" s="454"/>
      <c r="P252" s="587">
        <f>AVERAGE(K252,K248)</f>
        <v>53.5</v>
      </c>
      <c r="R252" s="645">
        <f>(P252/P245-1)*100</f>
        <v>9.1836734693877542</v>
      </c>
      <c r="S252" s="563" t="s">
        <v>208</v>
      </c>
      <c r="T252" s="595">
        <f>I252/R252*100</f>
        <v>95.87587237801273</v>
      </c>
      <c r="U252" s="416" t="s">
        <v>208</v>
      </c>
      <c r="X252" s="579">
        <f>+segSales!D58</f>
        <v>52.109000000000002</v>
      </c>
      <c r="Z252" s="580">
        <f>X252/P252</f>
        <v>0.97400000000000009</v>
      </c>
      <c r="AB252" s="599">
        <f>(Z252/Z245-1)*100</f>
        <v>4.2325500131038751</v>
      </c>
      <c r="AC252" s="563" t="s">
        <v>208</v>
      </c>
      <c r="AE252" s="581">
        <f>0.538/0.75</f>
        <v>0.71733333333333338</v>
      </c>
      <c r="AG252" s="582">
        <f>AVERAGE(AE252,AE245)</f>
        <v>0.6848373333333333</v>
      </c>
      <c r="AI252" s="539">
        <f>(AG252/AG245-1)*100</f>
        <v>10.984512497501564</v>
      </c>
      <c r="AJ252" s="563" t="s">
        <v>208</v>
      </c>
      <c r="AK252" s="595">
        <f>+I252/AI252*100</f>
        <v>80.157649755747514</v>
      </c>
      <c r="AL252" s="416" t="s">
        <v>208</v>
      </c>
      <c r="AN252" s="579">
        <f>+X252</f>
        <v>52.109000000000002</v>
      </c>
      <c r="AP252" s="583" t="e">
        <f>AL252/AE252</f>
        <v>#VALUE!</v>
      </c>
      <c r="AR252" s="583">
        <f>AN252/AG252</f>
        <v>76.089601812985279</v>
      </c>
      <c r="AT252" s="599">
        <f>(AR252/AR245-1)*100</f>
        <v>2.5412685915843891</v>
      </c>
      <c r="AU252" s="563" t="s">
        <v>208</v>
      </c>
    </row>
    <row r="253" spans="1:47" ht="12.75" hidden="1" customHeight="1" outlineLevel="1">
      <c r="A253" s="410" t="str">
        <f>$A$13</f>
        <v>2Q</v>
      </c>
      <c r="B253" s="562" t="str">
        <f>$B$13</f>
        <v>Jul</v>
      </c>
      <c r="D253" s="645">
        <f>(X253/X246-1)*100</f>
        <v>18.786907043134793</v>
      </c>
      <c r="G253" s="606">
        <v>10</v>
      </c>
      <c r="I253" s="645">
        <f>D253-G253</f>
        <v>8.7869070431347929</v>
      </c>
      <c r="K253" s="454">
        <f>+K252</f>
        <v>54</v>
      </c>
      <c r="L253" s="454"/>
      <c r="M253" s="454"/>
      <c r="N253" s="454"/>
      <c r="O253" s="454"/>
      <c r="P253" s="587">
        <f>AVERAGE(K253,K252)</f>
        <v>54</v>
      </c>
      <c r="R253" s="645">
        <f>(P253/P246-1)*100</f>
        <v>9.0909090909090828</v>
      </c>
      <c r="S253" s="563"/>
      <c r="T253" s="595">
        <f>I253/R253*100</f>
        <v>96.65597747448281</v>
      </c>
      <c r="U253" s="416"/>
      <c r="X253" s="539">
        <f>+segSales!D59</f>
        <v>60.75</v>
      </c>
      <c r="Z253" s="585">
        <f>X253/P253</f>
        <v>1.125</v>
      </c>
      <c r="AB253" s="599">
        <f>(Z253/Z246-1)*100</f>
        <v>8.8879981228735758</v>
      </c>
      <c r="AC253" s="563"/>
      <c r="AE253" s="581">
        <f>0.538/0.75</f>
        <v>0.71733333333333338</v>
      </c>
      <c r="AF253" s="454"/>
      <c r="AG253" s="582">
        <f>AVERAGE(AE253,AE252)</f>
        <v>0.71733333333333338</v>
      </c>
      <c r="AI253" s="539">
        <f>(AG253/AG246-1)*100</f>
        <v>8.3770635456221321</v>
      </c>
      <c r="AJ253" s="563"/>
      <c r="AK253" s="595">
        <f>+I253/AI253*100</f>
        <v>104.89244823416487</v>
      </c>
      <c r="AL253" s="416"/>
      <c r="AN253" s="584">
        <f>+X253</f>
        <v>60.75</v>
      </c>
      <c r="AP253" s="586">
        <f>AL253/AE253</f>
        <v>0</v>
      </c>
      <c r="AR253" s="586">
        <f>AN253/AG253</f>
        <v>84.688661710037167</v>
      </c>
      <c r="AT253" s="599">
        <f>(AR253/AR246-1)*100</f>
        <v>9.6052090331185003</v>
      </c>
      <c r="AU253" s="563"/>
    </row>
    <row r="254" spans="1:47" ht="12.75" hidden="1" customHeight="1" outlineLevel="1">
      <c r="A254" s="410" t="str">
        <f>$A$14</f>
        <v>3Q</v>
      </c>
      <c r="B254" s="562" t="str">
        <f>$B$14</f>
        <v>Oct</v>
      </c>
      <c r="D254" s="645">
        <f>(X254/X247-1)*100</f>
        <v>23.63857093305586</v>
      </c>
      <c r="G254" s="606">
        <v>15</v>
      </c>
      <c r="I254" s="645">
        <f>D254-G254</f>
        <v>8.6385709330558598</v>
      </c>
      <c r="K254" s="454">
        <f>+K253+2</f>
        <v>56</v>
      </c>
      <c r="L254" s="454"/>
      <c r="M254" s="454"/>
      <c r="N254" s="454"/>
      <c r="O254" s="454"/>
      <c r="P254" s="587">
        <f>AVERAGE(K254,K253)</f>
        <v>55</v>
      </c>
      <c r="R254" s="645">
        <f>(P254/P247-1)*100</f>
        <v>10.000000000000009</v>
      </c>
      <c r="S254" s="563"/>
      <c r="T254" s="595">
        <f>I254/R254*100</f>
        <v>86.385709330558527</v>
      </c>
      <c r="U254" s="416"/>
      <c r="X254" s="539">
        <f>+segSales!D60</f>
        <v>71.290000000000006</v>
      </c>
      <c r="Z254" s="585">
        <f>X254/P254</f>
        <v>1.2961818181818183</v>
      </c>
      <c r="AB254" s="599">
        <f>(Z254/Z247-1)*100</f>
        <v>12.398700848232602</v>
      </c>
      <c r="AC254" s="563"/>
      <c r="AE254" s="581">
        <f>0.557355/0.75</f>
        <v>0.74314000000000002</v>
      </c>
      <c r="AF254" s="454"/>
      <c r="AG254" s="582">
        <f>AVERAGE(AE254,AE253)</f>
        <v>0.73023666666666665</v>
      </c>
      <c r="AI254" s="539">
        <f>(AG254/AG247-1)*100</f>
        <v>8.7580971217735772</v>
      </c>
      <c r="AJ254" s="563"/>
      <c r="AK254" s="595">
        <f>+I254/AI254*100</f>
        <v>98.635249334920445</v>
      </c>
      <c r="AL254" s="416"/>
      <c r="AN254" s="584">
        <f>+X254</f>
        <v>71.290000000000006</v>
      </c>
      <c r="AP254" s="586">
        <f>AL254/AE254</f>
        <v>0</v>
      </c>
      <c r="AR254" s="586">
        <f>AN254/AG254</f>
        <v>97.625883845876459</v>
      </c>
      <c r="AT254" s="599">
        <f>(AR254/AR247-1)*100</f>
        <v>13.682175585162181</v>
      </c>
      <c r="AU254" s="563"/>
    </row>
    <row r="255" spans="1:47" ht="12.75" hidden="1" customHeight="1" outlineLevel="1">
      <c r="A255" s="410" t="str">
        <f>$A$15</f>
        <v>4Q</v>
      </c>
      <c r="B255" s="562" t="str">
        <f>$B$15</f>
        <v>Jan</v>
      </c>
      <c r="D255" s="646">
        <f>(X255/X248-1)*100</f>
        <v>40.558922558922575</v>
      </c>
      <c r="G255" s="609">
        <v>21</v>
      </c>
      <c r="I255" s="646">
        <f>D255-G255</f>
        <v>19.558922558922575</v>
      </c>
      <c r="K255" s="410">
        <f>+yrSales!K27</f>
        <v>61</v>
      </c>
      <c r="O255" s="454"/>
      <c r="P255" s="588">
        <f>AVERAGE(K255,K254)</f>
        <v>58.5</v>
      </c>
      <c r="R255" s="646">
        <f>(P255/P248-1)*100</f>
        <v>13.592233009708732</v>
      </c>
      <c r="S255" s="563"/>
      <c r="T255" s="598">
        <f>I255/R255*100</f>
        <v>143.89778739778757</v>
      </c>
      <c r="U255" s="416"/>
      <c r="X255" s="596">
        <f>+segSales!D61</f>
        <v>83.492000000000004</v>
      </c>
      <c r="Z255" s="590">
        <f>X255/P255</f>
        <v>1.4272136752136753</v>
      </c>
      <c r="AB255" s="597">
        <f>(Z255/Z248-1)*100</f>
        <v>23.739906184350623</v>
      </c>
      <c r="AC255" s="563"/>
      <c r="AE255" s="581">
        <f>0.600298/0.75</f>
        <v>0.80039733333333329</v>
      </c>
      <c r="AF255" s="454"/>
      <c r="AG255" s="591">
        <f>AVERAGE(AE255,AE254)</f>
        <v>0.77176866666666666</v>
      </c>
      <c r="AI255" s="596">
        <f>(AG255/AG248-1)*100</f>
        <v>11.921036246988459</v>
      </c>
      <c r="AJ255" s="563"/>
      <c r="AK255" s="598">
        <f>+I255/AI255*100</f>
        <v>164.07065756438439</v>
      </c>
      <c r="AL255" s="416"/>
      <c r="AN255" s="589">
        <f>+X255</f>
        <v>83.492000000000004</v>
      </c>
      <c r="AP255" s="592">
        <f>AL255/AE255</f>
        <v>0</v>
      </c>
      <c r="AR255" s="592">
        <f>AN255/AG255</f>
        <v>108.1826765015078</v>
      </c>
      <c r="AT255" s="597">
        <f>(AR255/AR248-1)*100</f>
        <v>25.587581452280105</v>
      </c>
      <c r="AU255" s="563"/>
    </row>
    <row r="256" spans="1:47" ht="12.75" hidden="1" customHeight="1" outlineLevel="1">
      <c r="B256" s="562" t="str">
        <f>$B$16</f>
        <v>Year</v>
      </c>
      <c r="D256" s="618">
        <f>(X256/X249-1)*100</f>
        <v>25.071732323940378</v>
      </c>
      <c r="G256" s="606">
        <v>13</v>
      </c>
      <c r="I256" s="618">
        <f>D256-G256</f>
        <v>12.071732323940378</v>
      </c>
      <c r="P256" s="587">
        <f>AVERAGE(P252:P255)</f>
        <v>55.25</v>
      </c>
      <c r="R256" s="618">
        <f>(P256/P249-1)*100</f>
        <v>10.499999999999998</v>
      </c>
      <c r="S256" s="563"/>
      <c r="T256" s="595">
        <f>I256/R256*100</f>
        <v>114.96887927562267</v>
      </c>
      <c r="U256" s="416"/>
      <c r="X256" s="579">
        <f>SUM(X252:X255)</f>
        <v>267.64100000000002</v>
      </c>
      <c r="Z256" s="580">
        <f>SUM(Z252:Z255)</f>
        <v>4.8223954933954936</v>
      </c>
      <c r="AB256" s="599">
        <f>(Z256/Z249-1)*100</f>
        <v>12.825191451331408</v>
      </c>
      <c r="AC256" s="563"/>
      <c r="AG256" s="582">
        <f>AVERAGE(AG252:AG255)</f>
        <v>0.72604399999999991</v>
      </c>
      <c r="AI256" s="539">
        <f>(AG256/AG249-1)*100</f>
        <v>10.009139094287711</v>
      </c>
      <c r="AJ256" s="563"/>
      <c r="AK256" s="595">
        <f>+I256/AI256*100</f>
        <v>120.60709927420035</v>
      </c>
      <c r="AL256" s="416"/>
      <c r="AN256" s="579">
        <f>SUM(AN252:AN255)</f>
        <v>267.64100000000002</v>
      </c>
      <c r="AP256" s="583" t="e">
        <f>SUM(AP252:AP255)</f>
        <v>#VALUE!</v>
      </c>
      <c r="AR256" s="583">
        <f>SUM(AR252:AR255)</f>
        <v>366.5868238704067</v>
      </c>
      <c r="AT256" s="599">
        <f>(AR256/AR249-1)*100</f>
        <v>13.323067234488573</v>
      </c>
      <c r="AU256" s="563"/>
    </row>
    <row r="257" spans="1:47" ht="12.75" hidden="1" customHeight="1" outlineLevel="1">
      <c r="B257" s="562"/>
      <c r="G257" s="594"/>
    </row>
    <row r="258" spans="1:47" ht="12.75" hidden="1" customHeight="1" outlineLevel="1">
      <c r="A258" s="593"/>
      <c r="B258" s="431">
        <f>+B81</f>
        <v>2004</v>
      </c>
      <c r="E258" s="563"/>
      <c r="F258" s="563"/>
      <c r="H258" s="563"/>
      <c r="J258" s="563"/>
      <c r="S258" s="563"/>
      <c r="T258" s="416"/>
      <c r="U258" s="416"/>
      <c r="AC258" s="563"/>
      <c r="AJ258" s="563"/>
      <c r="AK258" s="416"/>
      <c r="AL258" s="416"/>
      <c r="AU258" s="563"/>
    </row>
    <row r="259" spans="1:47" ht="12.75" hidden="1" customHeight="1" outlineLevel="1">
      <c r="A259" s="410" t="str">
        <f>$A$12</f>
        <v>1Q</v>
      </c>
      <c r="B259" s="562" t="str">
        <f>$B$12</f>
        <v>Apr</v>
      </c>
      <c r="D259" s="645">
        <f>(X259/X252-1)*100</f>
        <v>50.772419351743459</v>
      </c>
      <c r="E259" s="563" t="s">
        <v>208</v>
      </c>
      <c r="F259" s="563"/>
      <c r="G259" s="606">
        <v>33</v>
      </c>
      <c r="H259" s="563" t="s">
        <v>208</v>
      </c>
      <c r="I259" s="645">
        <f>D259-G259</f>
        <v>17.772419351743459</v>
      </c>
      <c r="J259" s="563" t="s">
        <v>208</v>
      </c>
      <c r="K259" s="454">
        <f>+K255+1</f>
        <v>62</v>
      </c>
      <c r="L259" s="454"/>
      <c r="M259" s="454"/>
      <c r="N259" s="454"/>
      <c r="P259" s="587">
        <f>AVERAGE(K259,K255)</f>
        <v>61.5</v>
      </c>
      <c r="R259" s="645">
        <f>(P259/P252-1)*100</f>
        <v>14.953271028037385</v>
      </c>
      <c r="S259" s="563" t="s">
        <v>208</v>
      </c>
      <c r="T259" s="595">
        <f>I259/R259*100</f>
        <v>118.85305441478438</v>
      </c>
      <c r="U259" s="416" t="s">
        <v>208</v>
      </c>
      <c r="X259" s="579">
        <f>+segSales!D65</f>
        <v>78.566000000000003</v>
      </c>
      <c r="Z259" s="580">
        <f>X259/P259</f>
        <v>1.2774959349593495</v>
      </c>
      <c r="AB259" s="599">
        <f>(Z259/Z252-1)*100</f>
        <v>31.1597469157443</v>
      </c>
      <c r="AC259" s="563" t="s">
        <v>208</v>
      </c>
      <c r="AE259" s="581">
        <f>0.605573/0.75</f>
        <v>0.80743066666666674</v>
      </c>
      <c r="AG259" s="582">
        <f>AVERAGE(AE259,AE252)</f>
        <v>0.76238200000000012</v>
      </c>
      <c r="AI259" s="539">
        <f>(AG259/AG252-1)*100</f>
        <v>11.323078181096058</v>
      </c>
      <c r="AJ259" s="563" t="s">
        <v>208</v>
      </c>
      <c r="AK259" s="595">
        <f>+I259/AI259*100</f>
        <v>156.95749042353705</v>
      </c>
      <c r="AL259" s="416" t="s">
        <v>208</v>
      </c>
      <c r="AN259" s="579">
        <f>+X259</f>
        <v>78.566000000000003</v>
      </c>
      <c r="AP259" s="583" t="e">
        <f>AL259/AE259</f>
        <v>#VALUE!</v>
      </c>
      <c r="AR259" s="583">
        <f>AN259/AG259</f>
        <v>103.05332497356967</v>
      </c>
      <c r="AT259" s="599">
        <f>(AR259/AR252-1)*100</f>
        <v>35.436804133705976</v>
      </c>
      <c r="AU259" s="563" t="s">
        <v>208</v>
      </c>
    </row>
    <row r="260" spans="1:47" ht="12.75" hidden="1" customHeight="1" outlineLevel="1">
      <c r="A260" s="410" t="str">
        <f>$A$13</f>
        <v>2Q</v>
      </c>
      <c r="B260" s="562" t="str">
        <f>$B$13</f>
        <v>Jul</v>
      </c>
      <c r="D260" s="645">
        <f>(X260/X253-1)*100</f>
        <v>49.532510288065822</v>
      </c>
      <c r="G260" s="606">
        <v>25</v>
      </c>
      <c r="I260" s="645">
        <f>D260-G260</f>
        <v>24.532510288065822</v>
      </c>
      <c r="K260" s="454">
        <f>+K259+6</f>
        <v>68</v>
      </c>
      <c r="L260" s="454"/>
      <c r="M260" s="454"/>
      <c r="N260" s="454"/>
      <c r="O260" s="454"/>
      <c r="P260" s="587">
        <f>AVERAGE(K260,K259)</f>
        <v>65</v>
      </c>
      <c r="R260" s="645">
        <f>(P260/P253-1)*100</f>
        <v>20.370370370370374</v>
      </c>
      <c r="S260" s="563"/>
      <c r="T260" s="595">
        <f>I260/R260*100</f>
        <v>120.43232323232311</v>
      </c>
      <c r="U260" s="416"/>
      <c r="X260" s="539">
        <f>+segSales!D66</f>
        <v>90.840999999999994</v>
      </c>
      <c r="Z260" s="585">
        <f>X260/P260</f>
        <v>1.3975538461538461</v>
      </c>
      <c r="AB260" s="599">
        <f>(Z260/Z253-1)*100</f>
        <v>24.227008547008545</v>
      </c>
      <c r="AC260" s="563"/>
      <c r="AE260" s="581">
        <f>0.655086/0.75</f>
        <v>0.87344799999999989</v>
      </c>
      <c r="AF260" s="454"/>
      <c r="AG260" s="582">
        <f>AVERAGE(AE260,AE259)</f>
        <v>0.84043933333333332</v>
      </c>
      <c r="AI260" s="539">
        <f>(AG260/AG253-1)*100</f>
        <v>17.161617100371739</v>
      </c>
      <c r="AJ260" s="563"/>
      <c r="AK260" s="595">
        <f>+I260/AI260*100</f>
        <v>142.94987555417734</v>
      </c>
      <c r="AL260" s="416"/>
      <c r="AN260" s="584">
        <f>+X260</f>
        <v>90.840999999999994</v>
      </c>
      <c r="AP260" s="586">
        <f>AL260/AE260</f>
        <v>0</v>
      </c>
      <c r="AR260" s="586">
        <f>AN260/AG260</f>
        <v>108.0875161324355</v>
      </c>
      <c r="AT260" s="599">
        <f>(AR260/AR253-1)*100</f>
        <v>27.629264590947166</v>
      </c>
      <c r="AU260" s="563"/>
    </row>
    <row r="261" spans="1:47" ht="12.75" hidden="1" customHeight="1" outlineLevel="1">
      <c r="A261" s="410" t="str">
        <f>$A$14</f>
        <v>3Q</v>
      </c>
      <c r="B261" s="562" t="str">
        <f>$B$14</f>
        <v>Oct</v>
      </c>
      <c r="D261" s="645">
        <f>(X261/X254-1)*100</f>
        <v>44.091737971665012</v>
      </c>
      <c r="G261" s="606">
        <v>15</v>
      </c>
      <c r="I261" s="645">
        <f>D261-G261</f>
        <v>29.091737971665012</v>
      </c>
      <c r="K261" s="454">
        <f>+K260+3</f>
        <v>71</v>
      </c>
      <c r="L261" s="454"/>
      <c r="M261" s="454"/>
      <c r="N261" s="454"/>
      <c r="O261" s="454"/>
      <c r="P261" s="587">
        <f>AVERAGE(K261,K260)</f>
        <v>69.5</v>
      </c>
      <c r="R261" s="645">
        <f>(P261/P254-1)*100</f>
        <v>26.363636363636367</v>
      </c>
      <c r="S261" s="563"/>
      <c r="T261" s="595">
        <f>I261/R261*100</f>
        <v>110.34797161666037</v>
      </c>
      <c r="U261" s="416"/>
      <c r="X261" s="539">
        <f>segSales!D67</f>
        <v>102.723</v>
      </c>
      <c r="Z261" s="585">
        <f>X261/P261</f>
        <v>1.4780287769784173</v>
      </c>
      <c r="AB261" s="599">
        <f>(Z261/Z254-1)*100</f>
        <v>14.029432927216924</v>
      </c>
      <c r="AC261" s="563"/>
      <c r="AE261" s="581">
        <f>0.688807/0.75</f>
        <v>0.9184093333333333</v>
      </c>
      <c r="AF261" s="454"/>
      <c r="AG261" s="582">
        <f>AVERAGE(AE261,AE260)</f>
        <v>0.8959286666666666</v>
      </c>
      <c r="AI261" s="539">
        <f>(AG261/AG254-1)*100</f>
        <v>22.690178070123366</v>
      </c>
      <c r="AJ261" s="563"/>
      <c r="AK261" s="595">
        <f>+I261/AI261*100</f>
        <v>128.21291169138382</v>
      </c>
      <c r="AL261" s="416"/>
      <c r="AN261" s="584">
        <f>+X261</f>
        <v>102.723</v>
      </c>
      <c r="AP261" s="586">
        <f>AL261/AE261</f>
        <v>0</v>
      </c>
      <c r="AR261" s="586">
        <f>AN261/AG261</f>
        <v>114.65533342312223</v>
      </c>
      <c r="AT261" s="599">
        <f>(AR261/AR254-1)*100</f>
        <v>17.443580438288709</v>
      </c>
      <c r="AU261" s="563"/>
    </row>
    <row r="262" spans="1:47" ht="12.75" hidden="1" customHeight="1" outlineLevel="1">
      <c r="A262" s="410" t="str">
        <f>$A$15</f>
        <v>4Q</v>
      </c>
      <c r="B262" s="562" t="str">
        <f>$B$15</f>
        <v>Jan</v>
      </c>
      <c r="D262" s="646">
        <f>(X262/X255-1)*100</f>
        <v>34.433239112729353</v>
      </c>
      <c r="G262" s="609">
        <v>10</v>
      </c>
      <c r="I262" s="646">
        <f>D262-G262</f>
        <v>24.433239112729353</v>
      </c>
      <c r="K262" s="410">
        <f>yrSales!L$27</f>
        <v>75</v>
      </c>
      <c r="O262" s="454"/>
      <c r="P262" s="588">
        <f>AVERAGE(K262,K261)</f>
        <v>73</v>
      </c>
      <c r="R262" s="646">
        <f>(P262/P255-1)*100</f>
        <v>24.786324786324787</v>
      </c>
      <c r="S262" s="563"/>
      <c r="T262" s="598">
        <f>I262/R262*100</f>
        <v>98.575481937563254</v>
      </c>
      <c r="U262" s="416"/>
      <c r="X262" s="596">
        <f>segSales!D68</f>
        <v>112.241</v>
      </c>
      <c r="Z262" s="590">
        <f>X262/P262</f>
        <v>1.5375479452054794</v>
      </c>
      <c r="AB262" s="597">
        <f>(Z262/Z255-1)*100</f>
        <v>7.730746412255729</v>
      </c>
      <c r="AC262" s="563"/>
      <c r="AE262" s="581">
        <f>0.726593/0.75</f>
        <v>0.96879066666666669</v>
      </c>
      <c r="AF262" s="454"/>
      <c r="AG262" s="591">
        <f>AVERAGE(AE262,AE261)</f>
        <v>0.94359999999999999</v>
      </c>
      <c r="AI262" s="596">
        <f>(AG262/AG255-1)*100</f>
        <v>22.264616426511232</v>
      </c>
      <c r="AJ262" s="563"/>
      <c r="AK262" s="598">
        <f>+I262/AI262*100</f>
        <v>109.74022028798964</v>
      </c>
      <c r="AL262" s="416"/>
      <c r="AN262" s="589">
        <f>+X262</f>
        <v>112.241</v>
      </c>
      <c r="AP262" s="592">
        <f>AL262/AE262</f>
        <v>0</v>
      </c>
      <c r="AR262" s="592">
        <f>AN262/AG262</f>
        <v>118.94976685036032</v>
      </c>
      <c r="AT262" s="597">
        <f>(AR262/AR255-1)*100</f>
        <v>9.95269362623179</v>
      </c>
      <c r="AU262" s="563"/>
    </row>
    <row r="263" spans="1:47" ht="12.75" hidden="1" customHeight="1" outlineLevel="1">
      <c r="B263" s="562" t="str">
        <f>$B$16</f>
        <v>Year</v>
      </c>
      <c r="D263" s="539">
        <f>(X263/X256-1)*100</f>
        <v>43.614393908257675</v>
      </c>
      <c r="G263" s="601">
        <f>G259*X259/X263+G260*X260/X263+G261*X261/X263+G262*X262/X263</f>
        <v>19.582533541812467</v>
      </c>
      <c r="I263" s="618">
        <f>D263-G263</f>
        <v>24.031860366445208</v>
      </c>
      <c r="P263" s="587">
        <f>AVERAGE(P259:P262)</f>
        <v>67.25</v>
      </c>
      <c r="R263" s="618">
        <f>(P263/P256-1)*100</f>
        <v>21.719457013574651</v>
      </c>
      <c r="S263" s="563"/>
      <c r="T263" s="595">
        <f>I263/R263*100</f>
        <v>110.64669043717485</v>
      </c>
      <c r="U263" s="416"/>
      <c r="X263" s="579">
        <f>SUM(X259:X262)</f>
        <v>384.37099999999998</v>
      </c>
      <c r="Z263" s="580">
        <f>SUM(Z259:Z262)</f>
        <v>5.690626503297092</v>
      </c>
      <c r="AB263" s="599">
        <f>(Z263/Z256-1)*100</f>
        <v>18.004143606443801</v>
      </c>
      <c r="AC263" s="563"/>
      <c r="AG263" s="582">
        <f>AVERAGE(AG259:AG262)</f>
        <v>0.86058750000000006</v>
      </c>
      <c r="AI263" s="539">
        <f>(AG263/AG256-1)*100</f>
        <v>18.531039441135832</v>
      </c>
      <c r="AJ263" s="563"/>
      <c r="AK263" s="595">
        <f>+I263/AI263*100</f>
        <v>129.68436251394763</v>
      </c>
      <c r="AL263" s="416"/>
      <c r="AN263" s="579">
        <f>SUM(AN259:AN262)</f>
        <v>384.37099999999998</v>
      </c>
      <c r="AP263" s="583" t="e">
        <f>SUM(AP259:AP262)</f>
        <v>#VALUE!</v>
      </c>
      <c r="AR263" s="583">
        <f>SUM(AR259:AR262)</f>
        <v>444.7459413794877</v>
      </c>
      <c r="AT263" s="599">
        <f>(AR263/AR256-1)*100</f>
        <v>21.3207656194188</v>
      </c>
      <c r="AU263" s="563"/>
    </row>
    <row r="264" spans="1:47" ht="12.75" hidden="1" customHeight="1" outlineLevel="1">
      <c r="B264" s="562"/>
      <c r="G264" s="594"/>
    </row>
    <row r="265" spans="1:47" ht="12.75" hidden="1" customHeight="1" outlineLevel="1">
      <c r="A265" s="593"/>
      <c r="B265" s="431">
        <f>+B88</f>
        <v>2005</v>
      </c>
      <c r="E265" s="563"/>
      <c r="F265" s="563"/>
      <c r="H265" s="563"/>
      <c r="J265" s="563"/>
      <c r="S265" s="563"/>
      <c r="T265" s="416"/>
      <c r="U265" s="416"/>
      <c r="AC265" s="563"/>
      <c r="AJ265" s="563"/>
      <c r="AK265" s="416"/>
      <c r="AL265" s="416"/>
      <c r="AU265" s="563"/>
    </row>
    <row r="266" spans="1:47" ht="12.75" hidden="1" customHeight="1" outlineLevel="1">
      <c r="A266" s="410" t="str">
        <f>$A$12</f>
        <v>1Q</v>
      </c>
      <c r="B266" s="562" t="str">
        <f>$B$12</f>
        <v>Apr</v>
      </c>
      <c r="D266" s="645">
        <f>(X266/X259-1)*100</f>
        <v>32.511518977674811</v>
      </c>
      <c r="E266" s="563" t="s">
        <v>208</v>
      </c>
      <c r="F266" s="563"/>
      <c r="G266" s="606">
        <v>13</v>
      </c>
      <c r="H266" s="563" t="s">
        <v>208</v>
      </c>
      <c r="I266" s="645">
        <f>D266-G266</f>
        <v>19.511518977674811</v>
      </c>
      <c r="J266" s="563" t="s">
        <v>208</v>
      </c>
      <c r="K266" s="454">
        <v>77</v>
      </c>
      <c r="L266" s="454"/>
      <c r="M266" s="454"/>
      <c r="N266" s="454"/>
      <c r="P266" s="587">
        <f>AVERAGE(K266,K262)</f>
        <v>76</v>
      </c>
      <c r="R266" s="645">
        <f>(P266/P259-1)*100</f>
        <v>23.577235772357731</v>
      </c>
      <c r="S266" s="563" t="s">
        <v>208</v>
      </c>
      <c r="T266" s="595">
        <f>I266/R266*100</f>
        <v>82.755752905310374</v>
      </c>
      <c r="U266" s="416" t="s">
        <v>208</v>
      </c>
      <c r="X266" s="579">
        <f>segSales!D72</f>
        <v>104.10899999999999</v>
      </c>
      <c r="Z266" s="580">
        <f>X266/P266</f>
        <v>1.3698552631578946</v>
      </c>
      <c r="AB266" s="599">
        <f>(Z266/Z259-1)*100</f>
        <v>7.2297160148289574</v>
      </c>
      <c r="AC266" s="563" t="s">
        <v>208</v>
      </c>
      <c r="AE266" s="581">
        <f>0.749894/0.75</f>
        <v>0.99985866666666656</v>
      </c>
      <c r="AG266" s="582">
        <f>AVERAGE(AE266,AE259)</f>
        <v>0.90364466666666665</v>
      </c>
      <c r="AI266" s="539">
        <f>(AG266/AG259-1)*100</f>
        <v>18.529118823197098</v>
      </c>
      <c r="AJ266" s="563" t="s">
        <v>208</v>
      </c>
      <c r="AK266" s="595">
        <f>+I266/AI266*100</f>
        <v>105.30192592454975</v>
      </c>
      <c r="AL266" s="416" t="s">
        <v>208</v>
      </c>
      <c r="AN266" s="579">
        <f>+X266</f>
        <v>104.10899999999999</v>
      </c>
      <c r="AP266" s="583" t="e">
        <f>AL266/AE266</f>
        <v>#VALUE!</v>
      </c>
      <c r="AR266" s="583">
        <f>AN266/AG266</f>
        <v>115.21010839806502</v>
      </c>
      <c r="AT266" s="599">
        <f>(AR266/AR259-1)*100</f>
        <v>11.796595042045688</v>
      </c>
      <c r="AU266" s="563" t="s">
        <v>208</v>
      </c>
    </row>
    <row r="267" spans="1:47" ht="12.75" hidden="1" customHeight="1" outlineLevel="1">
      <c r="A267" s="410" t="str">
        <f>$A$13</f>
        <v>2Q</v>
      </c>
      <c r="B267" s="562" t="str">
        <f>$B$13</f>
        <v>Jul</v>
      </c>
      <c r="D267" s="645">
        <f>(X267/X260-1)*100</f>
        <v>34.640745918693106</v>
      </c>
      <c r="G267" s="606">
        <v>13</v>
      </c>
      <c r="I267" s="645">
        <f>D267-G267</f>
        <v>21.640745918693106</v>
      </c>
      <c r="K267" s="454">
        <f>+K266+3</f>
        <v>80</v>
      </c>
      <c r="L267" s="454"/>
      <c r="M267" s="454"/>
      <c r="N267" s="454"/>
      <c r="O267" s="454"/>
      <c r="P267" s="587">
        <f>AVERAGE(K267,K266)</f>
        <v>78.5</v>
      </c>
      <c r="R267" s="645">
        <f>(P267/P260-1)*100</f>
        <v>20.769230769230763</v>
      </c>
      <c r="S267" s="563"/>
      <c r="T267" s="595">
        <f>I267/R267*100</f>
        <v>104.19618405296684</v>
      </c>
      <c r="U267" s="416"/>
      <c r="X267" s="539">
        <f>segSales!D73</f>
        <v>122.309</v>
      </c>
      <c r="Z267" s="585">
        <f>X267/P267</f>
        <v>1.5580764331210191</v>
      </c>
      <c r="AB267" s="599">
        <f>(Z267/Z260-1)*100</f>
        <v>11.48596795815353</v>
      </c>
      <c r="AC267" s="563"/>
      <c r="AE267" s="581">
        <f>0.779542/0.75</f>
        <v>1.0393893333333333</v>
      </c>
      <c r="AF267" s="454"/>
      <c r="AG267" s="582">
        <f>AVERAGE(AE267,AE266)</f>
        <v>1.0196239999999999</v>
      </c>
      <c r="AI267" s="539">
        <f>(AG267/AG260-1)*100</f>
        <v>21.320357051351692</v>
      </c>
      <c r="AJ267" s="563"/>
      <c r="AK267" s="595">
        <f>+I267/AI267*100</f>
        <v>101.50273687523024</v>
      </c>
      <c r="AL267" s="416"/>
      <c r="AN267" s="584">
        <f>+X267</f>
        <v>122.309</v>
      </c>
      <c r="AP267" s="586">
        <f>AL267/AE267</f>
        <v>0</v>
      </c>
      <c r="AR267" s="586">
        <f>AN267/AG267</f>
        <v>119.95500302072138</v>
      </c>
      <c r="AT267" s="599">
        <f>(AR267/AR260-1)*100</f>
        <v>10.979516703617387</v>
      </c>
      <c r="AU267" s="563"/>
    </row>
    <row r="268" spans="1:47" ht="12.75" hidden="1" customHeight="1" outlineLevel="1">
      <c r="A268" s="410" t="str">
        <f>$A$14</f>
        <v>3Q</v>
      </c>
      <c r="B268" s="562" t="str">
        <f>$B$14</f>
        <v>Oct</v>
      </c>
      <c r="D268" s="645">
        <f>(X268/X261-1)*100</f>
        <v>33.838575586772194</v>
      </c>
      <c r="G268" s="606">
        <v>19</v>
      </c>
      <c r="I268" s="645">
        <f>D268-G268</f>
        <v>14.838575586772194</v>
      </c>
      <c r="K268" s="454">
        <f>+K267+4</f>
        <v>84</v>
      </c>
      <c r="L268" s="454"/>
      <c r="M268" s="454"/>
      <c r="N268" s="454"/>
      <c r="O268" s="454"/>
      <c r="P268" s="587">
        <f>AVERAGE(K268,K267)</f>
        <v>82</v>
      </c>
      <c r="R268" s="645">
        <f>(P268/P261-1)*100</f>
        <v>17.985611510791365</v>
      </c>
      <c r="S268" s="563"/>
      <c r="T268" s="595">
        <f>I268/R268*100</f>
        <v>82.502480262453403</v>
      </c>
      <c r="U268" s="416"/>
      <c r="X268" s="539">
        <f>segSales!D74</f>
        <v>137.483</v>
      </c>
      <c r="Z268" s="585">
        <f>X268/P268</f>
        <v>1.6766219512195122</v>
      </c>
      <c r="AB268" s="599">
        <f>(Z268/Z261-1)*100</f>
        <v>13.436353698544723</v>
      </c>
      <c r="AC268" s="563"/>
      <c r="AE268" s="581">
        <f>0.812306/0.75</f>
        <v>1.0830746666666666</v>
      </c>
      <c r="AF268" s="454"/>
      <c r="AG268" s="582">
        <f>AVERAGE(AE268,AE267)</f>
        <v>1.061232</v>
      </c>
      <c r="AI268" s="539">
        <f>(AG268/AG261-1)*100</f>
        <v>18.450501639639462</v>
      </c>
      <c r="AJ268" s="563"/>
      <c r="AK268" s="595">
        <f>+I268/AI268*100</f>
        <v>80.42369728795164</v>
      </c>
      <c r="AL268" s="416"/>
      <c r="AN268" s="584">
        <f>+X268</f>
        <v>137.483</v>
      </c>
      <c r="AP268" s="586">
        <f>AL268/AE268</f>
        <v>0</v>
      </c>
      <c r="AR268" s="586">
        <f>AN268/AG268</f>
        <v>129.55037164352376</v>
      </c>
      <c r="AT268" s="599">
        <f>(AR268/AR261-1)*100</f>
        <v>12.991142911279251</v>
      </c>
      <c r="AU268" s="563"/>
    </row>
    <row r="269" spans="1:47" ht="12.75" hidden="1" customHeight="1" outlineLevel="1">
      <c r="A269" s="410" t="str">
        <f>$A$15</f>
        <v>4Q</v>
      </c>
      <c r="B269" s="562" t="str">
        <f>$B$15</f>
        <v>Jan</v>
      </c>
      <c r="D269" s="646">
        <f>(X269/X262-1)*100</f>
        <v>28.478007145339056</v>
      </c>
      <c r="G269" s="609">
        <v>13</v>
      </c>
      <c r="I269" s="646">
        <f>D269-G269</f>
        <v>15.478007145339056</v>
      </c>
      <c r="K269" s="410">
        <f>yrSales!M$27</f>
        <v>90</v>
      </c>
      <c r="O269" s="454"/>
      <c r="P269" s="588">
        <f>AVERAGE(K269,K268)</f>
        <v>87</v>
      </c>
      <c r="R269" s="646">
        <f>(P269/P262-1)*100</f>
        <v>19.178082191780831</v>
      </c>
      <c r="S269" s="563"/>
      <c r="T269" s="598">
        <f>I269/R269*100</f>
        <v>80.706751543553608</v>
      </c>
      <c r="U269" s="416"/>
      <c r="X269" s="596">
        <f>segSales!D75</f>
        <v>144.20500000000001</v>
      </c>
      <c r="Z269" s="590">
        <f>X269/P269</f>
        <v>1.6575287356321839</v>
      </c>
      <c r="AB269" s="597">
        <f>(Z269/Z262-1)*100</f>
        <v>7.8033853058592006</v>
      </c>
      <c r="AC269" s="563"/>
      <c r="AE269" s="581">
        <f>0.865886/0.75</f>
        <v>1.1545146666666668</v>
      </c>
      <c r="AF269" s="454"/>
      <c r="AG269" s="591">
        <f>AVERAGE(AE269,AE268)</f>
        <v>1.1187946666666666</v>
      </c>
      <c r="AI269" s="596">
        <f>(AG269/AG262-1)*100</f>
        <v>18.566624275823074</v>
      </c>
      <c r="AJ269" s="563"/>
      <c r="AK269" s="598">
        <f>+I269/AI269*100</f>
        <v>83.364681244150944</v>
      </c>
      <c r="AL269" s="416"/>
      <c r="AN269" s="589">
        <f>+X269</f>
        <v>144.20500000000001</v>
      </c>
      <c r="AP269" s="592">
        <f>AL269/AE269</f>
        <v>0</v>
      </c>
      <c r="AR269" s="592">
        <f>AN269/AG269</f>
        <v>128.89317789621214</v>
      </c>
      <c r="AT269" s="597">
        <f>(AR269/AR262-1)*100</f>
        <v>8.3593363056866608</v>
      </c>
      <c r="AU269" s="563"/>
    </row>
    <row r="270" spans="1:47" ht="12.75" hidden="1" customHeight="1" outlineLevel="1">
      <c r="B270" s="562" t="str">
        <f>$B$16</f>
        <v>Year</v>
      </c>
      <c r="D270" s="539">
        <f>(X270/X263-1)*100</f>
        <v>32.191554513738026</v>
      </c>
      <c r="G270" s="606">
        <v>14.9</v>
      </c>
      <c r="I270" s="618">
        <f>D270-G270</f>
        <v>17.291554513738028</v>
      </c>
      <c r="P270" s="587">
        <f>AVERAGE(P266:P269)</f>
        <v>80.875</v>
      </c>
      <c r="R270" s="618">
        <f>(P270/P263-1)*100</f>
        <v>20.260223048327131</v>
      </c>
      <c r="S270" s="563"/>
      <c r="T270" s="595">
        <f>I270/R270*100</f>
        <v>85.347305765055609</v>
      </c>
      <c r="U270" s="416"/>
      <c r="X270" s="579">
        <f>SUM(X266:X269)</f>
        <v>508.10599999999999</v>
      </c>
      <c r="Z270" s="580">
        <f>SUM(Z266:Z269)</f>
        <v>6.2620823831306094</v>
      </c>
      <c r="AB270" s="599">
        <f>(Z270/Z263-1)*100</f>
        <v>10.042055641894997</v>
      </c>
      <c r="AC270" s="563"/>
      <c r="AG270" s="582">
        <f>AVERAGE(AG266:AG269)</f>
        <v>1.0258238333333334</v>
      </c>
      <c r="AI270" s="539">
        <f>(AG270/AG263-1)*100</f>
        <v>19.20041057223505</v>
      </c>
      <c r="AJ270" s="563"/>
      <c r="AK270" s="595">
        <f>+I270/AI270*100</f>
        <v>90.058253955999547</v>
      </c>
      <c r="AL270" s="416"/>
      <c r="AN270" s="579">
        <f>SUM(AN266:AN269)</f>
        <v>508.10599999999999</v>
      </c>
      <c r="AP270" s="583" t="e">
        <f>SUM(AP266:AP269)</f>
        <v>#VALUE!</v>
      </c>
      <c r="AR270" s="583">
        <f>SUM(AR266:AR269)</f>
        <v>493.60866095852231</v>
      </c>
      <c r="AT270" s="599">
        <f>(AR270/AR263-1)*100</f>
        <v>10.986658906312897</v>
      </c>
      <c r="AU270" s="563"/>
    </row>
    <row r="271" spans="1:47" ht="12.75" hidden="1" customHeight="1" outlineLevel="1">
      <c r="B271" s="562"/>
      <c r="G271" s="594"/>
    </row>
    <row r="272" spans="1:47" ht="12.75" hidden="1" customHeight="1" outlineLevel="1">
      <c r="A272" s="593"/>
      <c r="B272" s="431">
        <f>+B95</f>
        <v>2006</v>
      </c>
      <c r="E272" s="563"/>
      <c r="F272" s="563"/>
      <c r="H272" s="563"/>
      <c r="J272" s="563"/>
      <c r="S272" s="563"/>
      <c r="T272" s="416"/>
      <c r="U272" s="416"/>
      <c r="AC272" s="563"/>
      <c r="AJ272" s="563"/>
      <c r="AK272" s="416"/>
      <c r="AL272" s="416"/>
      <c r="AU272" s="563"/>
    </row>
    <row r="273" spans="1:93" ht="12.75" hidden="1" customHeight="1" outlineLevel="1">
      <c r="A273" s="410" t="str">
        <f>$A$12</f>
        <v>1Q</v>
      </c>
      <c r="B273" s="562" t="str">
        <f>$B$12</f>
        <v>Apr</v>
      </c>
      <c r="D273" s="645">
        <f>(X273/X266-1)*100</f>
        <v>12.490754881902632</v>
      </c>
      <c r="E273" s="563" t="s">
        <v>208</v>
      </c>
      <c r="F273" s="563"/>
      <c r="G273" s="606">
        <v>-3.7</v>
      </c>
      <c r="H273" s="563" t="s">
        <v>208</v>
      </c>
      <c r="I273" s="645">
        <f>D273-G273</f>
        <v>16.190754881902631</v>
      </c>
      <c r="J273" s="563" t="s">
        <v>208</v>
      </c>
      <c r="K273" s="454">
        <f>K269+5</f>
        <v>95</v>
      </c>
      <c r="L273" s="454">
        <v>85</v>
      </c>
      <c r="M273" s="454">
        <v>3</v>
      </c>
      <c r="N273" s="454">
        <v>7</v>
      </c>
      <c r="P273" s="587">
        <f>AVERAGE(K273,K269)</f>
        <v>92.5</v>
      </c>
      <c r="R273" s="645">
        <f>(P273/P266-1)*100</f>
        <v>21.710526315789469</v>
      </c>
      <c r="S273" s="563" t="s">
        <v>208</v>
      </c>
      <c r="T273" s="595">
        <f>I273/R273*100</f>
        <v>74.575598243915167</v>
      </c>
      <c r="U273" s="416" t="s">
        <v>208</v>
      </c>
      <c r="X273" s="579">
        <f>segSales!D79</f>
        <v>117.113</v>
      </c>
      <c r="Z273" s="580">
        <f>X273/P273</f>
        <v>1.2660864864864865</v>
      </c>
      <c r="AB273" s="599">
        <f>(Z273/Z266-1)*100</f>
        <v>-7.575163556490816</v>
      </c>
      <c r="AC273" s="563" t="s">
        <v>208</v>
      </c>
      <c r="AE273" s="581">
        <f>0.907849/0.75</f>
        <v>1.2104653333333333</v>
      </c>
      <c r="AG273" s="582">
        <f>AVERAGE(AE273,AE266)</f>
        <v>1.105162</v>
      </c>
      <c r="AI273" s="539">
        <f>(AG273/AG266-1)*100</f>
        <v>22.300506024860802</v>
      </c>
      <c r="AJ273" s="563" t="s">
        <v>208</v>
      </c>
      <c r="AK273" s="595">
        <f>+I273/AI273*100</f>
        <v>72.602634504584941</v>
      </c>
      <c r="AL273" s="416" t="s">
        <v>208</v>
      </c>
      <c r="AN273" s="579">
        <f>+X273</f>
        <v>117.113</v>
      </c>
      <c r="AP273" s="583" t="e">
        <f>AL273/AE273</f>
        <v>#VALUE!</v>
      </c>
      <c r="AR273" s="583">
        <f>AN273/AG273</f>
        <v>105.96907964624191</v>
      </c>
      <c r="AT273" s="599">
        <f>(AR273/AR266-1)*100</f>
        <v>-8.0210225303271372</v>
      </c>
      <c r="AU273" s="563" t="s">
        <v>208</v>
      </c>
      <c r="BH273" s="579">
        <f>BI273</f>
        <v>270.00700000000001</v>
      </c>
      <c r="BI273" s="579">
        <f>segSales!AR79</f>
        <v>270.00700000000001</v>
      </c>
      <c r="BJ273" s="623">
        <f>BO273*BI273</f>
        <v>105.30273000000001</v>
      </c>
      <c r="BK273" s="623">
        <f>BP273*BI273</f>
        <v>10.800280000000001</v>
      </c>
      <c r="BL273" s="623"/>
      <c r="BM273" s="623"/>
      <c r="BO273" s="482">
        <v>0.39</v>
      </c>
      <c r="BP273" s="482">
        <v>0.04</v>
      </c>
      <c r="BQ273" s="482"/>
      <c r="BR273" s="482"/>
      <c r="BT273" s="650">
        <f>BJ273</f>
        <v>105.30273000000001</v>
      </c>
      <c r="BU273" s="650">
        <f>BK273</f>
        <v>10.800280000000001</v>
      </c>
      <c r="BY273" s="482">
        <f t="shared" ref="BY273:BZ277" si="16">BT273/$BI273</f>
        <v>0.39</v>
      </c>
      <c r="BZ273" s="482">
        <f t="shared" si="16"/>
        <v>0.04</v>
      </c>
      <c r="CI273" s="651">
        <f>BT273/SUM(L273:M273)</f>
        <v>1.1966219318181819</v>
      </c>
      <c r="CJ273" s="651">
        <f>BU273/N273</f>
        <v>1.542897142857143</v>
      </c>
    </row>
    <row r="274" spans="1:93" ht="12.75" hidden="1" customHeight="1" outlineLevel="1">
      <c r="A274" s="410" t="str">
        <f>$A$13</f>
        <v>2Q</v>
      </c>
      <c r="B274" s="562" t="str">
        <f>$B$13</f>
        <v>Jul</v>
      </c>
      <c r="D274" s="645">
        <f>(X274/X267-1)*100</f>
        <v>2.6980843601043247</v>
      </c>
      <c r="G274" s="606">
        <v>-11</v>
      </c>
      <c r="I274" s="645">
        <f>D274-G274</f>
        <v>13.698084360104325</v>
      </c>
      <c r="K274" s="454">
        <v>98</v>
      </c>
      <c r="L274" s="454">
        <v>88</v>
      </c>
      <c r="M274" s="454">
        <v>3</v>
      </c>
      <c r="N274" s="454">
        <v>7</v>
      </c>
      <c r="O274" s="454"/>
      <c r="P274" s="587">
        <f>AVERAGE(K274,K273)</f>
        <v>96.5</v>
      </c>
      <c r="R274" s="645">
        <f>(P274/P267-1)*100</f>
        <v>22.929936305732479</v>
      </c>
      <c r="S274" s="563"/>
      <c r="T274" s="595">
        <f>I274/R274*100</f>
        <v>59.738867903788318</v>
      </c>
      <c r="U274" s="416"/>
      <c r="X274" s="539">
        <f>segSales!D80</f>
        <v>125.60899999999999</v>
      </c>
      <c r="Z274" s="585">
        <f>X274/P274</f>
        <v>1.3016476683937823</v>
      </c>
      <c r="AB274" s="599">
        <f>(Z274/Z267-1)*100</f>
        <v>-16.458035002402184</v>
      </c>
      <c r="AC274" s="563"/>
      <c r="AE274" s="581">
        <f>0.947232/0.75</f>
        <v>1.2629759999999999</v>
      </c>
      <c r="AF274" s="454"/>
      <c r="AG274" s="582">
        <f>AVERAGE(AE274,AE273)</f>
        <v>1.2367206666666666</v>
      </c>
      <c r="AI274" s="539">
        <f>(AG274/AG267-1)*100</f>
        <v>21.291835683219173</v>
      </c>
      <c r="AJ274" s="563"/>
      <c r="AK274" s="595">
        <f>+I274/AI274*100</f>
        <v>64.334914865514648</v>
      </c>
      <c r="AL274" s="416"/>
      <c r="AN274" s="584">
        <f>+X274</f>
        <v>125.60899999999999</v>
      </c>
      <c r="AP274" s="586">
        <f>AL274/AE274</f>
        <v>0</v>
      </c>
      <c r="AR274" s="586">
        <f>AN274/AG274</f>
        <v>101.56618498060193</v>
      </c>
      <c r="AT274" s="599">
        <f>(AR274/AR267-1)*100</f>
        <v>-15.329763308782463</v>
      </c>
      <c r="AU274" s="563"/>
      <c r="BH274" s="579">
        <f>SUM(BI273:BI274)</f>
        <v>555.56600000000003</v>
      </c>
      <c r="BI274" s="539">
        <f>segSales!AR80</f>
        <v>285.55899999999997</v>
      </c>
      <c r="BJ274" s="623">
        <f>BH274*BO274</f>
        <v>216.67074000000002</v>
      </c>
      <c r="BK274" s="623">
        <f>BP274*BH274</f>
        <v>27.778300000000002</v>
      </c>
      <c r="BL274" s="623"/>
      <c r="BM274" s="623"/>
      <c r="BO274" s="482">
        <v>0.39</v>
      </c>
      <c r="BP274" s="482">
        <v>0.05</v>
      </c>
      <c r="BQ274" s="482"/>
      <c r="BR274" s="482"/>
      <c r="BT274" s="650">
        <f>BJ274-BT273</f>
        <v>111.36801000000001</v>
      </c>
      <c r="BU274" s="650">
        <f>BK274-BU273</f>
        <v>16.978020000000001</v>
      </c>
      <c r="BY274" s="482">
        <f t="shared" si="16"/>
        <v>0.39000000000000007</v>
      </c>
      <c r="BZ274" s="482">
        <f t="shared" si="16"/>
        <v>5.9455384001204661E-2</v>
      </c>
      <c r="CI274" s="651">
        <f>BT274/SUM(L274:M274)</f>
        <v>1.2238242857142858</v>
      </c>
      <c r="CJ274" s="651">
        <f>BU274/N274</f>
        <v>2.4254314285714287</v>
      </c>
    </row>
    <row r="275" spans="1:93" ht="12.75" hidden="1" customHeight="1" outlineLevel="1">
      <c r="A275" s="410" t="str">
        <f>$A$14</f>
        <v>3Q</v>
      </c>
      <c r="B275" s="562" t="str">
        <f>$B$14</f>
        <v>Oct</v>
      </c>
      <c r="D275" s="645">
        <f>(X275/X268-1)*100</f>
        <v>4.3838147261843208</v>
      </c>
      <c r="G275" s="606">
        <v>-10</v>
      </c>
      <c r="I275" s="645">
        <f>D275-G275</f>
        <v>14.383814726184321</v>
      </c>
      <c r="K275" s="454">
        <v>102</v>
      </c>
      <c r="L275" s="454">
        <v>91</v>
      </c>
      <c r="M275" s="454">
        <v>3</v>
      </c>
      <c r="N275" s="454">
        <v>8</v>
      </c>
      <c r="O275" s="454"/>
      <c r="P275" s="587">
        <f>AVERAGE(K275,K274)</f>
        <v>100</v>
      </c>
      <c r="R275" s="645">
        <f>(P275/P268-1)*100</f>
        <v>21.95121951219512</v>
      </c>
      <c r="S275" s="563"/>
      <c r="T275" s="595">
        <f>I275/R275*100</f>
        <v>65.526267085950792</v>
      </c>
      <c r="U275" s="416"/>
      <c r="X275" s="539">
        <f>segSales!D81</f>
        <v>143.51</v>
      </c>
      <c r="Z275" s="585">
        <f>X275/P275</f>
        <v>1.4350999999999998</v>
      </c>
      <c r="AB275" s="599">
        <f>(Z275/Z268-1)*100</f>
        <v>-14.405271924528861</v>
      </c>
      <c r="AC275" s="563"/>
      <c r="AE275" s="581">
        <f>0.988444/0.75</f>
        <v>1.3179253333333334</v>
      </c>
      <c r="AF275" s="454"/>
      <c r="AG275" s="582">
        <f>AVERAGE(AE275,AE274)</f>
        <v>1.2904506666666666</v>
      </c>
      <c r="AI275" s="539">
        <f>(AG275/AG268-1)*100</f>
        <v>21.599298425477809</v>
      </c>
      <c r="AJ275" s="563"/>
      <c r="AK275" s="595">
        <f>+I275/AI275*100</f>
        <v>66.593897833355811</v>
      </c>
      <c r="AL275" s="416"/>
      <c r="AN275" s="584">
        <f>+X275</f>
        <v>143.51</v>
      </c>
      <c r="AP275" s="586">
        <f>AL275/AE275</f>
        <v>0</v>
      </c>
      <c r="AR275" s="586">
        <f>AN275/AG275</f>
        <v>111.20921063235789</v>
      </c>
      <c r="AT275" s="599">
        <f>(AR275/AR268-1)*100</f>
        <v>-14.157551829827375</v>
      </c>
      <c r="AU275" s="563"/>
      <c r="BH275" s="579">
        <f>SUM(BI273:BI275)</f>
        <v>863.92100000000005</v>
      </c>
      <c r="BI275" s="539">
        <f>segSales!AR81</f>
        <v>308.35500000000002</v>
      </c>
      <c r="BJ275" s="623">
        <f>BH275*BO275</f>
        <v>345.56840000000005</v>
      </c>
      <c r="BK275" s="623">
        <f>BP275*BH275</f>
        <v>43.196050000000007</v>
      </c>
      <c r="BL275" s="623"/>
      <c r="BM275" s="623"/>
      <c r="BO275" s="482">
        <v>0.4</v>
      </c>
      <c r="BP275" s="482">
        <v>0.05</v>
      </c>
      <c r="BQ275" s="482"/>
      <c r="BR275" s="482"/>
      <c r="BT275" s="650">
        <f>BJ275-BT274-BT273</f>
        <v>128.89766000000003</v>
      </c>
      <c r="BU275" s="650">
        <f>BK275-BU274-BU273</f>
        <v>15.417750000000005</v>
      </c>
      <c r="BY275" s="482">
        <f t="shared" si="16"/>
        <v>0.41801709069092452</v>
      </c>
      <c r="BZ275" s="482">
        <f t="shared" si="16"/>
        <v>5.0000000000000017E-2</v>
      </c>
      <c r="CI275" s="651">
        <f>BT275/SUM(L275:M275)</f>
        <v>1.3712517021276598</v>
      </c>
      <c r="CJ275" s="651">
        <f>BU275/N275</f>
        <v>1.9272187500000006</v>
      </c>
    </row>
    <row r="276" spans="1:93" ht="12.75" hidden="1" customHeight="1" outlineLevel="1">
      <c r="A276" s="410" t="str">
        <f>$A$15</f>
        <v>4Q</v>
      </c>
      <c r="B276" s="562" t="str">
        <f>$B$15</f>
        <v>Jan</v>
      </c>
      <c r="D276" s="646">
        <f>(X276/X269-1)*100</f>
        <v>12.073090392150053</v>
      </c>
      <c r="G276" s="609">
        <v>-4</v>
      </c>
      <c r="I276" s="646">
        <f>D276-G276</f>
        <v>16.073090392150053</v>
      </c>
      <c r="K276" s="410">
        <f>yrSales!N27</f>
        <v>106</v>
      </c>
      <c r="L276" s="652">
        <f>K276-M276-N276</f>
        <v>94</v>
      </c>
      <c r="M276" s="454">
        <v>3</v>
      </c>
      <c r="N276" s="454">
        <v>9</v>
      </c>
      <c r="O276" s="454"/>
      <c r="P276" s="588">
        <f>AVERAGE(K276,K275)</f>
        <v>104</v>
      </c>
      <c r="R276" s="646">
        <f>(P276/P269-1)*100</f>
        <v>19.540229885057482</v>
      </c>
      <c r="S276" s="563"/>
      <c r="T276" s="598">
        <f>I276/R276*100</f>
        <v>82.256403771591408</v>
      </c>
      <c r="U276" s="416"/>
      <c r="X276" s="596">
        <f>segSales!D82</f>
        <v>161.61500000000001</v>
      </c>
      <c r="Z276" s="590">
        <f>X276/P276</f>
        <v>1.5539903846153846</v>
      </c>
      <c r="AB276" s="597">
        <f>(Z276/Z269-1)*100</f>
        <v>-6.2465493834898522</v>
      </c>
      <c r="AC276" s="563"/>
      <c r="AE276" s="581">
        <f>1.026134/0.75</f>
        <v>1.3681786666666669</v>
      </c>
      <c r="AF276" s="454"/>
      <c r="AG276" s="591">
        <f>AVERAGE(AE276,AE275)</f>
        <v>1.3430520000000001</v>
      </c>
      <c r="AI276" s="596">
        <f>(AG276/AG269-1)*100</f>
        <v>20.044547942070999</v>
      </c>
      <c r="AJ276" s="563"/>
      <c r="AK276" s="598">
        <f>+I276/AI276*100</f>
        <v>80.186844016644784</v>
      </c>
      <c r="AL276" s="416"/>
      <c r="AN276" s="589">
        <f>+X276</f>
        <v>161.61500000000001</v>
      </c>
      <c r="AP276" s="592">
        <f>AL276/AE276</f>
        <v>0</v>
      </c>
      <c r="AR276" s="592">
        <f>AN276/AG276</f>
        <v>120.33413449367559</v>
      </c>
      <c r="AT276" s="597">
        <f>(AR276/AR269-1)*100</f>
        <v>-6.6404161509839525</v>
      </c>
      <c r="AU276" s="563"/>
      <c r="BH276" s="579">
        <f>SUM(BI273:BI276)</f>
        <v>1224.7170000000001</v>
      </c>
      <c r="BI276" s="539">
        <f>segSales!AR82</f>
        <v>360.79599999999994</v>
      </c>
      <c r="BJ276" s="623">
        <f>BH276*BO276</f>
        <v>476.41491300000007</v>
      </c>
      <c r="BK276" s="623">
        <f>BP276*BH276</f>
        <v>71.033586000000014</v>
      </c>
      <c r="BL276" s="623"/>
      <c r="BM276" s="623"/>
      <c r="BO276" s="482">
        <v>0.38900000000000001</v>
      </c>
      <c r="BP276" s="482">
        <v>5.8000000000000003E-2</v>
      </c>
      <c r="BQ276" s="482"/>
      <c r="BR276" s="482"/>
      <c r="BT276" s="650">
        <f>BJ276-SUM(BT273:BT275)</f>
        <v>130.84651300000002</v>
      </c>
      <c r="BU276" s="650">
        <f>BK276-SUM(BU273:BU275)</f>
        <v>27.837536000000007</v>
      </c>
      <c r="BY276" s="482">
        <f t="shared" si="16"/>
        <v>0.36266065311145368</v>
      </c>
      <c r="BZ276" s="482">
        <f t="shared" si="16"/>
        <v>7.7155888646215628E-2</v>
      </c>
      <c r="CI276" s="651">
        <f>BT276/SUM(L276:M276)</f>
        <v>1.3489331237113404</v>
      </c>
      <c r="CJ276" s="651">
        <f>BU276/N276</f>
        <v>3.0930595555555565</v>
      </c>
    </row>
    <row r="277" spans="1:93" ht="12.75" hidden="1" customHeight="1" outlineLevel="1">
      <c r="B277" s="562" t="str">
        <f>$B$16</f>
        <v>Year</v>
      </c>
      <c r="D277" s="618">
        <f>(X277/X270-1)*100</f>
        <v>7.821399471763768</v>
      </c>
      <c r="G277" s="606">
        <v>-7.2</v>
      </c>
      <c r="I277" s="618">
        <f>D277-G277</f>
        <v>15.021399471763768</v>
      </c>
      <c r="K277" s="410">
        <f>K276</f>
        <v>106</v>
      </c>
      <c r="L277" s="410">
        <f>L276</f>
        <v>94</v>
      </c>
      <c r="M277" s="410">
        <f>M276</f>
        <v>3</v>
      </c>
      <c r="N277" s="410">
        <f>N276</f>
        <v>9</v>
      </c>
      <c r="P277" s="587">
        <f>AVERAGE(P273:P276)</f>
        <v>98.25</v>
      </c>
      <c r="R277" s="618">
        <f>(P277/P270-1)*100</f>
        <v>21.483771251931994</v>
      </c>
      <c r="S277" s="563"/>
      <c r="T277" s="595">
        <f>I277/R277*100</f>
        <v>69.919751498065892</v>
      </c>
      <c r="U277" s="416"/>
      <c r="X277" s="579">
        <f>SUM(X273:X276)</f>
        <v>547.84699999999998</v>
      </c>
      <c r="Z277" s="580">
        <f>SUM(Z273:Z276)</f>
        <v>5.5568245394956532</v>
      </c>
      <c r="AB277" s="599">
        <f>(Z277/Z270-1)*100</f>
        <v>-11.262353327302854</v>
      </c>
      <c r="AC277" s="563"/>
      <c r="AE277" s="653"/>
      <c r="AG277" s="582">
        <f>AVERAGE(AG273:AG276)</f>
        <v>1.2438463333333334</v>
      </c>
      <c r="AI277" s="539">
        <f>(AG277/AG270-1)*100</f>
        <v>21.253405596120057</v>
      </c>
      <c r="AJ277" s="563"/>
      <c r="AK277" s="595">
        <f>+I277/AI277*100</f>
        <v>70.677611660062695</v>
      </c>
      <c r="AL277" s="416"/>
      <c r="AN277" s="579">
        <f>SUM(AN273:AN276)</f>
        <v>547.84699999999998</v>
      </c>
      <c r="AP277" s="583" t="e">
        <f>SUM(AP273:AP276)</f>
        <v>#VALUE!</v>
      </c>
      <c r="AR277" s="583">
        <f>SUM(AR273:AR276)</f>
        <v>439.07860975287736</v>
      </c>
      <c r="AT277" s="599">
        <f>(AR277/AR270-1)*100</f>
        <v>-11.047223340805012</v>
      </c>
      <c r="AU277" s="563"/>
      <c r="BH277" s="579">
        <f>BH276</f>
        <v>1224.7170000000001</v>
      </c>
      <c r="BI277" s="579">
        <f>segSales!AR83</f>
        <v>1224.7170000000001</v>
      </c>
      <c r="BJ277" s="623">
        <f>BH277*BO277</f>
        <v>476.41491300000007</v>
      </c>
      <c r="BK277" s="623">
        <f>BP277*BH277</f>
        <v>71.033586000000014</v>
      </c>
      <c r="BL277" s="623"/>
      <c r="BM277" s="623"/>
      <c r="BO277" s="482">
        <v>0.38900000000000001</v>
      </c>
      <c r="BP277" s="482">
        <v>5.8000000000000003E-2</v>
      </c>
      <c r="BQ277" s="482"/>
      <c r="BR277" s="482"/>
      <c r="BT277" s="650">
        <f>SUM(BT273:BT276)</f>
        <v>476.41491300000007</v>
      </c>
      <c r="BU277" s="650">
        <f>SUM(BU273:BU276)</f>
        <v>71.033586000000014</v>
      </c>
      <c r="BY277" s="482">
        <f t="shared" si="16"/>
        <v>0.38900000000000001</v>
      </c>
      <c r="BZ277" s="482">
        <f t="shared" si="16"/>
        <v>5.800000000000001E-2</v>
      </c>
      <c r="CI277" s="651">
        <f>BT277/SUM(L277:M277)</f>
        <v>4.9114939484536091</v>
      </c>
      <c r="CJ277" s="651">
        <f>BU277/N277</f>
        <v>7.8926206666666685</v>
      </c>
    </row>
    <row r="278" spans="1:93" ht="12.75" hidden="1" customHeight="1" outlineLevel="1">
      <c r="B278" s="562"/>
      <c r="G278" s="594"/>
      <c r="BI278" s="539"/>
      <c r="BJ278" s="623"/>
      <c r="BK278" s="623"/>
      <c r="BL278" s="623"/>
      <c r="BM278" s="623"/>
      <c r="BO278" s="482"/>
      <c r="BP278" s="482"/>
      <c r="BQ278" s="482"/>
      <c r="BR278" s="482"/>
    </row>
    <row r="279" spans="1:93" ht="12.75" hidden="1" customHeight="1" outlineLevel="1">
      <c r="A279" s="593"/>
      <c r="B279" s="431">
        <f>+B102</f>
        <v>2007</v>
      </c>
      <c r="E279" s="563"/>
      <c r="F279" s="563"/>
      <c r="H279" s="563"/>
      <c r="J279" s="563"/>
      <c r="S279" s="563"/>
      <c r="T279" s="416"/>
      <c r="U279" s="416"/>
      <c r="AC279" s="563"/>
      <c r="AJ279" s="563"/>
      <c r="AK279" s="416"/>
      <c r="AL279" s="416"/>
      <c r="AU279" s="563"/>
      <c r="BI279" s="539"/>
      <c r="BJ279" s="623"/>
      <c r="BK279" s="623"/>
      <c r="BL279" s="623"/>
      <c r="BM279" s="623"/>
      <c r="BO279" s="482"/>
      <c r="BP279" s="482"/>
      <c r="BQ279" s="482"/>
      <c r="BR279" s="482"/>
    </row>
    <row r="280" spans="1:93" ht="12.75" hidden="1" customHeight="1" outlineLevel="1">
      <c r="A280" s="410" t="str">
        <f>$A$12</f>
        <v>1Q</v>
      </c>
      <c r="B280" s="562" t="str">
        <f>$B$12</f>
        <v>Apr</v>
      </c>
      <c r="D280" s="645">
        <f>(X280/X273-1)*100</f>
        <v>10.925345606380144</v>
      </c>
      <c r="E280" s="563" t="s">
        <v>208</v>
      </c>
      <c r="F280" s="563"/>
      <c r="G280" s="606">
        <v>-5</v>
      </c>
      <c r="H280" s="563" t="s">
        <v>208</v>
      </c>
      <c r="I280" s="645">
        <f>D280-G280</f>
        <v>15.925345606380144</v>
      </c>
      <c r="J280" s="563" t="s">
        <v>208</v>
      </c>
      <c r="K280" s="454">
        <f>K276+4</f>
        <v>110</v>
      </c>
      <c r="L280" s="454">
        <v>97</v>
      </c>
      <c r="M280" s="454">
        <v>4</v>
      </c>
      <c r="N280" s="454">
        <v>9</v>
      </c>
      <c r="P280" s="587">
        <f>AVERAGE(K280,K276)</f>
        <v>108</v>
      </c>
      <c r="R280" s="645">
        <f>(P280/P273-1)*100</f>
        <v>16.756756756756765</v>
      </c>
      <c r="S280" s="563" t="s">
        <v>208</v>
      </c>
      <c r="T280" s="595">
        <f>I280/R280*100</f>
        <v>95.038352812268556</v>
      </c>
      <c r="U280" s="416" t="s">
        <v>208</v>
      </c>
      <c r="X280" s="579">
        <f>segSales!D86</f>
        <v>129.90799999999999</v>
      </c>
      <c r="Z280" s="580">
        <f>X280/P280</f>
        <v>1.2028518518518518</v>
      </c>
      <c r="AB280" s="599">
        <f>(Z280/Z273-1)*100</f>
        <v>-4.9944956612021807</v>
      </c>
      <c r="AC280" s="563" t="s">
        <v>208</v>
      </c>
      <c r="AE280" s="581">
        <f>1.064495/0.75</f>
        <v>1.4193266666666666</v>
      </c>
      <c r="AG280" s="582">
        <f>AVERAGE(AE280,AE273)</f>
        <v>1.3148960000000001</v>
      </c>
      <c r="AI280" s="539">
        <f>(AG280/AG273-1)*100</f>
        <v>18.977670242009779</v>
      </c>
      <c r="AJ280" s="563" t="s">
        <v>208</v>
      </c>
      <c r="AK280" s="595">
        <f>+I280/AI280*100</f>
        <v>83.916231040452587</v>
      </c>
      <c r="AL280" s="416" t="s">
        <v>208</v>
      </c>
      <c r="AN280" s="579">
        <f>+X280</f>
        <v>129.90799999999999</v>
      </c>
      <c r="AP280" s="583" t="e">
        <f>AL280/AE280</f>
        <v>#VALUE!</v>
      </c>
      <c r="AR280" s="583">
        <f>AN280/AG280</f>
        <v>98.797167228434787</v>
      </c>
      <c r="AT280" s="599">
        <f>(AR280/AR273-1)*100</f>
        <v>-6.767929325940381</v>
      </c>
      <c r="AU280" s="563" t="s">
        <v>208</v>
      </c>
      <c r="BH280" s="579">
        <f>BI280</f>
        <v>314.54399999999998</v>
      </c>
      <c r="BI280" s="579">
        <f>segSales!AR86</f>
        <v>314.54399999999998</v>
      </c>
      <c r="BJ280" s="623">
        <f>BO280*BI280</f>
        <v>111.66311999999999</v>
      </c>
      <c r="BK280" s="623">
        <f>BP280*BI280</f>
        <v>18.243552000000001</v>
      </c>
      <c r="BL280" s="623"/>
      <c r="BM280" s="623"/>
      <c r="BO280" s="482">
        <v>0.35499999999999998</v>
      </c>
      <c r="BP280" s="482">
        <v>5.8000000000000003E-2</v>
      </c>
      <c r="BQ280" s="482"/>
      <c r="BR280" s="482"/>
      <c r="BT280" s="650">
        <f>BJ280</f>
        <v>111.66311999999999</v>
      </c>
      <c r="BU280" s="650">
        <f>BK280</f>
        <v>18.243552000000001</v>
      </c>
      <c r="BY280" s="482">
        <f t="shared" ref="BY280:BZ284" si="17">BT280/$BI280</f>
        <v>0.35499999999999998</v>
      </c>
      <c r="BZ280" s="482">
        <f t="shared" si="17"/>
        <v>5.800000000000001E-2</v>
      </c>
      <c r="CD280" s="482">
        <f t="shared" ref="CD280:CE284" si="18">BT280/BT273-1</f>
        <v>6.0400998150760055E-2</v>
      </c>
      <c r="CE280" s="482">
        <f t="shared" si="18"/>
        <v>0.68917398437818278</v>
      </c>
      <c r="CI280" s="651">
        <f>BT280/SUM(L280:M280)</f>
        <v>1.1055754455445543</v>
      </c>
      <c r="CJ280" s="651">
        <f>BU280/N280</f>
        <v>2.0270613333333336</v>
      </c>
      <c r="CN280" s="482">
        <f t="shared" ref="CN280:CO284" si="19">CI280/CI273-1</f>
        <v>-7.6086259036961534E-2</v>
      </c>
      <c r="CO280" s="482">
        <f t="shared" si="19"/>
        <v>0.31380198784969782</v>
      </c>
    </row>
    <row r="281" spans="1:93" ht="12.75" hidden="1" customHeight="1" outlineLevel="1">
      <c r="A281" s="410" t="str">
        <f>$A$13</f>
        <v>2Q</v>
      </c>
      <c r="B281" s="562" t="str">
        <f>$B$13</f>
        <v>Jul</v>
      </c>
      <c r="D281" s="645">
        <f>(X281/X274-1)*100</f>
        <v>12.19817051325942</v>
      </c>
      <c r="G281" s="606">
        <v>-3</v>
      </c>
      <c r="I281" s="645">
        <f>D281-G281</f>
        <v>15.19817051325942</v>
      </c>
      <c r="K281" s="454">
        <v>111</v>
      </c>
      <c r="L281" s="454">
        <v>97</v>
      </c>
      <c r="M281" s="454">
        <v>4</v>
      </c>
      <c r="N281" s="454">
        <v>10</v>
      </c>
      <c r="O281" s="454"/>
      <c r="P281" s="587">
        <f>AVERAGE(K281,K280)</f>
        <v>110.5</v>
      </c>
      <c r="R281" s="645">
        <f>(P281/P274-1)*100</f>
        <v>14.507772020725396</v>
      </c>
      <c r="S281" s="563"/>
      <c r="T281" s="595">
        <f>I281/R281*100</f>
        <v>104.75881818068096</v>
      </c>
      <c r="U281" s="416"/>
      <c r="X281" s="539">
        <f>+segSales!D87</f>
        <v>140.93100000000001</v>
      </c>
      <c r="Z281" s="585">
        <f>X281/P281</f>
        <v>1.275393665158371</v>
      </c>
      <c r="AB281" s="599">
        <f>(Z281/Z274-1)*100</f>
        <v>-2.016982311949933</v>
      </c>
      <c r="AC281" s="563"/>
      <c r="AE281" s="581">
        <f>1.076345/0.75</f>
        <v>1.4351266666666669</v>
      </c>
      <c r="AF281" s="454"/>
      <c r="AG281" s="582">
        <f>AVERAGE(AE281,AE280)</f>
        <v>1.4272266666666669</v>
      </c>
      <c r="AI281" s="539">
        <f>(AG281/AG274-1)*100</f>
        <v>15.404125210705111</v>
      </c>
      <c r="AJ281" s="563"/>
      <c r="AK281" s="595">
        <f>+I281/AI281*100</f>
        <v>98.662989980745138</v>
      </c>
      <c r="AL281" s="416"/>
      <c r="AN281" s="584">
        <f>+X281</f>
        <v>140.93100000000001</v>
      </c>
      <c r="AP281" s="586">
        <f>AL281/AE281</f>
        <v>0</v>
      </c>
      <c r="AR281" s="586">
        <f>AN281/AG281</f>
        <v>98.744651632069647</v>
      </c>
      <c r="AT281" s="599">
        <f>(AR281/AR274-1)*100</f>
        <v>-2.7780243484297085</v>
      </c>
      <c r="AU281" s="563"/>
      <c r="BH281" s="579">
        <f>SUM(BI280:BI281)</f>
        <v>662.99300000000005</v>
      </c>
      <c r="BI281" s="539">
        <f>segSales!AR87</f>
        <v>348.44900000000007</v>
      </c>
      <c r="BJ281" s="623">
        <f>BH281*BO281</f>
        <v>231.384557</v>
      </c>
      <c r="BK281" s="623">
        <f>BP281*BH281</f>
        <v>39.116587000000003</v>
      </c>
      <c r="BL281" s="623"/>
      <c r="BM281" s="623"/>
      <c r="BO281" s="482">
        <v>0.34899999999999998</v>
      </c>
      <c r="BP281" s="482">
        <v>5.8999999999999997E-2</v>
      </c>
      <c r="BQ281" s="482"/>
      <c r="BR281" s="482"/>
      <c r="BT281" s="650">
        <f>BJ281-BT280</f>
        <v>119.72143700000001</v>
      </c>
      <c r="BU281" s="650">
        <f>BK281-BU280</f>
        <v>20.873035000000002</v>
      </c>
      <c r="BY281" s="482">
        <f t="shared" si="17"/>
        <v>0.34358381570904201</v>
      </c>
      <c r="BZ281" s="482">
        <f t="shared" si="17"/>
        <v>5.9902697381826311E-2</v>
      </c>
      <c r="CD281" s="482">
        <f t="shared" si="18"/>
        <v>7.5007419096381422E-2</v>
      </c>
      <c r="CE281" s="482">
        <f t="shared" si="18"/>
        <v>0.22941514970532495</v>
      </c>
      <c r="CI281" s="651">
        <f>BT281/SUM(L281:M281)</f>
        <v>1.1853607623762377</v>
      </c>
      <c r="CJ281" s="651">
        <f>BU281/N281</f>
        <v>2.0873035</v>
      </c>
      <c r="CN281" s="482">
        <f t="shared" si="19"/>
        <v>-3.142895903197318E-2</v>
      </c>
      <c r="CO281" s="482">
        <f t="shared" si="19"/>
        <v>-0.1394093952062726</v>
      </c>
    </row>
    <row r="282" spans="1:93" ht="12.75" hidden="1" customHeight="1" outlineLevel="1">
      <c r="A282" s="410" t="str">
        <f>$A$14</f>
        <v>3Q</v>
      </c>
      <c r="B282" s="562" t="str">
        <f>$B$14</f>
        <v>Oct</v>
      </c>
      <c r="D282" s="645">
        <f>(X282/X275-1)*100</f>
        <v>12.092537105428214</v>
      </c>
      <c r="G282" s="606">
        <v>0.2</v>
      </c>
      <c r="I282" s="645">
        <f>D282-G282</f>
        <v>11.892537105428215</v>
      </c>
      <c r="K282" s="454">
        <v>117</v>
      </c>
      <c r="L282" s="454">
        <v>102</v>
      </c>
      <c r="M282" s="454">
        <v>4</v>
      </c>
      <c r="N282" s="454">
        <v>11</v>
      </c>
      <c r="O282" s="454"/>
      <c r="P282" s="587">
        <f>AVERAGE(K282,K281)</f>
        <v>114</v>
      </c>
      <c r="R282" s="645">
        <f>(P282/P275-1)*100</f>
        <v>13.999999999999989</v>
      </c>
      <c r="S282" s="563"/>
      <c r="T282" s="595">
        <f>I282/R282*100</f>
        <v>84.946693610201592</v>
      </c>
      <c r="U282" s="416"/>
      <c r="X282" s="539">
        <f>+segSales!D88</f>
        <v>160.864</v>
      </c>
      <c r="Z282" s="585">
        <f>X282/P282</f>
        <v>1.4110877192982456</v>
      </c>
      <c r="AB282" s="599">
        <f>(Z282/Z275-1)*100</f>
        <v>-1.6732130654138588</v>
      </c>
      <c r="AC282" s="563"/>
      <c r="AE282" s="581">
        <f>1.12926/0.75</f>
        <v>1.5056799999999999</v>
      </c>
      <c r="AF282" s="454"/>
      <c r="AG282" s="582">
        <f>AVERAGE(AE282,AE281)</f>
        <v>1.4704033333333335</v>
      </c>
      <c r="AI282" s="539">
        <f>(AG282/AG275-1)*100</f>
        <v>13.944947398221629</v>
      </c>
      <c r="AJ282" s="563"/>
      <c r="AK282" s="595">
        <f>+I282/AI282*100</f>
        <v>85.28205066549657</v>
      </c>
      <c r="AL282" s="416"/>
      <c r="AN282" s="584">
        <f>+X282</f>
        <v>160.864</v>
      </c>
      <c r="AP282" s="586">
        <f>AL282/AE282</f>
        <v>0</v>
      </c>
      <c r="AR282" s="586">
        <f>AN282/AG282</f>
        <v>109.40127538702532</v>
      </c>
      <c r="AT282" s="599">
        <f>(AR282/AR275-1)*100</f>
        <v>-1.6257063916309544</v>
      </c>
      <c r="AU282" s="563"/>
      <c r="BH282" s="579">
        <f>SUM(BI280:BI282)</f>
        <v>1042.3130000000001</v>
      </c>
      <c r="BI282" s="539">
        <f>segSales!AR88</f>
        <v>379.31999999999994</v>
      </c>
      <c r="BJ282" s="623">
        <f>BH282*BO282</f>
        <v>370.02111500000001</v>
      </c>
      <c r="BK282" s="623">
        <f>BP282*BH282</f>
        <v>62.538780000000003</v>
      </c>
      <c r="BL282" s="623"/>
      <c r="BM282" s="623"/>
      <c r="BO282" s="482">
        <v>0.35499999999999998</v>
      </c>
      <c r="BP282" s="482">
        <v>0.06</v>
      </c>
      <c r="BQ282" s="482"/>
      <c r="BR282" s="482"/>
      <c r="BT282" s="650">
        <f>BJ282-BT281-BT280</f>
        <v>138.63655800000001</v>
      </c>
      <c r="BU282" s="650">
        <f>BK282-BU281-BU280</f>
        <v>23.422193</v>
      </c>
      <c r="BY282" s="482">
        <f t="shared" si="17"/>
        <v>0.3654870768744069</v>
      </c>
      <c r="BZ282" s="482">
        <f t="shared" si="17"/>
        <v>6.1747846145734482E-2</v>
      </c>
      <c r="CD282" s="482">
        <f t="shared" si="18"/>
        <v>7.5555273850588023E-2</v>
      </c>
      <c r="CE282" s="482">
        <f t="shared" si="18"/>
        <v>0.5191706312529385</v>
      </c>
      <c r="CI282" s="651">
        <f>BT282/SUM(L282:M282)</f>
        <v>1.3078920566037737</v>
      </c>
      <c r="CJ282" s="651">
        <f>BU282/N282</f>
        <v>2.1292902727272729</v>
      </c>
      <c r="CN282" s="482">
        <f t="shared" si="19"/>
        <v>-4.6205700547591655E-2</v>
      </c>
      <c r="CO282" s="482">
        <f t="shared" si="19"/>
        <v>0.10485136818395535</v>
      </c>
    </row>
    <row r="283" spans="1:93" ht="12.75" hidden="1" customHeight="1" outlineLevel="1">
      <c r="A283" s="410" t="str">
        <f>$A$15</f>
        <v>4Q</v>
      </c>
      <c r="B283" s="562" t="str">
        <f>$B$15</f>
        <v>Jan</v>
      </c>
      <c r="D283" s="646">
        <f>(X283/X276-1)*100</f>
        <v>21.662593199888612</v>
      </c>
      <c r="G283" s="609">
        <v>6</v>
      </c>
      <c r="I283" s="646">
        <f>D283-G283</f>
        <v>15.662593199888612</v>
      </c>
      <c r="K283" s="410">
        <f>yrSales!O27</f>
        <v>122</v>
      </c>
      <c r="L283" s="652">
        <f>K283-M283-N283</f>
        <v>106</v>
      </c>
      <c r="M283" s="454">
        <v>4</v>
      </c>
      <c r="N283" s="454">
        <v>12</v>
      </c>
      <c r="O283" s="454"/>
      <c r="P283" s="588">
        <f>AVERAGE(K283,K282)</f>
        <v>119.5</v>
      </c>
      <c r="R283" s="646">
        <f>(P283/P276-1)*100</f>
        <v>14.903846153846146</v>
      </c>
      <c r="S283" s="563"/>
      <c r="T283" s="598">
        <f>I283/R283*100</f>
        <v>105.0909479218333</v>
      </c>
      <c r="U283" s="416"/>
      <c r="X283" s="596">
        <f>+segSales!D89</f>
        <v>196.625</v>
      </c>
      <c r="Z283" s="590">
        <f>X283/P283</f>
        <v>1.645397489539749</v>
      </c>
      <c r="AB283" s="597">
        <f>(Z283/Z276-1)*100</f>
        <v>5.882089479400987</v>
      </c>
      <c r="AC283" s="563"/>
      <c r="AE283" s="581">
        <f>1.184147/0.75</f>
        <v>1.5788626666666667</v>
      </c>
      <c r="AF283" s="454"/>
      <c r="AG283" s="591">
        <f>AVERAGE(AE283,AE282)</f>
        <v>1.5422713333333333</v>
      </c>
      <c r="AI283" s="596">
        <f>(AG283/AG276-1)*100</f>
        <v>14.833329858660216</v>
      </c>
      <c r="AJ283" s="563"/>
      <c r="AK283" s="598">
        <f>+I283/AI283*100</f>
        <v>105.59054068863871</v>
      </c>
      <c r="AL283" s="416"/>
      <c r="AN283" s="589">
        <f>+X283</f>
        <v>196.625</v>
      </c>
      <c r="AP283" s="592">
        <f>AL283/AE283</f>
        <v>0</v>
      </c>
      <c r="AR283" s="592">
        <f>AN283/AG283</f>
        <v>127.49053668463871</v>
      </c>
      <c r="AT283" s="597">
        <f>(AR283/AR276-1)*100</f>
        <v>5.9471090402359872</v>
      </c>
      <c r="AU283" s="563"/>
      <c r="BH283" s="579">
        <f>SUM(BI280:BI283)</f>
        <v>1507.7240000000002</v>
      </c>
      <c r="BI283" s="539">
        <f>segSales!AR89</f>
        <v>465.41100000000006</v>
      </c>
      <c r="BJ283" s="623">
        <f>BH283*BO283</f>
        <v>532.22657200000003</v>
      </c>
      <c r="BK283" s="623">
        <f>BP283*BH283</f>
        <v>96.494336000000018</v>
      </c>
      <c r="BL283" s="623"/>
      <c r="BM283" s="623"/>
      <c r="BO283" s="482">
        <v>0.35299999999999998</v>
      </c>
      <c r="BP283" s="482">
        <v>6.4000000000000001E-2</v>
      </c>
      <c r="BQ283" s="482"/>
      <c r="BR283" s="482"/>
      <c r="BT283" s="650">
        <f>BJ283-SUM(BT280:BT282)</f>
        <v>162.20545700000002</v>
      </c>
      <c r="BU283" s="650">
        <f>BK283-SUM(BU280:BU282)</f>
        <v>33.955556000000016</v>
      </c>
      <c r="BY283" s="482">
        <f t="shared" si="17"/>
        <v>0.3485208922866026</v>
      </c>
      <c r="BZ283" s="482">
        <f t="shared" si="17"/>
        <v>7.2958215426794842E-2</v>
      </c>
      <c r="CD283" s="482">
        <f t="shared" si="18"/>
        <v>0.23966205350844927</v>
      </c>
      <c r="CE283" s="482">
        <f t="shared" si="18"/>
        <v>0.21977591694897169</v>
      </c>
      <c r="CI283" s="651">
        <f>BT283/SUM(L283:M283)</f>
        <v>1.4745950636363638</v>
      </c>
      <c r="CJ283" s="651">
        <f>BU283/N283</f>
        <v>2.8296296666666678</v>
      </c>
      <c r="CN283" s="482">
        <f t="shared" si="19"/>
        <v>9.315653809381419E-2</v>
      </c>
      <c r="CO283" s="482">
        <f t="shared" si="19"/>
        <v>-8.516806228827134E-2</v>
      </c>
    </row>
    <row r="284" spans="1:93" ht="12.75" hidden="1" customHeight="1" outlineLevel="1">
      <c r="B284" s="562" t="str">
        <f>$B$16</f>
        <v>Year</v>
      </c>
      <c r="D284" s="618">
        <f>(X284/X277-1)*100</f>
        <v>14.69041538969822</v>
      </c>
      <c r="G284" s="606">
        <v>-0.9</v>
      </c>
      <c r="I284" s="618">
        <f>D284-G284</f>
        <v>15.59041538969822</v>
      </c>
      <c r="K284" s="410">
        <f>K283</f>
        <v>122</v>
      </c>
      <c r="L284" s="410">
        <f>L283</f>
        <v>106</v>
      </c>
      <c r="M284" s="410">
        <f>M283</f>
        <v>4</v>
      </c>
      <c r="N284" s="410">
        <f>N283</f>
        <v>12</v>
      </c>
      <c r="P284" s="587">
        <f>AVERAGE(P280:P283)</f>
        <v>113</v>
      </c>
      <c r="R284" s="618">
        <f>(P284/P277-1)*100</f>
        <v>15.01272264631044</v>
      </c>
      <c r="S284" s="563"/>
      <c r="T284" s="595">
        <f>I284/R284*100</f>
        <v>103.84802115510843</v>
      </c>
      <c r="U284" s="416"/>
      <c r="X284" s="579">
        <f>SUM(X280:X283)</f>
        <v>628.32799999999997</v>
      </c>
      <c r="Z284" s="580">
        <f>SUM(Z280:Z283)</f>
        <v>5.5347307258482177</v>
      </c>
      <c r="AB284" s="599">
        <f>(Z284/Z277-1)*100</f>
        <v>-0.39759782750744543</v>
      </c>
      <c r="AC284" s="563"/>
      <c r="AG284" s="582">
        <f>AVERAGE(AG280:AG283)</f>
        <v>1.4386993333333336</v>
      </c>
      <c r="AI284" s="539">
        <f>(AG284/AG277-1)*100</f>
        <v>15.665359520562451</v>
      </c>
      <c r="AJ284" s="563"/>
      <c r="AK284" s="595">
        <f>+I284/AI284*100</f>
        <v>99.521593291453939</v>
      </c>
      <c r="AL284" s="416"/>
      <c r="AN284" s="579">
        <f>SUM(AN280:AN283)</f>
        <v>628.32799999999997</v>
      </c>
      <c r="AP284" s="583" t="e">
        <f>SUM(AP280:AP283)</f>
        <v>#VALUE!</v>
      </c>
      <c r="AR284" s="583">
        <f>SUM(AR280:AR283)</f>
        <v>434.43363093216846</v>
      </c>
      <c r="AT284" s="599">
        <f>(AR284/AR277-1)*100</f>
        <v>-1.057892303914143</v>
      </c>
      <c r="AU284" s="563"/>
      <c r="BH284" s="579">
        <f>BH283</f>
        <v>1507.7240000000002</v>
      </c>
      <c r="BI284" s="579">
        <f>segSales!AR90</f>
        <v>1507.7240000000002</v>
      </c>
      <c r="BJ284" s="623">
        <f>BH284*BO284</f>
        <v>532.22657200000003</v>
      </c>
      <c r="BK284" s="623">
        <f>BP284*BH284</f>
        <v>96.494336000000018</v>
      </c>
      <c r="BL284" s="623"/>
      <c r="BM284" s="623"/>
      <c r="BO284" s="482">
        <v>0.35299999999999998</v>
      </c>
      <c r="BP284" s="482">
        <v>6.4000000000000001E-2</v>
      </c>
      <c r="BQ284" s="482"/>
      <c r="BR284" s="482"/>
      <c r="BT284" s="650">
        <f>SUM(BT280:BT283)</f>
        <v>532.22657200000003</v>
      </c>
      <c r="BU284" s="650">
        <f>SUM(BU280:BU283)</f>
        <v>96.494336000000018</v>
      </c>
      <c r="BY284" s="482">
        <f t="shared" si="17"/>
        <v>0.35299999999999998</v>
      </c>
      <c r="BZ284" s="482">
        <f t="shared" si="17"/>
        <v>6.4000000000000001E-2</v>
      </c>
      <c r="CD284" s="482">
        <f t="shared" si="18"/>
        <v>0.11714926942263859</v>
      </c>
      <c r="CE284" s="482">
        <f t="shared" si="18"/>
        <v>0.35843255893064452</v>
      </c>
      <c r="CI284" s="651">
        <f>BT284/SUM(L284:M284)</f>
        <v>4.8384233818181821</v>
      </c>
      <c r="CJ284" s="651">
        <f>BU284/N284</f>
        <v>8.0411946666666676</v>
      </c>
      <c r="CN284" s="482">
        <f t="shared" si="19"/>
        <v>-1.4877462418218634E-2</v>
      </c>
      <c r="CO284" s="482">
        <f t="shared" si="19"/>
        <v>1.8824419197983167E-2</v>
      </c>
    </row>
    <row r="285" spans="1:93" ht="12.75" hidden="1" customHeight="1" outlineLevel="1">
      <c r="B285" s="562"/>
      <c r="D285" s="618"/>
      <c r="G285" s="601"/>
      <c r="I285" s="618"/>
      <c r="P285" s="587"/>
      <c r="R285" s="618"/>
      <c r="S285" s="563"/>
      <c r="T285" s="595"/>
      <c r="U285" s="416"/>
      <c r="X285" s="579"/>
      <c r="Z285" s="580"/>
      <c r="AB285" s="599"/>
      <c r="AC285" s="563"/>
      <c r="AG285" s="582"/>
      <c r="AI285" s="539"/>
      <c r="AJ285" s="563"/>
      <c r="AK285" s="595"/>
      <c r="AL285" s="416"/>
      <c r="AN285" s="579"/>
      <c r="AP285" s="583"/>
      <c r="AR285" s="583"/>
      <c r="AT285" s="599"/>
      <c r="AU285" s="563"/>
      <c r="BI285" s="539"/>
      <c r="BJ285" s="623"/>
      <c r="BK285" s="623"/>
      <c r="BL285" s="623"/>
      <c r="BM285" s="623"/>
      <c r="BO285" s="482"/>
      <c r="BP285" s="482"/>
      <c r="BQ285" s="482"/>
      <c r="BR285" s="482"/>
    </row>
    <row r="286" spans="1:93" ht="12.75" hidden="1" customHeight="1" outlineLevel="1">
      <c r="A286" s="593"/>
      <c r="B286" s="431">
        <f>+B109</f>
        <v>2008</v>
      </c>
      <c r="E286" s="563"/>
      <c r="F286" s="563"/>
      <c r="H286" s="563"/>
      <c r="J286" s="563"/>
      <c r="S286" s="563"/>
      <c r="T286" s="416"/>
      <c r="U286" s="416"/>
      <c r="AC286" s="563"/>
      <c r="AJ286" s="563"/>
      <c r="AK286" s="416"/>
      <c r="AL286" s="416"/>
      <c r="AU286" s="563"/>
      <c r="BI286" s="539"/>
      <c r="BJ286" s="623"/>
      <c r="BK286" s="623"/>
      <c r="BL286" s="623"/>
      <c r="BM286" s="623"/>
      <c r="BO286" s="482"/>
      <c r="BP286" s="482"/>
      <c r="BQ286" s="482"/>
      <c r="BR286" s="482"/>
    </row>
    <row r="287" spans="1:93" ht="12.75" hidden="1" customHeight="1" outlineLevel="1">
      <c r="A287" s="410" t="str">
        <f>$A$12</f>
        <v>1Q</v>
      </c>
      <c r="B287" s="562" t="str">
        <f>$B$12</f>
        <v>Apr</v>
      </c>
      <c r="D287" s="645">
        <f>(X287/X280-1)*100</f>
        <v>23.00243249068572</v>
      </c>
      <c r="E287" s="563" t="s">
        <v>208</v>
      </c>
      <c r="F287" s="563"/>
      <c r="G287" s="606">
        <v>9.5</v>
      </c>
      <c r="H287" s="563" t="s">
        <v>208</v>
      </c>
      <c r="I287" s="645">
        <f>D287-G287</f>
        <v>13.50243249068572</v>
      </c>
      <c r="J287" s="563" t="s">
        <v>208</v>
      </c>
      <c r="K287" s="454">
        <f>+K283+7</f>
        <v>129</v>
      </c>
      <c r="L287" s="454">
        <v>110</v>
      </c>
      <c r="M287" s="454">
        <v>5</v>
      </c>
      <c r="N287" s="454">
        <v>14</v>
      </c>
      <c r="P287" s="587">
        <f>AVERAGE(K287,K283)</f>
        <v>125.5</v>
      </c>
      <c r="R287" s="645">
        <f>(P287/P280-1)*100</f>
        <v>16.203703703703699</v>
      </c>
      <c r="S287" s="563" t="s">
        <v>208</v>
      </c>
      <c r="T287" s="595">
        <f>I287/R287*100</f>
        <v>83.32929765680332</v>
      </c>
      <c r="U287" s="416" t="s">
        <v>208</v>
      </c>
      <c r="X287" s="579">
        <f>segSales!D93</f>
        <v>159.79</v>
      </c>
      <c r="Z287" s="580">
        <f>X287/P287</f>
        <v>1.273227091633466</v>
      </c>
      <c r="AB287" s="599">
        <f>(Z287/Z280-1)*100</f>
        <v>5.8506988764466694</v>
      </c>
      <c r="AC287" s="563" t="s">
        <v>208</v>
      </c>
      <c r="AE287" s="581">
        <f>1.239829/0.75</f>
        <v>1.6531053333333334</v>
      </c>
      <c r="AG287" s="582">
        <f>AVERAGE(AE287,AE280)</f>
        <v>1.536216</v>
      </c>
      <c r="AI287" s="539">
        <f>(AG287/AG280-1)*100</f>
        <v>16.831749431133701</v>
      </c>
      <c r="AJ287" s="563" t="s">
        <v>208</v>
      </c>
      <c r="AK287" s="595">
        <f>+I287/AI287*100</f>
        <v>80.220018399930908</v>
      </c>
      <c r="AL287" s="416" t="s">
        <v>208</v>
      </c>
      <c r="AN287" s="579">
        <f>+X287</f>
        <v>159.79</v>
      </c>
      <c r="AP287" s="583" t="e">
        <f>AL287/AE287</f>
        <v>#VALUE!</v>
      </c>
      <c r="AR287" s="583">
        <f>AN287/AG287</f>
        <v>104.01532076218447</v>
      </c>
      <c r="AT287" s="599">
        <f>(AR287/AR280-1)*100</f>
        <v>5.2816833519978124</v>
      </c>
      <c r="AU287" s="563" t="s">
        <v>208</v>
      </c>
      <c r="BH287" s="579">
        <f>BI287</f>
        <v>394.29199999999997</v>
      </c>
      <c r="BI287" s="579">
        <f>segSales!AR93</f>
        <v>394.29199999999997</v>
      </c>
      <c r="BJ287" s="623">
        <f>BO287*BI287</f>
        <v>136.03073999999998</v>
      </c>
      <c r="BK287" s="623">
        <f>BP287*BI287</f>
        <v>24.051811999999998</v>
      </c>
      <c r="BL287" s="623"/>
      <c r="BM287" s="623"/>
      <c r="BO287" s="482">
        <v>0.34499999999999997</v>
      </c>
      <c r="BP287" s="482">
        <v>6.0999999999999999E-2</v>
      </c>
      <c r="BQ287" s="482"/>
      <c r="BR287" s="482"/>
      <c r="BT287" s="650">
        <f>BJ287</f>
        <v>136.03073999999998</v>
      </c>
      <c r="BU287" s="650">
        <f>BK287</f>
        <v>24.051811999999998</v>
      </c>
      <c r="BY287" s="482">
        <f t="shared" ref="BY287:BZ291" si="20">BT287/$BI287</f>
        <v>0.34499999999999997</v>
      </c>
      <c r="BZ287" s="482">
        <f t="shared" si="20"/>
        <v>6.0999999999999999E-2</v>
      </c>
      <c r="CD287" s="482">
        <f t="shared" ref="CD287:CE291" si="21">BT287/BT280-1</f>
        <v>0.21822442360557348</v>
      </c>
      <c r="CE287" s="482">
        <f t="shared" si="21"/>
        <v>0.31837330800493224</v>
      </c>
      <c r="CI287" s="651">
        <f>BT287/SUM(L287:M287)</f>
        <v>1.1828759999999998</v>
      </c>
      <c r="CJ287" s="651">
        <f>BU287/N287</f>
        <v>1.7179865714285714</v>
      </c>
      <c r="CN287" s="482">
        <f t="shared" ref="CN287:CO291" si="22">CI287/CI280-1</f>
        <v>6.9918841601416704E-2</v>
      </c>
      <c r="CO287" s="482">
        <f t="shared" si="22"/>
        <v>-0.15247430199682932</v>
      </c>
    </row>
    <row r="288" spans="1:93" ht="12.75" hidden="1" customHeight="1" outlineLevel="1">
      <c r="A288" s="410" t="str">
        <f>$A$13</f>
        <v>2Q</v>
      </c>
      <c r="B288" s="562" t="str">
        <f>$B$13</f>
        <v>Jul</v>
      </c>
      <c r="D288" s="645">
        <f>(X288/X281-1)*100</f>
        <v>34.684349078627122</v>
      </c>
      <c r="G288" s="606">
        <v>19.399999999999999</v>
      </c>
      <c r="I288" s="645">
        <f>D288-G288</f>
        <v>15.284349078627123</v>
      </c>
      <c r="K288" s="454">
        <f>+K287+3</f>
        <v>132</v>
      </c>
      <c r="L288" s="454">
        <v>112</v>
      </c>
      <c r="M288" s="454">
        <v>6</v>
      </c>
      <c r="N288" s="454">
        <v>14</v>
      </c>
      <c r="O288" s="454"/>
      <c r="P288" s="587">
        <f>AVERAGE(K288,K287)</f>
        <v>130.5</v>
      </c>
      <c r="R288" s="645">
        <f>(P288/P281-1)*100</f>
        <v>18.09954751131222</v>
      </c>
      <c r="S288" s="563"/>
      <c r="T288" s="595">
        <f>I288/R288*100</f>
        <v>84.446028659414836</v>
      </c>
      <c r="U288" s="416"/>
      <c r="X288" s="539">
        <f>segSales!D94</f>
        <v>189.81200000000001</v>
      </c>
      <c r="Z288" s="585">
        <f>X288/P288</f>
        <v>1.4544980842911879</v>
      </c>
      <c r="AB288" s="599">
        <f>(Z288/Z281-1)*100</f>
        <v>14.043069526347129</v>
      </c>
      <c r="AC288" s="563"/>
      <c r="AE288" s="581">
        <f>1.260925/0.75</f>
        <v>1.6812333333333334</v>
      </c>
      <c r="AF288" s="454"/>
      <c r="AG288" s="582">
        <f>AVERAGE(AE288,AE287)</f>
        <v>1.6671693333333333</v>
      </c>
      <c r="AI288" s="539">
        <f>(AG288/AG281-1)*100</f>
        <v>16.811812185870956</v>
      </c>
      <c r="AJ288" s="563"/>
      <c r="AK288" s="595">
        <f>+I288/AI288*100</f>
        <v>90.91434587564838</v>
      </c>
      <c r="AL288" s="416"/>
      <c r="AN288" s="584">
        <f>+X288</f>
        <v>189.81200000000001</v>
      </c>
      <c r="AP288" s="586">
        <f>AL288/AE288</f>
        <v>0</v>
      </c>
      <c r="AR288" s="586">
        <f>AN288/AG288</f>
        <v>113.8528619768278</v>
      </c>
      <c r="AT288" s="599">
        <f>(AR288/AR281-1)*100</f>
        <v>15.300282187487513</v>
      </c>
      <c r="AU288" s="563"/>
      <c r="BH288" s="579">
        <f>SUM(BI287:BI288)</f>
        <v>848.58699999999999</v>
      </c>
      <c r="BI288" s="539">
        <f>segSales!AR94</f>
        <v>454.29500000000002</v>
      </c>
      <c r="BJ288" s="623">
        <f>BH288*BO288</f>
        <v>297.00545</v>
      </c>
      <c r="BK288" s="623">
        <f>BP288*BH288</f>
        <v>52.612394000000002</v>
      </c>
      <c r="BL288" s="623"/>
      <c r="BM288" s="623"/>
      <c r="BO288" s="482">
        <v>0.35</v>
      </c>
      <c r="BP288" s="482">
        <v>6.2E-2</v>
      </c>
      <c r="BQ288" s="482"/>
      <c r="BR288" s="482"/>
      <c r="BT288" s="650">
        <f>BJ288-BT287</f>
        <v>160.97471000000002</v>
      </c>
      <c r="BU288" s="650">
        <f>BK288-BU287</f>
        <v>28.560582000000004</v>
      </c>
      <c r="BY288" s="482">
        <f t="shared" si="20"/>
        <v>0.35433960312131985</v>
      </c>
      <c r="BZ288" s="482">
        <f t="shared" si="20"/>
        <v>6.2867920624263982E-2</v>
      </c>
      <c r="CD288" s="482">
        <f t="shared" si="21"/>
        <v>0.3445771620666398</v>
      </c>
      <c r="CE288" s="482">
        <f t="shared" si="21"/>
        <v>0.36830039330648368</v>
      </c>
      <c r="CI288" s="651">
        <f>BT288/SUM(L288:M288)</f>
        <v>1.3641924576271187</v>
      </c>
      <c r="CJ288" s="651">
        <f>BU288/N288</f>
        <v>2.0400415714285716</v>
      </c>
      <c r="CN288" s="482">
        <f t="shared" si="22"/>
        <v>0.15086689295534428</v>
      </c>
      <c r="CO288" s="482">
        <f t="shared" si="22"/>
        <v>-2.2642576209654375E-2</v>
      </c>
    </row>
    <row r="289" spans="1:95" ht="12.75" hidden="1" customHeight="1" outlineLevel="1">
      <c r="A289" s="410" t="str">
        <f>$A$14</f>
        <v>3Q</v>
      </c>
      <c r="B289" s="562" t="str">
        <f>$B$14</f>
        <v>Oct</v>
      </c>
      <c r="D289" s="645">
        <f>(X289/X282-1)*100</f>
        <v>29.503804455937921</v>
      </c>
      <c r="G289" s="606">
        <v>17</v>
      </c>
      <c r="I289" s="645">
        <f>D289-G289</f>
        <v>12.503804455937921</v>
      </c>
      <c r="K289" s="454">
        <f>+K288+8</f>
        <v>140</v>
      </c>
      <c r="L289" s="454">
        <v>116</v>
      </c>
      <c r="M289" s="454">
        <v>7</v>
      </c>
      <c r="N289" s="454">
        <v>17</v>
      </c>
      <c r="O289" s="454"/>
      <c r="P289" s="587">
        <f>AVERAGE(K289,K288)</f>
        <v>136</v>
      </c>
      <c r="R289" s="645">
        <f>(P289/P282-1)*100</f>
        <v>19.298245614035082</v>
      </c>
      <c r="S289" s="563"/>
      <c r="T289" s="595">
        <f>I289/R289*100</f>
        <v>64.792441271678342</v>
      </c>
      <c r="U289" s="416"/>
      <c r="X289" s="539">
        <f>segSales!D95</f>
        <v>208.32499999999999</v>
      </c>
      <c r="Z289" s="585">
        <f>X289/P289</f>
        <v>1.5318014705882352</v>
      </c>
      <c r="AB289" s="599">
        <f>(Z289/Z282-1)*100</f>
        <v>8.5546596174773892</v>
      </c>
      <c r="AC289" s="563"/>
      <c r="AE289" s="581">
        <f>1.330709/0.75</f>
        <v>1.7742786666666666</v>
      </c>
      <c r="AF289" s="454"/>
      <c r="AG289" s="582">
        <f>AVERAGE(AE289,AE288)</f>
        <v>1.7277559999999998</v>
      </c>
      <c r="AI289" s="539">
        <f>(AG289/AG282-1)*100</f>
        <v>17.502181941009365</v>
      </c>
      <c r="AJ289" s="563"/>
      <c r="AK289" s="595">
        <f>+I289/AI289*100</f>
        <v>71.441403695160176</v>
      </c>
      <c r="AL289" s="416"/>
      <c r="AN289" s="584">
        <f>+X289</f>
        <v>208.32499999999999</v>
      </c>
      <c r="AP289" s="586">
        <f>AL289/AE289</f>
        <v>0</v>
      </c>
      <c r="AR289" s="586">
        <f>AN289/AG289</f>
        <v>120.57547477768853</v>
      </c>
      <c r="AT289" s="599">
        <f>(AR289/AR282-1)*100</f>
        <v>10.21395715098623</v>
      </c>
      <c r="AU289" s="563"/>
      <c r="BH289" s="579">
        <f>SUM(BI287:BI289)</f>
        <v>1326.54</v>
      </c>
      <c r="BI289" s="539">
        <f>segSales!AR95</f>
        <v>477.95300000000009</v>
      </c>
      <c r="BJ289" s="623">
        <f>BH289*BO289</f>
        <v>477.55439999999999</v>
      </c>
      <c r="BK289" s="623">
        <f>BP289*BH289</f>
        <v>80.918939999999992</v>
      </c>
      <c r="BL289" s="623"/>
      <c r="BM289" s="623"/>
      <c r="BO289" s="482">
        <v>0.36</v>
      </c>
      <c r="BP289" s="482">
        <v>6.0999999999999999E-2</v>
      </c>
      <c r="BQ289" s="482"/>
      <c r="BR289" s="482"/>
      <c r="BT289" s="650">
        <f>BJ289-BT288-BT287</f>
        <v>180.54894999999999</v>
      </c>
      <c r="BU289" s="650">
        <f>BK289-BU288-BU287</f>
        <v>28.30654599999999</v>
      </c>
      <c r="BY289" s="482">
        <f t="shared" si="20"/>
        <v>0.37775461185514048</v>
      </c>
      <c r="BZ289" s="482">
        <f t="shared" si="20"/>
        <v>5.9224538814485909E-2</v>
      </c>
      <c r="CD289" s="482">
        <f t="shared" si="21"/>
        <v>0.30231846927417205</v>
      </c>
      <c r="CE289" s="482">
        <f t="shared" si="21"/>
        <v>0.20853525543060769</v>
      </c>
      <c r="CI289" s="651">
        <f>BT289/SUM(L289:M289)</f>
        <v>1.4678776422764226</v>
      </c>
      <c r="CJ289" s="651">
        <f>BU289/N289</f>
        <v>1.6650909411764701</v>
      </c>
      <c r="CN289" s="482">
        <f t="shared" si="22"/>
        <v>0.12232323368343279</v>
      </c>
      <c r="CO289" s="482">
        <f t="shared" si="22"/>
        <v>-0.21800659942725398</v>
      </c>
    </row>
    <row r="290" spans="1:95" ht="12.75" hidden="1" customHeight="1" outlineLevel="1">
      <c r="A290" s="410" t="str">
        <f>$A$15</f>
        <v>4Q</v>
      </c>
      <c r="B290" s="562" t="str">
        <f>$B$15</f>
        <v>Jan</v>
      </c>
      <c r="D290" s="646">
        <f>(X290/X283-1)*100</f>
        <v>8.5492689129052835</v>
      </c>
      <c r="G290" s="609">
        <v>3</v>
      </c>
      <c r="I290" s="646">
        <f>D290-G290</f>
        <v>5.5492689129052835</v>
      </c>
      <c r="K290" s="410">
        <f>yrSales!P27</f>
        <v>142</v>
      </c>
      <c r="L290" s="652">
        <f>K290-M290-N290</f>
        <v>118</v>
      </c>
      <c r="M290" s="454">
        <v>7</v>
      </c>
      <c r="N290" s="454">
        <v>17</v>
      </c>
      <c r="O290" s="454"/>
      <c r="P290" s="588">
        <f>AVERAGE(K290,K289)</f>
        <v>141</v>
      </c>
      <c r="R290" s="646">
        <f>(P290/P283-1)*100</f>
        <v>17.991631799163187</v>
      </c>
      <c r="S290" s="563"/>
      <c r="T290" s="598">
        <f>I290/R290*100</f>
        <v>30.843610934520051</v>
      </c>
      <c r="U290" s="416"/>
      <c r="X290" s="596">
        <f>segSales!D96</f>
        <v>213.435</v>
      </c>
      <c r="Z290" s="590">
        <f>X290/P290</f>
        <v>1.5137234042553191</v>
      </c>
      <c r="AB290" s="597">
        <f>(Z290/Z283-1)*100</f>
        <v>-8.002569963885243</v>
      </c>
      <c r="AC290" s="563"/>
      <c r="AE290" s="581">
        <f>1.348619/0.75</f>
        <v>1.7981586666666667</v>
      </c>
      <c r="AF290" s="454"/>
      <c r="AG290" s="591">
        <f>AVERAGE(AE290,AE289)</f>
        <v>1.7862186666666666</v>
      </c>
      <c r="AI290" s="596">
        <f>(AG290/AG283-1)*100</f>
        <v>15.817406967299741</v>
      </c>
      <c r="AJ290" s="563"/>
      <c r="AK290" s="598">
        <f>+I290/AI290*100</f>
        <v>35.083303631104734</v>
      </c>
      <c r="AL290" s="416"/>
      <c r="AN290" s="589">
        <f>+X290</f>
        <v>213.435</v>
      </c>
      <c r="AP290" s="592">
        <f>AL290/AE290</f>
        <v>0</v>
      </c>
      <c r="AR290" s="592">
        <f>AN290/AG290</f>
        <v>119.48984969365453</v>
      </c>
      <c r="AT290" s="597">
        <f>(AR290/AR283-1)*100</f>
        <v>-6.2755144021196863</v>
      </c>
      <c r="AU290" s="563"/>
      <c r="BH290" s="579">
        <f>SUM(BI287:BI290)</f>
        <v>1834.6179999999999</v>
      </c>
      <c r="BI290" s="539">
        <f>segSales!AR96</f>
        <v>508.07800000000009</v>
      </c>
      <c r="BJ290" s="623">
        <f>BH290*BO290</f>
        <v>658.62786199999994</v>
      </c>
      <c r="BK290" s="623">
        <f>BP290*BH290</f>
        <v>113.74631599999999</v>
      </c>
      <c r="BL290" s="623"/>
      <c r="BM290" s="623"/>
      <c r="BO290" s="482">
        <v>0.35899999999999999</v>
      </c>
      <c r="BP290" s="482">
        <v>6.2E-2</v>
      </c>
      <c r="BQ290" s="482"/>
      <c r="BR290" s="482"/>
      <c r="BT290" s="650">
        <f>BJ290-SUM(BT287:BT289)</f>
        <v>181.07346199999995</v>
      </c>
      <c r="BU290" s="650">
        <f>BK290-SUM(BU287:BU289)</f>
        <v>32.827376000000001</v>
      </c>
      <c r="BY290" s="482">
        <f t="shared" si="20"/>
        <v>0.35638910167336496</v>
      </c>
      <c r="BZ290" s="482">
        <f t="shared" si="20"/>
        <v>6.4610898326634872E-2</v>
      </c>
      <c r="CD290" s="482">
        <f t="shared" si="21"/>
        <v>0.11632164138596113</v>
      </c>
      <c r="CE290" s="482">
        <f t="shared" si="21"/>
        <v>-3.3225195900194238E-2</v>
      </c>
      <c r="CI290" s="651">
        <f>BT290/SUM(L290:M290)</f>
        <v>1.4485876959999997</v>
      </c>
      <c r="CJ290" s="651">
        <f>BU290/N290</f>
        <v>1.9310221176470588</v>
      </c>
      <c r="CN290" s="482">
        <f t="shared" si="22"/>
        <v>-1.7636955580354163E-2</v>
      </c>
      <c r="CO290" s="482">
        <f t="shared" si="22"/>
        <v>-0.31757072651778417</v>
      </c>
    </row>
    <row r="291" spans="1:95" ht="12.75" hidden="1" customHeight="1" outlineLevel="1">
      <c r="B291" s="562" t="str">
        <f>$B$16</f>
        <v>Year</v>
      </c>
      <c r="D291" s="618">
        <f>(X291/X284-1)*100</f>
        <v>22.764225054430142</v>
      </c>
      <c r="G291" s="606">
        <v>11.9</v>
      </c>
      <c r="I291" s="618">
        <f>D291-G291</f>
        <v>10.864225054430142</v>
      </c>
      <c r="K291" s="410">
        <f>K290</f>
        <v>142</v>
      </c>
      <c r="L291" s="410">
        <f>L290</f>
        <v>118</v>
      </c>
      <c r="M291" s="410">
        <f>M290</f>
        <v>7</v>
      </c>
      <c r="N291" s="410">
        <f>N290</f>
        <v>17</v>
      </c>
      <c r="P291" s="587">
        <f>AVERAGE(P287:P290)</f>
        <v>133.25</v>
      </c>
      <c r="R291" s="618">
        <f>(P291/P284-1)*100</f>
        <v>17.920353982300874</v>
      </c>
      <c r="S291" s="563"/>
      <c r="T291" s="595">
        <f>I291/R291*100</f>
        <v>60.625058328425027</v>
      </c>
      <c r="U291" s="416"/>
      <c r="X291" s="579">
        <f>SUM(X287:X290)</f>
        <v>771.36199999999985</v>
      </c>
      <c r="Z291" s="580">
        <f>SUM(Z287:Z290)</f>
        <v>5.7732500507682083</v>
      </c>
      <c r="AB291" s="599">
        <f>(Z291/Z284-1)*100</f>
        <v>4.3095018842752575</v>
      </c>
      <c r="AC291" s="563"/>
      <c r="AG291" s="582">
        <f>AVERAGE(AG287:AG290)</f>
        <v>1.6793399999999998</v>
      </c>
      <c r="AI291" s="539">
        <f>(AG291/AG284-1)*100</f>
        <v>16.726265251623083</v>
      </c>
      <c r="AJ291" s="563"/>
      <c r="AK291" s="595">
        <f>+I291/AI291*100</f>
        <v>64.953083614262894</v>
      </c>
      <c r="AL291" s="416"/>
      <c r="AN291" s="579">
        <f>SUM(AN287:AN290)</f>
        <v>771.36199999999985</v>
      </c>
      <c r="AP291" s="583" t="e">
        <f>SUM(AP287:AP290)</f>
        <v>#VALUE!</v>
      </c>
      <c r="AR291" s="583">
        <f>SUM(AR287:AR290)</f>
        <v>457.93350721035534</v>
      </c>
      <c r="AT291" s="599">
        <f>(AR291/AR284-1)*100</f>
        <v>5.4093133231336132</v>
      </c>
      <c r="AU291" s="563"/>
      <c r="BH291" s="579">
        <f>BH290</f>
        <v>1834.6179999999999</v>
      </c>
      <c r="BI291" s="579">
        <f>segSales!AR97</f>
        <v>1834.6179999999999</v>
      </c>
      <c r="BJ291" s="623">
        <f>BH291*BO291</f>
        <v>658.62786199999994</v>
      </c>
      <c r="BK291" s="623">
        <f>BP291*BH291</f>
        <v>113.74631599999999</v>
      </c>
      <c r="BL291" s="623"/>
      <c r="BM291" s="623"/>
      <c r="BO291" s="482">
        <v>0.35899999999999999</v>
      </c>
      <c r="BP291" s="482">
        <v>6.2E-2</v>
      </c>
      <c r="BQ291" s="482"/>
      <c r="BR291" s="482"/>
      <c r="BT291" s="650">
        <f>SUM(BT287:BT290)</f>
        <v>658.62786199999994</v>
      </c>
      <c r="BU291" s="650">
        <f>SUM(BU287:BU290)</f>
        <v>113.74631599999999</v>
      </c>
      <c r="BY291" s="482">
        <f t="shared" si="20"/>
        <v>0.35899999999999999</v>
      </c>
      <c r="BZ291" s="482">
        <f t="shared" si="20"/>
        <v>6.2E-2</v>
      </c>
      <c r="CD291" s="482">
        <f t="shared" si="21"/>
        <v>0.23749526357733197</v>
      </c>
      <c r="CE291" s="482">
        <f t="shared" si="21"/>
        <v>0.17878748862523874</v>
      </c>
      <c r="CI291" s="651">
        <f>BT291/SUM(L291:M291)</f>
        <v>5.2690228959999992</v>
      </c>
      <c r="CJ291" s="651">
        <f>BU291/N291</f>
        <v>6.6909597647058821</v>
      </c>
      <c r="CN291" s="482">
        <f t="shared" si="22"/>
        <v>8.8995831948052162E-2</v>
      </c>
      <c r="CO291" s="482">
        <f t="shared" si="22"/>
        <v>-0.16791471391159607</v>
      </c>
    </row>
    <row r="292" spans="1:95" ht="12.75" hidden="1" customHeight="1" outlineLevel="1">
      <c r="B292" s="562"/>
      <c r="D292" s="618"/>
      <c r="G292" s="601"/>
      <c r="I292" s="618"/>
      <c r="P292" s="587"/>
      <c r="R292" s="618"/>
      <c r="S292" s="563"/>
      <c r="T292" s="595"/>
      <c r="U292" s="416"/>
      <c r="X292" s="630"/>
      <c r="Z292" s="482"/>
      <c r="AB292" s="599"/>
      <c r="AC292" s="563"/>
      <c r="AG292" s="582"/>
      <c r="AI292" s="539"/>
      <c r="AJ292" s="563"/>
      <c r="AK292" s="595"/>
      <c r="AL292" s="416"/>
      <c r="AN292" s="579"/>
      <c r="AP292" s="583"/>
      <c r="AR292" s="583"/>
      <c r="AT292" s="599"/>
      <c r="AU292" s="563"/>
      <c r="BI292" s="539"/>
      <c r="BJ292" s="623"/>
      <c r="BK292" s="623"/>
      <c r="BL292" s="623"/>
      <c r="BM292" s="623"/>
      <c r="BO292" s="482"/>
      <c r="BP292" s="482"/>
      <c r="BQ292" s="482"/>
      <c r="BR292" s="482"/>
    </row>
    <row r="293" spans="1:95" ht="12.75" hidden="1" customHeight="1" outlineLevel="1">
      <c r="A293" s="593"/>
      <c r="B293" s="431">
        <f>+B116</f>
        <v>2009</v>
      </c>
      <c r="E293" s="563"/>
      <c r="F293" s="563"/>
      <c r="H293" s="563"/>
      <c r="J293" s="563"/>
      <c r="S293" s="563"/>
      <c r="T293" s="416"/>
      <c r="U293" s="416"/>
      <c r="AC293" s="563"/>
      <c r="AJ293" s="563"/>
      <c r="AK293" s="416"/>
      <c r="AL293" s="416"/>
      <c r="AU293" s="563"/>
      <c r="BI293" s="539"/>
      <c r="BJ293" s="623"/>
      <c r="BK293" s="623"/>
      <c r="BL293" s="623"/>
      <c r="BM293" s="623"/>
      <c r="BO293" s="482"/>
      <c r="BP293" s="482"/>
      <c r="BQ293" s="482"/>
      <c r="BR293" s="482"/>
    </row>
    <row r="294" spans="1:95" ht="12.75" hidden="1" customHeight="1" outlineLevel="1">
      <c r="A294" s="410" t="str">
        <f>$A$12</f>
        <v>1Q</v>
      </c>
      <c r="B294" s="562" t="str">
        <f>$B$12</f>
        <v>Apr</v>
      </c>
      <c r="D294" s="645">
        <f>(X294/X287-1)*100</f>
        <v>-4.3544652356217517</v>
      </c>
      <c r="E294" s="563" t="s">
        <v>208</v>
      </c>
      <c r="F294" s="563"/>
      <c r="G294" s="606">
        <v>-6</v>
      </c>
      <c r="H294" s="563" t="s">
        <v>208</v>
      </c>
      <c r="I294" s="645">
        <f>D294-G294</f>
        <v>1.6455347643782483</v>
      </c>
      <c r="J294" s="563" t="s">
        <v>208</v>
      </c>
      <c r="K294" s="454">
        <v>143</v>
      </c>
      <c r="L294" s="454">
        <v>119</v>
      </c>
      <c r="M294" s="454">
        <v>7</v>
      </c>
      <c r="N294" s="454">
        <v>17</v>
      </c>
      <c r="P294" s="587">
        <f>AVERAGE(K294,K290)</f>
        <v>142.5</v>
      </c>
      <c r="R294" s="645">
        <f>(P294/P287-1)*100</f>
        <v>13.545816733067738</v>
      </c>
      <c r="S294" s="563" t="s">
        <v>208</v>
      </c>
      <c r="T294" s="595">
        <f>I294/R294*100</f>
        <v>12.147918407615883</v>
      </c>
      <c r="U294" s="416" t="s">
        <v>208</v>
      </c>
      <c r="X294" s="579">
        <f>segSales!D100</f>
        <v>152.83199999999999</v>
      </c>
      <c r="Z294" s="580">
        <f>X294/P294</f>
        <v>1.0725052631578946</v>
      </c>
      <c r="AB294" s="599">
        <f>(Z294/Z287-1)*100</f>
        <v>-15.764809733828278</v>
      </c>
      <c r="AC294" s="563" t="s">
        <v>208</v>
      </c>
      <c r="AE294" s="581">
        <f>1.356143/0.75</f>
        <v>1.8081906666666667</v>
      </c>
      <c r="AG294" s="582">
        <f>AVERAGE(AE294,AE287)</f>
        <v>1.730648</v>
      </c>
      <c r="AI294" s="539">
        <f>(AG294/AG287-1)*100</f>
        <v>12.656553505496614</v>
      </c>
      <c r="AJ294" s="563" t="s">
        <v>208</v>
      </c>
      <c r="AK294" s="595">
        <f>+I294/AI294*100</f>
        <v>13.001444379495645</v>
      </c>
      <c r="AL294" s="416" t="s">
        <v>208</v>
      </c>
      <c r="AN294" s="579">
        <f>+X294</f>
        <v>152.83199999999999</v>
      </c>
      <c r="AP294" s="583" t="e">
        <f>AL294/AE294</f>
        <v>#VALUE!</v>
      </c>
      <c r="AR294" s="583">
        <f>AN294/AG294</f>
        <v>88.309118896505822</v>
      </c>
      <c r="AT294" s="599">
        <f>(AR294/AR287-1)*100</f>
        <v>-15.099892737521369</v>
      </c>
      <c r="AU294" s="563" t="s">
        <v>208</v>
      </c>
      <c r="BH294" s="579">
        <f>BI294</f>
        <v>384.79599999999994</v>
      </c>
      <c r="BI294" s="579">
        <f>segSales!AR100</f>
        <v>384.79599999999994</v>
      </c>
      <c r="BJ294" s="623">
        <f>BH294*BO294</f>
        <v>132.36982399999997</v>
      </c>
      <c r="BK294" s="623">
        <f>BP294*BH294</f>
        <v>20.394187999999996</v>
      </c>
      <c r="BL294" s="623"/>
      <c r="BM294" s="623"/>
      <c r="BO294" s="482">
        <v>0.34399999999999997</v>
      </c>
      <c r="BP294" s="482">
        <v>5.2999999999999999E-2</v>
      </c>
      <c r="BQ294" s="482"/>
      <c r="BR294" s="482"/>
      <c r="BT294" s="650">
        <f>BJ294</f>
        <v>132.36982399999997</v>
      </c>
      <c r="BU294" s="650">
        <f>BK294</f>
        <v>20.394187999999996</v>
      </c>
      <c r="BY294" s="482">
        <f t="shared" ref="BY294:BZ298" si="23">BT294/$BI294</f>
        <v>0.34399999999999997</v>
      </c>
      <c r="BZ294" s="482">
        <f t="shared" si="23"/>
        <v>5.2999999999999999E-2</v>
      </c>
      <c r="CD294" s="482">
        <f t="shared" ref="CD294:CE298" si="24">BT294/BT287-1</f>
        <v>-2.6912417002215916E-2</v>
      </c>
      <c r="CE294" s="482">
        <f t="shared" si="24"/>
        <v>-0.15207270038531828</v>
      </c>
      <c r="CI294" s="651">
        <f>BT294/SUM(L294:M294)</f>
        <v>1.0505541587301586</v>
      </c>
      <c r="CJ294" s="651">
        <f>BU294/N294</f>
        <v>1.1996581176470587</v>
      </c>
      <c r="CN294" s="482">
        <f t="shared" ref="CN294:CO298" si="25">CI294/CI287-1</f>
        <v>-0.11186450758138744</v>
      </c>
      <c r="CO294" s="482">
        <f t="shared" si="25"/>
        <v>-0.30170692972908564</v>
      </c>
    </row>
    <row r="295" spans="1:95" ht="12.75" hidden="1" customHeight="1" outlineLevel="1">
      <c r="A295" s="410" t="str">
        <f>$A$13</f>
        <v>2Q</v>
      </c>
      <c r="B295" s="562" t="str">
        <f>$B$13</f>
        <v>Jul</v>
      </c>
      <c r="D295" s="645">
        <f>(X295/X288-1)*100</f>
        <v>-6.6860893937158883</v>
      </c>
      <c r="G295" s="606">
        <v>-7.6</v>
      </c>
      <c r="I295" s="645">
        <f>D295-G295</f>
        <v>0.91391060628411136</v>
      </c>
      <c r="K295" s="454">
        <v>148</v>
      </c>
      <c r="L295" s="454">
        <v>124</v>
      </c>
      <c r="M295" s="454">
        <v>7</v>
      </c>
      <c r="N295" s="454">
        <v>17</v>
      </c>
      <c r="O295" s="454"/>
      <c r="P295" s="587">
        <f>AVERAGE(K295,K294)</f>
        <v>145.5</v>
      </c>
      <c r="R295" s="645">
        <f>(P295/P288-1)*100</f>
        <v>11.494252873563227</v>
      </c>
      <c r="S295" s="563"/>
      <c r="T295" s="595">
        <f>I295/R295*100</f>
        <v>7.9510222746717636</v>
      </c>
      <c r="U295" s="416"/>
      <c r="X295" s="539">
        <f>segSales!D101</f>
        <v>177.12100000000001</v>
      </c>
      <c r="Z295" s="585">
        <f>X295/P295</f>
        <v>1.2173264604810998</v>
      </c>
      <c r="AB295" s="599">
        <f>(Z295/Z288-1)*100</f>
        <v>-16.306080177868886</v>
      </c>
      <c r="AC295" s="563"/>
      <c r="AE295" s="581">
        <f>1.399909/0.75</f>
        <v>1.8665453333333335</v>
      </c>
      <c r="AF295" s="454"/>
      <c r="AG295" s="582">
        <f>AVERAGE(AE295,AE294)</f>
        <v>1.8373680000000001</v>
      </c>
      <c r="AI295" s="539">
        <f>(AG295/AG288-1)*100</f>
        <v>10.20884101355033</v>
      </c>
      <c r="AJ295" s="563"/>
      <c r="AK295" s="595">
        <f>+I295/AI295*100</f>
        <v>8.9521484865036651</v>
      </c>
      <c r="AL295" s="416"/>
      <c r="AN295" s="584">
        <f>+X295</f>
        <v>177.12100000000001</v>
      </c>
      <c r="AP295" s="586">
        <f>AL295/AE295</f>
        <v>0</v>
      </c>
      <c r="AR295" s="586">
        <f>AN295/AG295</f>
        <v>96.399305963748148</v>
      </c>
      <c r="AT295" s="599">
        <f>(AR295/AR288-1)*100</f>
        <v>-15.32992294618991</v>
      </c>
      <c r="AU295" s="563"/>
      <c r="BH295" s="579">
        <f>SUM(BI294:BI295)</f>
        <v>843.42199999999991</v>
      </c>
      <c r="BI295" s="539">
        <f>segSales!AR101</f>
        <v>458.62599999999998</v>
      </c>
      <c r="BJ295" s="623">
        <f>BH295*BO295</f>
        <v>285.92005799999998</v>
      </c>
      <c r="BK295" s="623">
        <f>BP295*BH295</f>
        <v>43.857943999999996</v>
      </c>
      <c r="BL295" s="623"/>
      <c r="BM295" s="623"/>
      <c r="BO295" s="482">
        <v>0.33900000000000002</v>
      </c>
      <c r="BP295" s="482">
        <v>5.1999999999999998E-2</v>
      </c>
      <c r="BQ295" s="482"/>
      <c r="BR295" s="482"/>
      <c r="BT295" s="650">
        <f>BJ295-BT294</f>
        <v>153.55023400000002</v>
      </c>
      <c r="BU295" s="650">
        <f>BK295-BU294</f>
        <v>23.463756</v>
      </c>
      <c r="BY295" s="482">
        <f t="shared" si="23"/>
        <v>0.33480490421389109</v>
      </c>
      <c r="BZ295" s="482">
        <f t="shared" si="23"/>
        <v>5.1160980842778217E-2</v>
      </c>
      <c r="CD295" s="482">
        <f t="shared" si="24"/>
        <v>-4.612200264252686E-2</v>
      </c>
      <c r="CE295" s="482">
        <f t="shared" si="24"/>
        <v>-0.17845665750088713</v>
      </c>
      <c r="CI295" s="651">
        <f>BT295/SUM(L295:M295)</f>
        <v>1.1721391908396948</v>
      </c>
      <c r="CJ295" s="651">
        <f>BU295/N295</f>
        <v>1.3802209411764705</v>
      </c>
      <c r="CN295" s="482">
        <f t="shared" si="25"/>
        <v>-0.14078165123525321</v>
      </c>
      <c r="CO295" s="482">
        <f t="shared" si="25"/>
        <v>-0.32343489441249529</v>
      </c>
    </row>
    <row r="296" spans="1:95" ht="12.75" hidden="1" customHeight="1" outlineLevel="1">
      <c r="A296" s="410" t="str">
        <f>$A$14</f>
        <v>3Q</v>
      </c>
      <c r="B296" s="562" t="str">
        <f>$B$14</f>
        <v>Oct</v>
      </c>
      <c r="D296" s="645">
        <f>(X296/X289-1)*100</f>
        <v>-2.8815552622104779</v>
      </c>
      <c r="G296" s="606">
        <v>-5.2</v>
      </c>
      <c r="I296" s="645">
        <f>D296-G296</f>
        <v>2.3184447377895223</v>
      </c>
      <c r="K296" s="454">
        <f>+K295+3</f>
        <v>151</v>
      </c>
      <c r="L296" s="454">
        <v>127</v>
      </c>
      <c r="M296" s="454">
        <v>7</v>
      </c>
      <c r="N296" s="454">
        <v>17</v>
      </c>
      <c r="O296" s="454"/>
      <c r="P296" s="587">
        <f>AVERAGE(K296,K295)</f>
        <v>149.5</v>
      </c>
      <c r="R296" s="645">
        <f>(P296/P289-1)*100</f>
        <v>9.9264705882353041</v>
      </c>
      <c r="S296" s="563"/>
      <c r="T296" s="595">
        <f>I296/R296*100</f>
        <v>23.356184025138869</v>
      </c>
      <c r="U296" s="416"/>
      <c r="X296" s="539">
        <f>segSales!D102</f>
        <v>202.322</v>
      </c>
      <c r="Z296" s="585">
        <f>X296/P296</f>
        <v>1.3533244147157191</v>
      </c>
      <c r="AB296" s="599">
        <f>(Z296/Z289-1)*100</f>
        <v>-11.651448265288467</v>
      </c>
      <c r="AC296" s="563"/>
      <c r="AE296" s="581">
        <f>1.419206/0.75</f>
        <v>1.8922746666666665</v>
      </c>
      <c r="AF296" s="454"/>
      <c r="AG296" s="582">
        <f>AVERAGE(AE296,AE295)</f>
        <v>1.87941</v>
      </c>
      <c r="AI296" s="539">
        <f>(AG296/AG289-1)*100</f>
        <v>8.7775125654317101</v>
      </c>
      <c r="AJ296" s="563"/>
      <c r="AK296" s="595">
        <f>+I296/AI296*100</f>
        <v>26.4134596277333</v>
      </c>
      <c r="AL296" s="416"/>
      <c r="AN296" s="584">
        <f>+X296</f>
        <v>202.322</v>
      </c>
      <c r="AP296" s="586">
        <f>AL296/AE296</f>
        <v>0</v>
      </c>
      <c r="AR296" s="586">
        <f>AN296/AG296</f>
        <v>107.651869469674</v>
      </c>
      <c r="AT296" s="599">
        <f>(AR296/AR289-1)*100</f>
        <v>-10.718270304838084</v>
      </c>
      <c r="AU296" s="563"/>
      <c r="BH296" s="579">
        <f>SUM(BI294:BI296)</f>
        <v>1349.3219999999999</v>
      </c>
      <c r="BI296" s="539">
        <f>segSales!AR102</f>
        <v>505.9</v>
      </c>
      <c r="BJ296" s="623">
        <f>BH296*BO296</f>
        <v>462.81744600000002</v>
      </c>
      <c r="BK296" s="623">
        <f>BP296*BH296</f>
        <v>68.815421999999984</v>
      </c>
      <c r="BL296" s="623"/>
      <c r="BM296" s="623"/>
      <c r="BO296" s="482">
        <v>0.34300000000000003</v>
      </c>
      <c r="BP296" s="482">
        <v>5.0999999999999997E-2</v>
      </c>
      <c r="BQ296" s="623"/>
      <c r="BR296" s="623"/>
      <c r="BT296" s="650">
        <f>BJ296-BT295-BT294</f>
        <v>176.89738800000001</v>
      </c>
      <c r="BU296" s="650">
        <f>BK296-BU295-BU294</f>
        <v>24.957477999999984</v>
      </c>
      <c r="BY296" s="482">
        <f t="shared" si="23"/>
        <v>0.34966868551097058</v>
      </c>
      <c r="BZ296" s="482">
        <f t="shared" si="23"/>
        <v>4.9332828622257331E-2</v>
      </c>
      <c r="CD296" s="482">
        <f t="shared" si="24"/>
        <v>-2.0224775607944445E-2</v>
      </c>
      <c r="CE296" s="482">
        <f t="shared" si="24"/>
        <v>-0.1183142584757606</v>
      </c>
      <c r="CI296" s="651">
        <f>BT296/SUM(L296:M296)</f>
        <v>1.3201297611940299</v>
      </c>
      <c r="CJ296" s="651">
        <f>BU296/N296</f>
        <v>1.4680869411764697</v>
      </c>
      <c r="CN296" s="482">
        <f t="shared" si="25"/>
        <v>-0.10065408507296392</v>
      </c>
      <c r="CO296" s="482">
        <f t="shared" si="25"/>
        <v>-0.1183142584757606</v>
      </c>
    </row>
    <row r="297" spans="1:95" ht="12.75" hidden="1" customHeight="1" outlineLevel="1">
      <c r="A297" s="410" t="str">
        <f>$A$15</f>
        <v>4Q</v>
      </c>
      <c r="B297" s="562" t="str">
        <f>$B$15</f>
        <v>Jan</v>
      </c>
      <c r="D297" s="646">
        <f>(X297/X290-1)*100</f>
        <v>6.7575608499074624</v>
      </c>
      <c r="G297" s="609">
        <v>0</v>
      </c>
      <c r="I297" s="646">
        <f>D297-G297</f>
        <v>6.7575608499074624</v>
      </c>
      <c r="K297" s="410">
        <f>yrSales!$Q$27</f>
        <v>155</v>
      </c>
      <c r="L297" s="652">
        <f>155-M297-N297</f>
        <v>130</v>
      </c>
      <c r="M297" s="454">
        <v>7</v>
      </c>
      <c r="N297" s="454">
        <v>18</v>
      </c>
      <c r="O297" s="454"/>
      <c r="P297" s="588">
        <f>AVERAGE(K297,K296)</f>
        <v>153</v>
      </c>
      <c r="R297" s="646">
        <f>(P297/P290-1)*100</f>
        <v>8.5106382978723296</v>
      </c>
      <c r="S297" s="563"/>
      <c r="T297" s="598">
        <f>I297/R297*100</f>
        <v>79.401339986412793</v>
      </c>
      <c r="U297" s="416"/>
      <c r="X297" s="596">
        <f>segSales!D103</f>
        <v>227.858</v>
      </c>
      <c r="Z297" s="590">
        <f>X297/P297</f>
        <v>1.4892679738562091</v>
      </c>
      <c r="AB297" s="597">
        <f>(Z297/Z290-1)*100</f>
        <v>-1.6155811775362627</v>
      </c>
      <c r="AC297" s="563"/>
      <c r="AE297" s="581">
        <f>1.451407/0.75</f>
        <v>1.9352093333333331</v>
      </c>
      <c r="AF297" s="454"/>
      <c r="AG297" s="591">
        <f>AVERAGE(AE297,AE296)</f>
        <v>1.9137419999999998</v>
      </c>
      <c r="AI297" s="596">
        <f>(AG297/AG290-1)*100</f>
        <v>7.1392901503660511</v>
      </c>
      <c r="AJ297" s="563"/>
      <c r="AK297" s="598">
        <f>+I297/AI297*100</f>
        <v>94.653119674103507</v>
      </c>
      <c r="AL297" s="416"/>
      <c r="AN297" s="589">
        <f>+X297</f>
        <v>227.858</v>
      </c>
      <c r="AP297" s="592">
        <f>AL297/AE297</f>
        <v>0</v>
      </c>
      <c r="AR297" s="592">
        <f>AN297/AG297</f>
        <v>119.06411627063629</v>
      </c>
      <c r="AT297" s="597">
        <f>(AR297/AR290-1)*100</f>
        <v>-0.35629254209434968</v>
      </c>
      <c r="AU297" s="563"/>
      <c r="BH297" s="579">
        <f>SUM(BI294:BI297)</f>
        <v>1937.8149999999998</v>
      </c>
      <c r="BI297" s="539">
        <f>segSales!AR103</f>
        <v>588.49299999999994</v>
      </c>
      <c r="BJ297" s="623">
        <f>BH297*BO297</f>
        <v>653.04365499999994</v>
      </c>
      <c r="BK297" s="623">
        <f>BP297*BH297</f>
        <v>106.57982499999999</v>
      </c>
      <c r="BL297" s="623"/>
      <c r="BM297" s="623"/>
      <c r="BO297" s="482">
        <v>0.33700000000000002</v>
      </c>
      <c r="BP297" s="482">
        <v>5.5E-2</v>
      </c>
      <c r="BQ297" s="623"/>
      <c r="BR297" s="623"/>
      <c r="BT297" s="650">
        <f>BJ297-SUM(BT294:BT296)</f>
        <v>190.22620899999993</v>
      </c>
      <c r="BU297" s="650">
        <f>BK297-SUM(BU294:BU296)</f>
        <v>37.764403000000001</v>
      </c>
      <c r="BY297" s="482">
        <f t="shared" si="23"/>
        <v>0.32324294256686137</v>
      </c>
      <c r="BZ297" s="482">
        <f t="shared" si="23"/>
        <v>6.4171371622092369E-2</v>
      </c>
      <c r="CD297" s="482">
        <f t="shared" si="24"/>
        <v>5.0547147543906767E-2</v>
      </c>
      <c r="CE297" s="482">
        <f t="shared" si="24"/>
        <v>0.15039359222619564</v>
      </c>
      <c r="CI297" s="651">
        <f>BT297/SUM(L297:M297)</f>
        <v>1.3885124744525541</v>
      </c>
      <c r="CJ297" s="651">
        <f>BU297/N297</f>
        <v>2.0980223888888889</v>
      </c>
      <c r="CN297" s="482">
        <f t="shared" si="25"/>
        <v>-4.1471580708114519E-2</v>
      </c>
      <c r="CO297" s="482">
        <f t="shared" si="25"/>
        <v>8.648283710251814E-2</v>
      </c>
    </row>
    <row r="298" spans="1:95" ht="12.75" hidden="1" customHeight="1" outlineLevel="1">
      <c r="B298" s="562" t="str">
        <f>$B$16</f>
        <v>Year</v>
      </c>
      <c r="D298" s="618">
        <f>(X298/X291-1)*100</f>
        <v>-1.455736735799773</v>
      </c>
      <c r="G298" s="606">
        <v>-4</v>
      </c>
      <c r="I298" s="618">
        <f>D298-G298</f>
        <v>2.544263264200227</v>
      </c>
      <c r="K298" s="410">
        <f>K297</f>
        <v>155</v>
      </c>
      <c r="L298" s="410">
        <f>L297</f>
        <v>130</v>
      </c>
      <c r="M298" s="410">
        <f>M297</f>
        <v>7</v>
      </c>
      <c r="N298" s="410">
        <f>N297</f>
        <v>18</v>
      </c>
      <c r="P298" s="587">
        <f>AVERAGE(P294:P297)</f>
        <v>147.625</v>
      </c>
      <c r="R298" s="618">
        <f>(P298/P291-1)*100</f>
        <v>10.787992495309574</v>
      </c>
      <c r="S298" s="563"/>
      <c r="T298" s="595">
        <f>I298/R298*100</f>
        <v>23.584214257716877</v>
      </c>
      <c r="U298" s="416"/>
      <c r="X298" s="579">
        <f>SUM(X294:X297)</f>
        <v>760.13300000000004</v>
      </c>
      <c r="Z298" s="580">
        <f>SUM(Z294:Z297)</f>
        <v>5.1324241122109227</v>
      </c>
      <c r="AB298" s="599">
        <f>(Z298/Z291-1)*100</f>
        <v>-11.099916562110712</v>
      </c>
      <c r="AC298" s="563"/>
      <c r="AG298" s="582">
        <f>AVERAGE(AG294:AG297)</f>
        <v>1.840292</v>
      </c>
      <c r="AI298" s="539">
        <f>(AG298/AG291-1)*100</f>
        <v>9.5842414281801283</v>
      </c>
      <c r="AJ298" s="563"/>
      <c r="AK298" s="595">
        <f>+I298/AI298*100</f>
        <v>26.54631859251208</v>
      </c>
      <c r="AL298" s="416"/>
      <c r="AN298" s="579">
        <f>SUM(AN294:AN297)</f>
        <v>760.13300000000004</v>
      </c>
      <c r="AP298" s="583" t="e">
        <f>SUM(AP294:AP297)</f>
        <v>#VALUE!</v>
      </c>
      <c r="AR298" s="583">
        <f>SUM(AR294:AR297)</f>
        <v>411.42441060056427</v>
      </c>
      <c r="AT298" s="599">
        <f>(AR298/AR291-1)*100</f>
        <v>-10.156299086545495</v>
      </c>
      <c r="AU298" s="563"/>
      <c r="BH298" s="579">
        <f>BH297</f>
        <v>1937.8149999999998</v>
      </c>
      <c r="BI298" s="579">
        <f>segSales!AR104</f>
        <v>1937.8149999999998</v>
      </c>
      <c r="BJ298" s="623">
        <f>BH298*BO298</f>
        <v>653.04365499999994</v>
      </c>
      <c r="BK298" s="623">
        <f>BP298*BH298</f>
        <v>106.57982499999999</v>
      </c>
      <c r="BL298" s="623"/>
      <c r="BM298" s="623"/>
      <c r="BO298" s="482">
        <v>0.33700000000000002</v>
      </c>
      <c r="BP298" s="482">
        <v>5.5E-2</v>
      </c>
      <c r="BQ298" s="623"/>
      <c r="BR298" s="623"/>
      <c r="BT298" s="650">
        <f>SUM(BT294:BT297)</f>
        <v>653.04365499999994</v>
      </c>
      <c r="BU298" s="650">
        <f>SUM(BU294:BU297)</f>
        <v>106.57982499999999</v>
      </c>
      <c r="BY298" s="482">
        <f t="shared" si="23"/>
        <v>0.33700000000000002</v>
      </c>
      <c r="BZ298" s="482">
        <f t="shared" si="23"/>
        <v>5.5E-2</v>
      </c>
      <c r="CD298" s="482">
        <f t="shared" si="24"/>
        <v>-8.4785465695953466E-3</v>
      </c>
      <c r="CE298" s="482">
        <f t="shared" si="24"/>
        <v>-6.3004159185252262E-2</v>
      </c>
      <c r="CI298" s="651">
        <f>BT298/SUM(L298:M298)</f>
        <v>4.7667420072992694</v>
      </c>
      <c r="CJ298" s="651">
        <f>BU298/N298</f>
        <v>5.9211013888888884</v>
      </c>
      <c r="CN298" s="482">
        <f t="shared" si="25"/>
        <v>-9.5327141030652651E-2</v>
      </c>
      <c r="CO298" s="482">
        <f t="shared" si="25"/>
        <v>-0.11505948367496044</v>
      </c>
    </row>
    <row r="299" spans="1:95" ht="12.75" hidden="1" customHeight="1" outlineLevel="1">
      <c r="B299" s="562"/>
      <c r="D299" s="618"/>
      <c r="G299" s="618"/>
      <c r="I299" s="618"/>
      <c r="P299" s="587"/>
      <c r="R299" s="618"/>
      <c r="S299" s="563"/>
      <c r="T299" s="595"/>
      <c r="U299" s="416"/>
      <c r="X299" s="579"/>
      <c r="Z299" s="580"/>
      <c r="AB299" s="599"/>
      <c r="AC299" s="563"/>
      <c r="AG299" s="582"/>
      <c r="AI299" s="539"/>
      <c r="AJ299" s="563"/>
      <c r="AK299" s="595"/>
      <c r="AL299" s="416"/>
      <c r="AN299" s="579"/>
      <c r="AP299" s="583"/>
      <c r="AR299" s="583"/>
      <c r="AT299" s="599"/>
      <c r="AU299" s="563"/>
      <c r="BI299" s="539"/>
      <c r="BJ299" s="623"/>
      <c r="BK299" s="623"/>
      <c r="BL299" s="623"/>
      <c r="BM299" s="623"/>
      <c r="BO299" s="482"/>
      <c r="BP299" s="482"/>
      <c r="BQ299" s="623"/>
      <c r="BR299" s="623"/>
    </row>
    <row r="300" spans="1:95" ht="12.75" hidden="1" customHeight="1" outlineLevel="1">
      <c r="A300" s="593"/>
      <c r="B300" s="431">
        <f>+B123</f>
        <v>2010</v>
      </c>
      <c r="E300" s="563"/>
      <c r="F300" s="563"/>
      <c r="H300" s="563"/>
      <c r="J300" s="563"/>
      <c r="S300" s="563"/>
      <c r="T300" s="416"/>
      <c r="U300" s="416"/>
      <c r="AC300" s="563"/>
      <c r="AJ300" s="563"/>
      <c r="AK300" s="416"/>
      <c r="AL300" s="416"/>
      <c r="AU300" s="563"/>
      <c r="BI300" s="539"/>
      <c r="BJ300" s="623"/>
      <c r="BK300" s="623"/>
      <c r="BL300" s="623"/>
      <c r="BM300" s="623"/>
      <c r="BO300" s="482"/>
      <c r="BP300" s="482"/>
      <c r="BQ300" s="623"/>
      <c r="BR300" s="623"/>
    </row>
    <row r="301" spans="1:95" ht="12.75" hidden="1" customHeight="1" outlineLevel="1">
      <c r="A301" s="410" t="str">
        <f>$A$12</f>
        <v>1Q</v>
      </c>
      <c r="B301" s="562" t="str">
        <f>$B$12</f>
        <v>Apr</v>
      </c>
      <c r="D301" s="645">
        <f>(X301/X294-1)*100</f>
        <v>14.019969639866003</v>
      </c>
      <c r="E301" s="563" t="s">
        <v>208</v>
      </c>
      <c r="F301" s="563"/>
      <c r="G301" s="606">
        <v>6</v>
      </c>
      <c r="H301" s="563" t="s">
        <v>208</v>
      </c>
      <c r="I301" s="645">
        <f>D301-G301</f>
        <v>8.0199696398660034</v>
      </c>
      <c r="J301" s="563" t="s">
        <v>208</v>
      </c>
      <c r="K301" s="454">
        <v>157</v>
      </c>
      <c r="L301" s="454">
        <v>132</v>
      </c>
      <c r="M301" s="454">
        <v>7</v>
      </c>
      <c r="N301" s="454">
        <v>18</v>
      </c>
      <c r="P301" s="587">
        <f>AVERAGE(K301,K297)</f>
        <v>156</v>
      </c>
      <c r="R301" s="645">
        <f>(P301/P294-1)*100</f>
        <v>9.4736842105263221</v>
      </c>
      <c r="S301" s="563" t="s">
        <v>208</v>
      </c>
      <c r="T301" s="595">
        <f>I301/R301*100</f>
        <v>84.655235087474423</v>
      </c>
      <c r="U301" s="416" t="s">
        <v>208</v>
      </c>
      <c r="X301" s="579">
        <v>174.25899999999999</v>
      </c>
      <c r="Z301" s="580">
        <f>X301/P301</f>
        <v>1.1170448717948718</v>
      </c>
      <c r="AB301" s="599">
        <f>(Z301/Z294-1)*100</f>
        <v>4.1528568825698997</v>
      </c>
      <c r="AC301" s="563" t="s">
        <v>208</v>
      </c>
      <c r="AE301" s="581">
        <f>1.464915/0.75</f>
        <v>1.95322</v>
      </c>
      <c r="AG301" s="582">
        <f>AVERAGE(AE301,AE294)</f>
        <v>1.8807053333333332</v>
      </c>
      <c r="AI301" s="539">
        <f>(AG301/AG294-1)*100</f>
        <v>8.6705865856796507</v>
      </c>
      <c r="AJ301" s="563" t="s">
        <v>208</v>
      </c>
      <c r="AK301" s="595">
        <f>+I301/AI301*100</f>
        <v>92.496275316733389</v>
      </c>
      <c r="AL301" s="416" t="s">
        <v>208</v>
      </c>
      <c r="AN301" s="579">
        <f>+X301</f>
        <v>174.25899999999999</v>
      </c>
      <c r="AP301" s="583" t="e">
        <f>AL301/AE301</f>
        <v>#VALUE!</v>
      </c>
      <c r="AR301" s="583">
        <f>AN301/AG301</f>
        <v>92.656194945300655</v>
      </c>
      <c r="AT301" s="599">
        <f>(AR301/AR294-1)*100</f>
        <v>4.9225675707277761</v>
      </c>
      <c r="AU301" s="563" t="s">
        <v>208</v>
      </c>
      <c r="BH301" s="579">
        <f>BI301</f>
        <v>482.58000000000004</v>
      </c>
      <c r="BI301" s="579">
        <f>segSales!AR108</f>
        <v>482.58000000000004</v>
      </c>
      <c r="BJ301" s="623">
        <f>BH301*BO301</f>
        <v>151.04754000000003</v>
      </c>
      <c r="BK301" s="623">
        <f>BP301*BH301</f>
        <v>24.61158</v>
      </c>
      <c r="BL301" s="623">
        <f>BH301*BQ301</f>
        <v>180.00234</v>
      </c>
      <c r="BM301" s="623">
        <f>BH301*BR301</f>
        <v>3.8606400000000005</v>
      </c>
      <c r="BO301" s="482">
        <v>0.313</v>
      </c>
      <c r="BP301" s="482">
        <v>5.0999999999999997E-2</v>
      </c>
      <c r="BQ301" s="482">
        <v>0.373</v>
      </c>
      <c r="BR301" s="482">
        <v>8.0000000000000002E-3</v>
      </c>
      <c r="BT301" s="650">
        <f>BJ301</f>
        <v>151.04754000000003</v>
      </c>
      <c r="BU301" s="650">
        <f>BK301</f>
        <v>24.61158</v>
      </c>
      <c r="BV301" s="650">
        <f>BL301</f>
        <v>180.00234</v>
      </c>
      <c r="BW301" s="650">
        <f>BM301</f>
        <v>3.8606400000000005</v>
      </c>
      <c r="BY301" s="482">
        <f t="shared" ref="BY301:BZ305" si="26">BT301/$BI301</f>
        <v>0.313</v>
      </c>
      <c r="BZ301" s="482">
        <f t="shared" si="26"/>
        <v>5.0999999999999997E-2</v>
      </c>
      <c r="CA301" s="482">
        <f>BV301/BI301</f>
        <v>0.373</v>
      </c>
      <c r="CB301" s="482">
        <f>BW301/BI301</f>
        <v>8.0000000000000002E-3</v>
      </c>
      <c r="CD301" s="482">
        <f t="shared" ref="CD301:CE305" si="27">BT301/BT294-1</f>
        <v>0.14110252197661044</v>
      </c>
      <c r="CE301" s="482">
        <f t="shared" si="27"/>
        <v>0.20679381792498952</v>
      </c>
      <c r="CI301" s="651">
        <f>BT301/SUM(L301:M301)</f>
        <v>1.086672949640288</v>
      </c>
      <c r="CJ301" s="651">
        <f>BU301/N301</f>
        <v>1.36731</v>
      </c>
      <c r="CK301" s="651">
        <f>BV301/SUM(L478:M478)</f>
        <v>1.285731</v>
      </c>
      <c r="CL301" s="651">
        <f>BW301/N478</f>
        <v>1.9303200000000003</v>
      </c>
      <c r="CN301" s="482">
        <f t="shared" ref="CN301:CO305" si="28">CI301/CI294-1</f>
        <v>3.4380703374481403E-2</v>
      </c>
      <c r="CO301" s="482">
        <f t="shared" si="28"/>
        <v>0.13974971692915661</v>
      </c>
      <c r="CP301" s="482"/>
      <c r="CQ301" s="482"/>
    </row>
    <row r="302" spans="1:95" ht="12.75" hidden="1" customHeight="1" outlineLevel="1">
      <c r="A302" s="410" t="str">
        <f>$A$13</f>
        <v>2Q</v>
      </c>
      <c r="B302" s="562" t="str">
        <f>$B$13</f>
        <v>Jul</v>
      </c>
      <c r="D302" s="645">
        <f>(X302/X295-1)*100</f>
        <v>13.726029098751692</v>
      </c>
      <c r="G302" s="606">
        <v>7</v>
      </c>
      <c r="I302" s="645">
        <f>D302-G302</f>
        <v>6.7260290987516917</v>
      </c>
      <c r="K302" s="454">
        <v>160</v>
      </c>
      <c r="L302" s="454">
        <v>135</v>
      </c>
      <c r="M302" s="454">
        <v>7</v>
      </c>
      <c r="N302" s="454">
        <v>18</v>
      </c>
      <c r="O302" s="454"/>
      <c r="P302" s="587">
        <f>AVERAGE(K302,K301)</f>
        <v>158.5</v>
      </c>
      <c r="R302" s="645">
        <f>(P302/P295-1)*100</f>
        <v>8.9347079037800583</v>
      </c>
      <c r="S302" s="563"/>
      <c r="T302" s="595">
        <f>I302/R302*100</f>
        <v>75.279787220644025</v>
      </c>
      <c r="U302" s="416"/>
      <c r="X302" s="539">
        <v>201.43267999999998</v>
      </c>
      <c r="Z302" s="585">
        <f>X302/P302</f>
        <v>1.2708686435331229</v>
      </c>
      <c r="AB302" s="599">
        <f>(Z302/Z295-1)*100</f>
        <v>4.3983421695165115</v>
      </c>
      <c r="AC302" s="563"/>
      <c r="AE302" s="581">
        <f>1.489149/0.75</f>
        <v>1.9855320000000001</v>
      </c>
      <c r="AF302" s="454"/>
      <c r="AG302" s="582">
        <f>AVERAGE(AE302,AE301)</f>
        <v>1.969376</v>
      </c>
      <c r="AI302" s="539">
        <f>(AG302/AG295-1)*100</f>
        <v>7.1846249635347803</v>
      </c>
      <c r="AJ302" s="563"/>
      <c r="AK302" s="595">
        <f>+I302/AI302*100</f>
        <v>93.616982554960487</v>
      </c>
      <c r="AL302" s="416"/>
      <c r="AN302" s="584">
        <f>+X302</f>
        <v>201.43267999999998</v>
      </c>
      <c r="AP302" s="586">
        <f>AL302/AE302</f>
        <v>0</v>
      </c>
      <c r="AR302" s="586">
        <f>AN302/AG302</f>
        <v>102.28248947890091</v>
      </c>
      <c r="AT302" s="599">
        <f>(AR302/AR295-1)*100</f>
        <v>6.1029314021878944</v>
      </c>
      <c r="AU302" s="563"/>
      <c r="BH302" s="579">
        <f>SUM(BI301:BI302)</f>
        <v>1037.61536</v>
      </c>
      <c r="BI302" s="539">
        <f>segSales!AR109</f>
        <v>555.03535999999997</v>
      </c>
      <c r="BJ302" s="623">
        <f>BH302*BO302</f>
        <v>325.81122304000002</v>
      </c>
      <c r="BK302" s="623">
        <f>BP302*BH302</f>
        <v>51.880768000000003</v>
      </c>
      <c r="BL302" s="623">
        <f>BH302*BQ302</f>
        <v>382.88006783999998</v>
      </c>
      <c r="BM302" s="623">
        <f>BH302*BR302</f>
        <v>8.3009228799999999</v>
      </c>
      <c r="BO302" s="482">
        <v>0.314</v>
      </c>
      <c r="BP302" s="482">
        <v>0.05</v>
      </c>
      <c r="BQ302" s="482">
        <v>0.36899999999999999</v>
      </c>
      <c r="BR302" s="482">
        <v>8.0000000000000002E-3</v>
      </c>
      <c r="BT302" s="650">
        <f>BJ302-BT301</f>
        <v>174.76368303999999</v>
      </c>
      <c r="BU302" s="650">
        <f>BK302-BU301</f>
        <v>27.269188000000003</v>
      </c>
      <c r="BV302" s="650">
        <f>BL302-BV301</f>
        <v>202.87772783999998</v>
      </c>
      <c r="BW302" s="650">
        <f>BM302-BW301</f>
        <v>4.4402828799999998</v>
      </c>
      <c r="BY302" s="482">
        <f t="shared" si="26"/>
        <v>0.31486945811884848</v>
      </c>
      <c r="BZ302" s="482">
        <f t="shared" si="26"/>
        <v>4.9130541881151506E-2</v>
      </c>
      <c r="CA302" s="482">
        <f>BV302/BI302</f>
        <v>0.36552216752460598</v>
      </c>
      <c r="CB302" s="482">
        <f>BW302/BI302</f>
        <v>8.0000000000000002E-3</v>
      </c>
      <c r="CD302" s="482">
        <f t="shared" si="27"/>
        <v>0.13815315344944357</v>
      </c>
      <c r="CE302" s="482">
        <f t="shared" si="27"/>
        <v>0.16218341172657968</v>
      </c>
      <c r="CI302" s="651">
        <f>BT302/SUM(L302:M302)</f>
        <v>1.2307301622535209</v>
      </c>
      <c r="CJ302" s="651">
        <f>BU302/N302</f>
        <v>1.5149548888888891</v>
      </c>
      <c r="CK302" s="651">
        <f>BV302/SUM(L479:M479)</f>
        <v>1.4187253695104893</v>
      </c>
      <c r="CL302" s="651">
        <f>BW302/N479</f>
        <v>2.2201414399999999</v>
      </c>
      <c r="CN302" s="482">
        <f t="shared" si="28"/>
        <v>4.9986359872373987E-2</v>
      </c>
      <c r="CO302" s="482">
        <f t="shared" si="28"/>
        <v>9.7617666630658517E-2</v>
      </c>
      <c r="CP302" s="482"/>
      <c r="CQ302" s="482"/>
    </row>
    <row r="303" spans="1:95" ht="12.75" hidden="1" customHeight="1" outlineLevel="1">
      <c r="A303" s="410" t="str">
        <f>$A$14</f>
        <v>3Q</v>
      </c>
      <c r="B303" s="562" t="str">
        <f>$B$14</f>
        <v>Oct</v>
      </c>
      <c r="D303" s="645">
        <f>(X303/X296-1)*100</f>
        <v>8.7511353189470231</v>
      </c>
      <c r="G303" s="606">
        <v>1</v>
      </c>
      <c r="I303" s="645">
        <f>D303-G303</f>
        <v>7.7511353189470231</v>
      </c>
      <c r="K303" s="454">
        <v>166</v>
      </c>
      <c r="L303" s="454">
        <v>138</v>
      </c>
      <c r="M303" s="454">
        <v>9</v>
      </c>
      <c r="N303" s="454">
        <v>19</v>
      </c>
      <c r="O303" s="454"/>
      <c r="P303" s="587">
        <f>AVERAGE(K303,K302)</f>
        <v>163</v>
      </c>
      <c r="R303" s="645">
        <f>(P303/P296-1)*100</f>
        <v>9.0301003344481536</v>
      </c>
      <c r="S303" s="563"/>
      <c r="T303" s="595">
        <f>I303/R303*100</f>
        <v>85.83664668019118</v>
      </c>
      <c r="U303" s="416"/>
      <c r="X303" s="539">
        <v>220.02747200000002</v>
      </c>
      <c r="Z303" s="585">
        <f>X303/P303</f>
        <v>1.3498617914110431</v>
      </c>
      <c r="AB303" s="599">
        <f>(Z303/Z296-1)*100</f>
        <v>-0.25586055102709837</v>
      </c>
      <c r="AC303" s="563"/>
      <c r="AE303" s="581">
        <f>1.539058/0.75</f>
        <v>2.0520773333333335</v>
      </c>
      <c r="AF303" s="454"/>
      <c r="AG303" s="582">
        <f>AVERAGE(AE303,AE302)</f>
        <v>2.018804666666667</v>
      </c>
      <c r="AI303" s="539">
        <f>(AG303/AG296-1)*100</f>
        <v>7.4169375850222652</v>
      </c>
      <c r="AJ303" s="563"/>
      <c r="AK303" s="595">
        <f>+I303/AI303*100</f>
        <v>104.50587226997348</v>
      </c>
      <c r="AL303" s="416"/>
      <c r="AN303" s="584">
        <f>+X303</f>
        <v>220.02747200000002</v>
      </c>
      <c r="AP303" s="586">
        <f>AL303/AE303</f>
        <v>0</v>
      </c>
      <c r="AR303" s="586">
        <f>AN303/AG303</f>
        <v>108.98898523119455</v>
      </c>
      <c r="AT303" s="599">
        <f>(AR303/AR296-1)*100</f>
        <v>1.2420738888303529</v>
      </c>
      <c r="AU303" s="563"/>
      <c r="BH303" s="579">
        <f>SUM(BI301:BI303)</f>
        <v>1611.2073599999999</v>
      </c>
      <c r="BI303" s="539">
        <f>segSales!AR110</f>
        <v>573.59199999999998</v>
      </c>
      <c r="BJ303" s="623">
        <f>BH303*BO303</f>
        <v>517.19756255999994</v>
      </c>
      <c r="BK303" s="623">
        <f>BP303*BH303</f>
        <v>80.560367999999997</v>
      </c>
      <c r="BL303" s="623">
        <f>BH303*BQ303</f>
        <v>580.03464959999997</v>
      </c>
      <c r="BM303" s="623">
        <f>BH303*BR303</f>
        <v>12.889658879999999</v>
      </c>
      <c r="BO303" s="482">
        <v>0.32100000000000001</v>
      </c>
      <c r="BP303" s="482">
        <v>0.05</v>
      </c>
      <c r="BQ303" s="482">
        <v>0.36</v>
      </c>
      <c r="BR303" s="482">
        <v>8.0000000000000002E-3</v>
      </c>
      <c r="BT303" s="650">
        <f>BJ303-BT302-BT301</f>
        <v>191.38633951999992</v>
      </c>
      <c r="BU303" s="650">
        <f>BK303-BU302-BU301</f>
        <v>28.679599999999997</v>
      </c>
      <c r="BV303" s="650">
        <f>BL303-BV302-BV301</f>
        <v>197.15458175999999</v>
      </c>
      <c r="BW303" s="650">
        <f>BM303-BW302-BW301</f>
        <v>4.588735999999999</v>
      </c>
      <c r="BY303" s="482">
        <f t="shared" si="26"/>
        <v>0.33366284662268636</v>
      </c>
      <c r="BZ303" s="482">
        <f t="shared" si="26"/>
        <v>4.9999999999999996E-2</v>
      </c>
      <c r="CA303" s="482">
        <f>BV303/BI303</f>
        <v>0.34371919719940303</v>
      </c>
      <c r="CB303" s="482">
        <f>BW303/BI303</f>
        <v>7.9999999999999984E-3</v>
      </c>
      <c r="CD303" s="482">
        <f t="shared" si="27"/>
        <v>8.1905966412573195E-2</v>
      </c>
      <c r="CE303" s="482">
        <f t="shared" si="27"/>
        <v>0.14913854677143323</v>
      </c>
      <c r="CI303" s="651">
        <f>BT303/SUM(L303:M303)</f>
        <v>1.3019478878911559</v>
      </c>
      <c r="CJ303" s="651">
        <f>BU303/N303</f>
        <v>1.5094526315789472</v>
      </c>
      <c r="CK303" s="651">
        <f>BV303/SUM(L480:M480)</f>
        <v>1.3321255524324322</v>
      </c>
      <c r="CL303" s="651">
        <f>BW303/N480</f>
        <v>2.2943679999999995</v>
      </c>
      <c r="CN303" s="482">
        <f t="shared" si="28"/>
        <v>-1.3772792521872135E-2</v>
      </c>
      <c r="CO303" s="482">
        <f t="shared" si="28"/>
        <v>2.8176594479703443E-2</v>
      </c>
      <c r="CP303" s="482"/>
      <c r="CQ303" s="482"/>
    </row>
    <row r="304" spans="1:95" ht="12.75" hidden="1" customHeight="1" outlineLevel="1">
      <c r="A304" s="410" t="str">
        <f>$A$15</f>
        <v>4Q</v>
      </c>
      <c r="B304" s="562" t="str">
        <f>$B$15</f>
        <v>Jan</v>
      </c>
      <c r="D304" s="646">
        <f>(X304/X297-1)*100</f>
        <v>8.8277304286002334</v>
      </c>
      <c r="G304" s="609">
        <v>-2</v>
      </c>
      <c r="I304" s="646">
        <f>D304-G304</f>
        <v>10.827730428600233</v>
      </c>
      <c r="K304" s="410">
        <f>yrSales!$R$27</f>
        <v>176</v>
      </c>
      <c r="L304" s="454">
        <v>144</v>
      </c>
      <c r="M304" s="454">
        <v>10</v>
      </c>
      <c r="N304" s="454">
        <v>22</v>
      </c>
      <c r="O304" s="454"/>
      <c r="P304" s="588">
        <f>AVERAGE(K304,K303)</f>
        <v>171</v>
      </c>
      <c r="R304" s="646">
        <f>(P304/P297-1)*100</f>
        <v>11.764705882352944</v>
      </c>
      <c r="S304" s="563"/>
      <c r="T304" s="654">
        <f>I304/R304*100</f>
        <v>92.03570864310197</v>
      </c>
      <c r="U304" s="416"/>
      <c r="X304" s="596">
        <v>247.97268999999991</v>
      </c>
      <c r="Z304" s="590">
        <f>X304/P304</f>
        <v>1.450132690058479</v>
      </c>
      <c r="AB304" s="597">
        <f>(Z304/Z297-1)*100</f>
        <v>-2.6278201428313719</v>
      </c>
      <c r="AC304" s="563"/>
      <c r="AE304" s="581">
        <f>1.620715/0.75</f>
        <v>2.1609533333333331</v>
      </c>
      <c r="AF304" s="454"/>
      <c r="AG304" s="591">
        <f>AVERAGE(AE304,AE303)</f>
        <v>2.1065153333333333</v>
      </c>
      <c r="AI304" s="596">
        <f>(AG304/AG297-1)*100</f>
        <v>10.07310982009766</v>
      </c>
      <c r="AJ304" s="563"/>
      <c r="AK304" s="598">
        <f>+I304/AI304*100</f>
        <v>107.49143632879859</v>
      </c>
      <c r="AL304" s="416"/>
      <c r="AN304" s="589">
        <f>+X304</f>
        <v>247.97268999999991</v>
      </c>
      <c r="AP304" s="592">
        <f>AL304/AE304</f>
        <v>0</v>
      </c>
      <c r="AR304" s="592">
        <f>AN304/AG304</f>
        <v>117.71701163343059</v>
      </c>
      <c r="AT304" s="597">
        <f>(AR304/AR297-1)*100</f>
        <v>-1.13141110806525</v>
      </c>
      <c r="AU304" s="563"/>
      <c r="BH304" s="579">
        <f>SUM(BI301:BI304)</f>
        <v>2284.6068059999998</v>
      </c>
      <c r="BI304" s="539">
        <f>segSales!AR111</f>
        <v>673.3994459999999</v>
      </c>
      <c r="BJ304" s="623">
        <f>BH304*BO304</f>
        <v>726.5049643079999</v>
      </c>
      <c r="BK304" s="623">
        <f>BP304*BH304</f>
        <v>121.08416071799998</v>
      </c>
      <c r="BL304" s="623">
        <f>BH304*BQ304</f>
        <v>801.89698890599982</v>
      </c>
      <c r="BM304" s="623">
        <f>BH304*BR304</f>
        <v>18.276854447999998</v>
      </c>
      <c r="BO304" s="482">
        <v>0.318</v>
      </c>
      <c r="BP304" s="482">
        <v>5.2999999999999999E-2</v>
      </c>
      <c r="BQ304" s="482">
        <v>0.35099999999999998</v>
      </c>
      <c r="BR304" s="482">
        <v>8.0000000000000002E-3</v>
      </c>
      <c r="BT304" s="650">
        <f>BJ304-SUM(BT301:BT303)</f>
        <v>209.30740174799996</v>
      </c>
      <c r="BU304" s="650">
        <f>BK304-SUM(BU301:BU303)</f>
        <v>40.523792717999982</v>
      </c>
      <c r="BV304" s="650">
        <f>BL304-SUM(BV301:BV303)</f>
        <v>221.86233930599985</v>
      </c>
      <c r="BW304" s="650">
        <f>BM304-SUM(BW301:BW303)</f>
        <v>5.3871955679999992</v>
      </c>
      <c r="BY304" s="482">
        <f t="shared" si="26"/>
        <v>0.31082205812803709</v>
      </c>
      <c r="BZ304" s="482">
        <f t="shared" si="26"/>
        <v>6.0177941871962855E-2</v>
      </c>
      <c r="CA304" s="482">
        <f>BV304/BI304</f>
        <v>0.32946617438411124</v>
      </c>
      <c r="CB304" s="482">
        <f>BW304/BI304</f>
        <v>8.0000000000000002E-3</v>
      </c>
      <c r="CD304" s="482">
        <f t="shared" si="27"/>
        <v>0.10030790629907393</v>
      </c>
      <c r="CE304" s="482">
        <f t="shared" si="27"/>
        <v>7.3068538062152966E-2</v>
      </c>
      <c r="CI304" s="651">
        <f>BT304/SUM(L304:M304)</f>
        <v>1.3591389723896101</v>
      </c>
      <c r="CJ304" s="651">
        <f>BU304/N304</f>
        <v>1.8419905780909083</v>
      </c>
      <c r="CK304" s="651">
        <f>BV304/SUM(L481:M481)</f>
        <v>1.4692870152715223</v>
      </c>
      <c r="CL304" s="651">
        <f>BW304/N481</f>
        <v>2.6935977839999996</v>
      </c>
      <c r="CN304" s="482">
        <f t="shared" si="28"/>
        <v>-2.1154654785888738E-2</v>
      </c>
      <c r="CO304" s="482">
        <f t="shared" si="28"/>
        <v>-0.12203483249460212</v>
      </c>
      <c r="CP304" s="482"/>
      <c r="CQ304" s="482"/>
    </row>
    <row r="305" spans="1:95" ht="12.75" hidden="1" customHeight="1" outlineLevel="1">
      <c r="B305" s="562" t="str">
        <f>$B$16</f>
        <v>Year</v>
      </c>
      <c r="D305" s="618">
        <f>(X305/X298-1)*100</f>
        <v>10.992660758051542</v>
      </c>
      <c r="G305" s="601">
        <f>G301*X301/X305+G302*X302/X305+G303*X303/X305+G304*X304/X305</f>
        <v>2.5834845656834036</v>
      </c>
      <c r="I305" s="618">
        <f>D305-G305</f>
        <v>8.4091761923681396</v>
      </c>
      <c r="K305" s="410">
        <f>K304</f>
        <v>176</v>
      </c>
      <c r="L305" s="410">
        <f>L304</f>
        <v>144</v>
      </c>
      <c r="M305" s="410">
        <f>M304</f>
        <v>10</v>
      </c>
      <c r="N305" s="410">
        <f>N304</f>
        <v>22</v>
      </c>
      <c r="P305" s="587">
        <f>AVERAGE(P301:P304)</f>
        <v>162.125</v>
      </c>
      <c r="R305" s="618">
        <f>(P305/P298-1)*100</f>
        <v>9.8221845893310835</v>
      </c>
      <c r="S305" s="563"/>
      <c r="T305" s="595">
        <f>I305/R305*100</f>
        <v>85.614112786092804</v>
      </c>
      <c r="U305" s="416"/>
      <c r="X305" s="579">
        <f>SUM(X301:X304)</f>
        <v>843.69184199999995</v>
      </c>
      <c r="Z305" s="580">
        <f>SUM(Z301:Z304)</f>
        <v>5.1879079967975166</v>
      </c>
      <c r="AB305" s="599">
        <f>(Z305/Z298-1)*100</f>
        <v>1.081046370555927</v>
      </c>
      <c r="AC305" s="563"/>
      <c r="AG305" s="582">
        <f>AVERAGE(AG301:AG304)</f>
        <v>1.9938503333333333</v>
      </c>
      <c r="AI305" s="539">
        <f>(AG305/AG298-1)*100</f>
        <v>8.3442374000068043</v>
      </c>
      <c r="AJ305" s="563"/>
      <c r="AK305" s="595">
        <f>+I305/AI305*100</f>
        <v>100.77824718123772</v>
      </c>
      <c r="AL305" s="416"/>
      <c r="AN305" s="579">
        <f>SUM(AN301:AN304)</f>
        <v>843.69184199999995</v>
      </c>
      <c r="AP305" s="583" t="e">
        <f>SUM(AP301:AP304)</f>
        <v>#VALUE!</v>
      </c>
      <c r="AR305" s="583">
        <f>SUM(AR301:AR304)</f>
        <v>421.64468128882675</v>
      </c>
      <c r="AT305" s="599">
        <f>(AR305/AR298-1)*100</f>
        <v>2.4841186922632374</v>
      </c>
      <c r="AU305" s="563"/>
      <c r="BH305" s="579">
        <f>BH304</f>
        <v>2284.6068059999998</v>
      </c>
      <c r="BI305" s="579">
        <f>segSales!AR112</f>
        <v>2284.6068059999998</v>
      </c>
      <c r="BJ305" s="623">
        <f>BH305*BO305</f>
        <v>726.5049643079999</v>
      </c>
      <c r="BK305" s="623">
        <f>BP305*BH305</f>
        <v>121.08416071799998</v>
      </c>
      <c r="BL305" s="623">
        <f>BH305*BQ305</f>
        <v>801.89698890599982</v>
      </c>
      <c r="BM305" s="623">
        <f>BH305*BR305</f>
        <v>18.276854447999998</v>
      </c>
      <c r="BO305" s="482">
        <v>0.318</v>
      </c>
      <c r="BP305" s="482">
        <v>5.2999999999999999E-2</v>
      </c>
      <c r="BQ305" s="482">
        <v>0.35099999999999998</v>
      </c>
      <c r="BR305" s="482">
        <v>8.0000000000000002E-3</v>
      </c>
      <c r="BT305" s="650">
        <f>SUM(BT301:BT304)</f>
        <v>726.5049643079999</v>
      </c>
      <c r="BU305" s="650">
        <f>SUM(BU301:BU304)</f>
        <v>121.08416071799998</v>
      </c>
      <c r="BV305" s="650">
        <f>SUM(BV301:BV304)</f>
        <v>801.89698890599982</v>
      </c>
      <c r="BW305" s="650">
        <f>SUM(BW301:BW304)</f>
        <v>18.276854447999998</v>
      </c>
      <c r="BY305" s="482">
        <f t="shared" si="26"/>
        <v>0.318</v>
      </c>
      <c r="BZ305" s="482">
        <f t="shared" si="26"/>
        <v>5.2999999999999999E-2</v>
      </c>
      <c r="CA305" s="482">
        <f>BV305/BI305</f>
        <v>0.35099999999999998</v>
      </c>
      <c r="CB305" s="482">
        <f>BW305/BI305</f>
        <v>8.0000000000000002E-3</v>
      </c>
      <c r="CD305" s="482">
        <f t="shared" si="27"/>
        <v>0.11249065624563781</v>
      </c>
      <c r="CE305" s="482">
        <f t="shared" si="27"/>
        <v>0.13608894289327278</v>
      </c>
      <c r="CI305" s="651">
        <f>BT305/SUM(L305:M305)</f>
        <v>4.7175647032987005</v>
      </c>
      <c r="CJ305" s="651">
        <f>BU305/N305</f>
        <v>5.5038254871818175</v>
      </c>
      <c r="CK305" s="651">
        <f>BV305/SUM(L482:M482)</f>
        <v>5.3105760854701973</v>
      </c>
      <c r="CL305" s="651">
        <f>BW305/N482</f>
        <v>9.1384272239999991</v>
      </c>
      <c r="CN305" s="482">
        <f t="shared" si="28"/>
        <v>-1.0316753859400007E-2</v>
      </c>
      <c r="CO305" s="482">
        <f t="shared" si="28"/>
        <v>-7.0472683087322352E-2</v>
      </c>
      <c r="CP305" s="482"/>
      <c r="CQ305" s="482"/>
    </row>
    <row r="306" spans="1:95" ht="12.75" hidden="1" customHeight="1" outlineLevel="1">
      <c r="A306" s="574" t="s">
        <v>719</v>
      </c>
      <c r="B306" s="671"/>
      <c r="C306" s="557"/>
      <c r="D306" s="557"/>
      <c r="E306" s="558"/>
      <c r="F306" s="672"/>
      <c r="G306" s="660"/>
      <c r="H306" s="557"/>
      <c r="I306" s="557"/>
      <c r="J306" s="558"/>
      <c r="K306" s="557"/>
      <c r="L306" s="557"/>
      <c r="M306" s="557"/>
      <c r="N306" s="557"/>
      <c r="O306" s="557"/>
      <c r="P306" s="557"/>
      <c r="Q306" s="558"/>
      <c r="R306" s="557"/>
      <c r="S306" s="558"/>
      <c r="T306" s="557"/>
      <c r="U306" s="557"/>
      <c r="V306" s="558"/>
      <c r="W306" s="558"/>
      <c r="X306" s="482"/>
      <c r="Y306" s="557"/>
      <c r="Z306" s="482"/>
      <c r="AA306" s="558"/>
      <c r="AB306" s="557"/>
      <c r="AC306" s="423"/>
      <c r="AD306" s="557"/>
      <c r="AE306" s="557"/>
      <c r="AF306" s="557"/>
      <c r="AG306" s="557"/>
      <c r="AH306" s="558"/>
      <c r="AI306" s="557"/>
      <c r="AJ306" s="558"/>
      <c r="AK306" s="557"/>
      <c r="AL306" s="557"/>
      <c r="AM306" s="558"/>
      <c r="AN306" s="557"/>
      <c r="AO306" s="557"/>
      <c r="AP306" s="558"/>
      <c r="AQ306" s="557"/>
      <c r="AR306" s="558"/>
      <c r="AS306" s="558"/>
      <c r="AT306" s="557"/>
      <c r="AU306" s="423"/>
      <c r="BJ306" s="623"/>
      <c r="BK306" s="623"/>
      <c r="BL306" s="623"/>
      <c r="BM306" s="623"/>
    </row>
    <row r="307" spans="1:95" ht="12.75" hidden="1" customHeight="1" outlineLevel="1">
      <c r="A307" s="593"/>
      <c r="B307" s="431">
        <f>B300+1</f>
        <v>2011</v>
      </c>
      <c r="E307" s="563"/>
      <c r="F307" s="563"/>
      <c r="H307" s="563"/>
      <c r="J307" s="563"/>
      <c r="S307" s="563"/>
      <c r="T307" s="416"/>
      <c r="U307" s="416"/>
      <c r="X307" s="584"/>
      <c r="Z307" s="619" t="s">
        <v>639</v>
      </c>
      <c r="AA307" s="620"/>
      <c r="AB307" s="621"/>
      <c r="AC307" s="622"/>
      <c r="AJ307" s="563"/>
      <c r="AK307" s="416"/>
      <c r="AL307" s="416"/>
      <c r="AN307" s="619" t="s">
        <v>639</v>
      </c>
      <c r="AP307" s="619"/>
      <c r="AR307" s="619"/>
      <c r="AU307" s="563"/>
      <c r="BI307" s="539"/>
      <c r="BJ307" s="623"/>
      <c r="BK307" s="623"/>
      <c r="BL307" s="623"/>
      <c r="BM307" s="623"/>
      <c r="BO307" s="482"/>
      <c r="BP307" s="482"/>
      <c r="BQ307" s="482"/>
      <c r="BR307" s="482"/>
    </row>
    <row r="308" spans="1:95" ht="12.75" hidden="1" customHeight="1" outlineLevel="1">
      <c r="A308" s="410" t="str">
        <f>$A$12</f>
        <v>1Q</v>
      </c>
      <c r="B308" s="562" t="str">
        <f>$B$12</f>
        <v>Apr</v>
      </c>
      <c r="D308" s="645">
        <f>(X308/X301-1)*100</f>
        <v>10.060859984276282</v>
      </c>
      <c r="E308" s="563" t="s">
        <v>208</v>
      </c>
      <c r="F308" s="656">
        <f>segSales!G227</f>
        <v>0</v>
      </c>
      <c r="G308" s="657">
        <v>-3</v>
      </c>
      <c r="H308" s="563" t="s">
        <v>208</v>
      </c>
      <c r="I308" s="645">
        <f>D308-F308</f>
        <v>10.060859984276282</v>
      </c>
      <c r="J308" s="563" t="s">
        <v>208</v>
      </c>
      <c r="K308" s="454">
        <v>178</v>
      </c>
      <c r="L308" s="454">
        <v>146</v>
      </c>
      <c r="M308" s="454">
        <v>10</v>
      </c>
      <c r="N308" s="454">
        <v>22</v>
      </c>
      <c r="P308" s="587">
        <f>AVERAGE(K308,K304)</f>
        <v>177</v>
      </c>
      <c r="R308" s="645">
        <f>(P308/P301-1)*100</f>
        <v>13.461538461538458</v>
      </c>
      <c r="S308" s="563" t="s">
        <v>208</v>
      </c>
      <c r="T308" s="595">
        <f>I308/R308*100</f>
        <v>74.737817026052397</v>
      </c>
      <c r="U308" s="416" t="s">
        <v>208</v>
      </c>
      <c r="W308" s="647">
        <v>235.328</v>
      </c>
      <c r="X308" s="602">
        <v>191.790954</v>
      </c>
      <c r="Z308" s="580">
        <f>X308/P308</f>
        <v>1.0835647118644067</v>
      </c>
      <c r="AB308" s="599">
        <f>(Z308/Z301-1)*100</f>
        <v>-2.9972081494514136</v>
      </c>
      <c r="AC308" s="563" t="s">
        <v>208</v>
      </c>
      <c r="AE308" s="581">
        <f>1.635512/0.75</f>
        <v>2.1806826666666668</v>
      </c>
      <c r="AG308" s="582">
        <f>AVERAGE(AE308,AE301)</f>
        <v>2.0669513333333334</v>
      </c>
      <c r="AI308" s="539">
        <f>(AG308/AG301-1)*100</f>
        <v>9.9029867517789416</v>
      </c>
      <c r="AJ308" s="563" t="s">
        <v>208</v>
      </c>
      <c r="AK308" s="595">
        <f>+I308/AI308*100</f>
        <v>101.5941981591461</v>
      </c>
      <c r="AL308" s="416" t="s">
        <v>208</v>
      </c>
      <c r="AN308" s="579">
        <f>+X308</f>
        <v>191.790954</v>
      </c>
      <c r="AP308" s="583">
        <f>W308/AG308</f>
        <v>113.8527048048543</v>
      </c>
      <c r="AR308" s="583">
        <f>AN308/AG308</f>
        <v>92.789293539244753</v>
      </c>
      <c r="AT308" s="599">
        <f>(AR308/AR301-1)*100</f>
        <v>0.14364780900260055</v>
      </c>
      <c r="AU308" s="563" t="s">
        <v>208</v>
      </c>
      <c r="AV308" s="579">
        <f>W308-X308</f>
        <v>43.537046000000004</v>
      </c>
      <c r="AW308" s="458"/>
      <c r="BH308" s="579">
        <f>BI308</f>
        <v>524.01900000000001</v>
      </c>
      <c r="BI308" s="579">
        <f>segSales!AR116</f>
        <v>524.01900000000001</v>
      </c>
      <c r="BJ308" s="623">
        <f>BH308*BO308</f>
        <v>164.01794699999999</v>
      </c>
      <c r="BK308" s="623">
        <f>BP308*BH308</f>
        <v>27.773007</v>
      </c>
      <c r="BL308" s="623">
        <f>BH308*BQ308</f>
        <v>179.73851700000003</v>
      </c>
      <c r="BM308" s="623">
        <f>BH308*BR308</f>
        <v>4.1921520000000001</v>
      </c>
      <c r="BO308" s="482">
        <v>0.313</v>
      </c>
      <c r="BP308" s="482">
        <v>5.2999999999999999E-2</v>
      </c>
      <c r="BQ308" s="482">
        <v>0.34300000000000003</v>
      </c>
      <c r="BR308" s="482">
        <v>8.0000000000000002E-3</v>
      </c>
      <c r="BT308" s="650">
        <f>BJ308</f>
        <v>164.01794699999999</v>
      </c>
      <c r="BU308" s="650">
        <f>BK308</f>
        <v>27.773007</v>
      </c>
      <c r="BV308" s="650">
        <f>BL308</f>
        <v>179.73851700000003</v>
      </c>
      <c r="BW308" s="650">
        <f>BM308</f>
        <v>4.1921520000000001</v>
      </c>
      <c r="BY308" s="482">
        <f t="shared" ref="BY308:BZ312" si="29">BT308/$BI308</f>
        <v>0.313</v>
      </c>
      <c r="BZ308" s="482">
        <f t="shared" si="29"/>
        <v>5.2999999999999999E-2</v>
      </c>
      <c r="CA308" s="482">
        <f>BV308/BI308</f>
        <v>0.34300000000000003</v>
      </c>
      <c r="CB308" s="482">
        <f>BW308/BI308</f>
        <v>8.0000000000000002E-3</v>
      </c>
      <c r="CD308" s="482">
        <f t="shared" ref="CD308:CG312" si="30">BT308/BT301-1</f>
        <v>8.586970036056174E-2</v>
      </c>
      <c r="CE308" s="482">
        <f t="shared" si="30"/>
        <v>0.12845282586489781</v>
      </c>
      <c r="CF308" s="482">
        <f t="shared" si="30"/>
        <v>-1.4656642796975206E-3</v>
      </c>
      <c r="CG308" s="482">
        <f t="shared" si="30"/>
        <v>8.5869700360561962E-2</v>
      </c>
      <c r="CI308" s="651">
        <f>BT308/SUM(L308:M308)</f>
        <v>1.0513970961538461</v>
      </c>
      <c r="CJ308" s="651">
        <f>BU308/N308</f>
        <v>1.262409409090909</v>
      </c>
      <c r="CK308" s="651">
        <f>BV308/SUM(L485:M485)</f>
        <v>1.1671332272727275</v>
      </c>
      <c r="CL308" s="651">
        <f>BW308/N485</f>
        <v>2.0960760000000001</v>
      </c>
      <c r="CN308" s="482">
        <f>CI308/CI301-1</f>
        <v>-3.2462254165909754E-2</v>
      </c>
      <c r="CO308" s="482">
        <f>CJ308/CJ301-1</f>
        <v>-7.6720415201447345E-2</v>
      </c>
      <c r="CP308" s="482">
        <f>CK308/CK301-1</f>
        <v>-9.224151298154315E-2</v>
      </c>
      <c r="CQ308" s="482">
        <f>CL308/CL301-1</f>
        <v>8.5869700360561962E-2</v>
      </c>
    </row>
    <row r="309" spans="1:95" ht="12.75" hidden="1" customHeight="1" outlineLevel="1">
      <c r="A309" s="410" t="str">
        <f>$A$13</f>
        <v>2Q</v>
      </c>
      <c r="B309" s="562" t="str">
        <f>$B$13</f>
        <v>Jul</v>
      </c>
      <c r="D309" s="645">
        <f>(X309/X302-1)*100</f>
        <v>10.687226124380622</v>
      </c>
      <c r="F309" s="656">
        <f>segSales!G228</f>
        <v>0</v>
      </c>
      <c r="G309" s="657">
        <v>-2</v>
      </c>
      <c r="I309" s="645">
        <f>D309-F309</f>
        <v>10.687226124380622</v>
      </c>
      <c r="K309" s="454">
        <v>180</v>
      </c>
      <c r="L309" s="454">
        <v>148</v>
      </c>
      <c r="M309" s="454">
        <v>10</v>
      </c>
      <c r="N309" s="454">
        <v>22</v>
      </c>
      <c r="O309" s="454"/>
      <c r="P309" s="587">
        <f>AVERAGE(K309,K308)</f>
        <v>179</v>
      </c>
      <c r="R309" s="645">
        <f>(P309/P302-1)*100</f>
        <v>12.933753943217674</v>
      </c>
      <c r="S309" s="563"/>
      <c r="T309" s="595">
        <f>I309/R309*100</f>
        <v>82.630504425089143</v>
      </c>
      <c r="U309" s="416"/>
      <c r="W309" s="647">
        <v>272.173</v>
      </c>
      <c r="X309" s="647">
        <v>222.96024599999998</v>
      </c>
      <c r="Z309" s="585">
        <f>X309/P309</f>
        <v>1.2455879664804468</v>
      </c>
      <c r="AB309" s="599">
        <f>(Z309/Z302-1)*100</f>
        <v>-1.9892439066238721</v>
      </c>
      <c r="AC309" s="563"/>
      <c r="AE309" s="581">
        <f>1.661135/0.75</f>
        <v>2.2148466666666669</v>
      </c>
      <c r="AF309" s="454"/>
      <c r="AG309" s="582">
        <f>AVERAGE(AE309,AE308)</f>
        <v>2.197764666666667</v>
      </c>
      <c r="AI309" s="539">
        <f>(AG309/AG302-1)*100</f>
        <v>11.597006699922563</v>
      </c>
      <c r="AJ309" s="563"/>
      <c r="AK309" s="595">
        <f>+I309/AI309*100</f>
        <v>92.155039665985399</v>
      </c>
      <c r="AL309" s="416"/>
      <c r="AN309" s="584">
        <f>+X309</f>
        <v>222.96024599999998</v>
      </c>
      <c r="AP309" s="586">
        <f>W309/AG309</f>
        <v>123.84082978857001</v>
      </c>
      <c r="AR309" s="586">
        <f>AN309/AG309</f>
        <v>101.44864433468307</v>
      </c>
      <c r="AT309" s="599">
        <f>(AR309/AR302-1)*100</f>
        <v>-0.81523743552395223</v>
      </c>
      <c r="AU309" s="563"/>
      <c r="AV309" s="579">
        <f>W309-X309</f>
        <v>49.212754000000018</v>
      </c>
      <c r="AW309" s="458"/>
      <c r="BH309" s="579">
        <f>SUM(BI308:BI309)</f>
        <v>1133.2</v>
      </c>
      <c r="BI309" s="539">
        <f>segSales!AR117</f>
        <v>609.18100000000004</v>
      </c>
      <c r="BJ309" s="623">
        <f>BH309*BO309</f>
        <v>353.55840000000001</v>
      </c>
      <c r="BK309" s="623">
        <f>BP309*BH309</f>
        <v>61.192799999999998</v>
      </c>
      <c r="BL309" s="623">
        <f>BH309*BQ309</f>
        <v>395.48680000000002</v>
      </c>
      <c r="BM309" s="623">
        <f>BH309*BR309</f>
        <v>9.0655999999999999</v>
      </c>
      <c r="BO309" s="482">
        <v>0.312</v>
      </c>
      <c r="BP309" s="482">
        <v>5.3999999999999999E-2</v>
      </c>
      <c r="BQ309" s="482">
        <v>0.34899999999999998</v>
      </c>
      <c r="BR309" s="482">
        <v>8.0000000000000002E-3</v>
      </c>
      <c r="BT309" s="650">
        <f>BJ309-BT308</f>
        <v>189.54045300000001</v>
      </c>
      <c r="BU309" s="650">
        <f>BK309-BU308</f>
        <v>33.419792999999999</v>
      </c>
      <c r="BV309" s="650">
        <f>BL309-BV308</f>
        <v>215.74828299999999</v>
      </c>
      <c r="BW309" s="650">
        <f>BM309-BW308</f>
        <v>4.8734479999999998</v>
      </c>
      <c r="BY309" s="482">
        <f t="shared" si="29"/>
        <v>0.31113979753143978</v>
      </c>
      <c r="BZ309" s="482">
        <f t="shared" si="29"/>
        <v>5.4860202468560243E-2</v>
      </c>
      <c r="CA309" s="482">
        <f>BV309/BI309</f>
        <v>0.35416121481136142</v>
      </c>
      <c r="CB309" s="482">
        <f>BW309/BI309</f>
        <v>7.9999999999999984E-3</v>
      </c>
      <c r="CD309" s="482">
        <f t="shared" si="30"/>
        <v>8.4552864204732403E-2</v>
      </c>
      <c r="CE309" s="482">
        <f t="shared" si="30"/>
        <v>0.22555145389734355</v>
      </c>
      <c r="CF309" s="482">
        <f t="shared" si="30"/>
        <v>6.3439961089027941E-2</v>
      </c>
      <c r="CG309" s="482">
        <f t="shared" si="30"/>
        <v>9.7553496411471929E-2</v>
      </c>
      <c r="CI309" s="651">
        <f>BT309/SUM(L309:M309)</f>
        <v>1.1996231202531646</v>
      </c>
      <c r="CJ309" s="651">
        <f>BU309/N309</f>
        <v>1.5190815</v>
      </c>
      <c r="CK309" s="651">
        <f>BV309/SUM(L486:M486)</f>
        <v>1.3741928853503185</v>
      </c>
      <c r="CL309" s="651">
        <f>BW309/N486</f>
        <v>1.6244826666666665</v>
      </c>
      <c r="CN309" s="482">
        <f t="shared" ref="CN309:CO312" si="31">CI309/CI302-1</f>
        <v>-2.527527394258211E-2</v>
      </c>
      <c r="CO309" s="482">
        <f t="shared" si="31"/>
        <v>2.7239168250992041E-3</v>
      </c>
      <c r="CP309" s="482">
        <f t="shared" ref="CP309:CQ312" si="32">CK309/CK302-1</f>
        <v>-3.1389080027190985E-2</v>
      </c>
      <c r="CQ309" s="482">
        <f t="shared" si="32"/>
        <v>-0.26829766905901875</v>
      </c>
    </row>
    <row r="310" spans="1:95" ht="12.75" hidden="1" customHeight="1" outlineLevel="1">
      <c r="A310" s="410" t="str">
        <f>$A$14</f>
        <v>3Q</v>
      </c>
      <c r="B310" s="562" t="str">
        <f>$B$14</f>
        <v>Oct</v>
      </c>
      <c r="D310" s="645">
        <f>(X310/X303-1)*100</f>
        <v>7.7992760831247399</v>
      </c>
      <c r="F310" s="656">
        <f>segSales!G229</f>
        <v>0</v>
      </c>
      <c r="G310" s="657">
        <v>-4</v>
      </c>
      <c r="I310" s="645">
        <f>D310-F310</f>
        <v>7.7992760831247399</v>
      </c>
      <c r="K310" s="454">
        <f>+K309+7</f>
        <v>187</v>
      </c>
      <c r="L310" s="454">
        <v>153</v>
      </c>
      <c r="M310" s="454">
        <v>10</v>
      </c>
      <c r="N310" s="454">
        <v>24</v>
      </c>
      <c r="O310" s="454"/>
      <c r="P310" s="587">
        <f>AVERAGE(K310,K309)</f>
        <v>183.5</v>
      </c>
      <c r="R310" s="645">
        <f>(P310/P303-1)*100</f>
        <v>12.576687116564411</v>
      </c>
      <c r="S310" s="563"/>
      <c r="T310" s="595">
        <f>I310/R310*100</f>
        <v>62.013756173138205</v>
      </c>
      <c r="U310" s="416"/>
      <c r="W310" s="647">
        <v>291.02300000000002</v>
      </c>
      <c r="X310" s="647">
        <v>237.18802199999999</v>
      </c>
      <c r="Z310" s="585">
        <f>X310/P310</f>
        <v>1.2925777765667574</v>
      </c>
      <c r="AB310" s="599">
        <f>(Z310/Z303-1)*100</f>
        <v>-4.2436948144450648</v>
      </c>
      <c r="AC310" s="563"/>
      <c r="AE310" s="581">
        <f>1.704388/0.75</f>
        <v>2.2725173333333335</v>
      </c>
      <c r="AF310" s="454"/>
      <c r="AG310" s="582">
        <f>AVERAGE(AE310,AE309)</f>
        <v>2.2436820000000002</v>
      </c>
      <c r="AI310" s="539">
        <f>(AG310/AG303-1)*100</f>
        <v>11.139132826784959</v>
      </c>
      <c r="AJ310" s="563"/>
      <c r="AK310" s="595">
        <f>+I310/AI310*100</f>
        <v>70.016905304968986</v>
      </c>
      <c r="AL310" s="416"/>
      <c r="AN310" s="584">
        <f>+X310</f>
        <v>237.18802199999999</v>
      </c>
      <c r="AP310" s="586">
        <f>W310/AG310</f>
        <v>129.70777498772108</v>
      </c>
      <c r="AR310" s="586">
        <f>AN310/AG310</f>
        <v>105.71374285660801</v>
      </c>
      <c r="AT310" s="599">
        <f>(AR310/AR303-1)*100</f>
        <v>-3.0051131934469177</v>
      </c>
      <c r="AU310" s="563"/>
      <c r="AV310" s="579">
        <f>W310-X310</f>
        <v>53.834978000000035</v>
      </c>
      <c r="AW310" s="458"/>
      <c r="BH310" s="579">
        <f>SUM(BI308:BI310)</f>
        <v>1743.1530000000002</v>
      </c>
      <c r="BI310" s="539">
        <f>segSales!AR118</f>
        <v>609.95300000000009</v>
      </c>
      <c r="BJ310" s="623">
        <f>BH310*BO310</f>
        <v>556.06580700000006</v>
      </c>
      <c r="BK310" s="623">
        <f>BP310*BH310</f>
        <v>95.873415000000008</v>
      </c>
      <c r="BL310" s="623">
        <f>BH310*BQ310</f>
        <v>582.21310200000016</v>
      </c>
      <c r="BM310" s="623">
        <f>BH310*BR310</f>
        <v>13.945224000000001</v>
      </c>
      <c r="BO310" s="482">
        <v>0.31900000000000001</v>
      </c>
      <c r="BP310" s="482">
        <v>5.5E-2</v>
      </c>
      <c r="BQ310" s="482">
        <v>0.33400000000000002</v>
      </c>
      <c r="BR310" s="482">
        <v>8.0000000000000002E-3</v>
      </c>
      <c r="BT310" s="650">
        <f>BJ310-BT309-BT308</f>
        <v>202.50740700000006</v>
      </c>
      <c r="BU310" s="650">
        <f>BK310-BU309-BU308</f>
        <v>34.68061500000001</v>
      </c>
      <c r="BV310" s="650">
        <f>BL310-BV309-BV308</f>
        <v>186.72630200000012</v>
      </c>
      <c r="BW310" s="650">
        <f>BM310-BW309-BW308</f>
        <v>4.8796240000000015</v>
      </c>
      <c r="BY310" s="482">
        <f t="shared" si="29"/>
        <v>0.33200493644592294</v>
      </c>
      <c r="BZ310" s="482">
        <f t="shared" si="29"/>
        <v>5.6857848063703274E-2</v>
      </c>
      <c r="CA310" s="482">
        <f>BV310/BI310</f>
        <v>0.30613227904445112</v>
      </c>
      <c r="CB310" s="482">
        <f>BW310/BI310</f>
        <v>8.0000000000000019E-3</v>
      </c>
      <c r="CD310" s="482">
        <f t="shared" si="30"/>
        <v>5.8107948079742622E-2</v>
      </c>
      <c r="CE310" s="482">
        <f t="shared" si="30"/>
        <v>0.20924332975355342</v>
      </c>
      <c r="CF310" s="482">
        <f t="shared" si="30"/>
        <v>-5.289392550204286E-2</v>
      </c>
      <c r="CG310" s="482">
        <f t="shared" si="30"/>
        <v>6.3391748838896422E-2</v>
      </c>
      <c r="CI310" s="651">
        <f>BT310/SUM(L310:M310)</f>
        <v>1.24237673006135</v>
      </c>
      <c r="CJ310" s="651">
        <f>BU310/N310</f>
        <v>1.4450256250000004</v>
      </c>
      <c r="CK310" s="651">
        <f>BV310/SUM(L487:M487)</f>
        <v>1.1597906956521746</v>
      </c>
      <c r="CL310" s="651">
        <f>BW310/N487</f>
        <v>1.6265413333333338</v>
      </c>
      <c r="CN310" s="482">
        <f t="shared" si="31"/>
        <v>-4.57554087869807E-2</v>
      </c>
      <c r="CO310" s="482">
        <f t="shared" si="31"/>
        <v>-4.2682363945103385E-2</v>
      </c>
      <c r="CP310" s="482">
        <f t="shared" si="32"/>
        <v>-0.12936832903293383</v>
      </c>
      <c r="CQ310" s="482">
        <f t="shared" si="32"/>
        <v>-0.29107216744073572</v>
      </c>
    </row>
    <row r="311" spans="1:95" ht="12.75" hidden="1" customHeight="1" outlineLevel="1">
      <c r="A311" s="410" t="str">
        <f>$A$15</f>
        <v>4Q</v>
      </c>
      <c r="B311" s="562" t="str">
        <f>$B$15</f>
        <v>Jan</v>
      </c>
      <c r="D311" s="646">
        <f>(X311/X304-1)*100</f>
        <v>9.2009571699206649</v>
      </c>
      <c r="F311" s="658">
        <f>segSales!G230</f>
        <v>0</v>
      </c>
      <c r="G311" s="659">
        <v>0</v>
      </c>
      <c r="I311" s="646">
        <f>D311-F311</f>
        <v>9.2009571699206649</v>
      </c>
      <c r="K311" s="410">
        <f>yrSales!$S$27</f>
        <v>197</v>
      </c>
      <c r="L311" s="454">
        <v>157</v>
      </c>
      <c r="M311" s="454">
        <v>10</v>
      </c>
      <c r="N311" s="454">
        <v>30</v>
      </c>
      <c r="O311" s="454"/>
      <c r="P311" s="588">
        <f>AVERAGE(K311,K310)</f>
        <v>192</v>
      </c>
      <c r="R311" s="646">
        <f>(P311/P304-1)*100</f>
        <v>12.280701754385959</v>
      </c>
      <c r="S311" s="563"/>
      <c r="T311" s="598">
        <f>I311/R311*100</f>
        <v>74.922079812211166</v>
      </c>
      <c r="U311" s="416"/>
      <c r="W311" s="649">
        <v>356.76900000000001</v>
      </c>
      <c r="X311" s="649">
        <v>270.78855100000004</v>
      </c>
      <c r="Z311" s="590">
        <f>X311/P311</f>
        <v>1.4103570364583335</v>
      </c>
      <c r="AB311" s="597">
        <f>(Z311/Z304-1)*100</f>
        <v>-2.7428975205394113</v>
      </c>
      <c r="AC311" s="563"/>
      <c r="AE311" s="581">
        <f>1.769899/0.75</f>
        <v>2.3598653333333335</v>
      </c>
      <c r="AF311" s="454"/>
      <c r="AG311" s="591">
        <f>AVERAGE(AE311,AE310)</f>
        <v>2.3161913333333333</v>
      </c>
      <c r="AI311" s="596">
        <f>(AG311/AG304-1)*100</f>
        <v>9.9536897112545653</v>
      </c>
      <c r="AJ311" s="563"/>
      <c r="AK311" s="598">
        <f>+I311/AI311*100</f>
        <v>92.437653139992989</v>
      </c>
      <c r="AL311" s="416"/>
      <c r="AN311" s="589">
        <f>+X311</f>
        <v>270.78855100000004</v>
      </c>
      <c r="AP311" s="592">
        <f>W311/AG311</f>
        <v>154.03261158332631</v>
      </c>
      <c r="AR311" s="592">
        <f>AN311/AG311</f>
        <v>116.91113212581462</v>
      </c>
      <c r="AT311" s="597">
        <f>(AR311/AR304-1)*100</f>
        <v>-0.68459052471147031</v>
      </c>
      <c r="AU311" s="563"/>
      <c r="AV311" s="626">
        <f>W311-X311</f>
        <v>85.980448999999965</v>
      </c>
      <c r="AW311" s="625"/>
      <c r="BH311" s="579">
        <f>SUM(BI308:BI311)</f>
        <v>2473.8010000000004</v>
      </c>
      <c r="BI311" s="539">
        <f>segSales!AR119</f>
        <v>730.64799999999991</v>
      </c>
      <c r="BJ311" s="623">
        <f>BH311*BO311</f>
        <v>776.77351400000009</v>
      </c>
      <c r="BK311" s="623">
        <f>BP311*BH311</f>
        <v>145.95425900000001</v>
      </c>
      <c r="BL311" s="623">
        <f>BH311*BQ311</f>
        <v>811.40672800000016</v>
      </c>
      <c r="BM311" s="623">
        <f>BH311*BR311</f>
        <v>22.264209000000001</v>
      </c>
      <c r="BO311" s="482">
        <v>0.314</v>
      </c>
      <c r="BP311" s="482">
        <v>5.8999999999999997E-2</v>
      </c>
      <c r="BQ311" s="482">
        <v>0.32800000000000001</v>
      </c>
      <c r="BR311" s="482">
        <v>8.9999999999999993E-3</v>
      </c>
      <c r="BT311" s="650">
        <f>BJ311-SUM(BT308:BT310)</f>
        <v>220.70770700000003</v>
      </c>
      <c r="BU311" s="650">
        <f>BK311-SUM(BU308:BU310)</f>
        <v>50.080843999999999</v>
      </c>
      <c r="BV311" s="650">
        <f>BL311-SUM(BV308:BV310)</f>
        <v>229.19362599999999</v>
      </c>
      <c r="BW311" s="650">
        <f>BM311-SUM(BW308:BW310)</f>
        <v>8.3189849999999996</v>
      </c>
      <c r="BY311" s="482">
        <f t="shared" si="29"/>
        <v>0.30207118475654493</v>
      </c>
      <c r="BZ311" s="482">
        <f t="shared" si="29"/>
        <v>6.8543052194764101E-2</v>
      </c>
      <c r="CA311" s="482">
        <f>BV311/BI311</f>
        <v>0.31368542170785391</v>
      </c>
      <c r="CB311" s="482">
        <f>BW311/BI311</f>
        <v>1.1385763048691025E-2</v>
      </c>
      <c r="CD311" s="482">
        <f t="shared" si="30"/>
        <v>5.446680412060001E-2</v>
      </c>
      <c r="CE311" s="482">
        <f t="shared" si="30"/>
        <v>0.23583802603340565</v>
      </c>
      <c r="CF311" s="482">
        <f t="shared" si="30"/>
        <v>3.3044304485983833E-2</v>
      </c>
      <c r="CG311" s="482">
        <f t="shared" si="30"/>
        <v>0.54421440524915443</v>
      </c>
      <c r="CI311" s="651">
        <f>BT311/SUM(L311:M311)</f>
        <v>1.3216030359281439</v>
      </c>
      <c r="CJ311" s="651">
        <f>BU311/N311</f>
        <v>1.6693614666666667</v>
      </c>
      <c r="CK311" s="651">
        <f>BV311/SUM(L488:M488)</f>
        <v>1.3890522787878787</v>
      </c>
      <c r="CL311" s="651">
        <f>BW311/N488</f>
        <v>2.7729949999999999</v>
      </c>
      <c r="CN311" s="482">
        <f t="shared" si="31"/>
        <v>-2.7617438116332771E-2</v>
      </c>
      <c r="CO311" s="482">
        <f t="shared" si="31"/>
        <v>-9.3718780908835786E-2</v>
      </c>
      <c r="CP311" s="482">
        <f t="shared" si="32"/>
        <v>-5.4607939531008731E-2</v>
      </c>
      <c r="CQ311" s="482">
        <f t="shared" si="32"/>
        <v>2.947627016610288E-2</v>
      </c>
    </row>
    <row r="312" spans="1:95" ht="12.75" hidden="1" customHeight="1" outlineLevel="1">
      <c r="B312" s="562" t="str">
        <f>$B$16</f>
        <v>Year</v>
      </c>
      <c r="D312" s="618">
        <f>(X312/X305-1)*100</f>
        <v>9.3678671601994843</v>
      </c>
      <c r="F312" s="656">
        <f>segSales!G231</f>
        <v>0</v>
      </c>
      <c r="G312" s="660">
        <f>G308*X308/X312+G309*X309/X312+G310*X310/X312+G311*X311/X312</f>
        <v>-2.1350234594055073</v>
      </c>
      <c r="I312" s="618">
        <f>D312-F312</f>
        <v>9.3678671601994843</v>
      </c>
      <c r="K312" s="410">
        <f>K311</f>
        <v>197</v>
      </c>
      <c r="L312" s="410">
        <f>L311</f>
        <v>157</v>
      </c>
      <c r="M312" s="410">
        <f>M311</f>
        <v>10</v>
      </c>
      <c r="N312" s="410">
        <f>N311</f>
        <v>30</v>
      </c>
      <c r="P312" s="587">
        <f>AVERAGE(P308:P311)</f>
        <v>182.875</v>
      </c>
      <c r="R312" s="618">
        <f>(P312/P305-1)*100</f>
        <v>12.798766383963001</v>
      </c>
      <c r="S312" s="563"/>
      <c r="T312" s="595">
        <f>I312/R312*100</f>
        <v>73.193516305895926</v>
      </c>
      <c r="U312" s="416"/>
      <c r="W312" s="579">
        <f>SUM(W308:W311)</f>
        <v>1155.2930000000001</v>
      </c>
      <c r="X312" s="579">
        <f>SUM(X308:X311)</f>
        <v>922.72777300000007</v>
      </c>
      <c r="Z312" s="580">
        <f>SUM(Z308:Z311)</f>
        <v>5.0320874913699445</v>
      </c>
      <c r="AB312" s="599">
        <f>(Z312/Z305-1)*100</f>
        <v>-3.0035325515363698</v>
      </c>
      <c r="AC312" s="563"/>
      <c r="AG312" s="582">
        <f>AVERAGE(AG308:AG311)</f>
        <v>2.206147333333333</v>
      </c>
      <c r="AI312" s="539">
        <f>(AG312/AG305-1)*100</f>
        <v>10.647589563308912</v>
      </c>
      <c r="AJ312" s="563"/>
      <c r="AK312" s="595">
        <f>+I312/AI312*100</f>
        <v>87.981106939740698</v>
      </c>
      <c r="AL312" s="416"/>
      <c r="AN312" s="579">
        <f>SUM(AN308:AN311)</f>
        <v>922.72777300000007</v>
      </c>
      <c r="AP312" s="583">
        <f>SUM(AP308:AP311)</f>
        <v>521.43392116447171</v>
      </c>
      <c r="AR312" s="583">
        <f>SUM(AR308:AR311)</f>
        <v>416.86281285635044</v>
      </c>
      <c r="AT312" s="599">
        <f>(AR312/AR305-1)*100</f>
        <v>-1.1340990755201119</v>
      </c>
      <c r="AU312" s="563"/>
      <c r="AV312" s="579">
        <f>SUM(AV308:AV311)</f>
        <v>232.56522700000002</v>
      </c>
      <c r="AW312" s="458"/>
      <c r="BH312" s="579">
        <f>BH311</f>
        <v>2473.8010000000004</v>
      </c>
      <c r="BI312" s="579">
        <f>segSales!AR120</f>
        <v>2473.8010000000004</v>
      </c>
      <c r="BJ312" s="623">
        <f>BH312*BO312</f>
        <v>776.77351400000009</v>
      </c>
      <c r="BK312" s="623">
        <f>BP312*BH312</f>
        <v>145.95425900000001</v>
      </c>
      <c r="BL312" s="623">
        <f>BH312*BQ312</f>
        <v>811.40672800000016</v>
      </c>
      <c r="BM312" s="623">
        <f>BH312*BR312</f>
        <v>22.264209000000001</v>
      </c>
      <c r="BO312" s="482">
        <v>0.314</v>
      </c>
      <c r="BP312" s="482">
        <v>5.8999999999999997E-2</v>
      </c>
      <c r="BQ312" s="482">
        <v>0.32800000000000001</v>
      </c>
      <c r="BR312" s="482">
        <v>8.9999999999999993E-3</v>
      </c>
      <c r="BT312" s="650">
        <f>SUM(BT308:BT311)</f>
        <v>776.77351400000009</v>
      </c>
      <c r="BU312" s="650">
        <f>SUM(BU308:BU311)</f>
        <v>145.95425900000001</v>
      </c>
      <c r="BV312" s="650">
        <f>SUM(BV308:BV311)</f>
        <v>811.40672800000016</v>
      </c>
      <c r="BW312" s="650">
        <f>SUM(BW308:BW311)</f>
        <v>22.264209000000001</v>
      </c>
      <c r="BY312" s="482">
        <f t="shared" si="29"/>
        <v>0.314</v>
      </c>
      <c r="BZ312" s="482">
        <f t="shared" si="29"/>
        <v>5.8999999999999997E-2</v>
      </c>
      <c r="CA312" s="482">
        <f>BV312/BI312</f>
        <v>0.32800000000000001</v>
      </c>
      <c r="CB312" s="482">
        <f>BW312/BI312</f>
        <v>8.9999999999999993E-3</v>
      </c>
      <c r="CD312" s="482">
        <f t="shared" si="30"/>
        <v>6.9192300344267155E-2</v>
      </c>
      <c r="CE312" s="482">
        <f t="shared" si="30"/>
        <v>0.20539514115245394</v>
      </c>
      <c r="CF312" s="482">
        <f t="shared" si="30"/>
        <v>1.1859053251932261E-2</v>
      </c>
      <c r="CG312" s="482">
        <f t="shared" si="30"/>
        <v>0.21816415747822138</v>
      </c>
      <c r="CI312" s="651">
        <f>BT312/SUM(L312:M312)</f>
        <v>4.6513384071856292</v>
      </c>
      <c r="CJ312" s="651">
        <f>BU312/N312</f>
        <v>4.8651419666666671</v>
      </c>
      <c r="CK312" s="651">
        <f>BV312/SUM(L489:M489)</f>
        <v>4.9176165333333346</v>
      </c>
      <c r="CL312" s="651">
        <f>BW312/N489</f>
        <v>7.4214030000000006</v>
      </c>
      <c r="CN312" s="482">
        <f t="shared" si="31"/>
        <v>-1.4038238005885439E-2</v>
      </c>
      <c r="CO312" s="482">
        <f t="shared" si="31"/>
        <v>-0.11604356315486708</v>
      </c>
      <c r="CP312" s="482">
        <f t="shared" si="32"/>
        <v>-7.3995654296716507E-2</v>
      </c>
      <c r="CQ312" s="482">
        <f t="shared" si="32"/>
        <v>-0.18789056168118567</v>
      </c>
    </row>
    <row r="313" spans="1:95" ht="12.75" customHeight="1" collapsed="1">
      <c r="B313" s="562"/>
      <c r="D313" s="618"/>
      <c r="F313" s="656"/>
      <c r="G313" s="661"/>
      <c r="I313" s="618"/>
      <c r="P313" s="587"/>
      <c r="R313" s="618"/>
      <c r="S313" s="563"/>
      <c r="T313" s="595"/>
      <c r="U313" s="416"/>
      <c r="W313" s="539"/>
      <c r="X313" s="655"/>
      <c r="Z313" s="580"/>
      <c r="AB313" s="599"/>
      <c r="AC313" s="563"/>
      <c r="AG313" s="582"/>
      <c r="AI313" s="539"/>
      <c r="AJ313" s="563"/>
      <c r="AK313" s="595"/>
      <c r="AL313" s="416"/>
      <c r="AN313" s="579"/>
      <c r="AP313" s="583"/>
      <c r="AR313" s="583"/>
      <c r="AT313" s="599"/>
      <c r="AU313" s="563"/>
      <c r="AW313" s="602"/>
      <c r="BI313" s="539"/>
      <c r="BJ313" s="623"/>
      <c r="BK313" s="623"/>
      <c r="BL313" s="623"/>
      <c r="BM313" s="623"/>
      <c r="BO313" s="482"/>
      <c r="BP313" s="482"/>
      <c r="BQ313" s="482"/>
      <c r="BR313" s="482"/>
    </row>
    <row r="314" spans="1:95" ht="12.75" customHeight="1">
      <c r="A314" s="593"/>
      <c r="B314" s="431">
        <f>+B137</f>
        <v>2012</v>
      </c>
      <c r="E314" s="563"/>
      <c r="F314" s="656"/>
      <c r="G314" s="563"/>
      <c r="H314" s="563"/>
      <c r="J314" s="563"/>
      <c r="S314" s="563"/>
      <c r="T314" s="416"/>
      <c r="U314" s="416"/>
      <c r="W314" s="539"/>
      <c r="AC314" s="563"/>
      <c r="AJ314" s="563"/>
      <c r="AK314" s="416"/>
      <c r="AL314" s="416"/>
      <c r="AU314" s="563"/>
      <c r="AW314" s="602"/>
      <c r="BI314" s="539"/>
      <c r="BJ314" s="623"/>
      <c r="BK314" s="623"/>
      <c r="BL314" s="623"/>
      <c r="BM314" s="623"/>
      <c r="BO314" s="482"/>
      <c r="BP314" s="482"/>
      <c r="BQ314" s="482"/>
      <c r="BR314" s="482"/>
    </row>
    <row r="315" spans="1:95" ht="12.75" customHeight="1">
      <c r="A315" s="410" t="str">
        <f>$A$12</f>
        <v>1Q</v>
      </c>
      <c r="B315" s="562" t="str">
        <f>$B$12</f>
        <v>Apr</v>
      </c>
      <c r="D315" s="645">
        <f>(W315/W308-1)*100</f>
        <v>13.199449279303765</v>
      </c>
      <c r="E315" s="563" t="s">
        <v>208</v>
      </c>
      <c r="F315" s="656">
        <f>segSales!G234</f>
        <v>0</v>
      </c>
      <c r="G315" s="657">
        <v>2</v>
      </c>
      <c r="H315" s="563" t="s">
        <v>208</v>
      </c>
      <c r="I315" s="645">
        <f>D315-F315</f>
        <v>13.199449279303765</v>
      </c>
      <c r="J315" s="563" t="s">
        <v>208</v>
      </c>
      <c r="K315" s="454">
        <v>201</v>
      </c>
      <c r="L315" s="454">
        <v>158</v>
      </c>
      <c r="M315" s="454">
        <v>11</v>
      </c>
      <c r="N315" s="454">
        <v>32</v>
      </c>
      <c r="P315" s="587">
        <f>AVERAGE(K315,K311)</f>
        <v>199</v>
      </c>
      <c r="R315" s="645">
        <f>(P315/P308-1)*100</f>
        <v>12.429378531073443</v>
      </c>
      <c r="S315" s="563" t="s">
        <v>208</v>
      </c>
      <c r="T315" s="595">
        <f>I315/R315*100</f>
        <v>106.19556920167123</v>
      </c>
      <c r="U315" s="416" t="s">
        <v>208</v>
      </c>
      <c r="W315" s="647">
        <v>266.39</v>
      </c>
      <c r="X315" s="602">
        <v>213.91767999999999</v>
      </c>
      <c r="Z315" s="580">
        <f>W315/P315</f>
        <v>1.338643216080402</v>
      </c>
      <c r="AB315" s="599">
        <f>(Z315/Z308-1)*100</f>
        <v>23.540680258689981</v>
      </c>
      <c r="AC315" s="563" t="s">
        <v>208</v>
      </c>
      <c r="AE315" s="581">
        <f>1.812146/0.75</f>
        <v>2.4161946666666667</v>
      </c>
      <c r="AG315" s="582">
        <f>AVERAGE(AE315,AE308)</f>
        <v>2.2984386666666667</v>
      </c>
      <c r="AI315" s="539">
        <f>(AG315/AG308-1)*100</f>
        <v>11.199457365066179</v>
      </c>
      <c r="AJ315" s="563" t="s">
        <v>208</v>
      </c>
      <c r="AK315" s="595">
        <f>+I315/AI315*100</f>
        <v>117.85793587175077</v>
      </c>
      <c r="AL315" s="416" t="s">
        <v>208</v>
      </c>
      <c r="AN315" s="579">
        <f>W315</f>
        <v>266.39</v>
      </c>
      <c r="AP315" s="583">
        <f>W315/AG315</f>
        <v>115.90041703672463</v>
      </c>
      <c r="AR315" s="583">
        <f>AN315/AG315</f>
        <v>115.90041703672463</v>
      </c>
      <c r="AT315" s="599">
        <f>(AP315/AP308-1)*100</f>
        <v>1.7985626563551182</v>
      </c>
      <c r="AU315" s="563" t="s">
        <v>208</v>
      </c>
      <c r="AV315" s="579">
        <f>W315-X315</f>
        <v>52.472319999999996</v>
      </c>
      <c r="AW315" s="458">
        <f>AV315/AV308-1</f>
        <v>0.20523381397993767</v>
      </c>
      <c r="BH315" s="579">
        <f>BI315</f>
        <v>568.92999999999995</v>
      </c>
      <c r="BI315" s="579">
        <f>segSales!AR123</f>
        <v>568.92999999999995</v>
      </c>
      <c r="BJ315" s="623">
        <f>BH315*BO315</f>
        <v>179.78187999999997</v>
      </c>
      <c r="BK315" s="623">
        <f>BP315*BH315</f>
        <v>34.135799999999996</v>
      </c>
      <c r="BL315" s="623">
        <f>BH315*BQ315</f>
        <v>182.05759999999998</v>
      </c>
      <c r="BM315" s="623">
        <f>BH315*BR315</f>
        <v>4.5514399999999995</v>
      </c>
      <c r="BO315" s="482">
        <v>0.316</v>
      </c>
      <c r="BP315" s="482">
        <v>0.06</v>
      </c>
      <c r="BQ315" s="482">
        <v>0.32</v>
      </c>
      <c r="BR315" s="482">
        <v>8.0000000000000002E-3</v>
      </c>
      <c r="BT315" s="650">
        <f>BJ315</f>
        <v>179.78187999999997</v>
      </c>
      <c r="BU315" s="650">
        <f>BK315</f>
        <v>34.135799999999996</v>
      </c>
      <c r="BV315" s="650">
        <f>BL315</f>
        <v>182.05759999999998</v>
      </c>
      <c r="BW315" s="650">
        <f>BM315</f>
        <v>4.5514399999999995</v>
      </c>
      <c r="BY315" s="482">
        <f t="shared" ref="BY315:BZ319" si="33">BT315/$BI315</f>
        <v>0.316</v>
      </c>
      <c r="BZ315" s="482">
        <f t="shared" si="33"/>
        <v>0.06</v>
      </c>
      <c r="CA315" s="482">
        <f>BV315/BI315</f>
        <v>0.32</v>
      </c>
      <c r="CB315" s="482">
        <f>BW315/BI315</f>
        <v>8.0000000000000002E-3</v>
      </c>
      <c r="CD315" s="482">
        <f t="shared" ref="CD315:CG319" si="34">BT315/BT308-1</f>
        <v>9.6111024972163506E-2</v>
      </c>
      <c r="CE315" s="482">
        <f t="shared" si="34"/>
        <v>0.22909989544884346</v>
      </c>
      <c r="CF315" s="482">
        <f t="shared" si="34"/>
        <v>1.2902537745985487E-2</v>
      </c>
      <c r="CG315" s="482">
        <f t="shared" si="34"/>
        <v>8.5704907646478423E-2</v>
      </c>
      <c r="CI315" s="651">
        <f>BT315/SUM(L315:M315)</f>
        <v>1.0637981065088755</v>
      </c>
      <c r="CJ315" s="651">
        <f>BU315/N315</f>
        <v>1.0667437499999999</v>
      </c>
      <c r="CK315" s="651">
        <f>BV315/SUM(L492:M492)</f>
        <v>1.0901652694610777</v>
      </c>
      <c r="CL315" s="651">
        <f>BW315/N492</f>
        <v>1.5171466666666664</v>
      </c>
      <c r="CN315" s="482">
        <f t="shared" ref="CN315:CQ319" si="35">CI315/CI308-1</f>
        <v>1.179479228199698E-2</v>
      </c>
      <c r="CO315" s="482">
        <f t="shared" si="35"/>
        <v>-0.15499382187892008</v>
      </c>
      <c r="CP315" s="482">
        <f t="shared" si="35"/>
        <v>-6.5946162797115182E-2</v>
      </c>
      <c r="CQ315" s="482">
        <f t="shared" si="35"/>
        <v>-0.2761967282356812</v>
      </c>
    </row>
    <row r="316" spans="1:95" ht="12.75" customHeight="1">
      <c r="A316" s="410" t="str">
        <f>$A$13</f>
        <v>2Q</v>
      </c>
      <c r="B316" s="562" t="str">
        <f>$B$13</f>
        <v>Jul</v>
      </c>
      <c r="D316" s="645">
        <f>(W316/W309-1)*100</f>
        <v>14.142108144452227</v>
      </c>
      <c r="F316" s="656">
        <f>segSales!G235</f>
        <v>0</v>
      </c>
      <c r="G316" s="657">
        <v>1.5</v>
      </c>
      <c r="I316" s="645">
        <f>D316-F316</f>
        <v>14.142108144452227</v>
      </c>
      <c r="K316" s="454">
        <v>207</v>
      </c>
      <c r="L316" s="454">
        <v>161</v>
      </c>
      <c r="M316" s="454">
        <v>12</v>
      </c>
      <c r="N316" s="454">
        <v>34</v>
      </c>
      <c r="O316" s="454"/>
      <c r="P316" s="587">
        <f>AVERAGE(K316,K315)</f>
        <v>204</v>
      </c>
      <c r="R316" s="645">
        <f>(P316/P309-1)*100</f>
        <v>13.966480446927365</v>
      </c>
      <c r="S316" s="563"/>
      <c r="T316" s="595">
        <f>I316/R316*100</f>
        <v>101.25749431427802</v>
      </c>
      <c r="U316" s="416"/>
      <c r="W316" s="647">
        <v>310.66399999999999</v>
      </c>
      <c r="X316" s="602">
        <v>254.27714399999999</v>
      </c>
      <c r="Z316" s="585">
        <f t="shared" ref="Z316:Z319" si="36">W316/P316</f>
        <v>1.5228627450980392</v>
      </c>
      <c r="AB316" s="599">
        <f>(Z316/Z309-1)*100</f>
        <v>22.260553736807886</v>
      </c>
      <c r="AC316" s="563"/>
      <c r="AE316" s="581">
        <v>2.4897946666666666</v>
      </c>
      <c r="AF316" s="454"/>
      <c r="AG316" s="582">
        <f>AVERAGE(AE316,AE315)</f>
        <v>2.4529946666666667</v>
      </c>
      <c r="AI316" s="539">
        <f>(AG316/AG309-1)*100</f>
        <v>11.613163314118836</v>
      </c>
      <c r="AJ316" s="563"/>
      <c r="AK316" s="595">
        <f>+I316/AI316*100</f>
        <v>121.77653720979535</v>
      </c>
      <c r="AL316" s="416"/>
      <c r="AN316" s="584">
        <f t="shared" ref="AN316:AN319" si="37">W316</f>
        <v>310.66399999999999</v>
      </c>
      <c r="AP316" s="586">
        <f>W316/AG316</f>
        <v>126.64683059509301</v>
      </c>
      <c r="AR316" s="586">
        <f>AN316/AG316</f>
        <v>126.64683059509301</v>
      </c>
      <c r="AT316" s="599">
        <f t="shared" ref="AT316:AT319" si="38">(AP316/AP309-1)*100</f>
        <v>2.2658123425962184</v>
      </c>
      <c r="AU316" s="563"/>
      <c r="AV316" s="579">
        <f>W316-X316</f>
        <v>56.386855999999995</v>
      </c>
      <c r="AW316" s="458">
        <f>AV316/AV309-1</f>
        <v>0.14577729179716248</v>
      </c>
      <c r="BH316" s="579">
        <f>SUM(BI315:BI316)</f>
        <v>1245.1990000000001</v>
      </c>
      <c r="BI316" s="539">
        <f>segSales!AR124</f>
        <v>676.26900000000001</v>
      </c>
      <c r="BJ316" s="623">
        <f>BH316*BO316</f>
        <v>386.01169000000004</v>
      </c>
      <c r="BK316" s="623">
        <f>BP316*BH316</f>
        <v>78.447537000000011</v>
      </c>
      <c r="BL316" s="623">
        <f>BH316*BQ316</f>
        <v>398.46368000000001</v>
      </c>
      <c r="BM316" s="623">
        <f>BH316*BR316</f>
        <v>9.9615920000000013</v>
      </c>
      <c r="BO316" s="482">
        <v>0.31</v>
      </c>
      <c r="BP316" s="482">
        <v>6.3E-2</v>
      </c>
      <c r="BQ316" s="482">
        <v>0.32</v>
      </c>
      <c r="BR316" s="482">
        <v>8.0000000000000002E-3</v>
      </c>
      <c r="BT316" s="650">
        <f>BJ316-BT315</f>
        <v>206.22981000000007</v>
      </c>
      <c r="BU316" s="650">
        <f>BK316-BU315</f>
        <v>44.311737000000015</v>
      </c>
      <c r="BV316" s="650">
        <f>BL316-BV315</f>
        <v>216.40608000000003</v>
      </c>
      <c r="BW316" s="650">
        <f>BM316-BW315</f>
        <v>5.4101520000000018</v>
      </c>
      <c r="BY316" s="482">
        <f t="shared" si="33"/>
        <v>0.30495233405641847</v>
      </c>
      <c r="BZ316" s="482">
        <f t="shared" si="33"/>
        <v>6.5523832971790832E-2</v>
      </c>
      <c r="CA316" s="482">
        <f>BV316/BI316</f>
        <v>0.32000000000000006</v>
      </c>
      <c r="CB316" s="482">
        <f>BW316/BI316</f>
        <v>8.0000000000000019E-3</v>
      </c>
      <c r="CD316" s="482">
        <f t="shared" si="34"/>
        <v>8.8051688891975344E-2</v>
      </c>
      <c r="CE316" s="482">
        <f t="shared" si="34"/>
        <v>0.32591297019703314</v>
      </c>
      <c r="CF316" s="482">
        <f t="shared" si="34"/>
        <v>3.0489095479848682E-3</v>
      </c>
      <c r="CG316" s="482">
        <f t="shared" si="34"/>
        <v>0.11012818850226824</v>
      </c>
      <c r="CI316" s="651">
        <f>BT316/SUM(L316:M316)</f>
        <v>1.1920798265895958</v>
      </c>
      <c r="CJ316" s="651">
        <f>BU316/N316</f>
        <v>1.3032863823529417</v>
      </c>
      <c r="CK316" s="651">
        <f>BV316/SUM(L493:M493)</f>
        <v>1.2729769411764709</v>
      </c>
      <c r="CL316" s="651">
        <f>BW316/N493</f>
        <v>1.8033840000000005</v>
      </c>
      <c r="CN316" s="482">
        <f t="shared" si="35"/>
        <v>-6.2880529194676571E-3</v>
      </c>
      <c r="CO316" s="482">
        <f t="shared" si="35"/>
        <v>-0.14205631340191971</v>
      </c>
      <c r="CP316" s="482">
        <f t="shared" si="35"/>
        <v>-7.3654830593919862E-2</v>
      </c>
      <c r="CQ316" s="482">
        <f t="shared" si="35"/>
        <v>0.11012818850226824</v>
      </c>
    </row>
    <row r="317" spans="1:95" ht="12.75" customHeight="1">
      <c r="A317" s="410" t="str">
        <f>$A$14</f>
        <v>3Q</v>
      </c>
      <c r="B317" s="562" t="str">
        <f>$B$14</f>
        <v>Oct</v>
      </c>
      <c r="D317" s="645">
        <f>(W317/W310-1)*100</f>
        <v>14.027070025393185</v>
      </c>
      <c r="F317" s="656">
        <f>segSales!G236</f>
        <v>0</v>
      </c>
      <c r="G317" s="662">
        <v>-0.1</v>
      </c>
      <c r="I317" s="645">
        <f>D317-F317</f>
        <v>14.027070025393185</v>
      </c>
      <c r="K317" s="454">
        <v>209</v>
      </c>
      <c r="L317" s="454">
        <v>163</v>
      </c>
      <c r="M317" s="454">
        <v>12</v>
      </c>
      <c r="N317" s="454">
        <v>34</v>
      </c>
      <c r="O317" s="454"/>
      <c r="P317" s="587">
        <f>AVERAGE(K317,K316)</f>
        <v>208</v>
      </c>
      <c r="R317" s="645">
        <f>(P317/P310-1)*100</f>
        <v>13.351498637602187</v>
      </c>
      <c r="S317" s="563"/>
      <c r="T317" s="595">
        <f>I317/R317*100</f>
        <v>105.05989182284277</v>
      </c>
      <c r="U317" s="416"/>
      <c r="W317" s="647">
        <v>331.84500000000003</v>
      </c>
      <c r="X317" s="539">
        <f>+X310*(1+(G317+(R317*T317/100))/100)</f>
        <v>270.22136391578499</v>
      </c>
      <c r="Z317" s="585">
        <f t="shared" si="36"/>
        <v>1.595408653846154</v>
      </c>
      <c r="AB317" s="599">
        <f>(Z317/Z310-1)*100</f>
        <v>23.428445295087165</v>
      </c>
      <c r="AC317" s="563"/>
      <c r="AE317" s="600">
        <f>AE310*1.09</f>
        <v>2.4770438933333336</v>
      </c>
      <c r="AF317" s="454"/>
      <c r="AG317" s="582">
        <f>AVERAGE(AE317,AE316)</f>
        <v>2.4834192800000001</v>
      </c>
      <c r="AI317" s="539">
        <f>(AG317/AG310-1)*100</f>
        <v>10.684993684488253</v>
      </c>
      <c r="AJ317" s="563"/>
      <c r="AK317" s="595">
        <f>+I317/AI317*100</f>
        <v>131.2782247663537</v>
      </c>
      <c r="AL317" s="416"/>
      <c r="AN317" s="584">
        <f t="shared" si="37"/>
        <v>331.84500000000003</v>
      </c>
      <c r="AP317" s="586">
        <f>W317/AG317</f>
        <v>133.62423440636252</v>
      </c>
      <c r="AR317" s="586">
        <f>AN317/AG317</f>
        <v>133.62423440636252</v>
      </c>
      <c r="AT317" s="599">
        <f t="shared" si="38"/>
        <v>3.0194484632954266</v>
      </c>
      <c r="AU317" s="563"/>
      <c r="AV317" s="579">
        <f>W317-X317</f>
        <v>61.623636084215036</v>
      </c>
      <c r="AW317" s="458">
        <f>AV317/AV310-1</f>
        <v>0.14467653509981915</v>
      </c>
      <c r="BH317" s="579">
        <f>SUM(BI315:BI317)</f>
        <v>1938.0930000000001</v>
      </c>
      <c r="BI317" s="539">
        <f>segSales!AR125</f>
        <v>692.89400000000001</v>
      </c>
      <c r="BJ317" s="623">
        <f>BH317*BO317</f>
        <v>596.93264399999998</v>
      </c>
      <c r="BK317" s="623">
        <f>BP317*BH317</f>
        <v>124.037952</v>
      </c>
      <c r="BL317" s="623">
        <f>BH317*BQ317</f>
        <v>591.11836500000004</v>
      </c>
      <c r="BM317" s="623">
        <f>BH317*BR317</f>
        <v>15.504744000000001</v>
      </c>
      <c r="BO317" s="482">
        <v>0.308</v>
      </c>
      <c r="BP317" s="482">
        <v>6.4000000000000001E-2</v>
      </c>
      <c r="BQ317" s="482">
        <v>0.30499999999999999</v>
      </c>
      <c r="BR317" s="482">
        <v>8.0000000000000002E-3</v>
      </c>
      <c r="BT317" s="650">
        <f>BJ317-BT316-BT315</f>
        <v>210.92095399999997</v>
      </c>
      <c r="BU317" s="650">
        <f>BK317-BU316-BU315</f>
        <v>45.590415</v>
      </c>
      <c r="BV317" s="650">
        <f>BL317-BV316-BV315</f>
        <v>192.65468500000003</v>
      </c>
      <c r="BW317" s="650">
        <f>BM317-BW316-BW315</f>
        <v>5.5431519999999992</v>
      </c>
      <c r="BY317" s="482">
        <f t="shared" si="33"/>
        <v>0.30440580233051517</v>
      </c>
      <c r="BZ317" s="482">
        <f t="shared" si="33"/>
        <v>6.5797098834742399E-2</v>
      </c>
      <c r="CA317" s="482">
        <f>BV317/BI317</f>
        <v>0.27804351747886408</v>
      </c>
      <c r="CB317" s="482">
        <f>BW317/BI317</f>
        <v>7.9999999999999984E-3</v>
      </c>
      <c r="CD317" s="482">
        <f t="shared" si="34"/>
        <v>4.1546860555080389E-2</v>
      </c>
      <c r="CE317" s="482">
        <f t="shared" si="34"/>
        <v>0.3145791964761866</v>
      </c>
      <c r="CF317" s="482">
        <f t="shared" si="34"/>
        <v>3.1749051614592183E-2</v>
      </c>
      <c r="CG317" s="482">
        <f t="shared" si="34"/>
        <v>0.13597932955489966</v>
      </c>
      <c r="CI317" s="651">
        <f>BT317/SUM(L317:M317)</f>
        <v>1.205262594285714</v>
      </c>
      <c r="CJ317" s="651">
        <f>BU317/N317</f>
        <v>1.3408945588235295</v>
      </c>
      <c r="CK317" s="651">
        <f>BV317/SUM(L494:M494)</f>
        <v>1.1072108333333335</v>
      </c>
      <c r="CL317" s="651">
        <f>BW317/N494</f>
        <v>1.847717333333333</v>
      </c>
      <c r="CN317" s="482">
        <f t="shared" si="35"/>
        <v>-2.987349559726804E-2</v>
      </c>
      <c r="CO317" s="482">
        <f t="shared" si="35"/>
        <v>-7.2061743663868194E-2</v>
      </c>
      <c r="CP317" s="482">
        <f t="shared" si="35"/>
        <v>-4.5335647643969357E-2</v>
      </c>
      <c r="CQ317" s="482">
        <f t="shared" si="35"/>
        <v>0.13597932955489966</v>
      </c>
    </row>
    <row r="318" spans="1:95" ht="12.75" customHeight="1">
      <c r="A318" s="410" t="str">
        <f>$A$15</f>
        <v>4Q</v>
      </c>
      <c r="B318" s="562" t="str">
        <f>$B$15</f>
        <v>Jan</v>
      </c>
      <c r="D318" s="646">
        <f>(W318/W311-1)*100</f>
        <v>16.45714734183743</v>
      </c>
      <c r="F318" s="658">
        <f>segSales!G237</f>
        <v>0</v>
      </c>
      <c r="G318" s="663">
        <v>5.5</v>
      </c>
      <c r="I318" s="646">
        <f>D318-F318</f>
        <v>16.45714734183743</v>
      </c>
      <c r="K318" s="454">
        <v>215</v>
      </c>
      <c r="L318" s="454">
        <v>167</v>
      </c>
      <c r="M318" s="454">
        <v>13</v>
      </c>
      <c r="N318" s="454">
        <v>35</v>
      </c>
      <c r="O318" s="454"/>
      <c r="P318" s="588">
        <f>AVERAGE(K318,K317)</f>
        <v>212</v>
      </c>
      <c r="R318" s="646">
        <f>(P318/P311-1)*100</f>
        <v>10.416666666666675</v>
      </c>
      <c r="S318" s="563"/>
      <c r="T318" s="598">
        <f>I318/R318*100</f>
        <v>157.98861448163922</v>
      </c>
      <c r="U318" s="416"/>
      <c r="W318" s="649">
        <v>415.483</v>
      </c>
      <c r="X318" s="596">
        <f>+X311*(1+(G318+(R318*T318/100))/100)</f>
        <v>330.24599212789661</v>
      </c>
      <c r="Z318" s="590">
        <f t="shared" si="36"/>
        <v>1.9598254716981132</v>
      </c>
      <c r="AB318" s="597">
        <f>(Z318/Z311-1)*100</f>
        <v>38.959527342069087</v>
      </c>
      <c r="AC318" s="563"/>
      <c r="AE318" s="600">
        <f>AE311*1.08</f>
        <v>2.5486545600000001</v>
      </c>
      <c r="AF318" s="454"/>
      <c r="AG318" s="591">
        <f>AVERAGE(AE318,AE317)</f>
        <v>2.5128492266666669</v>
      </c>
      <c r="AI318" s="596">
        <f>(AG318/AG311-1)*100</f>
        <v>8.4905720224034642</v>
      </c>
      <c r="AJ318" s="563"/>
      <c r="AK318" s="598">
        <f>+I318/AI318*100</f>
        <v>193.82848762619449</v>
      </c>
      <c r="AL318" s="416"/>
      <c r="AN318" s="589">
        <f t="shared" si="37"/>
        <v>415.483</v>
      </c>
      <c r="AP318" s="592">
        <f>W318/AG318</f>
        <v>165.34338614145369</v>
      </c>
      <c r="AR318" s="592">
        <f>AN318/AG318</f>
        <v>165.34338614145369</v>
      </c>
      <c r="AT318" s="597">
        <f t="shared" si="38"/>
        <v>7.3431038024104556</v>
      </c>
      <c r="AU318" s="563"/>
      <c r="AV318" s="626">
        <f>W318-X318</f>
        <v>85.237007872103391</v>
      </c>
      <c r="AW318" s="625">
        <f>AV318/AV311-1</f>
        <v>-8.6466299785963319E-3</v>
      </c>
      <c r="BH318" s="579">
        <f>SUM(BI315:BI318)</f>
        <v>2794.9250000000002</v>
      </c>
      <c r="BI318" s="539">
        <f>segSales!AR126</f>
        <v>856.83199999999999</v>
      </c>
      <c r="BJ318" s="623">
        <f>BH318*BO318</f>
        <v>832.88765000000001</v>
      </c>
      <c r="BK318" s="623">
        <f>BP318*BH318</f>
        <v>184.46505000000002</v>
      </c>
      <c r="BL318" s="623">
        <f>BH318*BQ318</f>
        <v>830.09272499999997</v>
      </c>
      <c r="BM318" s="623">
        <f>BH318*BR318</f>
        <v>22.359400000000001</v>
      </c>
      <c r="BO318" s="482">
        <v>0.29799999999999999</v>
      </c>
      <c r="BP318" s="482">
        <v>6.6000000000000003E-2</v>
      </c>
      <c r="BQ318" s="482">
        <v>0.29699999999999999</v>
      </c>
      <c r="BR318" s="482">
        <v>8.0000000000000002E-3</v>
      </c>
      <c r="BT318" s="650">
        <f>BJ318-SUM(BT315:BT317)</f>
        <v>235.95500600000003</v>
      </c>
      <c r="BU318" s="650">
        <f>BK318-SUM(BU315:BU317)</f>
        <v>60.427098000000001</v>
      </c>
      <c r="BV318" s="650">
        <f>BL318-SUM(BV315:BV317)</f>
        <v>238.97435999999993</v>
      </c>
      <c r="BW318" s="650">
        <f>BM318-SUM(BW315:BW317)</f>
        <v>6.8546560000000003</v>
      </c>
      <c r="BY318" s="482">
        <f t="shared" si="33"/>
        <v>0.27538071173812373</v>
      </c>
      <c r="BZ318" s="482">
        <f t="shared" si="33"/>
        <v>7.052385765237526E-2</v>
      </c>
      <c r="CA318" s="482">
        <f>BV318/BI318</f>
        <v>0.2789045693904989</v>
      </c>
      <c r="CB318" s="482">
        <f>BW318/BI318</f>
        <v>8.0000000000000002E-3</v>
      </c>
      <c r="CD318" s="482">
        <f t="shared" si="34"/>
        <v>6.9083672732823898E-2</v>
      </c>
      <c r="CE318" s="482">
        <f t="shared" si="34"/>
        <v>0.20659104706781695</v>
      </c>
      <c r="CF318" s="482">
        <f t="shared" si="34"/>
        <v>4.2674546280793813E-2</v>
      </c>
      <c r="CG318" s="482">
        <f t="shared" si="34"/>
        <v>-0.17602255563629454</v>
      </c>
      <c r="CI318" s="651">
        <f>BT318/SUM(L318:M318)</f>
        <v>1.3108611444444447</v>
      </c>
      <c r="CJ318" s="651">
        <f>BU318/N318</f>
        <v>1.7264885142857143</v>
      </c>
      <c r="CK318" s="651">
        <f>BV318/SUM(L495:M495)</f>
        <v>1.3501376271186436</v>
      </c>
      <c r="CL318" s="651">
        <f>BW318/N495</f>
        <v>2.2848853333333334</v>
      </c>
      <c r="CN318" s="482">
        <f t="shared" si="35"/>
        <v>-8.1279258534354693E-3</v>
      </c>
      <c r="CO318" s="482">
        <f t="shared" si="35"/>
        <v>3.4220897486700208E-2</v>
      </c>
      <c r="CP318" s="482">
        <f t="shared" si="35"/>
        <v>-2.8015253467056689E-2</v>
      </c>
      <c r="CQ318" s="482">
        <f t="shared" si="35"/>
        <v>-0.17602255563629454</v>
      </c>
    </row>
    <row r="319" spans="1:95" ht="12.75" customHeight="1">
      <c r="B319" s="562" t="str">
        <f>$B$16</f>
        <v>Year</v>
      </c>
      <c r="D319" s="618">
        <f>(W319/W312-1)*100</f>
        <v>14.636027397378836</v>
      </c>
      <c r="F319" s="656">
        <f>F315*W315/W319+F316*W316/W319+F317*W317/W319+F318*W318/W319</f>
        <v>0</v>
      </c>
      <c r="G319" s="660">
        <f>G315*X315/X319+G316*X316/X319+G317*X317/X319+G318*X318/X319</f>
        <v>2.4316214654528485</v>
      </c>
      <c r="I319" s="618">
        <f>D319-F319</f>
        <v>14.636027397378836</v>
      </c>
      <c r="K319" s="410">
        <f>K318</f>
        <v>215</v>
      </c>
      <c r="L319" s="410">
        <f>L318</f>
        <v>167</v>
      </c>
      <c r="M319" s="410">
        <f>M318</f>
        <v>13</v>
      </c>
      <c r="N319" s="410">
        <f>N318</f>
        <v>35</v>
      </c>
      <c r="P319" s="587">
        <f>AVERAGE(P315:P318)</f>
        <v>205.75</v>
      </c>
      <c r="R319" s="618">
        <f>(P319/P312-1)*100</f>
        <v>12.508544087491448</v>
      </c>
      <c r="S319" s="563"/>
      <c r="T319" s="595">
        <f>I319/R319*100</f>
        <v>117.00824088724183</v>
      </c>
      <c r="U319" s="416"/>
      <c r="W319" s="579">
        <f>SUM(W315:W318)</f>
        <v>1324.3820000000001</v>
      </c>
      <c r="X319" s="579">
        <f>SUM(X315:X318)</f>
        <v>1068.6621800436817</v>
      </c>
      <c r="Z319" s="580">
        <f t="shared" si="36"/>
        <v>6.4368505467800734</v>
      </c>
      <c r="AB319" s="599">
        <f>(Z319/Z312-1)*100</f>
        <v>27.916109523518905</v>
      </c>
      <c r="AC319" s="563"/>
      <c r="AG319" s="582">
        <f>AVERAGE(AG315:AG318)</f>
        <v>2.4369254599999999</v>
      </c>
      <c r="AI319" s="539">
        <f>(AG319/AG312-1)*100</f>
        <v>10.460685158229088</v>
      </c>
      <c r="AJ319" s="563"/>
      <c r="AK319" s="595">
        <f>+I319/AI319*100</f>
        <v>139.91461530476462</v>
      </c>
      <c r="AL319" s="416"/>
      <c r="AN319" s="579">
        <f t="shared" si="37"/>
        <v>1324.3820000000001</v>
      </c>
      <c r="AP319" s="583">
        <f>SUM(AP315:AP318)</f>
        <v>541.51486817963382</v>
      </c>
      <c r="AR319" s="583">
        <f>SUM(AR315:AR318)</f>
        <v>541.51486817963382</v>
      </c>
      <c r="AT319" s="599">
        <f t="shared" si="38"/>
        <v>3.8511010120548139</v>
      </c>
      <c r="AU319" s="563"/>
      <c r="AV319" s="579">
        <f>SUM(AV315:AV318)</f>
        <v>255.71981995631842</v>
      </c>
      <c r="AW319" s="458">
        <f>AV319/AV312-1</f>
        <v>9.9561715459372646E-2</v>
      </c>
      <c r="BH319" s="579">
        <f>BH318</f>
        <v>2794.9250000000002</v>
      </c>
      <c r="BI319" s="579">
        <f>segSales!AR127</f>
        <v>2794.9250000000002</v>
      </c>
      <c r="BJ319" s="623">
        <f>BH319*BO319</f>
        <v>832.88765000000001</v>
      </c>
      <c r="BK319" s="623">
        <f>BP319*BH319</f>
        <v>184.46505000000002</v>
      </c>
      <c r="BL319" s="623">
        <f>BH319*BQ319</f>
        <v>830.09272499999997</v>
      </c>
      <c r="BM319" s="623">
        <f>BH319*BR319</f>
        <v>22.359400000000001</v>
      </c>
      <c r="BO319" s="482">
        <v>0.29799999999999999</v>
      </c>
      <c r="BP319" s="482">
        <v>6.6000000000000003E-2</v>
      </c>
      <c r="BQ319" s="482">
        <v>0.29699999999999999</v>
      </c>
      <c r="BR319" s="482">
        <v>8.0000000000000002E-3</v>
      </c>
      <c r="BT319" s="650">
        <f>SUM(BT315:BT318)</f>
        <v>832.88765000000001</v>
      </c>
      <c r="BU319" s="650">
        <f>SUM(BU315:BU318)</f>
        <v>184.46505000000002</v>
      </c>
      <c r="BV319" s="650">
        <f>SUM(BV315:BV318)</f>
        <v>830.09272499999997</v>
      </c>
      <c r="BW319" s="650">
        <f>SUM(BW315:BW318)</f>
        <v>22.359400000000001</v>
      </c>
      <c r="BY319" s="482">
        <f t="shared" si="33"/>
        <v>0.29799999999999999</v>
      </c>
      <c r="BZ319" s="482">
        <f t="shared" si="33"/>
        <v>6.6000000000000003E-2</v>
      </c>
      <c r="CA319" s="482">
        <f>BV319/BI319</f>
        <v>0.29699999999999999</v>
      </c>
      <c r="CB319" s="482">
        <f>BW319/BI319</f>
        <v>8.0000000000000002E-3</v>
      </c>
      <c r="CD319" s="482">
        <f t="shared" si="34"/>
        <v>7.2240022334232101E-2</v>
      </c>
      <c r="CE319" s="482">
        <f t="shared" si="34"/>
        <v>0.26385520548598729</v>
      </c>
      <c r="CF319" s="482">
        <f t="shared" si="34"/>
        <v>2.3029137367468033E-2</v>
      </c>
      <c r="CG319" s="482">
        <f t="shared" si="34"/>
        <v>4.2755168171479951E-3</v>
      </c>
      <c r="CI319" s="651">
        <f>BT319/SUM(L319:M319)</f>
        <v>4.6271536111111109</v>
      </c>
      <c r="CJ319" s="651">
        <f>BU319/N319</f>
        <v>5.2704300000000002</v>
      </c>
      <c r="CK319" s="651">
        <f>BV319/SUM(L496:M496)</f>
        <v>4.6897894067796608</v>
      </c>
      <c r="CL319" s="651">
        <f>BW319/N496</f>
        <v>7.4531333333333336</v>
      </c>
      <c r="CN319" s="482">
        <f t="shared" si="35"/>
        <v>-5.1995348343514269E-3</v>
      </c>
      <c r="CO319" s="482">
        <f t="shared" si="35"/>
        <v>8.3304461845131739E-2</v>
      </c>
      <c r="CP319" s="482">
        <f t="shared" si="35"/>
        <v>-4.6328770250665396E-2</v>
      </c>
      <c r="CQ319" s="482">
        <f t="shared" si="35"/>
        <v>4.2755168171479951E-3</v>
      </c>
    </row>
    <row r="320" spans="1:95" ht="12.75" customHeight="1">
      <c r="B320" s="562"/>
      <c r="D320" s="618"/>
      <c r="F320" s="563"/>
      <c r="G320" s="660"/>
      <c r="I320" s="618"/>
      <c r="P320" s="587"/>
      <c r="R320" s="618"/>
      <c r="S320" s="563"/>
      <c r="T320" s="595"/>
      <c r="U320" s="416"/>
      <c r="X320" s="579"/>
      <c r="Z320" s="580"/>
      <c r="AB320" s="599"/>
      <c r="AC320" s="563"/>
      <c r="AG320" s="582"/>
      <c r="AI320" s="539"/>
      <c r="AJ320" s="563"/>
      <c r="AK320" s="595"/>
      <c r="AL320" s="416"/>
      <c r="AN320" s="579"/>
      <c r="AP320" s="583"/>
      <c r="AR320" s="583"/>
      <c r="AT320" s="599"/>
      <c r="AU320" s="563"/>
      <c r="AV320" s="579"/>
      <c r="AW320" s="631"/>
      <c r="BI320" s="539"/>
      <c r="BJ320" s="623"/>
      <c r="BK320" s="623"/>
      <c r="BL320" s="623"/>
      <c r="BM320" s="623"/>
      <c r="BO320" s="482"/>
      <c r="BP320" s="482"/>
      <c r="BQ320" s="482"/>
      <c r="BR320" s="482"/>
    </row>
    <row r="321" spans="1:95" ht="12.75" customHeight="1">
      <c r="A321" s="593"/>
      <c r="B321" s="431">
        <f>+B144</f>
        <v>2013</v>
      </c>
      <c r="D321" s="618"/>
      <c r="F321" s="656"/>
      <c r="G321" s="660"/>
      <c r="I321" s="618"/>
      <c r="P321" s="587"/>
      <c r="R321" s="618"/>
      <c r="S321" s="563"/>
      <c r="T321" s="595"/>
      <c r="U321" s="416"/>
      <c r="X321" s="579"/>
      <c r="Z321" s="580"/>
      <c r="AB321" s="599"/>
      <c r="AC321" s="563"/>
      <c r="AG321" s="582"/>
      <c r="AI321" s="539"/>
      <c r="AJ321" s="563"/>
      <c r="AK321" s="595"/>
      <c r="AL321" s="416"/>
      <c r="AN321" s="579"/>
      <c r="AP321" s="583"/>
      <c r="AR321" s="583"/>
      <c r="AT321" s="599"/>
      <c r="AU321" s="563"/>
      <c r="AV321" s="579"/>
      <c r="AW321" s="631"/>
      <c r="BI321" s="539"/>
      <c r="BJ321" s="623"/>
      <c r="BK321" s="623"/>
      <c r="BL321" s="623"/>
      <c r="BM321" s="623"/>
      <c r="BO321" s="482"/>
      <c r="BP321" s="482"/>
      <c r="BQ321" s="482"/>
      <c r="BR321" s="482"/>
    </row>
    <row r="322" spans="1:95" ht="12.75" customHeight="1">
      <c r="A322" s="410" t="str">
        <f>$A$12</f>
        <v>1Q</v>
      </c>
      <c r="B322" s="562" t="str">
        <f>$B$12</f>
        <v>Apr</v>
      </c>
      <c r="D322" s="645">
        <f>(W322/W315-1)*100</f>
        <v>9.9102819174894172</v>
      </c>
      <c r="E322" s="563" t="s">
        <v>208</v>
      </c>
      <c r="F322" s="656">
        <f>segSales!H130</f>
        <v>6</v>
      </c>
      <c r="G322" s="662">
        <v>3</v>
      </c>
      <c r="H322" s="563" t="s">
        <v>208</v>
      </c>
      <c r="I322" s="645">
        <f>D322-F322</f>
        <v>3.9102819174894172</v>
      </c>
      <c r="J322" s="563" t="s">
        <v>208</v>
      </c>
      <c r="K322" s="454">
        <v>216</v>
      </c>
      <c r="L322" s="454">
        <v>166</v>
      </c>
      <c r="M322" s="454">
        <v>14</v>
      </c>
      <c r="N322" s="454">
        <v>36</v>
      </c>
      <c r="P322" s="587">
        <f>AVERAGE(K322,K318)</f>
        <v>215.5</v>
      </c>
      <c r="R322" s="645">
        <f>(P322/P315-1)*100</f>
        <v>8.2914572864321698</v>
      </c>
      <c r="S322" s="563" t="s">
        <v>208</v>
      </c>
      <c r="T322" s="595">
        <f>I322/R322*100</f>
        <v>47.160369792751098</v>
      </c>
      <c r="U322" s="416" t="s">
        <v>208</v>
      </c>
      <c r="W322" s="647">
        <v>292.79000000000002</v>
      </c>
      <c r="X322" s="539">
        <f>+X315*(1+(G322+I322)/100)</f>
        <v>228.69999475935285</v>
      </c>
      <c r="Z322" s="580">
        <f>W322/P322</f>
        <v>1.3586542923433875</v>
      </c>
      <c r="AB322" s="599">
        <f>(Z322/Z315-1)*100</f>
        <v>1.4948775015331428</v>
      </c>
      <c r="AC322" s="563" t="s">
        <v>208</v>
      </c>
      <c r="AE322" s="581">
        <f>1.917291/0.75</f>
        <v>2.5563880000000001</v>
      </c>
      <c r="AG322" s="582">
        <f>AVERAGE(AE322,AE315)</f>
        <v>2.4862913333333334</v>
      </c>
      <c r="AI322" s="539">
        <f>(AG322/AG315-1)*100</f>
        <v>8.1730554480751838</v>
      </c>
      <c r="AJ322" s="563" t="s">
        <v>208</v>
      </c>
      <c r="AK322" s="595">
        <f>+I322/AI322*100</f>
        <v>47.843575053810724</v>
      </c>
      <c r="AL322" s="416" t="s">
        <v>208</v>
      </c>
      <c r="AN322" s="579">
        <f>W322</f>
        <v>292.79000000000002</v>
      </c>
      <c r="AP322" s="583">
        <f>W322/AG322</f>
        <v>117.76174259010141</v>
      </c>
      <c r="AR322" s="583">
        <f>AN322/AG322</f>
        <v>117.76174259010141</v>
      </c>
      <c r="AT322" s="599">
        <f>(AR322/AR315-1)*100</f>
        <v>1.6059696772160681</v>
      </c>
      <c r="AU322" s="563" t="s">
        <v>208</v>
      </c>
      <c r="AV322" s="579">
        <f>W322-X322</f>
        <v>64.090005240647173</v>
      </c>
      <c r="AW322" s="458">
        <f>AV322/AV315-1</f>
        <v>0.22140597634423598</v>
      </c>
      <c r="BH322" s="579">
        <f>BI322</f>
        <v>648.178</v>
      </c>
      <c r="BI322" s="579">
        <f>segSales!AR130</f>
        <v>648.178</v>
      </c>
      <c r="BJ322" s="623">
        <f>BH322*BO322</f>
        <v>246.30763999999999</v>
      </c>
      <c r="BK322" s="623">
        <f>BP322*BH322</f>
        <v>46.668816</v>
      </c>
      <c r="BL322" s="623">
        <f>BH322*BQ322</f>
        <v>257.97484400000002</v>
      </c>
      <c r="BM322" s="623">
        <f>BH322*BR322</f>
        <v>7.1299579999999994</v>
      </c>
      <c r="BO322" s="482">
        <v>0.38</v>
      </c>
      <c r="BP322" s="482">
        <v>7.1999999999999995E-2</v>
      </c>
      <c r="BQ322" s="482">
        <v>0.39800000000000002</v>
      </c>
      <c r="BR322" s="482">
        <v>1.0999999999999999E-2</v>
      </c>
      <c r="BT322" s="650">
        <f>BJ322</f>
        <v>246.30763999999999</v>
      </c>
      <c r="BU322" s="650">
        <f>BK322</f>
        <v>46.668816</v>
      </c>
      <c r="BV322" s="650">
        <f>BL322</f>
        <v>257.97484400000002</v>
      </c>
      <c r="BW322" s="650">
        <f>BM322</f>
        <v>7.1299579999999994</v>
      </c>
      <c r="BY322" s="482">
        <f t="shared" ref="BY322:BZ326" si="39">BT322/$BI322</f>
        <v>0.38</v>
      </c>
      <c r="BZ322" s="482">
        <f t="shared" si="39"/>
        <v>7.1999999999999995E-2</v>
      </c>
      <c r="CA322" s="482">
        <f>BV322/BI322</f>
        <v>0.39800000000000002</v>
      </c>
      <c r="CB322" s="482">
        <f>BW322/BI322</f>
        <v>1.0999999999999999E-2</v>
      </c>
      <c r="CD322" s="482">
        <f t="shared" ref="CD322:CG326" si="40">BT322/BT315-1</f>
        <v>0.37003595690511215</v>
      </c>
      <c r="CE322" s="482">
        <f t="shared" si="40"/>
        <v>0.36715167068004861</v>
      </c>
      <c r="CF322" s="482">
        <f t="shared" si="40"/>
        <v>0.41699574200692546</v>
      </c>
      <c r="CG322" s="482">
        <f t="shared" si="40"/>
        <v>0.56652795598755556</v>
      </c>
      <c r="CI322" s="651">
        <f>BT322/SUM(L322:M322)</f>
        <v>1.3683757777777776</v>
      </c>
      <c r="CJ322" s="651">
        <f>BU322/N322</f>
        <v>1.2963560000000001</v>
      </c>
      <c r="CK322" s="651">
        <f>BV322/SUM(L499:M499)</f>
        <v>1.4412002458100559</v>
      </c>
      <c r="CL322" s="651">
        <f>BW322/N499</f>
        <v>2.3766526666666663</v>
      </c>
      <c r="CN322" s="482">
        <f t="shared" ref="CN322:CQ326" si="41">CI322/CI315-1</f>
        <v>0.28631153731646641</v>
      </c>
      <c r="CO322" s="482">
        <f t="shared" si="41"/>
        <v>0.21524592949337662</v>
      </c>
      <c r="CP322" s="482">
        <f t="shared" si="41"/>
        <v>0.32200161405115391</v>
      </c>
      <c r="CQ322" s="482">
        <f t="shared" si="41"/>
        <v>0.56652795598755556</v>
      </c>
    </row>
    <row r="323" spans="1:95" ht="12.75" customHeight="1">
      <c r="A323" s="410" t="str">
        <f>$A$13</f>
        <v>2Q</v>
      </c>
      <c r="B323" s="562" t="str">
        <f>$B$13</f>
        <v>Jul</v>
      </c>
      <c r="D323" s="645">
        <f>(W323/W316-1)*100</f>
        <v>8.340522236242375</v>
      </c>
      <c r="F323" s="656">
        <f>segSales!H131</f>
        <v>5</v>
      </c>
      <c r="G323" s="662">
        <v>3</v>
      </c>
      <c r="I323" s="645">
        <f>D323-F323</f>
        <v>3.340522236242375</v>
      </c>
      <c r="K323" s="454">
        <v>222</v>
      </c>
      <c r="L323" s="454">
        <v>171</v>
      </c>
      <c r="M323" s="454">
        <v>14</v>
      </c>
      <c r="N323" s="454">
        <v>37</v>
      </c>
      <c r="P323" s="587">
        <f>AVERAGE(K323,K322)</f>
        <v>219</v>
      </c>
      <c r="R323" s="645">
        <f>(P323/P316-1)*100</f>
        <v>7.3529411764705843</v>
      </c>
      <c r="S323" s="563"/>
      <c r="T323" s="595">
        <f>I323/R323*100</f>
        <v>45.431102412896323</v>
      </c>
      <c r="U323" s="416"/>
      <c r="W323" s="647">
        <v>336.57499999999999</v>
      </c>
      <c r="X323" s="539">
        <f>+X316*(1+(G323+I323)/100)</f>
        <v>270.39964285700205</v>
      </c>
      <c r="Z323" s="585">
        <f t="shared" ref="Z323:Z326" si="42">W323/P323</f>
        <v>1.5368721461187214</v>
      </c>
      <c r="AB323" s="599">
        <f>(Z323/Z316-1)*100</f>
        <v>0.91993852143124055</v>
      </c>
      <c r="AC323" s="563"/>
      <c r="AE323" s="581">
        <f>1.959556/0.75</f>
        <v>2.6127413333333336</v>
      </c>
      <c r="AG323" s="582">
        <f>AVERAGE(AE323,AE322)</f>
        <v>2.5845646666666671</v>
      </c>
      <c r="AI323" s="539">
        <f>(AG323/AG316-1)*100</f>
        <v>5.3636480253252516</v>
      </c>
      <c r="AJ323" s="563"/>
      <c r="AK323" s="595">
        <f>+I323/AI323*100</f>
        <v>62.280787636877157</v>
      </c>
      <c r="AL323" s="416"/>
      <c r="AN323" s="584">
        <f t="shared" ref="AN323:AN326" si="43">W323</f>
        <v>336.57499999999999</v>
      </c>
      <c r="AP323" s="586">
        <f>W323/AG323</f>
        <v>130.22502564584053</v>
      </c>
      <c r="AR323" s="586">
        <f>AN323/AG323</f>
        <v>130.22502564584053</v>
      </c>
      <c r="AT323" s="599">
        <f>(AR323/AR316-1)*100</f>
        <v>2.8253332783253704</v>
      </c>
      <c r="AU323" s="563"/>
      <c r="AV323" s="579">
        <f>W323-X323</f>
        <v>66.175357142997939</v>
      </c>
      <c r="AW323" s="458">
        <f>AV323/AV316-1</f>
        <v>0.17359544116093195</v>
      </c>
      <c r="BH323" s="579">
        <f>SUM(BI322:BI323)</f>
        <v>1406.7374599999998</v>
      </c>
      <c r="BI323" s="539">
        <f>segSales!AR131</f>
        <v>758.55945999999994</v>
      </c>
      <c r="BJ323" s="623">
        <f>BH323*BO323</f>
        <v>524.7130725799999</v>
      </c>
      <c r="BK323" s="623">
        <f>BP323*BH323</f>
        <v>105.50530949999998</v>
      </c>
      <c r="BL323" s="623">
        <f>BH323*BQ323</f>
        <v>564.10172145999991</v>
      </c>
      <c r="BM323" s="623">
        <f>BH323*BR323</f>
        <v>15.474112059999998</v>
      </c>
      <c r="BO323" s="482">
        <v>0.373</v>
      </c>
      <c r="BP323" s="482">
        <v>7.4999999999999997E-2</v>
      </c>
      <c r="BQ323" s="482">
        <v>0.40100000000000002</v>
      </c>
      <c r="BR323" s="482">
        <v>1.0999999999999999E-2</v>
      </c>
      <c r="BT323" s="650">
        <f>BJ323-BT322</f>
        <v>278.40543257999991</v>
      </c>
      <c r="BU323" s="650">
        <f>BK323-BU322</f>
        <v>58.836493499999982</v>
      </c>
      <c r="BV323" s="650">
        <f>BL323-BV322</f>
        <v>306.12687745999989</v>
      </c>
      <c r="BW323" s="650">
        <f>BM323-BW322</f>
        <v>8.3441540599999975</v>
      </c>
      <c r="BY323" s="482">
        <f t="shared" si="39"/>
        <v>0.36701860204867781</v>
      </c>
      <c r="BZ323" s="482">
        <f t="shared" si="39"/>
        <v>7.756345626485231E-2</v>
      </c>
      <c r="CA323" s="482">
        <f>BV323/BI323</f>
        <v>0.40356345626485224</v>
      </c>
      <c r="CB323" s="482">
        <f>BW323/BI323</f>
        <v>1.0999999999999998E-2</v>
      </c>
      <c r="CD323" s="482">
        <f t="shared" si="40"/>
        <v>0.349976672043677</v>
      </c>
      <c r="CE323" s="482">
        <f t="shared" si="40"/>
        <v>0.32778576249448221</v>
      </c>
      <c r="CF323" s="482">
        <f t="shared" si="40"/>
        <v>0.41459462442090289</v>
      </c>
      <c r="CG323" s="482">
        <f t="shared" si="40"/>
        <v>0.54231416418614398</v>
      </c>
      <c r="CI323" s="651">
        <f>BT323/SUM(L323:M323)</f>
        <v>1.5048942301621617</v>
      </c>
      <c r="CJ323" s="651">
        <f>BU323/N323</f>
        <v>1.5901754999999995</v>
      </c>
      <c r="CK323" s="651">
        <f>BV323/SUM(L500:M500)</f>
        <v>1.7102060193296083</v>
      </c>
      <c r="CL323" s="651">
        <f>BW323/N500</f>
        <v>2.7813846866666658</v>
      </c>
      <c r="CN323" s="482">
        <f t="shared" si="41"/>
        <v>0.26241061764084384</v>
      </c>
      <c r="CO323" s="482">
        <f t="shared" si="41"/>
        <v>0.22012745742736195</v>
      </c>
      <c r="CP323" s="482">
        <f t="shared" si="41"/>
        <v>0.34346975503661148</v>
      </c>
      <c r="CQ323" s="482">
        <f t="shared" si="41"/>
        <v>0.54231416418614398</v>
      </c>
    </row>
    <row r="324" spans="1:95" ht="12.75" customHeight="1">
      <c r="A324" s="410" t="str">
        <f>$A$14</f>
        <v>3Q</v>
      </c>
      <c r="B324" s="562" t="str">
        <f>$B$14</f>
        <v>Oct</v>
      </c>
      <c r="D324" s="645">
        <f>(W324/W317-1)*100</f>
        <v>3.0348506079645565</v>
      </c>
      <c r="F324" s="656">
        <f>segSales!H132</f>
        <v>-1</v>
      </c>
      <c r="G324" s="662">
        <v>3</v>
      </c>
      <c r="I324" s="645">
        <f>D324-F324</f>
        <v>4.0348506079645565</v>
      </c>
      <c r="K324" s="454">
        <v>225</v>
      </c>
      <c r="L324" s="454">
        <v>173</v>
      </c>
      <c r="M324" s="454">
        <v>14</v>
      </c>
      <c r="N324" s="454">
        <v>38</v>
      </c>
      <c r="P324" s="587">
        <f>AVERAGE(K324,K323)</f>
        <v>223.5</v>
      </c>
      <c r="R324" s="645">
        <f>(P324/P317-1)*100</f>
        <v>7.4519230769230838</v>
      </c>
      <c r="S324" s="563"/>
      <c r="T324" s="595">
        <f>I324/R324*100</f>
        <v>54.145092029459803</v>
      </c>
      <c r="U324" s="416"/>
      <c r="W324" s="647">
        <v>341.916</v>
      </c>
      <c r="X324" s="539">
        <f>+X317*(1+(G324+I324)/100)</f>
        <v>289.23103317806471</v>
      </c>
      <c r="Z324" s="585">
        <f t="shared" si="42"/>
        <v>1.5298255033557047</v>
      </c>
      <c r="AB324" s="599">
        <f>(Z324/Z317-1)*100</f>
        <v>-4.1107430583596116</v>
      </c>
      <c r="AC324" s="563"/>
      <c r="AE324" s="581">
        <f>1.986971/0.75</f>
        <v>2.6492946666666666</v>
      </c>
      <c r="AG324" s="582">
        <f>AVERAGE(AE324,AE323)</f>
        <v>2.6310180000000001</v>
      </c>
      <c r="AI324" s="539">
        <f>(AG324/AG317-1)*100</f>
        <v>5.9433669211104823</v>
      </c>
      <c r="AJ324" s="563"/>
      <c r="AK324" s="595">
        <f>+I324/AI324*100</f>
        <v>67.888297349319117</v>
      </c>
      <c r="AL324" s="416"/>
      <c r="AN324" s="584">
        <f t="shared" si="43"/>
        <v>341.916</v>
      </c>
      <c r="AP324" s="586">
        <f>W324/AG324</f>
        <v>129.95578137435774</v>
      </c>
      <c r="AR324" s="586">
        <f>AN324/AG324</f>
        <v>129.95578137435774</v>
      </c>
      <c r="AT324" s="599">
        <f>(AR324/AR317-1)*100</f>
        <v>-2.7453500843632184</v>
      </c>
      <c r="AU324" s="563"/>
      <c r="AV324" s="579">
        <f>W324-X324</f>
        <v>52.684966821935291</v>
      </c>
      <c r="AW324" s="458">
        <f>AV324/AV317-1</f>
        <v>-0.14505261017159288</v>
      </c>
      <c r="BH324" s="579">
        <f>SUM(BI322:BI324)</f>
        <v>2180.7864599999998</v>
      </c>
      <c r="BI324" s="539">
        <f>segSales!AR132</f>
        <v>774.04899999999998</v>
      </c>
      <c r="BJ324" s="623">
        <f>BH324*BO324</f>
        <v>813.43334957999991</v>
      </c>
      <c r="BK324" s="623">
        <f>BP324*BH324</f>
        <v>163.55898449999998</v>
      </c>
      <c r="BL324" s="623">
        <f>BH324*BQ324</f>
        <v>865.77222461999997</v>
      </c>
      <c r="BM324" s="623">
        <f>BH324*BR324</f>
        <v>23.988651059999995</v>
      </c>
      <c r="BO324" s="482">
        <v>0.373</v>
      </c>
      <c r="BP324" s="482">
        <v>7.4999999999999997E-2</v>
      </c>
      <c r="BQ324" s="482">
        <v>0.39700000000000002</v>
      </c>
      <c r="BR324" s="482">
        <v>1.0999999999999999E-2</v>
      </c>
      <c r="BT324" s="650">
        <f>BJ324-BT323-BT322</f>
        <v>288.72027700000001</v>
      </c>
      <c r="BU324" s="650">
        <f>BK324-BU323-BU322</f>
        <v>58.053674999999991</v>
      </c>
      <c r="BV324" s="650">
        <f>BL324-BV323-BV322</f>
        <v>301.67050316000001</v>
      </c>
      <c r="BW324" s="650">
        <f>BM324-BW323-BW322</f>
        <v>8.5145389999999992</v>
      </c>
      <c r="BY324" s="482">
        <f t="shared" si="39"/>
        <v>0.373</v>
      </c>
      <c r="BZ324" s="482">
        <f t="shared" si="39"/>
        <v>7.4999999999999997E-2</v>
      </c>
      <c r="CA324" s="482">
        <f>BV324/BI324</f>
        <v>0.38973049918028446</v>
      </c>
      <c r="CB324" s="482">
        <f>BW324/BI324</f>
        <v>1.0999999999999999E-2</v>
      </c>
      <c r="CD324" s="482">
        <f t="shared" si="40"/>
        <v>0.36885535327134944</v>
      </c>
      <c r="CE324" s="482">
        <f t="shared" si="40"/>
        <v>0.27337456787791892</v>
      </c>
      <c r="CF324" s="482">
        <f t="shared" si="40"/>
        <v>0.56586123592063164</v>
      </c>
      <c r="CG324" s="482">
        <f t="shared" si="40"/>
        <v>0.53604645876569879</v>
      </c>
      <c r="CI324" s="651">
        <f>BT324/SUM(L324:M324)</f>
        <v>1.5439587005347595</v>
      </c>
      <c r="CJ324" s="651">
        <f>BU324/N324</f>
        <v>1.5277282894736839</v>
      </c>
      <c r="CK324" s="651">
        <f>BV324/SUM(L501:M501)</f>
        <v>1.6666878627624311</v>
      </c>
      <c r="CL324" s="651">
        <f>BW324/N501</f>
        <v>2.1286347499999998</v>
      </c>
      <c r="CN324" s="482">
        <f t="shared" si="41"/>
        <v>0.28101436803468549</v>
      </c>
      <c r="CO324" s="482">
        <f t="shared" si="41"/>
        <v>0.13933513968024314</v>
      </c>
      <c r="CP324" s="482">
        <f t="shared" si="41"/>
        <v>0.50530306657563484</v>
      </c>
      <c r="CQ324" s="482">
        <f t="shared" si="41"/>
        <v>0.15203484407427403</v>
      </c>
    </row>
    <row r="325" spans="1:95" ht="12.75" customHeight="1">
      <c r="A325" s="410" t="str">
        <f>$A$15</f>
        <v>4Q</v>
      </c>
      <c r="B325" s="562" t="str">
        <f>$B$15</f>
        <v>Jan</v>
      </c>
      <c r="D325" s="646">
        <f>(W325/W318-1)*100</f>
        <v>-4.2028193692641995</v>
      </c>
      <c r="F325" s="658">
        <f>segSales!H133</f>
        <v>-9</v>
      </c>
      <c r="G325" s="663">
        <v>3</v>
      </c>
      <c r="I325" s="646">
        <f>D325-F325</f>
        <v>4.7971806307358005</v>
      </c>
      <c r="K325" s="454">
        <v>230</v>
      </c>
      <c r="L325" s="454">
        <v>176</v>
      </c>
      <c r="M325" s="454">
        <v>14</v>
      </c>
      <c r="N325" s="454">
        <v>40</v>
      </c>
      <c r="P325" s="588">
        <f>AVERAGE(K325,K324)</f>
        <v>227.5</v>
      </c>
      <c r="R325" s="646">
        <f>(P325/P318-1)*100</f>
        <v>7.3113207547169878</v>
      </c>
      <c r="S325" s="563"/>
      <c r="T325" s="598">
        <f>I325/R325*100</f>
        <v>65.613051207483139</v>
      </c>
      <c r="U325" s="416"/>
      <c r="W325" s="649">
        <v>398.02100000000002</v>
      </c>
      <c r="X325" s="596">
        <f>+X318*(1+(G325+I325)/100)</f>
        <v>355.99586865987425</v>
      </c>
      <c r="Z325" s="590">
        <f t="shared" si="42"/>
        <v>1.7495428571428573</v>
      </c>
      <c r="AB325" s="597">
        <f>(Z325/Z318-1)*100</f>
        <v>-10.72966024740224</v>
      </c>
      <c r="AC325" s="563"/>
      <c r="AE325" s="664">
        <f>2.030694/0.75</f>
        <v>2.707592</v>
      </c>
      <c r="AG325" s="591">
        <f>AVERAGE(AE325,AE324)</f>
        <v>2.6784433333333331</v>
      </c>
      <c r="AI325" s="596">
        <f>(AG325/AG318-1)*100</f>
        <v>6.589894248702266</v>
      </c>
      <c r="AJ325" s="563"/>
      <c r="AK325" s="598">
        <f>+I325/AI325*100</f>
        <v>72.796018413808369</v>
      </c>
      <c r="AL325" s="416"/>
      <c r="AN325" s="589">
        <f t="shared" si="43"/>
        <v>398.02100000000002</v>
      </c>
      <c r="AP325" s="592">
        <f>W325/AG325</f>
        <v>148.60161312603219</v>
      </c>
      <c r="AR325" s="592">
        <f>AN325/AG325</f>
        <v>148.60161312603219</v>
      </c>
      <c r="AT325" s="597">
        <f>(AR325/AR318-1)*100</f>
        <v>-10.12545672743067</v>
      </c>
      <c r="AU325" s="563"/>
      <c r="AV325" s="626">
        <f>W325-X325</f>
        <v>42.025131340125768</v>
      </c>
      <c r="AW325" s="625">
        <f>AV325/AV318-1</f>
        <v>-0.50696144328313675</v>
      </c>
      <c r="BH325" s="579">
        <f>SUM(BI322:BI325)</f>
        <v>3086.64446</v>
      </c>
      <c r="BI325" s="539">
        <f>segSales!AR133</f>
        <v>905.85800000000006</v>
      </c>
      <c r="BJ325" s="623">
        <f>BH325*BO325</f>
        <v>1120.45193898</v>
      </c>
      <c r="BK325" s="623">
        <f>BP325*BH325</f>
        <v>250.01820126000001</v>
      </c>
      <c r="BL325" s="623">
        <f>BH325*BQ325</f>
        <v>1228.48449508</v>
      </c>
      <c r="BM325" s="623">
        <f>BH325*BR325</f>
        <v>37.039733519999999</v>
      </c>
      <c r="BO325" s="482">
        <v>0.36299999999999999</v>
      </c>
      <c r="BP325" s="482">
        <v>8.1000000000000003E-2</v>
      </c>
      <c r="BQ325" s="482">
        <v>0.39800000000000002</v>
      </c>
      <c r="BR325" s="482">
        <v>1.2E-2</v>
      </c>
      <c r="BT325" s="650">
        <f>BJ325-SUM(BT322:BT324)</f>
        <v>307.01858940000011</v>
      </c>
      <c r="BU325" s="650">
        <f>BK325-SUM(BU322:BU324)</f>
        <v>86.459216760000032</v>
      </c>
      <c r="BV325" s="650">
        <f>BL325-SUM(BV322:BV324)</f>
        <v>362.71227046000013</v>
      </c>
      <c r="BW325" s="650">
        <f>BM325-SUM(BW322:BW324)</f>
        <v>13.051082460000003</v>
      </c>
      <c r="BY325" s="482">
        <f t="shared" si="39"/>
        <v>0.33892573604251447</v>
      </c>
      <c r="BZ325" s="482">
        <f t="shared" si="39"/>
        <v>9.5444558374491395E-2</v>
      </c>
      <c r="CA325" s="482">
        <f>BV325/BI325</f>
        <v>0.40040742639574867</v>
      </c>
      <c r="CB325" s="482">
        <f>BW325/BI325</f>
        <v>1.4407426395748563E-2</v>
      </c>
      <c r="CD325" s="482">
        <f t="shared" si="40"/>
        <v>0.30117429845925825</v>
      </c>
      <c r="CE325" s="482">
        <f t="shared" si="40"/>
        <v>0.4308020676419051</v>
      </c>
      <c r="CF325" s="482">
        <f t="shared" si="40"/>
        <v>0.51778739133353135</v>
      </c>
      <c r="CG325" s="482">
        <f t="shared" si="40"/>
        <v>0.90397336642422355</v>
      </c>
      <c r="CI325" s="651">
        <f>BT325/SUM(L325:M325)</f>
        <v>1.6158873126315796</v>
      </c>
      <c r="CJ325" s="651">
        <f>BU325/N325</f>
        <v>2.161480419000001</v>
      </c>
      <c r="CK325" s="651">
        <f>BV325/SUM(L502:M502)</f>
        <v>1.9820342648087439</v>
      </c>
      <c r="CL325" s="651">
        <f>BW325/N502</f>
        <v>3.2627706150000009</v>
      </c>
      <c r="CN325" s="482">
        <f t="shared" si="41"/>
        <v>0.23269144064561309</v>
      </c>
      <c r="CO325" s="482">
        <f t="shared" si="41"/>
        <v>0.25195180918666704</v>
      </c>
      <c r="CP325" s="482">
        <f t="shared" si="41"/>
        <v>0.46802387030620274</v>
      </c>
      <c r="CQ325" s="482">
        <f t="shared" si="41"/>
        <v>0.42798002481816777</v>
      </c>
    </row>
    <row r="326" spans="1:95" ht="12.75" customHeight="1">
      <c r="B326" s="562" t="str">
        <f>$B$16</f>
        <v>Year</v>
      </c>
      <c r="D326" s="618">
        <f>(W326/W319-1)*100</f>
        <v>3.3917706522740287</v>
      </c>
      <c r="F326" s="660">
        <f>F322*W322/W326+F323*W323/W326+F324*W324/W326+F325*W325/W326</f>
        <v>-0.35382260450945102</v>
      </c>
      <c r="G326" s="660">
        <f>G322*X322/X326+G323*X323/X326+G324*X324/X326+G325*X325/X326</f>
        <v>3</v>
      </c>
      <c r="I326" s="618">
        <f>D326-F326</f>
        <v>3.7455932567834798</v>
      </c>
      <c r="K326" s="410">
        <f>K325</f>
        <v>230</v>
      </c>
      <c r="L326" s="410">
        <f>L325</f>
        <v>176</v>
      </c>
      <c r="M326" s="410">
        <f>M325</f>
        <v>14</v>
      </c>
      <c r="N326" s="410">
        <f>N325</f>
        <v>40</v>
      </c>
      <c r="P326" s="587">
        <f>AVERAGE(P322:P325)</f>
        <v>221.375</v>
      </c>
      <c r="R326" s="618">
        <f>(P326/P319-1)*100</f>
        <v>7.5941676792223634</v>
      </c>
      <c r="S326" s="563"/>
      <c r="T326" s="595">
        <f>I326/R326*100</f>
        <v>49.321972005324824</v>
      </c>
      <c r="U326" s="416"/>
      <c r="W326" s="539">
        <f>SUM(W322:W325)</f>
        <v>1369.3019999999999</v>
      </c>
      <c r="X326" s="579">
        <f>SUM(X322:X325)</f>
        <v>1144.3265394542939</v>
      </c>
      <c r="Z326" s="580">
        <f t="shared" si="42"/>
        <v>6.1854409937888191</v>
      </c>
      <c r="AB326" s="599">
        <f>(Z326/Z319-1)*100</f>
        <v>-3.9057851532224519</v>
      </c>
      <c r="AC326" s="563"/>
      <c r="AG326" s="582">
        <f>AVERAGE(AG322:AG325)</f>
        <v>2.5950793333333335</v>
      </c>
      <c r="AI326" s="539">
        <f>(AG326/AG319-1)*100</f>
        <v>6.489893758725529</v>
      </c>
      <c r="AJ326" s="563"/>
      <c r="AK326" s="595">
        <f>+I326/AI326*100</f>
        <v>57.714246119169623</v>
      </c>
      <c r="AL326" s="416"/>
      <c r="AN326" s="579">
        <f t="shared" si="43"/>
        <v>1369.3019999999999</v>
      </c>
      <c r="AP326" s="583">
        <f>SUM(AP322:AP325)</f>
        <v>526.54416273633183</v>
      </c>
      <c r="AR326" s="583">
        <f>SUM(AR322:AR325)</f>
        <v>526.54416273633183</v>
      </c>
      <c r="AT326" s="599">
        <f>(AR326/AR319-1)*100</f>
        <v>-2.7645973034180593</v>
      </c>
      <c r="AU326" s="563"/>
      <c r="AV326" s="579">
        <f>SUM(AV322:AV325)</f>
        <v>224.97546054570617</v>
      </c>
      <c r="AW326" s="458">
        <f>AV326/AV319-1</f>
        <v>-0.12022673649568483</v>
      </c>
      <c r="BH326" s="579">
        <f>BH325</f>
        <v>3086.64446</v>
      </c>
      <c r="BI326" s="579">
        <f>segSales!AR134</f>
        <v>3086.64446</v>
      </c>
      <c r="BJ326" s="623">
        <f>BH326*BO326</f>
        <v>1120.45193898</v>
      </c>
      <c r="BK326" s="623">
        <f>BP326*BH326</f>
        <v>250.01820126000001</v>
      </c>
      <c r="BL326" s="623">
        <f>BH326*BQ326</f>
        <v>1228.48449508</v>
      </c>
      <c r="BM326" s="623">
        <f>BH326*BR326</f>
        <v>37.039733519999999</v>
      </c>
      <c r="BO326" s="482">
        <v>0.36299999999999999</v>
      </c>
      <c r="BP326" s="482">
        <v>8.1000000000000003E-2</v>
      </c>
      <c r="BQ326" s="482">
        <v>0.39800000000000002</v>
      </c>
      <c r="BR326" s="482">
        <v>1.2E-2</v>
      </c>
      <c r="BT326" s="650">
        <f>SUM(BT322:BT325)</f>
        <v>1120.45193898</v>
      </c>
      <c r="BU326" s="650">
        <f>SUM(BU322:BU325)</f>
        <v>250.01820126000001</v>
      </c>
      <c r="BV326" s="650">
        <f>SUM(BV322:BV325)</f>
        <v>1228.48449508</v>
      </c>
      <c r="BW326" s="650">
        <f>SUM(BW322:BW325)</f>
        <v>37.039733519999999</v>
      </c>
      <c r="BY326" s="482">
        <f t="shared" si="39"/>
        <v>0.36299999999999999</v>
      </c>
      <c r="BZ326" s="482">
        <f t="shared" si="39"/>
        <v>8.1000000000000003E-2</v>
      </c>
      <c r="CA326" s="482">
        <f>BV326/BI326</f>
        <v>0.39800000000000002</v>
      </c>
      <c r="CB326" s="482">
        <f>BW326/BI326</f>
        <v>1.2E-2</v>
      </c>
      <c r="CD326" s="482">
        <f t="shared" si="40"/>
        <v>0.34526179969171111</v>
      </c>
      <c r="CE326" s="482">
        <f t="shared" si="40"/>
        <v>0.35536895070366992</v>
      </c>
      <c r="CF326" s="482">
        <f t="shared" si="40"/>
        <v>0.47993646743500862</v>
      </c>
      <c r="CG326" s="482">
        <f t="shared" si="40"/>
        <v>0.65656205086004094</v>
      </c>
      <c r="CI326" s="651">
        <f>BT326/SUM(L326:M326)</f>
        <v>5.89711546831579</v>
      </c>
      <c r="CJ326" s="651">
        <f>BU326/N326</f>
        <v>6.2504550315000005</v>
      </c>
      <c r="CK326" s="651">
        <f>BV326/SUM(L503:M503)</f>
        <v>6.7130300277595625</v>
      </c>
      <c r="CL326" s="651">
        <f>BW326/N503</f>
        <v>9.2599333799999997</v>
      </c>
      <c r="CN326" s="482">
        <f t="shared" si="41"/>
        <v>0.27445854707635808</v>
      </c>
      <c r="CO326" s="482">
        <f t="shared" si="41"/>
        <v>0.18594783186571129</v>
      </c>
      <c r="CP326" s="482">
        <f t="shared" si="41"/>
        <v>0.43141396030599188</v>
      </c>
      <c r="CQ326" s="482">
        <f t="shared" si="41"/>
        <v>0.24242153814503054</v>
      </c>
    </row>
    <row r="327" spans="1:95" ht="12.75" customHeight="1">
      <c r="B327" s="562"/>
      <c r="D327" s="618"/>
      <c r="F327" s="656"/>
      <c r="G327" s="660"/>
      <c r="I327" s="618"/>
      <c r="P327" s="587"/>
      <c r="R327" s="618"/>
      <c r="S327" s="563"/>
      <c r="T327" s="665"/>
      <c r="U327" s="416"/>
      <c r="W327" s="482"/>
      <c r="X327" s="482"/>
      <c r="Z327" s="482"/>
      <c r="AB327" s="599"/>
      <c r="AC327" s="563"/>
      <c r="AG327" s="582"/>
      <c r="AI327" s="539"/>
      <c r="AJ327" s="563"/>
      <c r="AK327" s="595"/>
      <c r="AL327" s="416"/>
      <c r="AN327" s="579"/>
      <c r="AP327" s="583"/>
      <c r="AR327" s="583"/>
      <c r="AT327" s="599"/>
      <c r="AU327" s="563"/>
      <c r="BI327" s="539"/>
      <c r="BJ327" s="623"/>
      <c r="BK327" s="623"/>
      <c r="BL327" s="623"/>
      <c r="BM327" s="623"/>
      <c r="BO327" s="482"/>
      <c r="BP327" s="482"/>
      <c r="BQ327" s="482"/>
      <c r="BR327" s="482"/>
    </row>
    <row r="328" spans="1:95" ht="12.75" customHeight="1">
      <c r="A328" s="593"/>
      <c r="B328" s="431">
        <f>+B151</f>
        <v>2014</v>
      </c>
      <c r="D328" s="618"/>
      <c r="F328" s="656"/>
      <c r="G328" s="660"/>
      <c r="I328" s="618"/>
      <c r="P328" s="587"/>
      <c r="R328" s="618"/>
      <c r="S328" s="563"/>
      <c r="T328" s="595"/>
      <c r="U328" s="416"/>
      <c r="X328" s="579"/>
      <c r="Z328" s="580"/>
      <c r="AB328" s="599"/>
      <c r="AC328" s="563"/>
      <c r="AG328" s="582"/>
      <c r="AI328" s="539"/>
      <c r="AJ328" s="563"/>
      <c r="AK328" s="595"/>
      <c r="AL328" s="416"/>
      <c r="AN328" s="579"/>
      <c r="AP328" s="583"/>
      <c r="AR328" s="583"/>
      <c r="AT328" s="599"/>
      <c r="AU328" s="563"/>
      <c r="AV328" s="579"/>
      <c r="AW328" s="631"/>
      <c r="BI328" s="539"/>
      <c r="BJ328" s="623"/>
      <c r="BK328" s="623"/>
      <c r="BL328" s="623"/>
      <c r="BM328" s="623"/>
      <c r="BO328" s="482"/>
      <c r="BP328" s="482"/>
      <c r="BQ328" s="482"/>
      <c r="BR328" s="482"/>
    </row>
    <row r="329" spans="1:95" ht="12.75" customHeight="1">
      <c r="A329" s="410" t="str">
        <f>$A$12</f>
        <v>1Q</v>
      </c>
      <c r="B329" s="562" t="str">
        <f>$B$12</f>
        <v>Apr</v>
      </c>
      <c r="D329" s="645">
        <f>(W329/W322-1)*100</f>
        <v>-5.1688923802042481</v>
      </c>
      <c r="E329" s="563" t="s">
        <v>208</v>
      </c>
      <c r="F329" s="656">
        <f>segSales!H137</f>
        <v>-12</v>
      </c>
      <c r="G329" s="662"/>
      <c r="H329" s="563" t="s">
        <v>208</v>
      </c>
      <c r="I329" s="645">
        <f>D329-F329</f>
        <v>6.8311076197957519</v>
      </c>
      <c r="J329" s="563" t="s">
        <v>208</v>
      </c>
      <c r="K329" s="454">
        <v>232</v>
      </c>
      <c r="L329" s="454">
        <v>178</v>
      </c>
      <c r="M329" s="454">
        <v>14</v>
      </c>
      <c r="N329" s="454">
        <v>40</v>
      </c>
      <c r="P329" s="587">
        <f>AVERAGE(K329,K325)</f>
        <v>231</v>
      </c>
      <c r="R329" s="645">
        <f>(P329/P322-1)*100</f>
        <v>7.1925754060324865</v>
      </c>
      <c r="S329" s="563" t="s">
        <v>208</v>
      </c>
      <c r="T329" s="595">
        <f>I329/R329*100</f>
        <v>94.974431746192494</v>
      </c>
      <c r="U329" s="416" t="s">
        <v>208</v>
      </c>
      <c r="W329" s="647">
        <v>277.65600000000001</v>
      </c>
      <c r="X329" s="539">
        <f>+X322*(1+(G329+I329)/100)</f>
        <v>244.32273752783149</v>
      </c>
      <c r="Z329" s="580">
        <f>W329/P329</f>
        <v>1.2019740259740259</v>
      </c>
      <c r="AB329" s="599">
        <f>(Z329/Z322-1)*100</f>
        <v>-11.532018649065002</v>
      </c>
      <c r="AC329" s="563" t="s">
        <v>208</v>
      </c>
      <c r="AE329" s="581">
        <f>2.064285/0.75</f>
        <v>2.75238</v>
      </c>
      <c r="AG329" s="582">
        <f>AVERAGE(AE329,AE322)</f>
        <v>2.6543840000000003</v>
      </c>
      <c r="AI329" s="539">
        <f>(AG329/AG322-1)*100</f>
        <v>6.7607791739074941</v>
      </c>
      <c r="AJ329" s="563" t="s">
        <v>208</v>
      </c>
      <c r="AK329" s="595">
        <f>+I329/AI329*100</f>
        <v>101.04024172479531</v>
      </c>
      <c r="AL329" s="416" t="s">
        <v>208</v>
      </c>
      <c r="AN329" s="579">
        <f>W329</f>
        <v>277.65600000000001</v>
      </c>
      <c r="AP329" s="583">
        <f>W329/AG329</f>
        <v>104.60280049909883</v>
      </c>
      <c r="AR329" s="583">
        <f>AN329/AG329</f>
        <v>104.60280049909883</v>
      </c>
      <c r="AT329" s="599">
        <f>(AR329/AR322-1)*100</f>
        <v>-11.174208025101573</v>
      </c>
      <c r="AU329" s="563" t="s">
        <v>208</v>
      </c>
      <c r="AV329" s="579">
        <f>W329-X329</f>
        <v>33.333262472168514</v>
      </c>
      <c r="AW329" s="458">
        <f>AV329/AV322-1</f>
        <v>-0.47989920819934828</v>
      </c>
      <c r="BH329" s="579">
        <f>BI329</f>
        <v>686.57950000000005</v>
      </c>
      <c r="BI329" s="579">
        <f>segSales!AR137</f>
        <v>686.57950000000005</v>
      </c>
      <c r="BJ329" s="623">
        <f>BH329*BO329</f>
        <v>222.45175800000001</v>
      </c>
      <c r="BK329" s="623">
        <f>BP329*BH329</f>
        <v>55.612939500000003</v>
      </c>
      <c r="BL329" s="623">
        <f>BH329*BQ329</f>
        <v>286.99023099999999</v>
      </c>
      <c r="BM329" s="623">
        <f>BH329*BR329</f>
        <v>7.5523745</v>
      </c>
      <c r="BO329" s="482">
        <v>0.32400000000000001</v>
      </c>
      <c r="BP329" s="482">
        <v>8.1000000000000003E-2</v>
      </c>
      <c r="BQ329" s="482">
        <v>0.41799999999999998</v>
      </c>
      <c r="BR329" s="482">
        <v>1.0999999999999999E-2</v>
      </c>
      <c r="BT329" s="650">
        <f>BJ329</f>
        <v>222.45175800000001</v>
      </c>
      <c r="BU329" s="650">
        <f>BK329</f>
        <v>55.612939500000003</v>
      </c>
      <c r="BV329" s="650">
        <f>BL329</f>
        <v>286.99023099999999</v>
      </c>
      <c r="BW329" s="650">
        <f>BM329</f>
        <v>7.5523745</v>
      </c>
      <c r="BY329" s="482">
        <f t="shared" ref="BY329:BZ331" si="44">BT329/$BI329</f>
        <v>0.32400000000000001</v>
      </c>
      <c r="BZ329" s="482">
        <f t="shared" si="44"/>
        <v>8.1000000000000003E-2</v>
      </c>
      <c r="CA329" s="482">
        <f>BV329/BI329</f>
        <v>0.41799999999999998</v>
      </c>
      <c r="CB329" s="482">
        <f>BW329/BI329</f>
        <v>1.0999999999999999E-2</v>
      </c>
      <c r="CD329" s="482">
        <f t="shared" ref="CD329:CG331" si="45">BT329/BT322-1</f>
        <v>-9.6854007451819157E-2</v>
      </c>
      <c r="CE329" s="482">
        <f t="shared" si="45"/>
        <v>0.19165096238996093</v>
      </c>
      <c r="CF329" s="482">
        <f t="shared" si="45"/>
        <v>0.11247370693244796</v>
      </c>
      <c r="CG329" s="482">
        <f t="shared" si="45"/>
        <v>5.924529990218752E-2</v>
      </c>
      <c r="CI329" s="651">
        <f>BT329/SUM(L329:M329)</f>
        <v>1.1586029062500001</v>
      </c>
      <c r="CJ329" s="651">
        <f>BU329/N329</f>
        <v>1.3903234875000001</v>
      </c>
      <c r="CK329" s="651">
        <f>BV329/SUM(L506:M506)</f>
        <v>1.5429582311827956</v>
      </c>
      <c r="CL329" s="651">
        <f>BW329/N506</f>
        <v>1.888093625</v>
      </c>
      <c r="CN329" s="482">
        <f t="shared" ref="CN329:CQ331" si="46">CI329/CI322-1</f>
        <v>-0.15330063198608035</v>
      </c>
      <c r="CO329" s="482">
        <f t="shared" si="46"/>
        <v>7.248586615096464E-2</v>
      </c>
      <c r="CP329" s="482">
        <f t="shared" si="46"/>
        <v>7.0606416886603185E-2</v>
      </c>
      <c r="CQ329" s="482">
        <f t="shared" si="46"/>
        <v>-0.2055660250733593</v>
      </c>
    </row>
    <row r="330" spans="1:95" ht="12.75" customHeight="1">
      <c r="A330" s="410" t="str">
        <f>$A$13</f>
        <v>2Q</v>
      </c>
      <c r="B330" s="562" t="str">
        <f>$B$13</f>
        <v>Jul</v>
      </c>
      <c r="D330" s="645">
        <f>(W330/W323-1)*100</f>
        <v>-2.3599494911980989</v>
      </c>
      <c r="F330" s="656">
        <f>segSales!H138</f>
        <v>-10</v>
      </c>
      <c r="G330" s="662"/>
      <c r="I330" s="645">
        <f>D330-F330</f>
        <v>7.6400505088019006</v>
      </c>
      <c r="K330" s="454">
        <v>233</v>
      </c>
      <c r="L330" s="454">
        <v>179</v>
      </c>
      <c r="M330" s="454">
        <v>14</v>
      </c>
      <c r="N330" s="454">
        <v>40</v>
      </c>
      <c r="P330" s="587">
        <f>AVERAGE(K330,K329)</f>
        <v>232.5</v>
      </c>
      <c r="R330" s="645">
        <f>(P330/P323-1)*100</f>
        <v>6.164383561643838</v>
      </c>
      <c r="S330" s="563"/>
      <c r="T330" s="595">
        <f>I330/R330*100</f>
        <v>123.93859714278635</v>
      </c>
      <c r="U330" s="416"/>
      <c r="W330" s="647">
        <v>328.63200000000001</v>
      </c>
      <c r="X330" s="539">
        <f>+X323*(1+(G330+I330)/100)</f>
        <v>291.05831214689692</v>
      </c>
      <c r="Z330" s="585">
        <f t="shared" ref="Z330:Z333" si="47">W330/P330</f>
        <v>1.4134709677419355</v>
      </c>
      <c r="AB330" s="599">
        <f>(Z330/Z323-1)*100</f>
        <v>-8.0293717788059489</v>
      </c>
      <c r="AC330" s="563"/>
      <c r="AE330" s="581">
        <f>2.098285/0.75</f>
        <v>2.7977133333333337</v>
      </c>
      <c r="AG330" s="582">
        <f>AVERAGE(AE330,AE329)</f>
        <v>2.7750466666666669</v>
      </c>
      <c r="AI330" s="539">
        <f>(AG330/AG323-1)*100</f>
        <v>7.3699839070254791</v>
      </c>
      <c r="AJ330" s="563"/>
      <c r="AK330" s="595">
        <f>+I330/AI330*100</f>
        <v>103.6644123675627</v>
      </c>
      <c r="AL330" s="416"/>
      <c r="AN330" s="584">
        <f t="shared" ref="AN330:AN333" si="48">W330</f>
        <v>328.63200000000001</v>
      </c>
      <c r="AP330" s="586">
        <f>W330/AG330</f>
        <v>118.42395443199753</v>
      </c>
      <c r="AR330" s="586">
        <f>AN330/AG330</f>
        <v>118.42395443199753</v>
      </c>
      <c r="AT330" s="599">
        <f>(AR330/AR323-1)*100</f>
        <v>-9.0620609635640559</v>
      </c>
      <c r="AU330" s="563"/>
      <c r="AV330" s="579">
        <f>W330-X330</f>
        <v>37.573687853103081</v>
      </c>
      <c r="AW330" s="458">
        <f>AV330/AV323-1</f>
        <v>-0.43221027471132012</v>
      </c>
      <c r="BH330" s="579">
        <f>SUM(BI329:BI330)</f>
        <v>1497.8325</v>
      </c>
      <c r="BI330" s="539">
        <f>segSales!AR138</f>
        <v>811.25299999999993</v>
      </c>
      <c r="BJ330" s="623">
        <f>BH330*BO330</f>
        <v>480.80423250000001</v>
      </c>
      <c r="BK330" s="623">
        <f>BP330*BH330</f>
        <v>125.81793</v>
      </c>
      <c r="BL330" s="623">
        <f>BH330*BQ330</f>
        <v>623.09831999999994</v>
      </c>
      <c r="BM330" s="623">
        <f>BH330*BR330</f>
        <v>20.969654999999999</v>
      </c>
      <c r="BO330" s="482">
        <v>0.32100000000000001</v>
      </c>
      <c r="BP330" s="482">
        <v>8.4000000000000005E-2</v>
      </c>
      <c r="BQ330" s="482">
        <v>0.41599999999999998</v>
      </c>
      <c r="BR330" s="482">
        <v>1.4E-2</v>
      </c>
      <c r="BT330" s="650">
        <f>BJ330-BT329</f>
        <v>258.35247449999997</v>
      </c>
      <c r="BU330" s="650">
        <f>BK330-BU329</f>
        <v>70.204990500000008</v>
      </c>
      <c r="BV330" s="650">
        <f>BL330-BV329</f>
        <v>336.10808899999995</v>
      </c>
      <c r="BW330" s="650">
        <f>BM330-BW329</f>
        <v>13.4172805</v>
      </c>
      <c r="BY330" s="482">
        <f t="shared" si="44"/>
        <v>0.31846104051387175</v>
      </c>
      <c r="BZ330" s="482">
        <f t="shared" si="44"/>
        <v>8.6538959486128261E-2</v>
      </c>
      <c r="CA330" s="482">
        <f>BV330/BI330</f>
        <v>0.41430736034258114</v>
      </c>
      <c r="CB330" s="482">
        <f>BW330/BI330</f>
        <v>1.6538959486128251E-2</v>
      </c>
      <c r="CD330" s="482">
        <f t="shared" si="45"/>
        <v>-7.2027897926301154E-2</v>
      </c>
      <c r="CE330" s="482">
        <f t="shared" si="45"/>
        <v>0.19322186492979965</v>
      </c>
      <c r="CF330" s="482">
        <f t="shared" si="45"/>
        <v>9.7937207568184137E-2</v>
      </c>
      <c r="CG330" s="482">
        <f t="shared" si="45"/>
        <v>0.60798571113630717</v>
      </c>
      <c r="CI330" s="651">
        <f>BT330/SUM(L330:M330)</f>
        <v>1.3386138575129531</v>
      </c>
      <c r="CJ330" s="651">
        <f>BU330/N330</f>
        <v>1.7551247625000002</v>
      </c>
      <c r="CK330" s="651">
        <f>BV330/SUM(L507:M507)</f>
        <v>1.7878089840425528</v>
      </c>
      <c r="CL330" s="651">
        <f>BW330/N507</f>
        <v>2.6834560999999999</v>
      </c>
      <c r="CN330" s="482">
        <f t="shared" si="46"/>
        <v>-0.11049306277909698</v>
      </c>
      <c r="CO330" s="482">
        <f t="shared" si="46"/>
        <v>0.10373022506006446</v>
      </c>
      <c r="CP330" s="482">
        <f t="shared" si="46"/>
        <v>4.5376383801622122E-2</v>
      </c>
      <c r="CQ330" s="482">
        <f t="shared" si="46"/>
        <v>-3.5208573318215808E-2</v>
      </c>
    </row>
    <row r="331" spans="1:95" ht="12.75" customHeight="1">
      <c r="A331" s="410" t="str">
        <f>$A$14</f>
        <v>3Q</v>
      </c>
      <c r="B331" s="562" t="str">
        <f>$B$14</f>
        <v>Oct</v>
      </c>
      <c r="D331" s="645">
        <f>(W331/W324-1)*100</f>
        <v>-0.43958165163373586</v>
      </c>
      <c r="F331" s="656">
        <f>segSales!H139</f>
        <v>-7</v>
      </c>
      <c r="G331" s="662"/>
      <c r="I331" s="645">
        <f>D331-F331</f>
        <v>6.5604183483662641</v>
      </c>
      <c r="K331" s="454">
        <v>236</v>
      </c>
      <c r="L331" s="454">
        <v>179</v>
      </c>
      <c r="M331" s="454">
        <v>15</v>
      </c>
      <c r="N331" s="454">
        <v>42</v>
      </c>
      <c r="P331" s="587">
        <f>AVERAGE(K331,K330)</f>
        <v>234.5</v>
      </c>
      <c r="R331" s="645">
        <f>(P331/P324-1)*100</f>
        <v>4.9217002237136542</v>
      </c>
      <c r="S331" s="563"/>
      <c r="T331" s="595">
        <f>I331/R331*100</f>
        <v>133.2957728054416</v>
      </c>
      <c r="U331" s="416"/>
      <c r="W331" s="666">
        <v>340.41300000000001</v>
      </c>
      <c r="X331" s="539">
        <f>+X324*(1+(G331+I331)/100)</f>
        <v>308.20579894784782</v>
      </c>
      <c r="Z331" s="585">
        <f t="shared" si="47"/>
        <v>1.4516545842217485</v>
      </c>
      <c r="AB331" s="599">
        <f>(Z331/Z324-1)*100</f>
        <v>-5.109793173305488</v>
      </c>
      <c r="AC331" s="563"/>
      <c r="AE331" s="667">
        <f>2.127072/0.75</f>
        <v>2.836096</v>
      </c>
      <c r="AG331" s="582">
        <f>AVERAGE(AE331,AE330)</f>
        <v>2.8169046666666668</v>
      </c>
      <c r="AI331" s="539">
        <f>(AG331/AG324-1)*100</f>
        <v>7.0651993512270472</v>
      </c>
      <c r="AJ331" s="563"/>
      <c r="AK331" s="595">
        <f>+I331/AI331*100</f>
        <v>92.855389101326409</v>
      </c>
      <c r="AL331" s="416"/>
      <c r="AN331" s="584">
        <f t="shared" si="48"/>
        <v>340.41300000000001</v>
      </c>
      <c r="AP331" s="586">
        <f>W331/AG331</f>
        <v>120.84647522091032</v>
      </c>
      <c r="AR331" s="586">
        <f>AN331/AG331</f>
        <v>120.84647522091032</v>
      </c>
      <c r="AT331" s="599">
        <f>(AR331/AR324-1)*100</f>
        <v>-7.0095428284230437</v>
      </c>
      <c r="AU331" s="563"/>
      <c r="AV331" s="579">
        <f>W331-X331</f>
        <v>32.207201052152186</v>
      </c>
      <c r="AW331" s="458">
        <f>AV331/AV324-1</f>
        <v>-0.3886832811149693</v>
      </c>
      <c r="BH331" s="579">
        <f>SUM(BI329:BI331)</f>
        <v>2312.3024999999998</v>
      </c>
      <c r="BI331" s="539">
        <f>segSales!AR139</f>
        <v>814.47</v>
      </c>
      <c r="BJ331" s="623">
        <f>BH331*BO331</f>
        <v>753.81061499999998</v>
      </c>
      <c r="BK331" s="623">
        <f>BP331*BH331</f>
        <v>194.23340999999999</v>
      </c>
      <c r="BL331" s="623">
        <f>BH331*BQ331</f>
        <v>938.79481499999997</v>
      </c>
      <c r="BM331" s="623">
        <f>BH331*BR331</f>
        <v>32.372234999999996</v>
      </c>
      <c r="BO331" s="482">
        <v>0.32600000000000001</v>
      </c>
      <c r="BP331" s="482">
        <v>8.4000000000000005E-2</v>
      </c>
      <c r="BQ331" s="482">
        <v>0.40600000000000003</v>
      </c>
      <c r="BR331" s="482">
        <v>1.4E-2</v>
      </c>
      <c r="BT331" s="650">
        <f>BJ331-BT330-BT329</f>
        <v>273.00638249999997</v>
      </c>
      <c r="BU331" s="650">
        <f>BK331-BU330-BU329</f>
        <v>68.415479999999974</v>
      </c>
      <c r="BV331" s="650">
        <f>BL331-BV330-BV329</f>
        <v>315.69649500000003</v>
      </c>
      <c r="BW331" s="650">
        <f>BM331-BW330-BW329</f>
        <v>11.402579999999997</v>
      </c>
      <c r="BY331" s="482">
        <f t="shared" si="44"/>
        <v>0.33519513610077717</v>
      </c>
      <c r="BZ331" s="482">
        <f t="shared" si="44"/>
        <v>8.3999999999999964E-2</v>
      </c>
      <c r="CA331" s="482">
        <f>BV331/BI331</f>
        <v>0.38760972779844566</v>
      </c>
      <c r="CB331" s="482">
        <f>BW331/BI331</f>
        <v>1.3999999999999995E-2</v>
      </c>
      <c r="CD331" s="482">
        <f t="shared" si="45"/>
        <v>-5.4426016292579371E-2</v>
      </c>
      <c r="CE331" s="482">
        <f t="shared" si="45"/>
        <v>0.17848663327515424</v>
      </c>
      <c r="CF331" s="482">
        <f t="shared" si="45"/>
        <v>4.6494409274614901E-2</v>
      </c>
      <c r="CG331" s="482">
        <f t="shared" si="45"/>
        <v>0.3391893559944934</v>
      </c>
      <c r="CI331" s="651">
        <f>BT331/SUM(L331:M331)</f>
        <v>1.4072493943298967</v>
      </c>
      <c r="CJ331" s="651">
        <f>BU331/N331</f>
        <v>1.6289399999999994</v>
      </c>
      <c r="CK331" s="651">
        <f>BV331/SUM(L508:M508)</f>
        <v>1.6357331347150261</v>
      </c>
      <c r="CL331" s="651">
        <f>BW331/N508</f>
        <v>1.9004299999999994</v>
      </c>
      <c r="CN331" s="482">
        <f t="shared" si="46"/>
        <v>-8.854466518923898E-2</v>
      </c>
      <c r="CO331" s="482">
        <f t="shared" si="46"/>
        <v>6.6249811058472829E-2</v>
      </c>
      <c r="CP331" s="482">
        <f t="shared" si="46"/>
        <v>-1.8572600628470104E-2</v>
      </c>
      <c r="CQ331" s="482">
        <f t="shared" si="46"/>
        <v>-0.10720709600367107</v>
      </c>
    </row>
    <row r="332" spans="1:95" ht="12.75" customHeight="1">
      <c r="A332" s="410" t="str">
        <f>$A$15</f>
        <v>4Q</v>
      </c>
      <c r="B332" s="562" t="str">
        <f>$B$15</f>
        <v>Jan</v>
      </c>
      <c r="D332" s="645">
        <f>(W332/W325-1)*100</f>
        <v>10.137153567274094</v>
      </c>
      <c r="F332" s="668">
        <f>segSales!H140</f>
        <v>4</v>
      </c>
      <c r="G332" s="663"/>
      <c r="I332" s="645">
        <f>D332-F332</f>
        <v>6.137153567274094</v>
      </c>
      <c r="K332" s="669">
        <f>yrSales!$V$27</f>
        <v>238</v>
      </c>
      <c r="L332" s="669">
        <v>179</v>
      </c>
      <c r="M332" s="669">
        <v>16</v>
      </c>
      <c r="N332" s="669">
        <v>43</v>
      </c>
      <c r="P332" s="588">
        <f>AVERAGE(K332,K331)</f>
        <v>237</v>
      </c>
      <c r="R332" s="646">
        <f>(P332/P325-1)*100</f>
        <v>4.1758241758241832</v>
      </c>
      <c r="S332" s="563"/>
      <c r="T332" s="598">
        <f>I332/R332*100</f>
        <v>146.96867753208988</v>
      </c>
      <c r="U332" s="416"/>
      <c r="W332" s="670">
        <v>438.36900000000003</v>
      </c>
      <c r="X332" s="596">
        <f>+X325*(1+(G332+I332)/100)</f>
        <v>377.84388181268213</v>
      </c>
      <c r="Z332" s="590">
        <f t="shared" si="47"/>
        <v>1.8496582278481013</v>
      </c>
      <c r="AB332" s="597">
        <f>(Z332/Z325-1)*100</f>
        <v>5.7223731500204877</v>
      </c>
      <c r="AC332" s="563"/>
      <c r="AE332" s="667">
        <f>2.151162/0.75</f>
        <v>2.8682159999999999</v>
      </c>
      <c r="AG332" s="591">
        <f>AVERAGE(AE332,AE331)</f>
        <v>2.8521559999999999</v>
      </c>
      <c r="AI332" s="596">
        <f>(AG332/AG325-1)*100</f>
        <v>6.4855830438824702</v>
      </c>
      <c r="AJ332" s="563"/>
      <c r="AK332" s="598">
        <f>+I332/AI332*100</f>
        <v>94.6276306347348</v>
      </c>
      <c r="AL332" s="416"/>
      <c r="AN332" s="589">
        <f t="shared" si="48"/>
        <v>438.36900000000003</v>
      </c>
      <c r="AP332" s="592">
        <f>W332/AG332</f>
        <v>153.69741346546263</v>
      </c>
      <c r="AR332" s="592">
        <f>AN332/AG332</f>
        <v>153.69741346546263</v>
      </c>
      <c r="AT332" s="597">
        <f>(AR332/AR325-1)*100</f>
        <v>3.4291689250429469</v>
      </c>
      <c r="AU332" s="563"/>
      <c r="AV332" s="626">
        <f>W332-X332</f>
        <v>60.525118187317901</v>
      </c>
      <c r="AW332" s="625">
        <f>AV332/AV325-1</f>
        <v>0.4402124694736711</v>
      </c>
      <c r="BH332" s="579">
        <f>SUM(BI329:BI332)</f>
        <v>3323.3464999999997</v>
      </c>
      <c r="BI332" s="539">
        <f>segSales!AR140</f>
        <v>1011.0440000000001</v>
      </c>
      <c r="BJ332" s="623"/>
      <c r="BK332" s="623"/>
      <c r="BL332" s="623"/>
      <c r="BM332" s="623"/>
      <c r="BO332" s="482"/>
      <c r="BP332" s="482"/>
      <c r="BQ332" s="482"/>
      <c r="BR332" s="482"/>
      <c r="BT332" s="650"/>
      <c r="BU332" s="650"/>
      <c r="BV332" s="650"/>
      <c r="BW332" s="650"/>
      <c r="BY332" s="482"/>
      <c r="BZ332" s="482"/>
      <c r="CA332" s="482"/>
      <c r="CB332" s="482"/>
      <c r="CD332" s="482"/>
      <c r="CE332" s="482"/>
      <c r="CF332" s="482"/>
      <c r="CG332" s="482"/>
      <c r="CI332" s="651"/>
      <c r="CJ332" s="651"/>
      <c r="CK332" s="651"/>
      <c r="CL332" s="651"/>
      <c r="CN332" s="482"/>
      <c r="CO332" s="482"/>
      <c r="CP332" s="482"/>
      <c r="CQ332" s="482"/>
    </row>
    <row r="333" spans="1:95" ht="12.75" customHeight="1">
      <c r="B333" s="562" t="str">
        <f>$B$16</f>
        <v>Year</v>
      </c>
      <c r="D333" s="618">
        <f>(W333/W326-1)*100</f>
        <v>1.1515355998896082</v>
      </c>
      <c r="F333" s="660">
        <f>F329*W329/W333+F330*W330/W333+F331*W331/W333+F332*W332/W333</f>
        <v>-5.2326647750655191</v>
      </c>
      <c r="G333" s="660"/>
      <c r="I333" s="618">
        <f>D333-F333</f>
        <v>6.3842003749551273</v>
      </c>
      <c r="P333" s="587">
        <f>AVERAGE(P329:P332)</f>
        <v>233.75</v>
      </c>
      <c r="R333" s="618">
        <f>(P333/P326-1)*100</f>
        <v>5.5900621118012417</v>
      </c>
      <c r="S333" s="563"/>
      <c r="T333" s="595">
        <f>I333/R333*100</f>
        <v>114.20625115197507</v>
      </c>
      <c r="U333" s="416"/>
      <c r="W333" s="539">
        <f>SUM(W329:W332)</f>
        <v>1385.0700000000002</v>
      </c>
      <c r="X333" s="579">
        <f>SUM(X329:X332)</f>
        <v>1221.4307304352583</v>
      </c>
      <c r="Z333" s="580">
        <f t="shared" si="47"/>
        <v>5.9254331550802144</v>
      </c>
      <c r="AB333" s="599">
        <f>(Z333/Z326-1)*100</f>
        <v>-4.203545696575139</v>
      </c>
      <c r="AC333" s="563"/>
      <c r="AG333" s="582">
        <f>AVERAGE(AG329:AG332)</f>
        <v>2.7746228333333338</v>
      </c>
      <c r="AI333" s="539">
        <f>(AG333/AG326-1)*100</f>
        <v>6.9186131496558056</v>
      </c>
      <c r="AJ333" s="563"/>
      <c r="AK333" s="595">
        <f>+I333/AI333*100</f>
        <v>92.275724005073684</v>
      </c>
      <c r="AL333" s="416"/>
      <c r="AN333" s="579">
        <f t="shared" si="48"/>
        <v>1385.0700000000002</v>
      </c>
      <c r="AP333" s="583">
        <f>SUM(AP329:AP332)</f>
        <v>497.57064361746939</v>
      </c>
      <c r="AR333" s="583">
        <f>SUM(AR329:AR332)</f>
        <v>497.57064361746939</v>
      </c>
      <c r="AT333" s="599">
        <f>(AR333/AR326-1)*100</f>
        <v>-5.5025810120643222</v>
      </c>
      <c r="AU333" s="563"/>
      <c r="AV333" s="579">
        <f>SUM(AV329:AV332)</f>
        <v>163.63926956474168</v>
      </c>
      <c r="AW333" s="458">
        <f>AV333/AV326-1</f>
        <v>-0.2726350279812112</v>
      </c>
      <c r="BH333" s="579">
        <f>BH332</f>
        <v>3323.3464999999997</v>
      </c>
      <c r="BI333" s="579">
        <f>segSales!AR141</f>
        <v>3323.3464999999997</v>
      </c>
      <c r="BJ333" s="623"/>
      <c r="BK333" s="623"/>
      <c r="BL333" s="623"/>
      <c r="BM333" s="623"/>
      <c r="BO333" s="482"/>
      <c r="BP333" s="482"/>
      <c r="BQ333" s="482"/>
      <c r="BR333" s="482"/>
      <c r="BT333" s="650"/>
      <c r="BU333" s="650"/>
      <c r="BV333" s="650"/>
      <c r="BW333" s="650"/>
      <c r="BY333" s="482"/>
      <c r="BZ333" s="482"/>
      <c r="CA333" s="482"/>
      <c r="CB333" s="482"/>
      <c r="CD333" s="482"/>
      <c r="CE333" s="482"/>
      <c r="CF333" s="482"/>
      <c r="CG333" s="482"/>
      <c r="CI333" s="651"/>
      <c r="CJ333" s="651"/>
      <c r="CK333" s="651"/>
      <c r="CL333" s="651"/>
      <c r="CN333" s="482"/>
      <c r="CO333" s="482"/>
      <c r="CP333" s="482"/>
      <c r="CQ333" s="482"/>
    </row>
    <row r="334" spans="1:95" ht="12.75" customHeight="1">
      <c r="B334" s="562"/>
      <c r="D334" s="618"/>
      <c r="F334" s="660"/>
      <c r="G334" s="660"/>
      <c r="I334" s="618"/>
      <c r="P334" s="587"/>
      <c r="R334" s="618"/>
      <c r="S334" s="563"/>
      <c r="T334" s="595"/>
      <c r="U334" s="416"/>
      <c r="W334" s="539"/>
      <c r="X334" s="579"/>
      <c r="Z334" s="580"/>
      <c r="AB334" s="599"/>
      <c r="AC334" s="563"/>
      <c r="AG334" s="582"/>
      <c r="AI334" s="539"/>
      <c r="AJ334" s="563"/>
      <c r="AK334" s="595"/>
      <c r="AL334" s="416"/>
      <c r="AN334" s="579"/>
      <c r="AP334" s="583"/>
      <c r="AR334" s="583"/>
      <c r="AT334" s="599"/>
      <c r="AU334" s="563"/>
      <c r="AV334" s="579"/>
      <c r="AW334" s="458"/>
      <c r="BI334" s="539"/>
      <c r="BJ334" s="623"/>
      <c r="BK334" s="623"/>
      <c r="BL334" s="623"/>
      <c r="BM334" s="623"/>
      <c r="BO334" s="482"/>
      <c r="BP334" s="482"/>
      <c r="BQ334" s="623"/>
      <c r="BR334" s="623"/>
    </row>
    <row r="335" spans="1:95" ht="13.5" customHeight="1">
      <c r="A335" s="593"/>
      <c r="B335" s="431">
        <f>+B158</f>
        <v>2015</v>
      </c>
      <c r="D335" s="618"/>
      <c r="F335" s="656"/>
      <c r="G335" s="660"/>
      <c r="I335" s="618"/>
      <c r="P335" s="587"/>
      <c r="R335" s="618"/>
      <c r="S335" s="563"/>
      <c r="T335" s="595"/>
      <c r="U335" s="416"/>
      <c r="X335" s="579"/>
      <c r="Z335" s="580"/>
      <c r="AB335" s="599"/>
      <c r="AC335" s="563"/>
      <c r="AG335" s="582"/>
      <c r="AI335" s="539"/>
      <c r="AJ335" s="563"/>
      <c r="AK335" s="595"/>
      <c r="AL335" s="416"/>
      <c r="AN335" s="579"/>
      <c r="AP335" s="583"/>
      <c r="AR335" s="583"/>
      <c r="AT335" s="599"/>
      <c r="AU335" s="563"/>
      <c r="AV335" s="579"/>
      <c r="AW335" s="631"/>
      <c r="BI335" s="539"/>
      <c r="BJ335" s="623"/>
      <c r="BK335" s="623"/>
      <c r="BL335" s="623"/>
      <c r="BM335" s="623"/>
      <c r="BO335" s="482"/>
      <c r="BP335" s="482"/>
      <c r="BQ335" s="482"/>
      <c r="BR335" s="482"/>
    </row>
    <row r="336" spans="1:95" ht="12.75" customHeight="1">
      <c r="A336" s="410" t="str">
        <f>$A$12</f>
        <v>1Q</v>
      </c>
      <c r="B336" s="562" t="str">
        <f>$B$12</f>
        <v>Apr</v>
      </c>
      <c r="D336" s="645">
        <f>(W336/W329-1)*100</f>
        <v>6.4896850779381676</v>
      </c>
      <c r="E336" s="563" t="s">
        <v>208</v>
      </c>
      <c r="F336" s="656">
        <f>segSales!H144</f>
        <v>5</v>
      </c>
      <c r="G336" s="662"/>
      <c r="H336" s="563" t="s">
        <v>208</v>
      </c>
      <c r="I336" s="645">
        <f>D336-F336</f>
        <v>1.4896850779381676</v>
      </c>
      <c r="J336" s="563" t="s">
        <v>208</v>
      </c>
      <c r="K336" s="454">
        <v>238</v>
      </c>
      <c r="L336" s="669">
        <v>179</v>
      </c>
      <c r="M336" s="669">
        <v>16</v>
      </c>
      <c r="N336" s="669">
        <v>43</v>
      </c>
      <c r="P336" s="587">
        <f>AVERAGE(K336,K332)</f>
        <v>238</v>
      </c>
      <c r="R336" s="645">
        <f>(P336/P329-1)*100</f>
        <v>3.0303030303030276</v>
      </c>
      <c r="S336" s="563" t="s">
        <v>208</v>
      </c>
      <c r="T336" s="595">
        <f>I336/R336*100</f>
        <v>49.159607571959576</v>
      </c>
      <c r="U336" s="416" t="s">
        <v>208</v>
      </c>
      <c r="W336" s="647">
        <v>295.67500000000001</v>
      </c>
      <c r="X336" s="539">
        <f>+X329*(1+(G336+I336)/100)</f>
        <v>247.96237689079362</v>
      </c>
      <c r="Z336" s="580">
        <f>W336/P336</f>
        <v>1.2423319327731093</v>
      </c>
      <c r="AB336" s="599">
        <f>(Z336/Z329-1)*100</f>
        <v>3.3576355168223548</v>
      </c>
      <c r="AC336" s="563" t="s">
        <v>208</v>
      </c>
      <c r="AE336" s="600">
        <f>AE332+(K336-K332)*((yrSales!$W$58/1000000))</f>
        <v>2.8682159999999999</v>
      </c>
      <c r="AG336" s="582">
        <f>AVERAGE(AE336,AE329)</f>
        <v>2.810298</v>
      </c>
      <c r="AI336" s="539">
        <f>(AG336/AG329-1)*100</f>
        <v>5.8738298603366879</v>
      </c>
      <c r="AJ336" s="563" t="s">
        <v>208</v>
      </c>
      <c r="AK336" s="595">
        <f>+I336/AI336*100</f>
        <v>25.361393049487795</v>
      </c>
      <c r="AL336" s="416" t="s">
        <v>208</v>
      </c>
      <c r="AN336" s="579">
        <f>W336</f>
        <v>295.67500000000001</v>
      </c>
      <c r="AP336" s="583">
        <f>W336/AG336</f>
        <v>105.2112622931803</v>
      </c>
      <c r="AR336" s="583">
        <f>AN336/AG336</f>
        <v>105.2112622931803</v>
      </c>
      <c r="AT336" s="599">
        <f>(AR336/AR329-1)*100</f>
        <v>0.58168786225440972</v>
      </c>
      <c r="AU336" s="563" t="s">
        <v>208</v>
      </c>
      <c r="AV336" s="579">
        <f>W336-X336</f>
        <v>47.71262310920639</v>
      </c>
      <c r="AW336" s="458">
        <f>AV336/AV329-1</f>
        <v>0.43138173615750541</v>
      </c>
      <c r="BI336" s="579"/>
      <c r="BJ336" s="623"/>
      <c r="BK336" s="623"/>
      <c r="BL336" s="623"/>
      <c r="BM336" s="623"/>
      <c r="BO336" s="482"/>
      <c r="BP336" s="482"/>
      <c r="BQ336" s="482"/>
      <c r="BR336" s="482"/>
    </row>
    <row r="337" spans="1:70" ht="12.75" customHeight="1">
      <c r="A337" s="410" t="str">
        <f>$A$13</f>
        <v>2Q</v>
      </c>
      <c r="B337" s="562" t="str">
        <f>$B$13</f>
        <v>Jul</v>
      </c>
      <c r="D337" s="645">
        <f>(W337/W330-1)*100</f>
        <v>4.1307602424596412</v>
      </c>
      <c r="F337" s="656">
        <f>segSales!H145</f>
        <v>4</v>
      </c>
      <c r="G337" s="662"/>
      <c r="I337" s="645">
        <f>D337-F337</f>
        <v>0.13076024245964124</v>
      </c>
      <c r="K337" s="454">
        <v>238</v>
      </c>
      <c r="L337" s="454"/>
      <c r="M337" s="454"/>
      <c r="N337" s="454"/>
      <c r="P337" s="587">
        <f>AVERAGE(K337,K336)</f>
        <v>238</v>
      </c>
      <c r="R337" s="645">
        <f>(P337/P330-1)*100</f>
        <v>2.3655913978494647</v>
      </c>
      <c r="S337" s="563"/>
      <c r="T337" s="595">
        <f>I337/R337*100</f>
        <v>5.5275920676121011</v>
      </c>
      <c r="U337" s="416"/>
      <c r="W337" s="647">
        <v>342.20699999999999</v>
      </c>
      <c r="X337" s="539">
        <f>+X330*(1+(G337+I337)/100)</f>
        <v>291.43890070155913</v>
      </c>
      <c r="Z337" s="585">
        <f t="shared" ref="Z337:Z340" si="49">W337/P337</f>
        <v>1.4378445378151261</v>
      </c>
      <c r="AB337" s="599">
        <f>(Z337/Z330-1)*100</f>
        <v>1.7243771276129083</v>
      </c>
      <c r="AC337" s="563"/>
      <c r="AE337" s="600">
        <f>AE336+(K337-K336)*((yrSales!$W$58/1000000))</f>
        <v>2.8682159999999999</v>
      </c>
      <c r="AG337" s="582">
        <f>AVERAGE(AE337,AE336)</f>
        <v>2.8682159999999999</v>
      </c>
      <c r="AI337" s="539">
        <f>(AG337/AG330-1)*100</f>
        <v>3.3573969927232383</v>
      </c>
      <c r="AJ337" s="563"/>
      <c r="AK337" s="595">
        <f>+I337/AI337*100</f>
        <v>3.8946911176440744</v>
      </c>
      <c r="AL337" s="416"/>
      <c r="AN337" s="584">
        <f t="shared" ref="AN337:AN340" si="50">W337</f>
        <v>342.20699999999999</v>
      </c>
      <c r="AP337" s="586">
        <f>W337/AG337</f>
        <v>119.3100519626137</v>
      </c>
      <c r="AR337" s="586">
        <f>AN337/AG337</f>
        <v>119.3100519626137</v>
      </c>
      <c r="AT337" s="599">
        <f>(AR337/AR330-1)*100</f>
        <v>0.74824180197849977</v>
      </c>
      <c r="AU337" s="563"/>
      <c r="AV337" s="579">
        <f>W337-X337</f>
        <v>50.768099298440859</v>
      </c>
      <c r="AW337" s="458">
        <f>AV337/AV330-1</f>
        <v>0.35116093732726572</v>
      </c>
      <c r="BI337" s="539"/>
      <c r="BJ337" s="623"/>
      <c r="BK337" s="623"/>
      <c r="BL337" s="623"/>
      <c r="BM337" s="623"/>
      <c r="BO337" s="482"/>
      <c r="BP337" s="482"/>
      <c r="BQ337" s="482"/>
      <c r="BR337" s="482"/>
    </row>
    <row r="338" spans="1:70" ht="12.75" customHeight="1">
      <c r="A338" s="410" t="str">
        <f>$A$14</f>
        <v>3Q</v>
      </c>
      <c r="B338" s="562" t="str">
        <f>$B$14</f>
        <v>Oct</v>
      </c>
      <c r="D338" s="539">
        <f>(W338/W331-1)*100</f>
        <v>-0.23412736881377461</v>
      </c>
      <c r="E338" s="539"/>
      <c r="F338" s="656">
        <f>segSales!H146</f>
        <v>1</v>
      </c>
      <c r="G338" s="662"/>
      <c r="I338" s="645">
        <f>D338-F338</f>
        <v>-1.2341273688137746</v>
      </c>
      <c r="K338" s="454">
        <v>240</v>
      </c>
      <c r="L338" s="454"/>
      <c r="M338" s="454"/>
      <c r="N338" s="454"/>
      <c r="P338" s="587">
        <f>AVERAGE(K338,K337)</f>
        <v>239</v>
      </c>
      <c r="R338" s="645">
        <f>(P338/P331-1)*100</f>
        <v>1.9189765458422103</v>
      </c>
      <c r="S338" s="563"/>
      <c r="T338" s="595">
        <f>I338/R338*100</f>
        <v>-64.311748441518048</v>
      </c>
      <c r="U338" s="416"/>
      <c r="W338" s="647">
        <v>339.61599999999999</v>
      </c>
      <c r="X338" s="539">
        <f>+X331*(1+(G338+I338)/100)</f>
        <v>304.4021468307613</v>
      </c>
      <c r="Z338" s="585">
        <f t="shared" si="49"/>
        <v>1.4209874476987447</v>
      </c>
      <c r="AB338" s="599">
        <f>(Z338/Z331-1)*100</f>
        <v>-2.1125643012001261</v>
      </c>
      <c r="AC338" s="563"/>
      <c r="AE338" s="600">
        <f>AE337+(K338-K337)*((yrSales!$W$58/1000000))</f>
        <v>2.8948826666666667</v>
      </c>
      <c r="AG338" s="582">
        <f>AVERAGE(AE338,AE337)</f>
        <v>2.8815493333333331</v>
      </c>
      <c r="AI338" s="539">
        <f>(AG338/AG331-1)*100</f>
        <v>2.2948830122519581</v>
      </c>
      <c r="AJ338" s="563"/>
      <c r="AK338" s="595">
        <f>+I338/AI338*100</f>
        <v>-53.777354323727863</v>
      </c>
      <c r="AL338" s="416"/>
      <c r="AN338" s="584">
        <f t="shared" si="50"/>
        <v>339.61599999999999</v>
      </c>
      <c r="AP338" s="586">
        <f>W338/AG338</f>
        <v>117.85881854298752</v>
      </c>
      <c r="AR338" s="586">
        <f>AN338/AG338</f>
        <v>117.85881854298752</v>
      </c>
      <c r="AT338" s="599">
        <f>(AR338/AR331-1)*100</f>
        <v>-2.4722745718990025</v>
      </c>
      <c r="AU338" s="563"/>
      <c r="AV338" s="579">
        <f>W338-X338</f>
        <v>35.213853169238689</v>
      </c>
      <c r="AW338" s="458">
        <f>AV338/AV331-1</f>
        <v>9.3353412245227974E-2</v>
      </c>
      <c r="BI338" s="539"/>
      <c r="BJ338" s="623"/>
      <c r="BK338" s="623"/>
      <c r="BL338" s="623"/>
      <c r="BM338" s="623"/>
      <c r="BO338" s="482"/>
      <c r="BP338" s="482"/>
      <c r="BQ338" s="482"/>
      <c r="BR338" s="482"/>
    </row>
    <row r="339" spans="1:70" ht="12.75" customHeight="1">
      <c r="A339" s="410" t="str">
        <f>$A$15</f>
        <v>4Q</v>
      </c>
      <c r="B339" s="562" t="str">
        <f>$B$15</f>
        <v>Jan</v>
      </c>
      <c r="D339" s="645">
        <f>(W339/W332-1)*100</f>
        <v>-5.1415588237307075</v>
      </c>
      <c r="F339" s="668">
        <f>segSales!H147</f>
        <v>-3</v>
      </c>
      <c r="G339" s="663"/>
      <c r="I339" s="646">
        <f>D339-F339</f>
        <v>-2.1415588237307075</v>
      </c>
      <c r="K339" s="454">
        <v>240</v>
      </c>
      <c r="P339" s="588">
        <f>AVERAGE(K339,K338)</f>
        <v>240</v>
      </c>
      <c r="R339" s="646">
        <f>(P339/P332-1)*100</f>
        <v>1.2658227848101333</v>
      </c>
      <c r="S339" s="563"/>
      <c r="T339" s="1616">
        <f>I339/R339*100</f>
        <v>-169.18314707472499</v>
      </c>
      <c r="U339" s="416"/>
      <c r="W339" s="670">
        <v>415.83</v>
      </c>
      <c r="X339" s="596">
        <f>+X332*(1+(G339+I339)/100)</f>
        <v>369.75213282179601</v>
      </c>
      <c r="Z339" s="590">
        <f t="shared" si="49"/>
        <v>1.7326249999999999</v>
      </c>
      <c r="AB339" s="597">
        <f>(Z339/Z332-1)*100</f>
        <v>-6.3272893384340723</v>
      </c>
      <c r="AC339" s="563"/>
      <c r="AE339" s="600">
        <f>AE338+(K339-K338)*((yrSales!$W$58/1000000))</f>
        <v>2.8948826666666667</v>
      </c>
      <c r="AG339" s="591">
        <f>AVERAGE(AE339,AE338)</f>
        <v>2.8948826666666667</v>
      </c>
      <c r="AI339" s="596">
        <f>(AG339/AG332-1)*100</f>
        <v>1.4980480263585338</v>
      </c>
      <c r="AJ339" s="563"/>
      <c r="AK339" s="598">
        <f>+I339/AI339*100</f>
        <v>-142.95661995139264</v>
      </c>
      <c r="AL339" s="416"/>
      <c r="AN339" s="589">
        <f t="shared" si="50"/>
        <v>415.83</v>
      </c>
      <c r="AP339" s="592">
        <f>W339/AG339</f>
        <v>143.64312750499502</v>
      </c>
      <c r="AR339" s="592">
        <f>AN339/AG339</f>
        <v>143.64312750499502</v>
      </c>
      <c r="AT339" s="597">
        <f>(AR339/AR332-1)*100</f>
        <v>-6.5416103848272673</v>
      </c>
      <c r="AU339" s="563"/>
      <c r="AV339" s="626">
        <f>W339-X339</f>
        <v>46.077867178203974</v>
      </c>
      <c r="AW339" s="625">
        <f>AV339/AV332-1</f>
        <v>-0.23869843532401602</v>
      </c>
      <c r="BI339" s="539"/>
      <c r="BJ339" s="623"/>
      <c r="BK339" s="623"/>
      <c r="BL339" s="623"/>
      <c r="BM339" s="623"/>
      <c r="BO339" s="482"/>
      <c r="BP339" s="482"/>
      <c r="BQ339" s="482"/>
      <c r="BR339" s="482"/>
    </row>
    <row r="340" spans="1:70" ht="12.75" customHeight="1">
      <c r="B340" s="562" t="str">
        <f>$B$16</f>
        <v>Year</v>
      </c>
      <c r="D340" s="618">
        <f>(W340/W333-1)*100</f>
        <v>0.59621535373661771</v>
      </c>
      <c r="F340" s="660">
        <f>F336*W336/W340+F337*W337/W340+F338*W338/W340+F339*W339/W340</f>
        <v>1.391868246385632</v>
      </c>
      <c r="G340" s="660"/>
      <c r="I340" s="618">
        <f>D340-F340</f>
        <v>-0.79565289264901429</v>
      </c>
      <c r="P340" s="587">
        <f>AVERAGE(P336:P339)</f>
        <v>238.75</v>
      </c>
      <c r="R340" s="618">
        <f>(P340/P333-1)*100</f>
        <v>2.1390374331550888</v>
      </c>
      <c r="S340" s="563"/>
      <c r="T340" s="595">
        <f>I340/R340*100</f>
        <v>-37.196772731341269</v>
      </c>
      <c r="U340" s="416"/>
      <c r="W340" s="539">
        <f>SUM(W336:W339)</f>
        <v>1393.328</v>
      </c>
      <c r="X340" s="579">
        <f>SUM(X336:X339)</f>
        <v>1213.55555724491</v>
      </c>
      <c r="Z340" s="580">
        <f t="shared" si="49"/>
        <v>5.835928795811518</v>
      </c>
      <c r="AB340" s="599">
        <f>(Z340/Z333-1)*100</f>
        <v>-1.5105116693782783</v>
      </c>
      <c r="AC340" s="563"/>
      <c r="AG340" s="582">
        <f>AVERAGE(AG336:AG339)</f>
        <v>2.8637364999999999</v>
      </c>
      <c r="AI340" s="539">
        <f>(AG340/AG333-1)*100</f>
        <v>3.2117398298639355</v>
      </c>
      <c r="AJ340" s="563"/>
      <c r="AK340" s="595">
        <f>+I340/AI340*100</f>
        <v>-24.773267288051844</v>
      </c>
      <c r="AL340" s="416"/>
      <c r="AN340" s="579">
        <f t="shared" si="50"/>
        <v>1393.328</v>
      </c>
      <c r="AP340" s="583">
        <f>SUM(AP336:AP339)</f>
        <v>486.02326030377651</v>
      </c>
      <c r="AR340" s="583">
        <f>SUM(AR336:AR339)</f>
        <v>486.02326030377651</v>
      </c>
      <c r="AT340" s="599">
        <f>(AR340/AR333-1)*100</f>
        <v>-2.3207525326937262</v>
      </c>
      <c r="AU340" s="563"/>
      <c r="AV340" s="579">
        <f>SUM(AV336:AV339)</f>
        <v>179.77244275508991</v>
      </c>
      <c r="AW340" s="458">
        <f>AV340/AV333-1</f>
        <v>9.8589863137743761E-2</v>
      </c>
      <c r="BI340" s="579"/>
      <c r="BJ340" s="623"/>
      <c r="BK340" s="623"/>
      <c r="BL340" s="623"/>
      <c r="BM340" s="623"/>
      <c r="BO340" s="482"/>
      <c r="BP340" s="482"/>
      <c r="BQ340" s="482"/>
      <c r="BR340" s="482"/>
    </row>
    <row r="341" spans="1:70" ht="12.75" customHeight="1">
      <c r="B341" s="562"/>
      <c r="D341" s="618"/>
      <c r="F341" s="660"/>
      <c r="G341" s="660"/>
      <c r="I341" s="618"/>
      <c r="P341" s="587"/>
      <c r="R341" s="618"/>
      <c r="S341" s="563"/>
      <c r="T341" s="595"/>
      <c r="U341" s="416"/>
      <c r="W341" s="539"/>
      <c r="X341" s="579"/>
      <c r="Z341" s="580"/>
      <c r="AB341" s="599"/>
      <c r="AC341" s="563"/>
      <c r="AG341" s="582"/>
      <c r="AI341" s="539"/>
      <c r="AJ341" s="563"/>
      <c r="AK341" s="595"/>
      <c r="AL341" s="416"/>
      <c r="AN341" s="579"/>
      <c r="AP341" s="583"/>
      <c r="AR341" s="583"/>
      <c r="AT341" s="599"/>
      <c r="AU341" s="563"/>
      <c r="AV341" s="579"/>
      <c r="AW341" s="458"/>
      <c r="BJ341" s="623"/>
      <c r="BK341" s="623"/>
      <c r="BL341" s="623"/>
      <c r="BM341" s="623"/>
    </row>
    <row r="342" spans="1:70" ht="13.5" customHeight="1">
      <c r="A342" s="593"/>
      <c r="B342" s="431">
        <f>+B165</f>
        <v>2016</v>
      </c>
      <c r="D342" s="618"/>
      <c r="F342" s="656"/>
      <c r="G342" s="660"/>
      <c r="I342" s="618"/>
      <c r="P342" s="587"/>
      <c r="R342" s="618"/>
      <c r="S342" s="563"/>
      <c r="T342" s="595"/>
      <c r="U342" s="416"/>
      <c r="X342" s="579"/>
      <c r="Z342" s="580"/>
      <c r="AB342" s="599"/>
      <c r="AC342" s="563"/>
      <c r="AG342" s="582"/>
      <c r="AI342" s="539"/>
      <c r="AJ342" s="563"/>
      <c r="AK342" s="595"/>
      <c r="AL342" s="416"/>
      <c r="AN342" s="579"/>
      <c r="AP342" s="583"/>
      <c r="AR342" s="583"/>
      <c r="AT342" s="599"/>
      <c r="AU342" s="563"/>
      <c r="AV342" s="579"/>
      <c r="AW342" s="631"/>
      <c r="BI342" s="539"/>
      <c r="BJ342" s="623"/>
      <c r="BK342" s="623"/>
      <c r="BL342" s="623"/>
      <c r="BM342" s="623"/>
      <c r="BO342" s="482"/>
      <c r="BP342" s="482"/>
      <c r="BQ342" s="482"/>
      <c r="BR342" s="482"/>
    </row>
    <row r="343" spans="1:70" ht="12.75" customHeight="1">
      <c r="A343" s="410" t="str">
        <f>$A$12</f>
        <v>1Q</v>
      </c>
      <c r="B343" s="562" t="str">
        <f>$B$12</f>
        <v>Apr</v>
      </c>
      <c r="D343" s="645">
        <f>(W343/W336-1)*100</f>
        <v>1.0870043121670836</v>
      </c>
      <c r="E343" s="563" t="s">
        <v>208</v>
      </c>
      <c r="F343" s="656">
        <f>segSales!H151</f>
        <v>2</v>
      </c>
      <c r="G343" s="662"/>
      <c r="H343" s="563" t="s">
        <v>208</v>
      </c>
      <c r="I343" s="645">
        <f>D343-F343</f>
        <v>-0.9129956878329164</v>
      </c>
      <c r="J343" s="563" t="s">
        <v>208</v>
      </c>
      <c r="K343" s="454">
        <v>239</v>
      </c>
      <c r="L343" s="669">
        <v>179</v>
      </c>
      <c r="M343" s="669">
        <v>16</v>
      </c>
      <c r="N343" s="669">
        <v>43</v>
      </c>
      <c r="P343" s="587">
        <f>AVERAGE(K343,K339)</f>
        <v>239.5</v>
      </c>
      <c r="R343" s="645">
        <f>(P343/P336-1)*100</f>
        <v>0.6302521008403339</v>
      </c>
      <c r="S343" s="563" t="s">
        <v>208</v>
      </c>
      <c r="T343" s="595">
        <f>I343/R343*100</f>
        <v>-144.8619824694899</v>
      </c>
      <c r="U343" s="416" t="s">
        <v>208</v>
      </c>
      <c r="W343" s="647">
        <v>298.88900000000001</v>
      </c>
      <c r="X343" s="539">
        <f>+X336*(1+(G343+I343)/100)</f>
        <v>245.69849108233268</v>
      </c>
      <c r="Z343" s="580">
        <f>W343/P343</f>
        <v>1.2479707724425888</v>
      </c>
      <c r="AB343" s="599">
        <f>(Z343/Z336-1)*100</f>
        <v>0.45389155029547101</v>
      </c>
      <c r="AC343" s="563" t="s">
        <v>208</v>
      </c>
      <c r="AE343" s="600">
        <f>AE339+(K343-K339)*((yrSales!$X$58/1000000))</f>
        <v>2.8815493333333335</v>
      </c>
      <c r="AG343" s="582">
        <f>AVERAGE(AE343,AE339)</f>
        <v>2.8882159999999999</v>
      </c>
      <c r="AI343" s="539">
        <f>(AG343/AG336-1)*100</f>
        <v>2.7725885297573472</v>
      </c>
      <c r="AJ343" s="563" t="s">
        <v>208</v>
      </c>
      <c r="AK343" s="595">
        <f>+I343/AI343*100</f>
        <v>-32.929361065805914</v>
      </c>
      <c r="AL343" s="416" t="s">
        <v>208</v>
      </c>
      <c r="AN343" s="579">
        <f>W343</f>
        <v>298.88900000000001</v>
      </c>
      <c r="AP343" s="583">
        <f>W343/AG343</f>
        <v>103.48568112634236</v>
      </c>
      <c r="AR343" s="583">
        <f>AN343/AG343</f>
        <v>103.48568112634236</v>
      </c>
      <c r="AT343" s="599">
        <f>(AR343/AR336-1)*100</f>
        <v>-1.640110696542596</v>
      </c>
      <c r="AU343" s="563" t="s">
        <v>208</v>
      </c>
      <c r="AV343" s="579">
        <f>W343-X343</f>
        <v>53.19050891766733</v>
      </c>
      <c r="AW343" s="458">
        <f>AV343/AV336-1</f>
        <v>0.11480999055371477</v>
      </c>
      <c r="BI343" s="579"/>
      <c r="BJ343" s="623"/>
      <c r="BK343" s="623"/>
      <c r="BL343" s="623"/>
      <c r="BM343" s="623"/>
      <c r="BO343" s="482"/>
      <c r="BP343" s="482"/>
      <c r="BQ343" s="482"/>
      <c r="BR343" s="482"/>
    </row>
    <row r="344" spans="1:70" ht="12.75" customHeight="1">
      <c r="A344" s="410" t="str">
        <f>$A$13</f>
        <v>2Q</v>
      </c>
      <c r="B344" s="562" t="str">
        <f>$B$13</f>
        <v>Jul</v>
      </c>
      <c r="D344" s="645">
        <f>(W344/W337-1)*100</f>
        <v>3.3985277916582568</v>
      </c>
      <c r="F344" s="656">
        <f>segSales!H152</f>
        <v>5</v>
      </c>
      <c r="G344" s="662"/>
      <c r="I344" s="1237">
        <f>D344-F344</f>
        <v>-1.6014722083417432</v>
      </c>
      <c r="K344" s="454">
        <v>240</v>
      </c>
      <c r="L344" s="454"/>
      <c r="M344" s="454"/>
      <c r="N344" s="454"/>
      <c r="P344" s="587">
        <f>AVERAGE(K344,K343)</f>
        <v>239.5</v>
      </c>
      <c r="R344" s="645">
        <f>(P344/P337-1)*100</f>
        <v>0.6302521008403339</v>
      </c>
      <c r="S344" s="563"/>
      <c r="T344" s="595">
        <f>I344/R344*100</f>
        <v>-254.10025705689083</v>
      </c>
      <c r="U344" s="416"/>
      <c r="W344" s="647">
        <v>353.83699999999999</v>
      </c>
      <c r="X344" s="539">
        <f>+X337*(1+(G344+I344)/100)</f>
        <v>286.77158770252697</v>
      </c>
      <c r="Z344" s="585">
        <f t="shared" ref="Z344:Z347" si="51">W344/P344</f>
        <v>1.4773987473903967</v>
      </c>
      <c r="AB344" s="599">
        <f>(Z344/Z337-1)*100</f>
        <v>2.7509378472428736</v>
      </c>
      <c r="AC344" s="563"/>
      <c r="AE344" s="600">
        <f>AE343+(K344-K343)*((yrSales!$X$58/1000000))</f>
        <v>2.8948826666666667</v>
      </c>
      <c r="AG344" s="582">
        <f>AVERAGE(AE344,AE343)</f>
        <v>2.8882159999999999</v>
      </c>
      <c r="AI344" s="539">
        <f>(AG344/AG337-1)*100</f>
        <v>0.69729755360126155</v>
      </c>
      <c r="AJ344" s="563"/>
      <c r="AK344" s="595">
        <f>+I344/AI344*100</f>
        <v>-229.66841057605652</v>
      </c>
      <c r="AL344" s="416"/>
      <c r="AN344" s="584">
        <f t="shared" ref="AN344:AN347" si="52">W344</f>
        <v>353.83699999999999</v>
      </c>
      <c r="AP344" s="586">
        <f>W344/AG344</f>
        <v>122.51057400139048</v>
      </c>
      <c r="AR344" s="586">
        <f>AN344/AG344</f>
        <v>122.51057400139048</v>
      </c>
      <c r="AT344" s="599">
        <f>(AR344/AR337-1)*100</f>
        <v>2.6825250564635361</v>
      </c>
      <c r="AU344" s="563"/>
      <c r="AV344" s="579">
        <f>W344-X344</f>
        <v>67.065412297473017</v>
      </c>
      <c r="AW344" s="458">
        <f>AV344/AV337-1</f>
        <v>0.32101483459580038</v>
      </c>
      <c r="BI344" s="539"/>
      <c r="BJ344" s="623"/>
      <c r="BK344" s="623"/>
      <c r="BL344" s="623"/>
      <c r="BM344" s="623"/>
      <c r="BO344" s="482"/>
      <c r="BP344" s="482"/>
      <c r="BQ344" s="482"/>
      <c r="BR344" s="482"/>
    </row>
    <row r="345" spans="1:70" ht="12.75" customHeight="1">
      <c r="A345" s="410" t="str">
        <f>$A$14</f>
        <v>3Q</v>
      </c>
      <c r="B345" s="562" t="str">
        <f>$B$14</f>
        <v>Oct</v>
      </c>
      <c r="D345" s="645">
        <f>(W345/W338-1)*100</f>
        <v>2.6073565438613056</v>
      </c>
      <c r="F345" s="656">
        <f>segSales!H153</f>
        <v>5.2</v>
      </c>
      <c r="G345" s="662"/>
      <c r="I345" s="645">
        <f>D345-F345</f>
        <v>-2.5926434561386946</v>
      </c>
      <c r="K345" s="454">
        <v>242</v>
      </c>
      <c r="L345" s="454"/>
      <c r="M345" s="454"/>
      <c r="N345" s="454"/>
      <c r="P345" s="587">
        <f>AVERAGE(K345,K344)</f>
        <v>241</v>
      </c>
      <c r="R345" s="645">
        <f>(P345/P338-1)*100</f>
        <v>0.83682008368199945</v>
      </c>
      <c r="S345" s="563"/>
      <c r="T345" s="595">
        <f>I345/R345*100</f>
        <v>-309.82089300857729</v>
      </c>
      <c r="U345" s="416"/>
      <c r="W345" s="647">
        <v>348.471</v>
      </c>
      <c r="X345" s="539">
        <f>+X338*(1+(G345+I345)/100)</f>
        <v>296.51008449060782</v>
      </c>
      <c r="Z345" s="585">
        <f t="shared" si="51"/>
        <v>1.4459377593360996</v>
      </c>
      <c r="AB345" s="599">
        <f>(Z345/Z338-1)*100</f>
        <v>1.7558432115470923</v>
      </c>
      <c r="AC345" s="563"/>
      <c r="AE345" s="600">
        <f>AE344+(K345-K344)*((yrSales!$X$58/1000000))</f>
        <v>2.9215493333333336</v>
      </c>
      <c r="AG345" s="582">
        <f>AVERAGE(AE345,AE344)</f>
        <v>2.9082160000000004</v>
      </c>
      <c r="AI345" s="539">
        <f>(AG345/AG338-1)*100</f>
        <v>0.92542807989408615</v>
      </c>
      <c r="AJ345" s="563"/>
      <c r="AK345" s="595">
        <f>+I345/AI345*100</f>
        <v>-280.15612584777182</v>
      </c>
      <c r="AL345" s="416"/>
      <c r="AN345" s="584">
        <f t="shared" si="52"/>
        <v>348.471</v>
      </c>
      <c r="AP345" s="586">
        <f>W345/AG345</f>
        <v>119.82294300010727</v>
      </c>
      <c r="AR345" s="586">
        <f>AN345/AG345</f>
        <v>119.82294300010727</v>
      </c>
      <c r="AT345" s="599">
        <f>(AR345/AR338-1)*100</f>
        <v>1.6665061481193844</v>
      </c>
      <c r="AU345" s="563"/>
      <c r="AV345" s="579">
        <f>W345-X345</f>
        <v>51.96091550939218</v>
      </c>
      <c r="AW345" s="458">
        <f>AV345/AV338-1</f>
        <v>0.47558164849687645</v>
      </c>
      <c r="BI345" s="539"/>
      <c r="BJ345" s="623"/>
      <c r="BK345" s="623"/>
      <c r="BL345" s="623"/>
      <c r="BM345" s="623"/>
      <c r="BO345" s="482"/>
      <c r="BP345" s="482"/>
      <c r="BQ345" s="482"/>
      <c r="BR345" s="482"/>
    </row>
    <row r="346" spans="1:70" ht="12.75" customHeight="1">
      <c r="A346" s="410" t="str">
        <f>$A$15</f>
        <v>4Q</v>
      </c>
      <c r="B346" s="562" t="str">
        <f>$B$15</f>
        <v>Jan</v>
      </c>
      <c r="D346" s="646">
        <f>(W346/W339-1)*100</f>
        <v>-0.488420748863716</v>
      </c>
      <c r="F346" s="668">
        <f>segSales!H154</f>
        <v>2</v>
      </c>
      <c r="G346" s="663"/>
      <c r="I346" s="646">
        <f>D346-F346</f>
        <v>-2.488420748863716</v>
      </c>
      <c r="K346" s="13">
        <f>yrSales!$X$27</f>
        <v>242</v>
      </c>
      <c r="P346" s="588">
        <f>AVERAGE(K346,K345)</f>
        <v>242</v>
      </c>
      <c r="R346" s="646">
        <f>(P346/P339-1)*100</f>
        <v>0.83333333333333037</v>
      </c>
      <c r="S346" s="563"/>
      <c r="T346" s="598">
        <f>I346/R346*100</f>
        <v>-298.61048986364699</v>
      </c>
      <c r="U346" s="416"/>
      <c r="W346" s="649">
        <v>413.79899999999998</v>
      </c>
      <c r="X346" s="596">
        <f>+X339*(1+(G346+I346)/100)</f>
        <v>360.55114402929229</v>
      </c>
      <c r="Z346" s="590">
        <f t="shared" si="51"/>
        <v>1.7099132231404959</v>
      </c>
      <c r="AB346" s="597">
        <f>(Z346/Z339-1)*100</f>
        <v>-1.3108304947408667</v>
      </c>
      <c r="AC346" s="563"/>
      <c r="AE346" s="600">
        <f>AE345+(K346-K345)*((yrSales!$X$58/1000000))</f>
        <v>2.9215493333333336</v>
      </c>
      <c r="AG346" s="591">
        <f>AVERAGE(AE346,AE345)</f>
        <v>2.9215493333333336</v>
      </c>
      <c r="AI346" s="596">
        <f>(AG346/AG339-1)*100</f>
        <v>0.92116571679128345</v>
      </c>
      <c r="AJ346" s="563"/>
      <c r="AK346" s="598">
        <f>+I346/AI346*100</f>
        <v>-270.13822849722266</v>
      </c>
      <c r="AL346" s="416"/>
      <c r="AN346" s="589">
        <f t="shared" si="52"/>
        <v>413.79899999999998</v>
      </c>
      <c r="AP346" s="592">
        <f>W346/AG346</f>
        <v>141.63683470231774</v>
      </c>
      <c r="AR346" s="592">
        <f>AN346/AG346</f>
        <v>141.63683470231774</v>
      </c>
      <c r="AT346" s="597">
        <f>(AR346/AR339-1)*100</f>
        <v>-1.3967203565708464</v>
      </c>
      <c r="AU346" s="563"/>
      <c r="AV346" s="626">
        <f>W346-X346</f>
        <v>53.24785597070769</v>
      </c>
      <c r="AW346" s="625">
        <f>AV346/AV339-1</f>
        <v>0.15560591736536167</v>
      </c>
      <c r="BI346" s="539"/>
      <c r="BJ346" s="623"/>
      <c r="BK346" s="623"/>
      <c r="BL346" s="623"/>
      <c r="BM346" s="623"/>
      <c r="BO346" s="482"/>
      <c r="BP346" s="482"/>
      <c r="BQ346" s="482"/>
      <c r="BR346" s="482"/>
    </row>
    <row r="347" spans="1:70" ht="12.75" customHeight="1">
      <c r="B347" s="562" t="str">
        <f>$B$16</f>
        <v>Year</v>
      </c>
      <c r="D347" s="618">
        <f>(W347/W340-1)*100</f>
        <v>1.5551255698586397</v>
      </c>
      <c r="F347" s="660">
        <f>F343*W343/W347+F344*W344/W347+F345*W345/W347+F346*W346/W347</f>
        <v>3.5382504261496144</v>
      </c>
      <c r="G347" s="660"/>
      <c r="I347" s="618">
        <f>D347-F347</f>
        <v>-1.9831248562909747</v>
      </c>
      <c r="P347" s="587">
        <f>AVERAGE(P343:P346)</f>
        <v>240.5</v>
      </c>
      <c r="R347" s="618">
        <f>(P347/P340-1)*100</f>
        <v>0.73298429319372804</v>
      </c>
      <c r="S347" s="563"/>
      <c r="T347" s="595">
        <f>I347/R347*100</f>
        <v>-270.55489110826471</v>
      </c>
      <c r="U347" s="416"/>
      <c r="W347" s="539">
        <f>SUM(W343:W346)</f>
        <v>1414.9960000000001</v>
      </c>
      <c r="X347" s="579">
        <f>SUM(X343:X346)</f>
        <v>1189.5313073047598</v>
      </c>
      <c r="Z347" s="580">
        <f t="shared" si="51"/>
        <v>5.8835592515592516</v>
      </c>
      <c r="AB347" s="599">
        <f>(Z347/Z340-1)*100</f>
        <v>0.81615895968296659</v>
      </c>
      <c r="AC347" s="563"/>
      <c r="AG347" s="582">
        <f>AVERAGE(AG343:AG346)</f>
        <v>2.9015493333333331</v>
      </c>
      <c r="AI347" s="539">
        <f>(AG347/AG340-1)*100</f>
        <v>1.3204019759964991</v>
      </c>
      <c r="AJ347" s="563"/>
      <c r="AK347" s="595">
        <f>+I347/AI347*100</f>
        <v>-150.19099428371595</v>
      </c>
      <c r="AL347" s="416"/>
      <c r="AN347" s="579">
        <f t="shared" si="52"/>
        <v>1414.9960000000001</v>
      </c>
      <c r="AP347" s="583">
        <f>SUM(AP343:AP346)</f>
        <v>487.45603283015782</v>
      </c>
      <c r="AR347" s="583">
        <f>SUM(AR343:AR346)</f>
        <v>487.45603283015782</v>
      </c>
      <c r="AT347" s="599">
        <f>(AR347/AR340-1)*100</f>
        <v>0.2947950527071086</v>
      </c>
      <c r="AU347" s="563"/>
      <c r="AV347" s="579">
        <f>SUM(AV343:AV346)</f>
        <v>225.46469269524022</v>
      </c>
      <c r="AW347" s="458">
        <f>AV347/AV340-1</f>
        <v>0.25416715287336</v>
      </c>
      <c r="BI347" s="579"/>
      <c r="BJ347" s="623"/>
      <c r="BK347" s="623"/>
      <c r="BL347" s="623"/>
      <c r="BM347" s="623"/>
      <c r="BO347" s="482"/>
      <c r="BP347" s="482"/>
      <c r="BQ347" s="482"/>
      <c r="BR347" s="482"/>
    </row>
    <row r="348" spans="1:70" ht="12.75" customHeight="1">
      <c r="B348" s="562"/>
      <c r="D348" s="618"/>
      <c r="F348" s="660"/>
      <c r="G348" s="660"/>
      <c r="I348" s="618"/>
      <c r="P348" s="587"/>
      <c r="R348" s="618"/>
      <c r="S348" s="563"/>
      <c r="T348" s="595"/>
      <c r="U348" s="416"/>
      <c r="W348" s="539"/>
      <c r="X348" s="579"/>
      <c r="Z348" s="580"/>
      <c r="AB348" s="599"/>
      <c r="AC348" s="563"/>
      <c r="AG348" s="582"/>
      <c r="AI348" s="539"/>
      <c r="AJ348" s="563"/>
      <c r="AK348" s="595"/>
      <c r="AL348" s="416"/>
      <c r="AN348" s="579"/>
      <c r="AP348" s="583"/>
      <c r="AR348" s="583"/>
      <c r="AT348" s="599"/>
      <c r="AU348" s="563"/>
      <c r="AV348" s="579"/>
      <c r="AW348" s="458"/>
      <c r="BI348" s="579"/>
      <c r="BJ348" s="623"/>
      <c r="BK348" s="623"/>
      <c r="BL348" s="623"/>
      <c r="BM348" s="623"/>
      <c r="BO348" s="482"/>
      <c r="BP348" s="482"/>
      <c r="BQ348" s="482"/>
      <c r="BR348" s="482"/>
    </row>
    <row r="349" spans="1:70" ht="13.5" customHeight="1">
      <c r="A349" s="593"/>
      <c r="B349" s="431">
        <f>+B172</f>
        <v>2017</v>
      </c>
      <c r="D349" s="618"/>
      <c r="F349" s="656"/>
      <c r="G349" s="660"/>
      <c r="I349" s="618"/>
      <c r="P349" s="587"/>
      <c r="R349" s="618"/>
      <c r="S349" s="563"/>
      <c r="T349" s="595"/>
      <c r="U349" s="416"/>
      <c r="X349" s="579"/>
      <c r="Z349" s="580"/>
      <c r="AB349" s="599"/>
      <c r="AC349" s="563"/>
      <c r="AG349" s="582"/>
      <c r="AI349" s="539"/>
      <c r="AJ349" s="563"/>
      <c r="AK349" s="595"/>
      <c r="AL349" s="416"/>
      <c r="AN349" s="579"/>
      <c r="AP349" s="583"/>
      <c r="AR349" s="583"/>
      <c r="AT349" s="599"/>
      <c r="AU349" s="563"/>
      <c r="AV349" s="579"/>
      <c r="AW349" s="631"/>
      <c r="BI349" s="539"/>
      <c r="BJ349" s="623"/>
      <c r="BK349" s="623"/>
      <c r="BL349" s="623"/>
      <c r="BM349" s="623"/>
      <c r="BO349" s="482"/>
      <c r="BP349" s="482"/>
      <c r="BQ349" s="482"/>
      <c r="BR349" s="482"/>
    </row>
    <row r="350" spans="1:70" ht="12.75" customHeight="1">
      <c r="A350" s="410" t="str">
        <f>$A$12</f>
        <v>1Q</v>
      </c>
      <c r="B350" s="562" t="str">
        <f>$B$12</f>
        <v>Apr</v>
      </c>
      <c r="D350" s="645">
        <f>(W350/W343-1)*100</f>
        <v>-4.7181395099853196</v>
      </c>
      <c r="E350" s="563" t="s">
        <v>208</v>
      </c>
      <c r="F350" s="656">
        <f>segSales!H158</f>
        <v>-3.1</v>
      </c>
      <c r="G350" s="662"/>
      <c r="H350" s="563" t="s">
        <v>208</v>
      </c>
      <c r="I350" s="645">
        <f>D350-F350</f>
        <v>-1.6181395099853195</v>
      </c>
      <c r="J350" s="563" t="s">
        <v>208</v>
      </c>
      <c r="K350" s="454">
        <v>242</v>
      </c>
      <c r="L350" s="669">
        <v>179</v>
      </c>
      <c r="M350" s="669">
        <v>16</v>
      </c>
      <c r="N350" s="669">
        <v>43</v>
      </c>
      <c r="P350" s="587">
        <f>AVERAGE(K350,K346)</f>
        <v>242</v>
      </c>
      <c r="R350" s="645">
        <f>(P350/P343-1)*100</f>
        <v>1.0438413361169019</v>
      </c>
      <c r="S350" s="563" t="s">
        <v>208</v>
      </c>
      <c r="T350" s="595">
        <f>I350/R350*100</f>
        <v>-155.01776505659487</v>
      </c>
      <c r="U350" s="416" t="s">
        <v>208</v>
      </c>
      <c r="W350" s="647">
        <v>284.78699999999998</v>
      </c>
      <c r="X350" s="539">
        <f>+X343*(1+(G350+I350)/100)</f>
        <v>241.72274672269171</v>
      </c>
      <c r="Z350" s="580">
        <f>W350/P350</f>
        <v>1.1768057851239668</v>
      </c>
      <c r="AB350" s="599">
        <f>(Z350/Z343-1)*100</f>
        <v>-5.7024562505846532</v>
      </c>
      <c r="AC350" s="563" t="s">
        <v>208</v>
      </c>
      <c r="AE350" s="600">
        <f>AE346+(K350-K346)*((yrSales!$X$58/1000000))</f>
        <v>2.9215493333333336</v>
      </c>
      <c r="AG350" s="582">
        <f>AVERAGE(AE350,AE346)</f>
        <v>2.9215493333333336</v>
      </c>
      <c r="AI350" s="539">
        <f>(AG350/AG343-1)*100</f>
        <v>1.1541149738570011</v>
      </c>
      <c r="AJ350" s="563" t="s">
        <v>208</v>
      </c>
      <c r="AK350" s="595">
        <f>+I350/AI350*100</f>
        <v>-140.20609268915115</v>
      </c>
      <c r="AL350" s="416" t="s">
        <v>208</v>
      </c>
      <c r="AN350" s="579">
        <f>W350</f>
        <v>284.78699999999998</v>
      </c>
      <c r="AP350" s="583">
        <f>W350/AG350</f>
        <v>97.478073278014122</v>
      </c>
      <c r="AR350" s="583">
        <f>AN350/AG350</f>
        <v>97.478073278014122</v>
      </c>
      <c r="AT350" s="599">
        <f>(AR350/AR343-1)*100</f>
        <v>-5.805255164715728</v>
      </c>
      <c r="AU350" s="563" t="s">
        <v>208</v>
      </c>
      <c r="AV350" s="579">
        <f>W350-X350</f>
        <v>43.064253277308268</v>
      </c>
      <c r="AW350" s="458">
        <f>AV350/AV343-1</f>
        <v>-0.19037711513596001</v>
      </c>
      <c r="BI350" s="579"/>
      <c r="BJ350" s="623"/>
      <c r="BK350" s="623"/>
      <c r="BL350" s="623"/>
      <c r="BM350" s="623"/>
      <c r="BO350" s="482"/>
      <c r="BP350" s="482"/>
      <c r="BQ350" s="482"/>
      <c r="BR350" s="482"/>
    </row>
    <row r="351" spans="1:70" ht="12.75" customHeight="1">
      <c r="A351" s="410" t="str">
        <f>$A$13</f>
        <v>2Q</v>
      </c>
      <c r="B351" s="562" t="str">
        <f>$B$13</f>
        <v>Jul</v>
      </c>
      <c r="D351" s="645">
        <f>(W351/W344-1)*100</f>
        <v>-8.481023748223059</v>
      </c>
      <c r="F351" s="656">
        <f>segSales!H159</f>
        <v>-7.9</v>
      </c>
      <c r="G351" s="662"/>
      <c r="I351" s="645">
        <f>D351-F351</f>
        <v>-0.58102374822305869</v>
      </c>
      <c r="K351" s="1716">
        <v>245</v>
      </c>
      <c r="L351" s="454"/>
      <c r="M351" s="454"/>
      <c r="N351" s="454"/>
      <c r="P351" s="587">
        <f>AVERAGE(K351,K350)</f>
        <v>243.5</v>
      </c>
      <c r="R351" s="645">
        <f>(P351/P344-1)*100</f>
        <v>1.6701461377870652</v>
      </c>
      <c r="S351" s="563"/>
      <c r="T351" s="595">
        <f>I351/R351*100</f>
        <v>-34.788796924855454</v>
      </c>
      <c r="U351" s="416"/>
      <c r="W351" s="647">
        <v>323.82799999999997</v>
      </c>
      <c r="X351" s="539">
        <f>+X344*(1+(G351+I351)/100)</f>
        <v>285.10537667481896</v>
      </c>
      <c r="Z351" s="585">
        <f t="shared" ref="Z351:Z354" si="53">W351/P351</f>
        <v>1.3298891170431211</v>
      </c>
      <c r="AB351" s="599">
        <f>(Z351/Z344-1)*100</f>
        <v>-9.9844155552337721</v>
      </c>
      <c r="AC351" s="563"/>
      <c r="AE351" s="600">
        <f>AE350+(K351-K350)*((yrSales!$X$58/1000000))</f>
        <v>2.9615493333333336</v>
      </c>
      <c r="AG351" s="582">
        <f>AVERAGE(AE351,AE350)</f>
        <v>2.9415493333333336</v>
      </c>
      <c r="AI351" s="539">
        <f>(AG351/AG344-1)*100</f>
        <v>1.8465839581711885</v>
      </c>
      <c r="AJ351" s="563"/>
      <c r="AK351" s="595">
        <f>+I351/AI351*100</f>
        <v>-31.464789112458792</v>
      </c>
      <c r="AL351" s="416"/>
      <c r="AN351" s="584">
        <f t="shared" ref="AN351:AN354" si="54">W351</f>
        <v>323.82799999999997</v>
      </c>
      <c r="AP351" s="586">
        <f>W351/AG351</f>
        <v>110.08756383257438</v>
      </c>
      <c r="AR351" s="586">
        <f>AN351/AG351</f>
        <v>110.08756383257438</v>
      </c>
      <c r="AT351" s="599">
        <f>(AR351/AR344-1)*100</f>
        <v>-10.140357491652196</v>
      </c>
      <c r="AU351" s="563"/>
      <c r="AV351" s="579">
        <f>W351-X351</f>
        <v>38.722623325181019</v>
      </c>
      <c r="AW351" s="458">
        <f>AV351/AV344-1</f>
        <v>-0.42261410168591385</v>
      </c>
      <c r="BI351" s="539"/>
      <c r="BJ351" s="623"/>
      <c r="BK351" s="623"/>
      <c r="BL351" s="623"/>
      <c r="BM351" s="623"/>
      <c r="BO351" s="482"/>
      <c r="BP351" s="482"/>
      <c r="BQ351" s="482"/>
      <c r="BR351" s="482"/>
    </row>
    <row r="352" spans="1:70" ht="12.75" customHeight="1">
      <c r="A352" s="410" t="str">
        <f>$A$14</f>
        <v>3Q</v>
      </c>
      <c r="B352" s="562" t="str">
        <f>$B$14</f>
        <v>Oct</v>
      </c>
      <c r="D352" s="645">
        <f>(W352/W345-1)*100</f>
        <v>1.5524964774687122</v>
      </c>
      <c r="F352" s="1762">
        <f>segSales!H160</f>
        <v>1</v>
      </c>
      <c r="G352" s="662"/>
      <c r="I352" s="645">
        <f>D352-F352</f>
        <v>0.55249647746871222</v>
      </c>
      <c r="K352" s="454">
        <v>245</v>
      </c>
      <c r="L352" s="454"/>
      <c r="M352" s="454"/>
      <c r="N352" s="454"/>
      <c r="P352" s="587">
        <f>AVERAGE(K352,K351)</f>
        <v>245</v>
      </c>
      <c r="R352" s="645">
        <f>(P352/P345-1)*100</f>
        <v>1.6597510373443924</v>
      </c>
      <c r="S352" s="563"/>
      <c r="T352" s="595">
        <f>I352/R352*100</f>
        <v>33.287912767490027</v>
      </c>
      <c r="U352" s="416"/>
      <c r="W352" s="666">
        <v>353.88099999999997</v>
      </c>
      <c r="X352" s="539">
        <f>+X345*(1+(G352+I352)/100)</f>
        <v>298.14829226275793</v>
      </c>
      <c r="Z352" s="585">
        <f t="shared" si="53"/>
        <v>1.4444122448979591</v>
      </c>
      <c r="AB352" s="599">
        <f>(Z352/Z345-1)*100</f>
        <v>-0.10550346502058439</v>
      </c>
      <c r="AC352" s="563"/>
      <c r="AE352" s="600">
        <f>AE351+(K352-K351)*((yrSales!$X$58/1000000))</f>
        <v>2.9615493333333336</v>
      </c>
      <c r="AG352" s="582">
        <f>AVERAGE(AE352,AE351)</f>
        <v>2.9615493333333336</v>
      </c>
      <c r="AI352" s="539">
        <f>(AG352/AG345-1)*100</f>
        <v>1.8338848742092573</v>
      </c>
      <c r="AJ352" s="563"/>
      <c r="AK352" s="595">
        <f>+I352/AI352*100</f>
        <v>30.12710804471519</v>
      </c>
      <c r="AL352" s="416"/>
      <c r="AN352" s="584">
        <f t="shared" si="54"/>
        <v>353.88099999999997</v>
      </c>
      <c r="AP352" s="586">
        <f>W352/AG352</f>
        <v>119.49184706023242</v>
      </c>
      <c r="AR352" s="586">
        <f>AN352/AG352</f>
        <v>119.49184706023242</v>
      </c>
      <c r="AT352" s="599">
        <f>(AR352/AR345-1)*100</f>
        <v>-0.27632098793848314</v>
      </c>
      <c r="AU352" s="563"/>
      <c r="AV352" s="579">
        <f>W352-X352</f>
        <v>55.732707737242038</v>
      </c>
      <c r="AW352" s="458">
        <f>AV352/AV345-1</f>
        <v>7.2589025633470472E-2</v>
      </c>
      <c r="BI352" s="539"/>
      <c r="BJ352" s="623"/>
      <c r="BK352" s="623"/>
      <c r="BL352" s="623"/>
      <c r="BM352" s="623"/>
      <c r="BO352" s="482"/>
      <c r="BP352" s="482"/>
      <c r="BQ352" s="482"/>
      <c r="BR352" s="482"/>
    </row>
    <row r="353" spans="1:70" ht="12.75" customHeight="1">
      <c r="A353" s="410" t="str">
        <f>$A$15</f>
        <v>4Q</v>
      </c>
      <c r="B353" s="562" t="str">
        <f>$B$15</f>
        <v>Jan</v>
      </c>
      <c r="D353" s="646">
        <f>(W353/W346-1)*100</f>
        <v>4.8634723621854947</v>
      </c>
      <c r="F353" s="1779">
        <f>segSales!H161</f>
        <v>2</v>
      </c>
      <c r="G353" s="663"/>
      <c r="I353" s="1272">
        <f>D353-F353</f>
        <v>2.8634723621854947</v>
      </c>
      <c r="K353" s="410">
        <f>yrSales!$Y$27</f>
        <v>245</v>
      </c>
      <c r="P353" s="588">
        <f>AVERAGE(K353,K352)</f>
        <v>245</v>
      </c>
      <c r="R353" s="646">
        <f>(P353/P346-1)*100</f>
        <v>1.2396694214876103</v>
      </c>
      <c r="S353" s="563"/>
      <c r="T353" s="1780">
        <f>I353/R353*100</f>
        <v>230.9867705496286</v>
      </c>
      <c r="U353" s="416"/>
      <c r="W353" s="670">
        <v>433.92399999999998</v>
      </c>
      <c r="X353" s="596">
        <f>+X346*(1+(G353+I353)/100)</f>
        <v>370.87542639011468</v>
      </c>
      <c r="Z353" s="590">
        <f t="shared" si="53"/>
        <v>1.7711183673469386</v>
      </c>
      <c r="AB353" s="597">
        <f>(Z353/Z346-1)*100</f>
        <v>3.5794298434648653</v>
      </c>
      <c r="AC353" s="563"/>
      <c r="AE353" s="600">
        <f>AE352+(K353-K352)*((yrSales!$X$58/1000000))</f>
        <v>2.9615493333333336</v>
      </c>
      <c r="AG353" s="591">
        <f>AVERAGE(AE353,AE352)</f>
        <v>2.9615493333333336</v>
      </c>
      <c r="AI353" s="596">
        <f>(AG353/AG346-1)*100</f>
        <v>1.3691365585931203</v>
      </c>
      <c r="AJ353" s="563"/>
      <c r="AK353" s="598">
        <f>+I353/AI353*100</f>
        <v>209.1443942690351</v>
      </c>
      <c r="AL353" s="416"/>
      <c r="AN353" s="589">
        <f t="shared" si="54"/>
        <v>433.92399999999998</v>
      </c>
      <c r="AP353" s="592">
        <f>W353/AG353</f>
        <v>146.51925433624379</v>
      </c>
      <c r="AR353" s="592">
        <f>AN353/AG353</f>
        <v>146.51925433624379</v>
      </c>
      <c r="AT353" s="597">
        <f>(AR353/AR346-1)*100</f>
        <v>3.447139753008166</v>
      </c>
      <c r="AU353" s="563"/>
      <c r="AV353" s="626">
        <f>W353-X353</f>
        <v>63.048573609885295</v>
      </c>
      <c r="AW353" s="625">
        <f>AV353/AV346-1</f>
        <v>0.18405844630756785</v>
      </c>
      <c r="BI353" s="539"/>
      <c r="BJ353" s="623"/>
      <c r="BK353" s="623"/>
      <c r="BL353" s="623"/>
      <c r="BM353" s="623"/>
      <c r="BO353" s="482"/>
      <c r="BP353" s="482"/>
      <c r="BQ353" s="482"/>
      <c r="BR353" s="482"/>
    </row>
    <row r="354" spans="1:70" ht="12.75" customHeight="1">
      <c r="B354" s="562" t="str">
        <f>$B$16</f>
        <v>Year</v>
      </c>
      <c r="D354" s="618">
        <f>(W354/W347-1)*100</f>
        <v>-1.3127952305165502</v>
      </c>
      <c r="F354" s="660">
        <f>F350*W350/W354+F351*W351/W354+F352*W352/W354+F353*W353/W354</f>
        <v>-1.589315463828934</v>
      </c>
      <c r="G354" s="660"/>
      <c r="I354" s="618">
        <f>D354-F354</f>
        <v>0.27652023331238373</v>
      </c>
      <c r="P354" s="587">
        <f>AVERAGE(P350:P353)</f>
        <v>243.875</v>
      </c>
      <c r="R354" s="618">
        <f>(P354/P347-1)*100</f>
        <v>1.4033264033264103</v>
      </c>
      <c r="S354" s="563"/>
      <c r="T354" s="595">
        <f>I354/R354*100</f>
        <v>19.704626996037913</v>
      </c>
      <c r="U354" s="416"/>
      <c r="W354" s="539">
        <f>SUM(W350:W353)</f>
        <v>1396.42</v>
      </c>
      <c r="X354" s="579">
        <f>SUM(X350:X353)</f>
        <v>1195.8518420503833</v>
      </c>
      <c r="Z354" s="580">
        <f t="shared" si="53"/>
        <v>5.7259661711942593</v>
      </c>
      <c r="AB354" s="599">
        <f>(Z354/Z347-1)*100</f>
        <v>-2.6785330720214495</v>
      </c>
      <c r="AC354" s="563"/>
      <c r="AG354" s="582">
        <f>AVERAGE(AG350:AG353)</f>
        <v>2.9465493333333339</v>
      </c>
      <c r="AI354" s="539">
        <f>(AG354/AG347-1)*100</f>
        <v>1.5508955675175295</v>
      </c>
      <c r="AJ354" s="563"/>
      <c r="AK354" s="595">
        <f>+I354/AI354*100</f>
        <v>17.82971330268234</v>
      </c>
      <c r="AL354" s="416"/>
      <c r="AN354" s="579">
        <f t="shared" si="54"/>
        <v>1396.42</v>
      </c>
      <c r="AP354" s="583">
        <f>SUM(AP350:AP353)</f>
        <v>473.57673850706476</v>
      </c>
      <c r="AR354" s="583">
        <f>SUM(AR350:AR353)</f>
        <v>473.57673850706476</v>
      </c>
      <c r="AT354" s="599">
        <f>(AR354/AR347-1)*100</f>
        <v>-2.8472915275066346</v>
      </c>
      <c r="AU354" s="563"/>
      <c r="AV354" s="579">
        <f>SUM(AV350:AV353)</f>
        <v>200.56815794961662</v>
      </c>
      <c r="AW354" s="458">
        <f>AV354/AV347-1</f>
        <v>-0.11042320838800312</v>
      </c>
      <c r="BI354" s="579"/>
      <c r="BJ354" s="623"/>
      <c r="BK354" s="623"/>
      <c r="BL354" s="623"/>
      <c r="BM354" s="623"/>
      <c r="BO354" s="482"/>
      <c r="BP354" s="482"/>
      <c r="BQ354" s="482"/>
      <c r="BR354" s="482"/>
    </row>
    <row r="355" spans="1:70" ht="12.75" customHeight="1">
      <c r="B355" s="562"/>
      <c r="D355" s="618"/>
      <c r="F355" s="660"/>
      <c r="G355" s="660"/>
      <c r="I355" s="618"/>
      <c r="P355" s="587"/>
      <c r="R355" s="618"/>
      <c r="S355" s="563"/>
      <c r="T355" s="595"/>
      <c r="U355" s="416"/>
      <c r="W355" s="539"/>
      <c r="X355" s="579"/>
      <c r="Z355" s="580"/>
      <c r="AB355" s="599"/>
      <c r="AC355" s="563"/>
      <c r="AG355" s="582"/>
      <c r="AI355" s="539"/>
      <c r="AJ355" s="563"/>
      <c r="AK355" s="595"/>
      <c r="AL355" s="416"/>
      <c r="AN355" s="579"/>
      <c r="AP355" s="583"/>
      <c r="AR355" s="583"/>
      <c r="AT355" s="599"/>
      <c r="AU355" s="563"/>
      <c r="AV355" s="579"/>
      <c r="AW355" s="458"/>
      <c r="BJ355" s="623"/>
      <c r="BK355" s="623"/>
      <c r="BL355" s="623"/>
      <c r="BM355" s="623"/>
    </row>
    <row r="356" spans="1:70" ht="13.5" customHeight="1">
      <c r="A356" s="593"/>
      <c r="B356" s="518">
        <f>+B179</f>
        <v>2018</v>
      </c>
      <c r="D356" s="618"/>
      <c r="F356" s="656"/>
      <c r="G356" s="660"/>
      <c r="I356" s="618"/>
      <c r="P356" s="587"/>
      <c r="R356" s="618"/>
      <c r="S356" s="563"/>
      <c r="T356" s="595"/>
      <c r="U356" s="416"/>
      <c r="X356" s="579"/>
      <c r="Z356" s="580"/>
      <c r="AB356" s="599"/>
      <c r="AC356" s="563"/>
      <c r="AG356" s="582"/>
      <c r="AI356" s="539"/>
      <c r="AJ356" s="563"/>
      <c r="AK356" s="595"/>
      <c r="AL356" s="416"/>
      <c r="AN356" s="579"/>
      <c r="AP356" s="583"/>
      <c r="AR356" s="583"/>
      <c r="AT356" s="599"/>
      <c r="AU356" s="563"/>
      <c r="AV356" s="579"/>
      <c r="AW356" s="631"/>
      <c r="BI356" s="539"/>
      <c r="BJ356" s="623"/>
      <c r="BK356" s="623"/>
      <c r="BL356" s="623"/>
      <c r="BM356" s="623"/>
      <c r="BO356" s="482"/>
      <c r="BP356" s="482"/>
      <c r="BQ356" s="482"/>
      <c r="BR356" s="482"/>
    </row>
    <row r="357" spans="1:70" ht="12.75" customHeight="1">
      <c r="A357" s="410" t="str">
        <f>$A$12</f>
        <v>1Q</v>
      </c>
      <c r="B357" s="562" t="str">
        <f>$B$12</f>
        <v>Apr</v>
      </c>
      <c r="D357" s="645">
        <f t="shared" ref="D357:D360" si="55">F357+I357</f>
        <v>9.7396694214875925</v>
      </c>
      <c r="E357" s="563" t="s">
        <v>208</v>
      </c>
      <c r="F357" s="1457">
        <f>segSales!H165</f>
        <v>8.5</v>
      </c>
      <c r="G357" s="662"/>
      <c r="H357" s="563" t="s">
        <v>208</v>
      </c>
      <c r="I357" s="645">
        <f t="shared" ref="I357:I358" si="56">R357*T357/100</f>
        <v>1.2396694214875925</v>
      </c>
      <c r="J357" s="563" t="s">
        <v>208</v>
      </c>
      <c r="K357" s="454">
        <v>244</v>
      </c>
      <c r="L357" s="669">
        <v>179</v>
      </c>
      <c r="M357" s="669">
        <v>16</v>
      </c>
      <c r="N357" s="669">
        <v>43</v>
      </c>
      <c r="P357" s="587">
        <f>AVERAGE(K357,K353)</f>
        <v>244.5</v>
      </c>
      <c r="R357" s="645">
        <f>(P357/P350-1)*100</f>
        <v>1.0330578512396604</v>
      </c>
      <c r="S357" s="563" t="s">
        <v>208</v>
      </c>
      <c r="T357" s="1456">
        <v>120</v>
      </c>
      <c r="U357" s="416" t="s">
        <v>208</v>
      </c>
      <c r="W357" s="539">
        <f>+W350*(1+D357/100)</f>
        <v>312.52431235537182</v>
      </c>
      <c r="X357" s="539">
        <f>+X350*(1+(G357+I357)/100)</f>
        <v>244.71930969859281</v>
      </c>
      <c r="Z357" s="580">
        <f>W357/P357</f>
        <v>1.2782180464432384</v>
      </c>
      <c r="AB357" s="599">
        <f>(Z357/Z350-1)*100</f>
        <v>8.6175869120654234</v>
      </c>
      <c r="AC357" s="563" t="s">
        <v>208</v>
      </c>
      <c r="AE357" s="600">
        <f>AE353+(K357-K353)*((yrSales!$X$58/1000000))</f>
        <v>2.9482160000000004</v>
      </c>
      <c r="AG357" s="582">
        <f>AVERAGE(AE357,AE353)</f>
        <v>2.9548826666666672</v>
      </c>
      <c r="AI357" s="539">
        <f>(AG357/AG350-1)*100</f>
        <v>1.1409471321609299</v>
      </c>
      <c r="AJ357" s="563" t="s">
        <v>208</v>
      </c>
      <c r="AK357" s="595">
        <f>+I357/AI357*100</f>
        <v>108.65266115702352</v>
      </c>
      <c r="AL357" s="416" t="s">
        <v>208</v>
      </c>
      <c r="AN357" s="579">
        <f>W357</f>
        <v>312.52431235537182</v>
      </c>
      <c r="AP357" s="583">
        <f>W357/AG357</f>
        <v>105.76538821012581</v>
      </c>
      <c r="AR357" s="583">
        <f>AN357/AG357</f>
        <v>105.76538821012581</v>
      </c>
      <c r="AT357" s="599">
        <f>(AR357/AR350-1)*100</f>
        <v>8.5017221344493521</v>
      </c>
      <c r="AU357" s="563" t="s">
        <v>208</v>
      </c>
      <c r="AV357" s="579">
        <f>W357-X357</f>
        <v>67.80500265677901</v>
      </c>
      <c r="AW357" s="458" t="e">
        <f>AV357/AV349-1</f>
        <v>#DIV/0!</v>
      </c>
      <c r="BI357" s="579"/>
      <c r="BJ357" s="623"/>
      <c r="BK357" s="623"/>
      <c r="BL357" s="623"/>
      <c r="BM357" s="623"/>
      <c r="BO357" s="482"/>
      <c r="BP357" s="482"/>
      <c r="BQ357" s="482"/>
      <c r="BR357" s="482"/>
    </row>
    <row r="358" spans="1:70" ht="12.75" customHeight="1">
      <c r="A358" s="410" t="str">
        <f>$A$13</f>
        <v>2Q</v>
      </c>
      <c r="B358" s="562" t="str">
        <f>$B$13</f>
        <v>Jul</v>
      </c>
      <c r="D358" s="645">
        <f t="shared" si="55"/>
        <v>4.9917355371900793</v>
      </c>
      <c r="F358" s="1457">
        <f>segSales!H166</f>
        <v>4</v>
      </c>
      <c r="G358" s="662"/>
      <c r="I358" s="645">
        <f t="shared" si="56"/>
        <v>0.99173553719007945</v>
      </c>
      <c r="K358" s="1716">
        <v>244</v>
      </c>
      <c r="L358" s="454"/>
      <c r="M358" s="454"/>
      <c r="N358" s="454"/>
      <c r="P358" s="587">
        <f>AVERAGE(K358,K357)</f>
        <v>244</v>
      </c>
      <c r="R358" s="645">
        <f>(P358/P350-1)*100</f>
        <v>0.82644628099173278</v>
      </c>
      <c r="S358" s="563"/>
      <c r="T358" s="1456">
        <v>120</v>
      </c>
      <c r="U358" s="416"/>
      <c r="W358" s="539">
        <f>+W351*(1+D358/100)</f>
        <v>339.99263735537187</v>
      </c>
      <c r="X358" s="539">
        <f>+X351*(1+(G358+I358)/100)</f>
        <v>287.93286801374273</v>
      </c>
      <c r="Z358" s="585">
        <f t="shared" ref="Z358:Z361" si="57">W358/P358</f>
        <v>1.3934124481777537</v>
      </c>
      <c r="AB358" s="599">
        <f>(Z358/Z351-1)*100</f>
        <v>4.776588538138471</v>
      </c>
      <c r="AC358" s="563"/>
      <c r="AE358" s="600">
        <f>AE357+(K358-K357)*((yrSales!$X$58/1000000))</f>
        <v>2.9482160000000004</v>
      </c>
      <c r="AG358" s="582">
        <f>AVERAGE(AE358,AE357)</f>
        <v>2.9482160000000004</v>
      </c>
      <c r="AI358" s="539">
        <f>(AG358/AG351-1)*100</f>
        <v>0.2266379350201797</v>
      </c>
      <c r="AJ358" s="563"/>
      <c r="AK358" s="595">
        <f>+I358/AI358*100</f>
        <v>437.58585123967703</v>
      </c>
      <c r="AL358" s="416"/>
      <c r="AN358" s="584">
        <f t="shared" ref="AN358:AN361" si="58">W358</f>
        <v>339.99263735537187</v>
      </c>
      <c r="AP358" s="586">
        <f>W358/AG358</f>
        <v>115.321481653777</v>
      </c>
      <c r="AR358" s="586">
        <f>AN358/AG358</f>
        <v>115.321481653777</v>
      </c>
      <c r="AT358" s="599">
        <f t="shared" ref="AT358:AT360" si="59">(AR358/AR351-1)*100</f>
        <v>4.7543225038230386</v>
      </c>
      <c r="AU358" s="563"/>
      <c r="AV358" s="579">
        <f>W358-X358</f>
        <v>52.059769341629135</v>
      </c>
      <c r="AW358" s="458">
        <f>AV358/AV350-1</f>
        <v>0.20888591766342901</v>
      </c>
      <c r="BI358" s="539"/>
      <c r="BJ358" s="623"/>
      <c r="BK358" s="623"/>
      <c r="BL358" s="623"/>
      <c r="BM358" s="623"/>
      <c r="BO358" s="482"/>
      <c r="BP358" s="482"/>
      <c r="BQ358" s="482"/>
      <c r="BR358" s="482"/>
    </row>
    <row r="359" spans="1:70" ht="12.75" customHeight="1">
      <c r="A359" s="410" t="str">
        <f>$A$14</f>
        <v>3Q</v>
      </c>
      <c r="B359" s="562" t="str">
        <f>$B$14</f>
        <v>Oct</v>
      </c>
      <c r="D359" s="645">
        <f t="shared" si="55"/>
        <v>1.0266940451745254</v>
      </c>
      <c r="F359" s="1457">
        <f>segSales!H167</f>
        <v>0</v>
      </c>
      <c r="G359" s="662"/>
      <c r="I359" s="645">
        <f>R359*T359/100</f>
        <v>1.0266940451745254</v>
      </c>
      <c r="K359" s="454">
        <v>244</v>
      </c>
      <c r="L359" s="454"/>
      <c r="M359" s="454"/>
      <c r="N359" s="454"/>
      <c r="P359" s="587">
        <f>AVERAGE(K359,K358)</f>
        <v>244</v>
      </c>
      <c r="R359" s="645">
        <f>(P359/P351-1)*100</f>
        <v>0.20533880903490509</v>
      </c>
      <c r="S359" s="563"/>
      <c r="T359" s="1456">
        <v>500</v>
      </c>
      <c r="U359" s="416"/>
      <c r="W359" s="539">
        <f>+W352*(1+D359/100)</f>
        <v>357.51427515400405</v>
      </c>
      <c r="X359" s="539">
        <f>+X352*(1+(G359+I359)/100)</f>
        <v>301.2093630252092</v>
      </c>
      <c r="Z359" s="585">
        <f t="shared" si="57"/>
        <v>1.4652224391557542</v>
      </c>
      <c r="AB359" s="599">
        <f>(Z359/Z352-1)*100</f>
        <v>1.4407378732285148</v>
      </c>
      <c r="AC359" s="563"/>
      <c r="AE359" s="600">
        <f>AE358+(K359-K358)*((yrSales!$X$58/1000000))</f>
        <v>2.9482160000000004</v>
      </c>
      <c r="AG359" s="582">
        <f>AVERAGE(AE359,AE358)</f>
        <v>2.9482160000000004</v>
      </c>
      <c r="AI359" s="539">
        <f t="shared" ref="AI359:AI360" si="60">(AG359/AG352-1)*100</f>
        <v>-0.45021479747987536</v>
      </c>
      <c r="AJ359" s="563"/>
      <c r="AK359" s="595">
        <f>+I359/AI359*100</f>
        <v>-228.0453798767951</v>
      </c>
      <c r="AL359" s="416"/>
      <c r="AN359" s="584">
        <f t="shared" si="58"/>
        <v>357.51427515400405</v>
      </c>
      <c r="AP359" s="586">
        <f>W359/AG359</f>
        <v>121.26461397468978</v>
      </c>
      <c r="AR359" s="586">
        <f>AN359/AG359</f>
        <v>121.26461397468978</v>
      </c>
      <c r="AT359" s="599">
        <f t="shared" si="59"/>
        <v>1.4835881761571246</v>
      </c>
      <c r="AU359" s="563"/>
      <c r="AV359" s="579">
        <f>W359-X359</f>
        <v>56.304912128794854</v>
      </c>
      <c r="AW359" s="458">
        <f>AV359/AV351-1</f>
        <v>0.45405727437325272</v>
      </c>
      <c r="BI359" s="539"/>
      <c r="BJ359" s="623"/>
      <c r="BK359" s="623"/>
      <c r="BL359" s="623"/>
      <c r="BM359" s="623"/>
      <c r="BO359" s="482"/>
      <c r="BP359" s="482"/>
      <c r="BQ359" s="482"/>
      <c r="BR359" s="482"/>
    </row>
    <row r="360" spans="1:70" ht="12.75" customHeight="1">
      <c r="A360" s="410" t="str">
        <f>$A$15</f>
        <v>4Q</v>
      </c>
      <c r="B360" s="562" t="str">
        <f>$B$15</f>
        <v>Jan</v>
      </c>
      <c r="D360" s="645">
        <f t="shared" si="55"/>
        <v>0.81632653061225469</v>
      </c>
      <c r="F360" s="1726">
        <f>segSales!H168</f>
        <v>0</v>
      </c>
      <c r="G360" s="663"/>
      <c r="I360" s="1272">
        <f>R360*T360/100</f>
        <v>0.81632653061225469</v>
      </c>
      <c r="K360" s="410">
        <f>yrSales!$Z$27</f>
        <v>245</v>
      </c>
      <c r="P360" s="588">
        <f>AVERAGE(K360,K359)</f>
        <v>244.5</v>
      </c>
      <c r="R360" s="646">
        <f>(P360/P352-1)*100</f>
        <v>-0.20408163265306367</v>
      </c>
      <c r="S360" s="563"/>
      <c r="T360" s="922">
        <v>-400</v>
      </c>
      <c r="U360" s="416"/>
      <c r="W360" s="596">
        <f>+W353*(1+D360/100)</f>
        <v>437.46623673469389</v>
      </c>
      <c r="X360" s="596">
        <f>+X353*(1+(G360+I360)/100)</f>
        <v>373.90298089125849</v>
      </c>
      <c r="Z360" s="590">
        <f t="shared" si="57"/>
        <v>1.7892279621050875</v>
      </c>
      <c r="AB360" s="597">
        <f>(Z360/Z353-1)*100</f>
        <v>1.0224948875255713</v>
      </c>
      <c r="AC360" s="563"/>
      <c r="AE360" s="600">
        <f>AE359+(K360-K359)*((yrSales!$X$58/1000000))</f>
        <v>2.9615493333333336</v>
      </c>
      <c r="AG360" s="591">
        <f>AVERAGE(AE360,AE359)</f>
        <v>2.9548826666666672</v>
      </c>
      <c r="AI360" s="596">
        <f t="shared" si="60"/>
        <v>-0.22510739873993213</v>
      </c>
      <c r="AJ360" s="563"/>
      <c r="AK360" s="598">
        <f>+I360/AI360*100</f>
        <v>-362.6386938775662</v>
      </c>
      <c r="AL360" s="416"/>
      <c r="AN360" s="589">
        <f t="shared" si="58"/>
        <v>437.46623673469389</v>
      </c>
      <c r="AP360" s="592">
        <f>W360/AG360</f>
        <v>148.04859823019271</v>
      </c>
      <c r="AR360" s="592">
        <f>AN360/AG360</f>
        <v>148.04859823019271</v>
      </c>
      <c r="AT360" s="597">
        <f t="shared" si="59"/>
        <v>1.043783563380174</v>
      </c>
      <c r="AU360" s="563"/>
      <c r="AV360" s="626">
        <f>W360-X360</f>
        <v>63.5632558434354</v>
      </c>
      <c r="AW360" s="625">
        <f>AV360/AV352-1</f>
        <v>0.14050184216979633</v>
      </c>
      <c r="BI360" s="539"/>
      <c r="BJ360" s="623"/>
      <c r="BK360" s="623"/>
      <c r="BL360" s="623"/>
      <c r="BM360" s="623"/>
      <c r="BO360" s="482"/>
      <c r="BP360" s="482"/>
      <c r="BQ360" s="482"/>
      <c r="BR360" s="482"/>
    </row>
    <row r="361" spans="1:70" ht="12.75" customHeight="1">
      <c r="B361" s="562" t="str">
        <f>$B$16</f>
        <v>Year</v>
      </c>
      <c r="D361" s="618">
        <f>(W361/W354-1)*100</f>
        <v>3.6577434868765524</v>
      </c>
      <c r="F361" s="660">
        <f>F357*W357/W361+F358*W358/W361+F359*W359/W361+F360*W360/W361</f>
        <v>2.7747386859000884</v>
      </c>
      <c r="G361" s="660"/>
      <c r="I361" s="618">
        <f>D361-F361</f>
        <v>0.88300480097646394</v>
      </c>
      <c r="P361" s="539">
        <f>AVERAGE(P357:P360)</f>
        <v>244.25</v>
      </c>
      <c r="R361" s="618">
        <f>(P361/P354-1)*100</f>
        <v>0.15376729882112805</v>
      </c>
      <c r="S361" s="563"/>
      <c r="T361" s="1759">
        <f>IFERROR(I361/R361*100, "-")</f>
        <v>574.24745556832045</v>
      </c>
      <c r="U361" s="416"/>
      <c r="W361" s="539">
        <f>SUM(W357:W360)</f>
        <v>1447.4974615994415</v>
      </c>
      <c r="X361" s="579">
        <f>SUM(X357:X360)</f>
        <v>1207.7645216288033</v>
      </c>
      <c r="Z361" s="580">
        <f t="shared" si="57"/>
        <v>5.9262946227203335</v>
      </c>
      <c r="AB361" s="599">
        <f>(Z361/Z354-1)*100</f>
        <v>3.4985964907349842</v>
      </c>
      <c r="AC361" s="563"/>
      <c r="AG361" s="582">
        <f>AVERAGE(AG357:AG360)</f>
        <v>2.9515493333333334</v>
      </c>
      <c r="AI361" s="539">
        <f>(AG361/AG354-1)*100</f>
        <v>0.16969001480600099</v>
      </c>
      <c r="AJ361" s="563"/>
      <c r="AK361" s="1759">
        <f>IFERROR(Z361/AI361*100, "-")</f>
        <v>3492.4238939430829</v>
      </c>
      <c r="AL361" s="416"/>
      <c r="AN361" s="579">
        <f t="shared" si="58"/>
        <v>1447.4974615994415</v>
      </c>
      <c r="AP361" s="583">
        <f>SUM(AP357:AP360)</f>
        <v>490.40008206878531</v>
      </c>
      <c r="AR361" s="583">
        <f>SUM(AR357:AR360)</f>
        <v>490.40008206878531</v>
      </c>
      <c r="AT361" s="599">
        <f>(AR361/AR354-1)*100</f>
        <v>3.5524007396891211</v>
      </c>
      <c r="AU361" s="563"/>
      <c r="AV361" s="579">
        <f>SUM(AV357:AV360)</f>
        <v>239.7329399706384</v>
      </c>
      <c r="AW361" s="458">
        <f>AV361/AV354-1</f>
        <v>0.19526919138809706</v>
      </c>
      <c r="BI361" s="579"/>
      <c r="BJ361" s="623"/>
      <c r="BK361" s="623"/>
      <c r="BL361" s="623"/>
      <c r="BM361" s="623"/>
      <c r="BO361" s="482"/>
      <c r="BP361" s="482"/>
      <c r="BQ361" s="482"/>
      <c r="BR361" s="482"/>
    </row>
    <row r="362" spans="1:70" ht="12.75" customHeight="1">
      <c r="B362" s="562"/>
      <c r="D362" s="618"/>
      <c r="F362" s="660"/>
      <c r="G362" s="660"/>
      <c r="I362" s="618"/>
      <c r="P362" s="587"/>
      <c r="R362" s="618"/>
      <c r="S362" s="563"/>
      <c r="T362" s="595"/>
      <c r="U362" s="416"/>
      <c r="W362" s="539"/>
      <c r="X362" s="579"/>
      <c r="Z362" s="580"/>
      <c r="AB362" s="599"/>
      <c r="AC362" s="563"/>
      <c r="AG362" s="582"/>
      <c r="AI362" s="539"/>
      <c r="AJ362" s="563"/>
      <c r="AK362" s="595"/>
      <c r="AL362" s="416"/>
      <c r="AN362" s="579"/>
      <c r="AP362" s="583"/>
      <c r="AR362" s="583"/>
      <c r="AT362" s="599"/>
      <c r="AU362" s="563"/>
      <c r="AV362" s="579"/>
      <c r="AW362" s="458"/>
      <c r="BI362" s="579"/>
      <c r="BJ362" s="623"/>
      <c r="BK362" s="623"/>
      <c r="BL362" s="623"/>
      <c r="BM362" s="623"/>
      <c r="BO362" s="482"/>
      <c r="BP362" s="482"/>
      <c r="BQ362" s="482"/>
      <c r="BR362" s="482"/>
    </row>
    <row r="363" spans="1:70" ht="12.75" customHeight="1">
      <c r="A363" s="574" t="s">
        <v>58</v>
      </c>
      <c r="B363" s="671"/>
      <c r="C363" s="557"/>
      <c r="D363" s="557"/>
      <c r="E363" s="558"/>
      <c r="F363" s="672"/>
      <c r="G363" s="660"/>
      <c r="H363" s="557"/>
      <c r="I363" s="557"/>
      <c r="J363" s="558"/>
      <c r="K363" s="557"/>
      <c r="L363" s="557"/>
      <c r="M363" s="557"/>
      <c r="N363" s="557"/>
      <c r="O363" s="557"/>
      <c r="P363" s="557"/>
      <c r="Q363" s="558"/>
      <c r="R363" s="557"/>
      <c r="S363" s="558"/>
      <c r="T363" s="557"/>
      <c r="U363" s="557"/>
      <c r="V363" s="558"/>
      <c r="W363" s="558"/>
      <c r="X363" s="482"/>
      <c r="Y363" s="557"/>
      <c r="Z363" s="482"/>
      <c r="AA363" s="558"/>
      <c r="AB363" s="557"/>
      <c r="AC363" s="423"/>
      <c r="AD363" s="557"/>
      <c r="AE363" s="557"/>
      <c r="AF363" s="557"/>
      <c r="AG363" s="557"/>
      <c r="AH363" s="558"/>
      <c r="AI363" s="557"/>
      <c r="AJ363" s="558"/>
      <c r="AK363" s="557"/>
      <c r="AL363" s="557"/>
      <c r="AM363" s="558"/>
      <c r="AN363" s="557"/>
      <c r="AO363" s="557"/>
      <c r="AP363" s="558"/>
      <c r="AQ363" s="557"/>
      <c r="AR363" s="558"/>
      <c r="AS363" s="558"/>
      <c r="AT363" s="557"/>
      <c r="AU363" s="423"/>
      <c r="BJ363" s="623"/>
      <c r="BK363" s="623"/>
      <c r="BL363" s="623"/>
      <c r="BM363" s="623"/>
    </row>
    <row r="364" spans="1:70" ht="12.75" customHeight="1">
      <c r="B364" s="562"/>
      <c r="D364" s="416"/>
      <c r="E364" s="416"/>
      <c r="F364" s="632"/>
      <c r="G364" s="660"/>
      <c r="H364" s="416"/>
      <c r="I364" s="416"/>
      <c r="S364" s="563"/>
      <c r="T364" s="416"/>
      <c r="U364" s="416"/>
      <c r="X364" s="482"/>
      <c r="Z364" s="482"/>
      <c r="AC364" s="563"/>
      <c r="AJ364" s="563"/>
      <c r="AK364" s="416"/>
      <c r="AL364" s="416"/>
      <c r="BJ364" s="623"/>
      <c r="BK364" s="623"/>
      <c r="BL364" s="623"/>
      <c r="BM364" s="623"/>
    </row>
    <row r="365" spans="1:70" ht="12.75" hidden="1" customHeight="1" outlineLevel="1">
      <c r="A365" s="593"/>
      <c r="B365" s="431">
        <f>+B188</f>
        <v>1994</v>
      </c>
      <c r="D365" s="416"/>
      <c r="E365" s="632"/>
      <c r="F365" s="632"/>
      <c r="G365" s="632"/>
      <c r="H365" s="632"/>
      <c r="I365" s="416"/>
      <c r="J365" s="563"/>
      <c r="S365" s="563"/>
      <c r="T365" s="416"/>
      <c r="U365" s="416"/>
      <c r="AC365" s="563"/>
      <c r="AJ365" s="563"/>
      <c r="AK365" s="416"/>
      <c r="AL365" s="416"/>
      <c r="AU365" s="563"/>
      <c r="BJ365" s="623"/>
      <c r="BK365" s="623"/>
      <c r="BL365" s="623"/>
      <c r="BM365" s="623"/>
    </row>
    <row r="366" spans="1:70" ht="12.75" hidden="1" customHeight="1" outlineLevel="1">
      <c r="A366" s="410" t="str">
        <f>$A$12</f>
        <v>1Q</v>
      </c>
      <c r="B366" s="562" t="str">
        <f>$B$12</f>
        <v>Apr</v>
      </c>
      <c r="D366" s="635"/>
      <c r="E366" s="632"/>
      <c r="F366" s="632"/>
      <c r="G366" s="673"/>
      <c r="H366" s="632"/>
      <c r="I366" s="635"/>
      <c r="J366" s="563"/>
      <c r="K366" s="454">
        <v>1</v>
      </c>
      <c r="L366" s="454"/>
      <c r="M366" s="454"/>
      <c r="N366" s="454"/>
      <c r="P366" s="674">
        <f>+K366</f>
        <v>1</v>
      </c>
      <c r="R366" s="618"/>
      <c r="S366" s="563"/>
      <c r="T366" s="595"/>
      <c r="U366" s="416"/>
      <c r="V366" s="416"/>
      <c r="W366" s="416"/>
      <c r="X366" s="631"/>
      <c r="Y366" s="416"/>
      <c r="Z366" s="637"/>
      <c r="AA366" s="416"/>
      <c r="AB366" s="599"/>
      <c r="AC366" s="632"/>
      <c r="AD366" s="416"/>
      <c r="AE366" s="581">
        <f>0.007714/0.75</f>
        <v>1.0285333333333334E-2</v>
      </c>
      <c r="AG366" s="608">
        <f>+AE366</f>
        <v>1.0285333333333334E-2</v>
      </c>
      <c r="AI366" s="635"/>
      <c r="AJ366" s="632"/>
      <c r="AK366" s="595"/>
      <c r="AL366" s="416"/>
      <c r="AM366" s="416"/>
      <c r="AN366" s="628"/>
      <c r="AO366" s="416"/>
      <c r="AP366" s="639"/>
      <c r="AQ366" s="416"/>
      <c r="AR366" s="639"/>
      <c r="AS366" s="416"/>
      <c r="AT366" s="599"/>
      <c r="AU366" s="632"/>
      <c r="BJ366" s="623"/>
      <c r="BK366" s="623"/>
      <c r="BL366" s="623"/>
      <c r="BM366" s="623"/>
    </row>
    <row r="367" spans="1:70" ht="12.75" hidden="1" customHeight="1" outlineLevel="1">
      <c r="A367" s="410" t="str">
        <f>$A$13</f>
        <v>2Q</v>
      </c>
      <c r="B367" s="562" t="str">
        <f>$B$13</f>
        <v>Jul</v>
      </c>
      <c r="D367" s="635"/>
      <c r="E367" s="416"/>
      <c r="F367" s="632"/>
      <c r="G367" s="673"/>
      <c r="H367" s="416"/>
      <c r="I367" s="635"/>
      <c r="K367" s="454">
        <f>+K366</f>
        <v>1</v>
      </c>
      <c r="L367" s="454"/>
      <c r="M367" s="454"/>
      <c r="N367" s="454"/>
      <c r="O367" s="454"/>
      <c r="P367" s="587">
        <f>AVERAGE(K367,K366)</f>
        <v>1</v>
      </c>
      <c r="R367" s="618"/>
      <c r="S367" s="563"/>
      <c r="T367" s="640"/>
      <c r="U367" s="416"/>
      <c r="V367" s="416"/>
      <c r="W367" s="416"/>
      <c r="X367" s="641"/>
      <c r="Y367" s="416"/>
      <c r="Z367" s="642"/>
      <c r="AA367" s="416"/>
      <c r="AB367" s="599"/>
      <c r="AC367" s="632"/>
      <c r="AD367" s="416"/>
      <c r="AE367" s="581">
        <f>+AE366</f>
        <v>1.0285333333333334E-2</v>
      </c>
      <c r="AF367" s="454"/>
      <c r="AG367" s="582">
        <f>AVERAGE(AE367,AE366)</f>
        <v>1.0285333333333334E-2</v>
      </c>
      <c r="AI367" s="635"/>
      <c r="AJ367" s="632"/>
      <c r="AK367" s="595"/>
      <c r="AL367" s="416"/>
      <c r="AM367" s="416"/>
      <c r="AN367" s="610"/>
      <c r="AO367" s="416"/>
      <c r="AP367" s="643"/>
      <c r="AQ367" s="416"/>
      <c r="AR367" s="643"/>
      <c r="AS367" s="416"/>
      <c r="AT367" s="599"/>
      <c r="AU367" s="632"/>
      <c r="BJ367" s="623"/>
      <c r="BK367" s="623"/>
      <c r="BL367" s="623"/>
      <c r="BM367" s="623"/>
    </row>
    <row r="368" spans="1:70" ht="12.75" hidden="1" customHeight="1" outlineLevel="1">
      <c r="A368" s="410" t="str">
        <f>$A$14</f>
        <v>3Q</v>
      </c>
      <c r="B368" s="562" t="str">
        <f>$B$14</f>
        <v>Oct</v>
      </c>
      <c r="D368" s="635"/>
      <c r="E368" s="416"/>
      <c r="F368" s="632"/>
      <c r="G368" s="673"/>
      <c r="H368" s="416"/>
      <c r="I368" s="635"/>
      <c r="K368" s="454">
        <f>+K367+1</f>
        <v>2</v>
      </c>
      <c r="L368" s="454"/>
      <c r="M368" s="454"/>
      <c r="N368" s="454"/>
      <c r="O368" s="454"/>
      <c r="P368" s="587">
        <f>AVERAGE(K368,K367)</f>
        <v>1.5</v>
      </c>
      <c r="R368" s="618"/>
      <c r="S368" s="563"/>
      <c r="T368" s="640"/>
      <c r="U368" s="416"/>
      <c r="V368" s="416"/>
      <c r="W368" s="416"/>
      <c r="X368" s="641"/>
      <c r="Y368" s="416"/>
      <c r="Z368" s="642"/>
      <c r="AA368" s="416"/>
      <c r="AB368" s="599"/>
      <c r="AC368" s="632"/>
      <c r="AD368" s="416"/>
      <c r="AE368" s="581">
        <f>0.016944/0.75</f>
        <v>2.2592000000000001E-2</v>
      </c>
      <c r="AF368" s="454"/>
      <c r="AG368" s="582">
        <f>AVERAGE(AE368,AE367)</f>
        <v>1.6438666666666667E-2</v>
      </c>
      <c r="AI368" s="635"/>
      <c r="AJ368" s="632"/>
      <c r="AK368" s="595"/>
      <c r="AL368" s="416"/>
      <c r="AM368" s="416"/>
      <c r="AN368" s="610"/>
      <c r="AO368" s="416"/>
      <c r="AP368" s="643"/>
      <c r="AQ368" s="416"/>
      <c r="AR368" s="643"/>
      <c r="AS368" s="416"/>
      <c r="AT368" s="599"/>
      <c r="AU368" s="632"/>
      <c r="BJ368" s="623"/>
      <c r="BK368" s="623"/>
      <c r="BL368" s="623"/>
      <c r="BM368" s="623"/>
    </row>
    <row r="369" spans="1:65" ht="12.75" hidden="1" customHeight="1" outlineLevel="1">
      <c r="A369" s="410" t="str">
        <f>$A$15</f>
        <v>4Q</v>
      </c>
      <c r="B369" s="562" t="str">
        <f>$B$15</f>
        <v>Jan</v>
      </c>
      <c r="D369" s="635"/>
      <c r="E369" s="416"/>
      <c r="F369" s="632"/>
      <c r="G369" s="673"/>
      <c r="H369" s="416"/>
      <c r="I369" s="635"/>
      <c r="K369" s="454">
        <f>+K368+1</f>
        <v>3</v>
      </c>
      <c r="L369" s="454"/>
      <c r="M369" s="454"/>
      <c r="N369" s="454"/>
      <c r="O369" s="454"/>
      <c r="P369" s="588">
        <f>AVERAGE(K369,K368)</f>
        <v>2.5</v>
      </c>
      <c r="R369" s="618"/>
      <c r="S369" s="563"/>
      <c r="T369" s="640"/>
      <c r="U369" s="416"/>
      <c r="V369" s="416"/>
      <c r="W369" s="416"/>
      <c r="X369" s="641"/>
      <c r="Y369" s="416"/>
      <c r="Z369" s="642"/>
      <c r="AA369" s="416"/>
      <c r="AB369" s="599"/>
      <c r="AC369" s="632"/>
      <c r="AD369" s="416"/>
      <c r="AE369" s="581">
        <f>0.025283/0.75</f>
        <v>3.3710666666666667E-2</v>
      </c>
      <c r="AF369" s="454"/>
      <c r="AG369" s="591">
        <f>AVERAGE(AE369,AE368)</f>
        <v>2.8151333333333334E-2</v>
      </c>
      <c r="AI369" s="635"/>
      <c r="AJ369" s="632"/>
      <c r="AK369" s="595"/>
      <c r="AL369" s="416"/>
      <c r="AM369" s="416"/>
      <c r="AN369" s="610"/>
      <c r="AO369" s="416"/>
      <c r="AP369" s="643"/>
      <c r="AQ369" s="416"/>
      <c r="AR369" s="643"/>
      <c r="AS369" s="416"/>
      <c r="AT369" s="599"/>
      <c r="AU369" s="632"/>
      <c r="BJ369" s="623"/>
      <c r="BK369" s="623"/>
      <c r="BL369" s="623"/>
      <c r="BM369" s="623"/>
    </row>
    <row r="370" spans="1:65" ht="12.75" hidden="1" customHeight="1" outlineLevel="1">
      <c r="B370" s="562" t="str">
        <f>$B$16</f>
        <v>Year</v>
      </c>
      <c r="D370" s="635"/>
      <c r="E370" s="416"/>
      <c r="F370" s="632"/>
      <c r="G370" s="675"/>
      <c r="H370" s="416"/>
      <c r="I370" s="635"/>
      <c r="P370" s="587">
        <f>AVERAGE(P366:P369)</f>
        <v>1.5</v>
      </c>
      <c r="R370" s="618"/>
      <c r="S370" s="563"/>
      <c r="T370" s="595"/>
      <c r="U370" s="416"/>
      <c r="V370" s="416"/>
      <c r="W370" s="416"/>
      <c r="X370" s="628"/>
      <c r="Y370" s="416"/>
      <c r="Z370" s="637"/>
      <c r="AA370" s="416"/>
      <c r="AB370" s="599"/>
      <c r="AC370" s="632"/>
      <c r="AD370" s="416"/>
      <c r="AG370" s="582">
        <f>AVERAGE(AG366:AG369)</f>
        <v>1.6290166666666668E-2</v>
      </c>
      <c r="AI370" s="635"/>
      <c r="AJ370" s="632"/>
      <c r="AK370" s="595"/>
      <c r="AL370" s="416"/>
      <c r="AM370" s="416"/>
      <c r="AN370" s="628"/>
      <c r="AO370" s="416"/>
      <c r="AP370" s="639"/>
      <c r="AQ370" s="416"/>
      <c r="AR370" s="639"/>
      <c r="AS370" s="416"/>
      <c r="AT370" s="599"/>
      <c r="AU370" s="632"/>
      <c r="BJ370" s="623"/>
      <c r="BK370" s="623"/>
      <c r="BL370" s="623"/>
      <c r="BM370" s="623"/>
    </row>
    <row r="371" spans="1:65" ht="12.75" hidden="1" customHeight="1" outlineLevel="1">
      <c r="B371" s="562"/>
      <c r="D371" s="416"/>
      <c r="E371" s="416"/>
      <c r="F371" s="632"/>
      <c r="G371" s="676"/>
      <c r="H371" s="416"/>
      <c r="I371" s="416"/>
      <c r="BJ371" s="623"/>
      <c r="BK371" s="623"/>
      <c r="BL371" s="623"/>
      <c r="BM371" s="623"/>
    </row>
    <row r="372" spans="1:65" ht="12.75" hidden="1" customHeight="1" outlineLevel="1">
      <c r="A372" s="593"/>
      <c r="B372" s="431">
        <f>+B195</f>
        <v>1995</v>
      </c>
      <c r="D372" s="416"/>
      <c r="E372" s="632"/>
      <c r="F372" s="632"/>
      <c r="G372" s="632"/>
      <c r="H372" s="632"/>
      <c r="I372" s="416"/>
      <c r="J372" s="563"/>
      <c r="S372" s="563"/>
      <c r="T372" s="416"/>
      <c r="U372" s="416"/>
      <c r="AC372" s="563"/>
      <c r="AJ372" s="563"/>
      <c r="AK372" s="416"/>
      <c r="AL372" s="416"/>
      <c r="AU372" s="563"/>
      <c r="BJ372" s="623"/>
      <c r="BK372" s="623"/>
      <c r="BL372" s="623"/>
      <c r="BM372" s="623"/>
    </row>
    <row r="373" spans="1:65" ht="12.75" hidden="1" customHeight="1" outlineLevel="1">
      <c r="A373" s="410" t="str">
        <f>$A$12</f>
        <v>1Q</v>
      </c>
      <c r="B373" s="562" t="str">
        <f>$B$12</f>
        <v>Apr</v>
      </c>
      <c r="D373" s="635"/>
      <c r="E373" s="632"/>
      <c r="F373" s="632"/>
      <c r="G373" s="673"/>
      <c r="H373" s="632"/>
      <c r="I373" s="635"/>
      <c r="J373" s="563"/>
      <c r="K373" s="454">
        <v>3</v>
      </c>
      <c r="L373" s="454"/>
      <c r="M373" s="454"/>
      <c r="N373" s="454"/>
      <c r="P373" s="587">
        <f>+AVERAGE(K369,K373)</f>
        <v>3</v>
      </c>
      <c r="R373" s="645">
        <f>+(P373/P366-1)*100</f>
        <v>200</v>
      </c>
      <c r="S373" s="563" t="s">
        <v>208</v>
      </c>
      <c r="T373" s="595"/>
      <c r="U373" s="416"/>
      <c r="V373" s="416"/>
      <c r="W373" s="416"/>
      <c r="X373" s="631"/>
      <c r="Y373" s="416"/>
      <c r="Z373" s="637"/>
      <c r="AA373" s="416"/>
      <c r="AB373" s="599"/>
      <c r="AC373" s="632"/>
      <c r="AD373" s="416"/>
      <c r="AE373" s="581">
        <f>+AE369</f>
        <v>3.3710666666666667E-2</v>
      </c>
      <c r="AG373" s="582">
        <f>AVERAGE(AE373,AE369)</f>
        <v>3.3710666666666667E-2</v>
      </c>
      <c r="AI373" s="539">
        <f>(AG373/AG366-1)*100</f>
        <v>227.75473165672801</v>
      </c>
      <c r="AJ373" s="563" t="s">
        <v>208</v>
      </c>
      <c r="AK373" s="595"/>
      <c r="AL373" s="416"/>
      <c r="AM373" s="416"/>
      <c r="AN373" s="628"/>
      <c r="AO373" s="416"/>
      <c r="AP373" s="639"/>
      <c r="AQ373" s="416"/>
      <c r="AR373" s="639"/>
      <c r="AS373" s="416"/>
      <c r="AT373" s="599"/>
      <c r="AU373" s="632"/>
      <c r="BJ373" s="623"/>
      <c r="BK373" s="623"/>
      <c r="BL373" s="623"/>
      <c r="BM373" s="623"/>
    </row>
    <row r="374" spans="1:65" ht="12.75" hidden="1" customHeight="1" outlineLevel="1">
      <c r="A374" s="410" t="str">
        <f>$A$13</f>
        <v>2Q</v>
      </c>
      <c r="B374" s="562" t="str">
        <f>$B$13</f>
        <v>Jul</v>
      </c>
      <c r="D374" s="635"/>
      <c r="E374" s="416"/>
      <c r="F374" s="632"/>
      <c r="G374" s="673"/>
      <c r="H374" s="416"/>
      <c r="I374" s="635"/>
      <c r="K374" s="454">
        <v>3</v>
      </c>
      <c r="L374" s="454"/>
      <c r="M374" s="454"/>
      <c r="N374" s="454"/>
      <c r="O374" s="454"/>
      <c r="P374" s="587">
        <f>AVERAGE(K374,K373)</f>
        <v>3</v>
      </c>
      <c r="R374" s="645">
        <f>+(P374/P367-1)*100</f>
        <v>200</v>
      </c>
      <c r="S374" s="563"/>
      <c r="T374" s="640"/>
      <c r="U374" s="416"/>
      <c r="V374" s="416"/>
      <c r="W374" s="416"/>
      <c r="X374" s="641"/>
      <c r="Y374" s="416"/>
      <c r="Z374" s="642"/>
      <c r="AA374" s="416"/>
      <c r="AB374" s="599"/>
      <c r="AC374" s="632"/>
      <c r="AD374" s="416"/>
      <c r="AE374" s="581">
        <f>+AE373</f>
        <v>3.3710666666666667E-2</v>
      </c>
      <c r="AF374" s="454"/>
      <c r="AG374" s="582">
        <f>AVERAGE(AE374,AE373)</f>
        <v>3.3710666666666667E-2</v>
      </c>
      <c r="AI374" s="539">
        <f>(AG374/AG367-1)*100</f>
        <v>227.75473165672801</v>
      </c>
      <c r="AJ374" s="563"/>
      <c r="AK374" s="595"/>
      <c r="AL374" s="416"/>
      <c r="AM374" s="416"/>
      <c r="AN374" s="610"/>
      <c r="AO374" s="416"/>
      <c r="AP374" s="643"/>
      <c r="AQ374" s="416"/>
      <c r="AR374" s="643"/>
      <c r="AS374" s="416"/>
      <c r="AT374" s="599"/>
      <c r="AU374" s="632"/>
      <c r="BJ374" s="623"/>
      <c r="BK374" s="623"/>
      <c r="BL374" s="623"/>
      <c r="BM374" s="623"/>
    </row>
    <row r="375" spans="1:65" ht="12.75" hidden="1" customHeight="1" outlineLevel="1">
      <c r="A375" s="410" t="str">
        <f>$A$14</f>
        <v>3Q</v>
      </c>
      <c r="B375" s="562" t="str">
        <f>$B$14</f>
        <v>Oct</v>
      </c>
      <c r="D375" s="635"/>
      <c r="E375" s="416"/>
      <c r="F375" s="632"/>
      <c r="G375" s="673"/>
      <c r="H375" s="416"/>
      <c r="I375" s="635"/>
      <c r="K375" s="454">
        <v>3</v>
      </c>
      <c r="L375" s="454"/>
      <c r="M375" s="454"/>
      <c r="N375" s="454"/>
      <c r="O375" s="454"/>
      <c r="P375" s="587">
        <f>AVERAGE(K375,K374)</f>
        <v>3</v>
      </c>
      <c r="R375" s="645">
        <f>+(P375/P368-1)*100</f>
        <v>100</v>
      </c>
      <c r="S375" s="563"/>
      <c r="T375" s="640"/>
      <c r="U375" s="416"/>
      <c r="V375" s="416"/>
      <c r="W375" s="416"/>
      <c r="X375" s="641"/>
      <c r="Y375" s="416"/>
      <c r="Z375" s="642"/>
      <c r="AA375" s="416"/>
      <c r="AB375" s="599"/>
      <c r="AC375" s="632"/>
      <c r="AD375" s="416"/>
      <c r="AE375" s="581">
        <f>+AE374</f>
        <v>3.3710666666666667E-2</v>
      </c>
      <c r="AF375" s="454"/>
      <c r="AG375" s="582">
        <f>AVERAGE(AE375,AE374)</f>
        <v>3.3710666666666667E-2</v>
      </c>
      <c r="AI375" s="539">
        <f>(AG375/AG368-1)*100</f>
        <v>105.06934869008032</v>
      </c>
      <c r="AJ375" s="563"/>
      <c r="AK375" s="595"/>
      <c r="AL375" s="416"/>
      <c r="AM375" s="416"/>
      <c r="AN375" s="610"/>
      <c r="AO375" s="416"/>
      <c r="AP375" s="643"/>
      <c r="AQ375" s="416"/>
      <c r="AR375" s="643"/>
      <c r="AS375" s="416"/>
      <c r="AT375" s="599"/>
      <c r="AU375" s="632"/>
      <c r="BJ375" s="623"/>
      <c r="BK375" s="623"/>
      <c r="BL375" s="623"/>
      <c r="BM375" s="623"/>
    </row>
    <row r="376" spans="1:65" ht="12.75" hidden="1" customHeight="1" outlineLevel="1">
      <c r="A376" s="410" t="str">
        <f>$A$15</f>
        <v>4Q</v>
      </c>
      <c r="B376" s="562" t="str">
        <f>$B$15</f>
        <v>Jan</v>
      </c>
      <c r="D376" s="635"/>
      <c r="E376" s="416"/>
      <c r="F376" s="632"/>
      <c r="G376" s="673"/>
      <c r="H376" s="416"/>
      <c r="I376" s="635"/>
      <c r="K376" s="454">
        <v>3</v>
      </c>
      <c r="L376" s="454"/>
      <c r="M376" s="454"/>
      <c r="N376" s="454"/>
      <c r="O376" s="454"/>
      <c r="P376" s="588">
        <f>AVERAGE(K376,K375)</f>
        <v>3</v>
      </c>
      <c r="R376" s="646">
        <f>+(P376/P369-1)*100</f>
        <v>19.999999999999996</v>
      </c>
      <c r="S376" s="563"/>
      <c r="T376" s="640"/>
      <c r="U376" s="416"/>
      <c r="V376" s="416"/>
      <c r="W376" s="416"/>
      <c r="X376" s="641"/>
      <c r="Y376" s="416"/>
      <c r="Z376" s="642"/>
      <c r="AA376" s="416"/>
      <c r="AB376" s="599"/>
      <c r="AC376" s="632"/>
      <c r="AD376" s="416"/>
      <c r="AE376" s="581">
        <f>+AE375</f>
        <v>3.3710666666666667E-2</v>
      </c>
      <c r="AF376" s="454"/>
      <c r="AG376" s="591">
        <f>AVERAGE(AE376,AE375)</f>
        <v>3.3710666666666667E-2</v>
      </c>
      <c r="AI376" s="596">
        <f>(AG376/AG369-1)*100</f>
        <v>19.748028512563053</v>
      </c>
      <c r="AJ376" s="563"/>
      <c r="AK376" s="595"/>
      <c r="AL376" s="416"/>
      <c r="AM376" s="416"/>
      <c r="AN376" s="610"/>
      <c r="AO376" s="416"/>
      <c r="AP376" s="643"/>
      <c r="AQ376" s="416"/>
      <c r="AR376" s="643"/>
      <c r="AS376" s="416"/>
      <c r="AT376" s="599"/>
      <c r="AU376" s="632"/>
      <c r="BJ376" s="623"/>
      <c r="BK376" s="623"/>
      <c r="BL376" s="623"/>
      <c r="BM376" s="623"/>
    </row>
    <row r="377" spans="1:65" ht="12.75" hidden="1" customHeight="1" outlineLevel="1">
      <c r="B377" s="562" t="str">
        <f>$B$16</f>
        <v>Year</v>
      </c>
      <c r="D377" s="635"/>
      <c r="E377" s="416"/>
      <c r="F377" s="632"/>
      <c r="G377" s="675"/>
      <c r="H377" s="416"/>
      <c r="I377" s="635"/>
      <c r="P377" s="587">
        <f>AVERAGE(P373:P376)</f>
        <v>3</v>
      </c>
      <c r="R377" s="618">
        <f>+(P377/P370-1)*100</f>
        <v>100</v>
      </c>
      <c r="S377" s="563"/>
      <c r="T377" s="595"/>
      <c r="U377" s="416"/>
      <c r="V377" s="416"/>
      <c r="W377" s="416"/>
      <c r="X377" s="628"/>
      <c r="Y377" s="416"/>
      <c r="Z377" s="637"/>
      <c r="AA377" s="416"/>
      <c r="AB377" s="599"/>
      <c r="AC377" s="632"/>
      <c r="AD377" s="416"/>
      <c r="AG377" s="582">
        <f>AVERAGE(AG373:AG376)</f>
        <v>3.3710666666666667E-2</v>
      </c>
      <c r="AI377" s="539">
        <f>(AG377/AG370-1)*100</f>
        <v>106.9387462784297</v>
      </c>
      <c r="AJ377" s="563"/>
      <c r="AK377" s="595"/>
      <c r="AL377" s="416"/>
      <c r="AM377" s="416"/>
      <c r="AN377" s="628"/>
      <c r="AO377" s="416"/>
      <c r="AP377" s="639"/>
      <c r="AQ377" s="416"/>
      <c r="AR377" s="639"/>
      <c r="AS377" s="416"/>
      <c r="AT377" s="599"/>
      <c r="AU377" s="632"/>
      <c r="BJ377" s="623"/>
      <c r="BK377" s="623"/>
      <c r="BL377" s="623"/>
      <c r="BM377" s="623"/>
    </row>
    <row r="378" spans="1:65" ht="12.75" hidden="1" customHeight="1" outlineLevel="1">
      <c r="B378" s="562"/>
      <c r="D378" s="416"/>
      <c r="E378" s="416"/>
      <c r="F378" s="632"/>
      <c r="G378" s="676"/>
      <c r="H378" s="416"/>
      <c r="I378" s="416"/>
      <c r="BJ378" s="623"/>
      <c r="BK378" s="623"/>
      <c r="BL378" s="623"/>
      <c r="BM378" s="623"/>
    </row>
    <row r="379" spans="1:65" ht="12.75" hidden="1" customHeight="1" outlineLevel="1">
      <c r="A379" s="593"/>
      <c r="B379" s="431">
        <f>+B202</f>
        <v>1996</v>
      </c>
      <c r="D379" s="416"/>
      <c r="E379" s="632"/>
      <c r="F379" s="632"/>
      <c r="G379" s="632"/>
      <c r="H379" s="632"/>
      <c r="I379" s="416"/>
      <c r="J379" s="563"/>
      <c r="S379" s="563"/>
      <c r="T379" s="416"/>
      <c r="U379" s="416"/>
      <c r="AC379" s="563"/>
      <c r="AJ379" s="563"/>
      <c r="AK379" s="416"/>
      <c r="AL379" s="416"/>
      <c r="AU379" s="563"/>
      <c r="BJ379" s="623"/>
      <c r="BK379" s="623"/>
      <c r="BL379" s="623"/>
      <c r="BM379" s="623"/>
    </row>
    <row r="380" spans="1:65" ht="12.75" hidden="1" customHeight="1" outlineLevel="1">
      <c r="A380" s="410" t="str">
        <f>$A$12</f>
        <v>1Q</v>
      </c>
      <c r="B380" s="562" t="str">
        <f>$B$12</f>
        <v>Apr</v>
      </c>
      <c r="D380" s="635"/>
      <c r="E380" s="632"/>
      <c r="F380" s="632"/>
      <c r="G380" s="673"/>
      <c r="H380" s="632"/>
      <c r="I380" s="635"/>
      <c r="J380" s="563"/>
      <c r="K380" s="454">
        <f>+K376+1</f>
        <v>4</v>
      </c>
      <c r="L380" s="454"/>
      <c r="M380" s="454"/>
      <c r="N380" s="454"/>
      <c r="P380" s="587">
        <f>+AVERAGE(K376,K380)</f>
        <v>3.5</v>
      </c>
      <c r="R380" s="645">
        <f>+(P380/P373-1)*100</f>
        <v>16.666666666666675</v>
      </c>
      <c r="S380" s="563" t="s">
        <v>208</v>
      </c>
      <c r="T380" s="595"/>
      <c r="U380" s="416"/>
      <c r="V380" s="416"/>
      <c r="W380" s="416"/>
      <c r="X380" s="631"/>
      <c r="Y380" s="416"/>
      <c r="Z380" s="637"/>
      <c r="AA380" s="416"/>
      <c r="AB380" s="599"/>
      <c r="AC380" s="632"/>
      <c r="AD380" s="416"/>
      <c r="AE380" s="638">
        <f>0.03277/0.75</f>
        <v>4.3693333333333334E-2</v>
      </c>
      <c r="AF380" s="416"/>
      <c r="AG380" s="582">
        <f>AVERAGE(AE380,AE376)</f>
        <v>3.8702E-2</v>
      </c>
      <c r="AI380" s="539">
        <f>(AG380/AG373-1)*100</f>
        <v>14.806391646560924</v>
      </c>
      <c r="AJ380" s="563" t="s">
        <v>208</v>
      </c>
      <c r="AK380" s="595"/>
      <c r="AL380" s="416"/>
      <c r="AM380" s="416"/>
      <c r="AN380" s="628"/>
      <c r="AO380" s="416"/>
      <c r="AP380" s="639"/>
      <c r="AQ380" s="416"/>
      <c r="AR380" s="639"/>
      <c r="AS380" s="416"/>
      <c r="AT380" s="599"/>
      <c r="AU380" s="632"/>
      <c r="BJ380" s="623"/>
      <c r="BK380" s="623"/>
      <c r="BL380" s="623"/>
      <c r="BM380" s="623"/>
    </row>
    <row r="381" spans="1:65" ht="12.75" hidden="1" customHeight="1" outlineLevel="1">
      <c r="A381" s="410" t="str">
        <f>$A$13</f>
        <v>2Q</v>
      </c>
      <c r="B381" s="562" t="str">
        <f>$B$13</f>
        <v>Jul</v>
      </c>
      <c r="D381" s="635"/>
      <c r="E381" s="416"/>
      <c r="F381" s="632"/>
      <c r="G381" s="673"/>
      <c r="H381" s="416"/>
      <c r="I381" s="635"/>
      <c r="K381" s="454">
        <f>+K380+1</f>
        <v>5</v>
      </c>
      <c r="L381" s="454"/>
      <c r="M381" s="454"/>
      <c r="N381" s="454"/>
      <c r="O381" s="454"/>
      <c r="P381" s="587">
        <f>AVERAGE(K381,K380)</f>
        <v>4.5</v>
      </c>
      <c r="R381" s="645">
        <f>+(P381/P374-1)*100</f>
        <v>50</v>
      </c>
      <c r="S381" s="563"/>
      <c r="T381" s="640"/>
      <c r="U381" s="416"/>
      <c r="V381" s="416"/>
      <c r="W381" s="416"/>
      <c r="X381" s="641"/>
      <c r="Y381" s="416"/>
      <c r="Z381" s="642"/>
      <c r="AA381" s="416"/>
      <c r="AB381" s="599"/>
      <c r="AC381" s="632"/>
      <c r="AD381" s="416"/>
      <c r="AE381" s="638">
        <f>0.040946/0.75</f>
        <v>5.4594666666666673E-2</v>
      </c>
      <c r="AF381" s="459"/>
      <c r="AG381" s="582">
        <f>AVERAGE(AE381,AE380)</f>
        <v>4.9144000000000007E-2</v>
      </c>
      <c r="AI381" s="539">
        <f>(AG381/AG374-1)*100</f>
        <v>45.781750583395976</v>
      </c>
      <c r="AJ381" s="563"/>
      <c r="AK381" s="595"/>
      <c r="AL381" s="416"/>
      <c r="AM381" s="416"/>
      <c r="AN381" s="610"/>
      <c r="AO381" s="416"/>
      <c r="AP381" s="643"/>
      <c r="AQ381" s="416"/>
      <c r="AR381" s="643"/>
      <c r="AS381" s="416"/>
      <c r="AT381" s="599"/>
      <c r="AU381" s="632"/>
      <c r="BJ381" s="623"/>
      <c r="BK381" s="623"/>
      <c r="BL381" s="623"/>
      <c r="BM381" s="623"/>
    </row>
    <row r="382" spans="1:65" ht="12.75" hidden="1" customHeight="1" outlineLevel="1">
      <c r="A382" s="410" t="str">
        <f>$A$14</f>
        <v>3Q</v>
      </c>
      <c r="B382" s="562" t="str">
        <f>$B$14</f>
        <v>Oct</v>
      </c>
      <c r="D382" s="635"/>
      <c r="E382" s="416"/>
      <c r="F382" s="632"/>
      <c r="G382" s="673"/>
      <c r="H382" s="416"/>
      <c r="I382" s="635"/>
      <c r="K382" s="454">
        <f>+K381+2</f>
        <v>7</v>
      </c>
      <c r="L382" s="454"/>
      <c r="M382" s="454"/>
      <c r="N382" s="454"/>
      <c r="O382" s="454"/>
      <c r="P382" s="587">
        <f>AVERAGE(K382,K381)</f>
        <v>6</v>
      </c>
      <c r="R382" s="645">
        <f>+(P382/P375-1)*100</f>
        <v>100</v>
      </c>
      <c r="S382" s="563"/>
      <c r="T382" s="640"/>
      <c r="U382" s="416"/>
      <c r="V382" s="416"/>
      <c r="W382" s="416"/>
      <c r="X382" s="641"/>
      <c r="Y382" s="416"/>
      <c r="Z382" s="642"/>
      <c r="AA382" s="416"/>
      <c r="AB382" s="599"/>
      <c r="AC382" s="632"/>
      <c r="AD382" s="416"/>
      <c r="AE382" s="638">
        <f>0.059572/0.75</f>
        <v>7.9429333333333338E-2</v>
      </c>
      <c r="AF382" s="459"/>
      <c r="AG382" s="582">
        <f>AVERAGE(AE382,AE381)</f>
        <v>6.7012000000000002E-2</v>
      </c>
      <c r="AI382" s="539">
        <f>(AG382/AG375-1)*100</f>
        <v>98.785745362496542</v>
      </c>
      <c r="AJ382" s="563"/>
      <c r="AK382" s="595"/>
      <c r="AL382" s="416"/>
      <c r="AM382" s="416"/>
      <c r="AN382" s="610"/>
      <c r="AO382" s="416"/>
      <c r="AP382" s="643"/>
      <c r="AQ382" s="416"/>
      <c r="AR382" s="643"/>
      <c r="AS382" s="416"/>
      <c r="AT382" s="599"/>
      <c r="AU382" s="632"/>
      <c r="BJ382" s="623"/>
      <c r="BK382" s="623"/>
      <c r="BL382" s="623"/>
      <c r="BM382" s="623"/>
    </row>
    <row r="383" spans="1:65" ht="12.75" hidden="1" customHeight="1" outlineLevel="1">
      <c r="A383" s="410" t="str">
        <f>$A$15</f>
        <v>4Q</v>
      </c>
      <c r="B383" s="562" t="str">
        <f>$B$15</f>
        <v>Jan</v>
      </c>
      <c r="D383" s="635"/>
      <c r="E383" s="416"/>
      <c r="F383" s="632"/>
      <c r="G383" s="673"/>
      <c r="H383" s="416"/>
      <c r="I383" s="635"/>
      <c r="K383" s="454">
        <f>+K382+1</f>
        <v>8</v>
      </c>
      <c r="L383" s="454"/>
      <c r="M383" s="454"/>
      <c r="N383" s="454"/>
      <c r="O383" s="454"/>
      <c r="P383" s="588">
        <f>AVERAGE(K383,K382)</f>
        <v>7.5</v>
      </c>
      <c r="R383" s="646">
        <f>+(P383/P376-1)*100</f>
        <v>150</v>
      </c>
      <c r="S383" s="563"/>
      <c r="T383" s="640"/>
      <c r="U383" s="416"/>
      <c r="V383" s="416"/>
      <c r="W383" s="416"/>
      <c r="X383" s="641"/>
      <c r="Y383" s="416"/>
      <c r="Z383" s="642"/>
      <c r="AA383" s="416"/>
      <c r="AB383" s="599"/>
      <c r="AC383" s="632"/>
      <c r="AD383" s="416"/>
      <c r="AE383" s="638">
        <f>0.067152/0.75</f>
        <v>8.9536000000000004E-2</v>
      </c>
      <c r="AF383" s="459"/>
      <c r="AG383" s="591">
        <f>AVERAGE(AE383,AE382)</f>
        <v>8.4482666666666678E-2</v>
      </c>
      <c r="AI383" s="596">
        <f>(AG383/AG376-1)*100</f>
        <v>150.61108254558403</v>
      </c>
      <c r="AJ383" s="563"/>
      <c r="AK383" s="595"/>
      <c r="AL383" s="416"/>
      <c r="AM383" s="416"/>
      <c r="AN383" s="610"/>
      <c r="AO383" s="416"/>
      <c r="AP383" s="643"/>
      <c r="AQ383" s="416"/>
      <c r="AR383" s="643"/>
      <c r="AS383" s="416"/>
      <c r="AT383" s="599"/>
      <c r="AU383" s="632"/>
      <c r="BJ383" s="623"/>
      <c r="BK383" s="623"/>
      <c r="BL383" s="623"/>
      <c r="BM383" s="623"/>
    </row>
    <row r="384" spans="1:65" ht="12.75" hidden="1" customHeight="1" outlineLevel="1">
      <c r="B384" s="562" t="str">
        <f>$B$16</f>
        <v>Year</v>
      </c>
      <c r="D384" s="635"/>
      <c r="E384" s="416"/>
      <c r="F384" s="632"/>
      <c r="G384" s="675"/>
      <c r="H384" s="416"/>
      <c r="I384" s="635"/>
      <c r="P384" s="587">
        <f>AVERAGE(P380:P383)</f>
        <v>5.375</v>
      </c>
      <c r="R384" s="618">
        <f>+(P384/P377-1)*100</f>
        <v>79.166666666666671</v>
      </c>
      <c r="S384" s="563"/>
      <c r="T384" s="595"/>
      <c r="U384" s="416"/>
      <c r="V384" s="416"/>
      <c r="W384" s="416"/>
      <c r="X384" s="628"/>
      <c r="Y384" s="416"/>
      <c r="Z384" s="637"/>
      <c r="AA384" s="416"/>
      <c r="AB384" s="599"/>
      <c r="AC384" s="632"/>
      <c r="AD384" s="416"/>
      <c r="AE384" s="416"/>
      <c r="AF384" s="416"/>
      <c r="AG384" s="582">
        <f>AVERAGE(AG380:AG383)</f>
        <v>5.9835166666666668E-2</v>
      </c>
      <c r="AI384" s="539">
        <f>(AG384/AG377-1)*100</f>
        <v>77.496242534509349</v>
      </c>
      <c r="AJ384" s="563"/>
      <c r="AK384" s="595"/>
      <c r="AL384" s="416"/>
      <c r="AM384" s="416"/>
      <c r="AN384" s="628"/>
      <c r="AO384" s="416"/>
      <c r="AP384" s="639"/>
      <c r="AQ384" s="416"/>
      <c r="AR384" s="639"/>
      <c r="AS384" s="416"/>
      <c r="AT384" s="599"/>
      <c r="AU384" s="632"/>
      <c r="BJ384" s="623"/>
      <c r="BK384" s="623"/>
      <c r="BL384" s="623"/>
      <c r="BM384" s="623"/>
    </row>
    <row r="385" spans="1:65" ht="12.75" hidden="1" customHeight="1" outlineLevel="1">
      <c r="B385" s="562"/>
      <c r="D385" s="416"/>
      <c r="E385" s="416"/>
      <c r="F385" s="632"/>
      <c r="G385" s="676"/>
      <c r="H385" s="416"/>
      <c r="I385" s="416"/>
      <c r="BJ385" s="623"/>
      <c r="BK385" s="623"/>
      <c r="BL385" s="623"/>
      <c r="BM385" s="623"/>
    </row>
    <row r="386" spans="1:65" ht="12.75" hidden="1" customHeight="1" outlineLevel="1">
      <c r="A386" s="593"/>
      <c r="B386" s="431">
        <f>+B209</f>
        <v>1997</v>
      </c>
      <c r="D386" s="416"/>
      <c r="E386" s="632"/>
      <c r="F386" s="632"/>
      <c r="G386" s="632"/>
      <c r="H386" s="632"/>
      <c r="I386" s="416"/>
      <c r="J386" s="563"/>
      <c r="S386" s="563"/>
      <c r="T386" s="416"/>
      <c r="U386" s="416"/>
      <c r="AC386" s="563"/>
      <c r="AJ386" s="563"/>
      <c r="AK386" s="416"/>
      <c r="AL386" s="416"/>
      <c r="AU386" s="563"/>
      <c r="BJ386" s="623"/>
      <c r="BK386" s="623"/>
      <c r="BL386" s="623"/>
      <c r="BM386" s="623"/>
    </row>
    <row r="387" spans="1:65" ht="12.75" hidden="1" customHeight="1" outlineLevel="1">
      <c r="A387" s="410" t="str">
        <f>$A$12</f>
        <v>1Q</v>
      </c>
      <c r="B387" s="562" t="str">
        <f>$B$12</f>
        <v>Apr</v>
      </c>
      <c r="D387" s="635"/>
      <c r="E387" s="632"/>
      <c r="F387" s="632"/>
      <c r="G387" s="673"/>
      <c r="H387" s="632"/>
      <c r="I387" s="635"/>
      <c r="J387" s="563"/>
      <c r="K387" s="454">
        <v>8</v>
      </c>
      <c r="L387" s="454"/>
      <c r="M387" s="454"/>
      <c r="N387" s="454"/>
      <c r="P387" s="587">
        <f>+AVERAGE(K383,K387)</f>
        <v>8</v>
      </c>
      <c r="R387" s="645">
        <f>+(P387/P380-1)*100</f>
        <v>128.57142857142856</v>
      </c>
      <c r="S387" s="563" t="s">
        <v>208</v>
      </c>
      <c r="T387" s="595"/>
      <c r="U387" s="416"/>
      <c r="V387" s="416"/>
      <c r="W387" s="416"/>
      <c r="X387" s="631"/>
      <c r="Y387" s="416"/>
      <c r="Z387" s="637"/>
      <c r="AA387" s="416"/>
      <c r="AB387" s="599"/>
      <c r="AC387" s="632"/>
      <c r="AD387" s="416"/>
      <c r="AE387" s="638">
        <f>+AE383</f>
        <v>8.9536000000000004E-2</v>
      </c>
      <c r="AF387" s="416"/>
      <c r="AG387" s="582">
        <f>AVERAGE(AE387,AE383)</f>
        <v>8.9536000000000004E-2</v>
      </c>
      <c r="AI387" s="539">
        <f>(AG387/AG380-1)*100</f>
        <v>131.34721719807763</v>
      </c>
      <c r="AJ387" s="563" t="s">
        <v>208</v>
      </c>
      <c r="AK387" s="595"/>
      <c r="AL387" s="416"/>
      <c r="AM387" s="416"/>
      <c r="AN387" s="628"/>
      <c r="AO387" s="416"/>
      <c r="AP387" s="639"/>
      <c r="AQ387" s="416"/>
      <c r="AR387" s="639"/>
      <c r="AS387" s="416"/>
      <c r="AT387" s="599"/>
      <c r="AU387" s="632"/>
      <c r="BJ387" s="623"/>
      <c r="BK387" s="623"/>
      <c r="BL387" s="623"/>
      <c r="BM387" s="623"/>
    </row>
    <row r="388" spans="1:65" ht="12.75" hidden="1" customHeight="1" outlineLevel="1">
      <c r="A388" s="410" t="str">
        <f>$A$13</f>
        <v>2Q</v>
      </c>
      <c r="B388" s="562" t="str">
        <f>$B$13</f>
        <v>Jul</v>
      </c>
      <c r="D388" s="635"/>
      <c r="E388" s="416"/>
      <c r="F388" s="632"/>
      <c r="G388" s="673"/>
      <c r="H388" s="416"/>
      <c r="I388" s="635"/>
      <c r="K388" s="454">
        <v>8</v>
      </c>
      <c r="L388" s="454"/>
      <c r="M388" s="454"/>
      <c r="N388" s="454"/>
      <c r="O388" s="454"/>
      <c r="P388" s="587">
        <f>AVERAGE(K388,K387)</f>
        <v>8</v>
      </c>
      <c r="R388" s="645">
        <f>+(P388/P381-1)*100</f>
        <v>77.777777777777771</v>
      </c>
      <c r="S388" s="563"/>
      <c r="T388" s="640"/>
      <c r="U388" s="416"/>
      <c r="V388" s="416"/>
      <c r="W388" s="416"/>
      <c r="X388" s="641"/>
      <c r="Y388" s="416"/>
      <c r="Z388" s="642"/>
      <c r="AA388" s="416"/>
      <c r="AB388" s="599"/>
      <c r="AC388" s="632"/>
      <c r="AD388" s="416"/>
      <c r="AE388" s="638">
        <f>+AE387</f>
        <v>8.9536000000000004E-2</v>
      </c>
      <c r="AF388" s="459"/>
      <c r="AG388" s="582">
        <f>AVERAGE(AE388,AE387)</f>
        <v>8.9536000000000004E-2</v>
      </c>
      <c r="AI388" s="539">
        <f>(AG388/AG381-1)*100</f>
        <v>82.191111834608478</v>
      </c>
      <c r="AJ388" s="563"/>
      <c r="AK388" s="595"/>
      <c r="AL388" s="416"/>
      <c r="AM388" s="416"/>
      <c r="AN388" s="610"/>
      <c r="AO388" s="416"/>
      <c r="AP388" s="643"/>
      <c r="AQ388" s="416"/>
      <c r="AR388" s="643"/>
      <c r="AS388" s="416"/>
      <c r="AT388" s="599"/>
      <c r="AU388" s="632"/>
      <c r="BJ388" s="623"/>
      <c r="BK388" s="623"/>
      <c r="BL388" s="623"/>
      <c r="BM388" s="623"/>
    </row>
    <row r="389" spans="1:65" ht="12.75" hidden="1" customHeight="1" outlineLevel="1">
      <c r="A389" s="410" t="str">
        <f>$A$14</f>
        <v>3Q</v>
      </c>
      <c r="B389" s="562" t="str">
        <f>$B$14</f>
        <v>Oct</v>
      </c>
      <c r="D389" s="635"/>
      <c r="E389" s="416"/>
      <c r="F389" s="632"/>
      <c r="G389" s="673"/>
      <c r="H389" s="416"/>
      <c r="I389" s="635"/>
      <c r="K389" s="454">
        <f>+K388+1</f>
        <v>9</v>
      </c>
      <c r="L389" s="454"/>
      <c r="M389" s="454"/>
      <c r="N389" s="454"/>
      <c r="O389" s="454"/>
      <c r="P389" s="587">
        <f>AVERAGE(K389,K388)</f>
        <v>8.5</v>
      </c>
      <c r="R389" s="645">
        <f>+(P389/P382-1)*100</f>
        <v>41.666666666666671</v>
      </c>
      <c r="S389" s="563"/>
      <c r="T389" s="640"/>
      <c r="U389" s="416"/>
      <c r="V389" s="416"/>
      <c r="W389" s="416"/>
      <c r="X389" s="641"/>
      <c r="Y389" s="416"/>
      <c r="Z389" s="642"/>
      <c r="AA389" s="416"/>
      <c r="AB389" s="599"/>
      <c r="AC389" s="632"/>
      <c r="AD389" s="416"/>
      <c r="AE389" s="638">
        <f>0.075509/0.75</f>
        <v>0.10067866666666668</v>
      </c>
      <c r="AF389" s="459"/>
      <c r="AG389" s="582">
        <f>AVERAGE(AE389,AE388)</f>
        <v>9.5107333333333349E-2</v>
      </c>
      <c r="AI389" s="539">
        <f>(AG389/AG382-1)*100</f>
        <v>41.9258242304861</v>
      </c>
      <c r="AJ389" s="563"/>
      <c r="AK389" s="595"/>
      <c r="AL389" s="416"/>
      <c r="AM389" s="416"/>
      <c r="AN389" s="610"/>
      <c r="AO389" s="416"/>
      <c r="AP389" s="643"/>
      <c r="AQ389" s="416"/>
      <c r="AR389" s="643"/>
      <c r="AS389" s="416"/>
      <c r="AT389" s="599"/>
      <c r="AU389" s="632"/>
      <c r="BJ389" s="623"/>
      <c r="BK389" s="623"/>
      <c r="BL389" s="623"/>
      <c r="BM389" s="623"/>
    </row>
    <row r="390" spans="1:65" ht="12.75" hidden="1" customHeight="1" outlineLevel="1">
      <c r="A390" s="410" t="str">
        <f>$A$15</f>
        <v>4Q</v>
      </c>
      <c r="B390" s="562" t="str">
        <f>$B$15</f>
        <v>Jan</v>
      </c>
      <c r="D390" s="635"/>
      <c r="E390" s="416"/>
      <c r="F390" s="632"/>
      <c r="G390" s="673"/>
      <c r="H390" s="416"/>
      <c r="I390" s="635"/>
      <c r="K390" s="454">
        <v>9</v>
      </c>
      <c r="L390" s="454"/>
      <c r="M390" s="454"/>
      <c r="N390" s="454"/>
      <c r="O390" s="454"/>
      <c r="P390" s="588">
        <f>AVERAGE(K390,K389)</f>
        <v>9</v>
      </c>
      <c r="R390" s="646">
        <f>+(P390/P383-1)*100</f>
        <v>19.999999999999996</v>
      </c>
      <c r="S390" s="563"/>
      <c r="T390" s="640"/>
      <c r="U390" s="416"/>
      <c r="V390" s="416"/>
      <c r="W390" s="416"/>
      <c r="X390" s="641"/>
      <c r="Y390" s="416"/>
      <c r="Z390" s="642"/>
      <c r="AA390" s="416"/>
      <c r="AB390" s="599"/>
      <c r="AC390" s="632"/>
      <c r="AD390" s="416"/>
      <c r="AE390" s="638">
        <f>+AE389</f>
        <v>0.10067866666666668</v>
      </c>
      <c r="AF390" s="459"/>
      <c r="AG390" s="591">
        <f>AVERAGE(AE390,AE389)</f>
        <v>0.10067866666666668</v>
      </c>
      <c r="AI390" s="596">
        <f>(AG390/AG383-1)*100</f>
        <v>19.170796376376998</v>
      </c>
      <c r="AJ390" s="563"/>
      <c r="AK390" s="595"/>
      <c r="AL390" s="416"/>
      <c r="AM390" s="416"/>
      <c r="AN390" s="610"/>
      <c r="AO390" s="416"/>
      <c r="AP390" s="643"/>
      <c r="AQ390" s="416"/>
      <c r="AR390" s="643"/>
      <c r="AS390" s="416"/>
      <c r="AT390" s="599"/>
      <c r="AU390" s="632"/>
      <c r="BJ390" s="623"/>
      <c r="BK390" s="623"/>
      <c r="BL390" s="623"/>
      <c r="BM390" s="623"/>
    </row>
    <row r="391" spans="1:65" ht="12.75" hidden="1" customHeight="1" outlineLevel="1">
      <c r="B391" s="562" t="str">
        <f>$B$16</f>
        <v>Year</v>
      </c>
      <c r="D391" s="635"/>
      <c r="E391" s="416"/>
      <c r="F391" s="632"/>
      <c r="G391" s="675"/>
      <c r="H391" s="416"/>
      <c r="I391" s="635"/>
      <c r="P391" s="587">
        <f>AVERAGE(P387:P390)</f>
        <v>8.375</v>
      </c>
      <c r="R391" s="618">
        <f>+(P391/P384-1)*100</f>
        <v>55.813953488372107</v>
      </c>
      <c r="S391" s="563"/>
      <c r="T391" s="595"/>
      <c r="U391" s="416"/>
      <c r="V391" s="416"/>
      <c r="W391" s="416"/>
      <c r="X391" s="628"/>
      <c r="Y391" s="416"/>
      <c r="Z391" s="637"/>
      <c r="AA391" s="416"/>
      <c r="AB391" s="599"/>
      <c r="AC391" s="632"/>
      <c r="AD391" s="416"/>
      <c r="AE391" s="416"/>
      <c r="AF391" s="416"/>
      <c r="AG391" s="582">
        <f>AVERAGE(AG387:AG390)</f>
        <v>9.3714500000000006E-2</v>
      </c>
      <c r="AI391" s="539">
        <f>(AG391/AG384-1)*100</f>
        <v>56.621106317076638</v>
      </c>
      <c r="AJ391" s="563"/>
      <c r="AK391" s="595"/>
      <c r="AL391" s="416"/>
      <c r="AM391" s="416"/>
      <c r="AN391" s="628"/>
      <c r="AO391" s="416"/>
      <c r="AP391" s="639"/>
      <c r="AQ391" s="416"/>
      <c r="AR391" s="639"/>
      <c r="AS391" s="416"/>
      <c r="AT391" s="599"/>
      <c r="AU391" s="632"/>
      <c r="BJ391" s="623"/>
      <c r="BK391" s="623"/>
      <c r="BL391" s="623"/>
      <c r="BM391" s="623"/>
    </row>
    <row r="392" spans="1:65" ht="12.75" hidden="1" customHeight="1" outlineLevel="1">
      <c r="B392" s="562"/>
      <c r="D392" s="416"/>
      <c r="E392" s="416"/>
      <c r="F392" s="632"/>
      <c r="G392" s="676"/>
      <c r="H392" s="416"/>
      <c r="I392" s="416"/>
      <c r="BJ392" s="623"/>
      <c r="BK392" s="623"/>
      <c r="BL392" s="623"/>
      <c r="BM392" s="623"/>
    </row>
    <row r="393" spans="1:65" ht="12.75" hidden="1" customHeight="1" outlineLevel="1">
      <c r="A393" s="593"/>
      <c r="B393" s="431">
        <f>+B216</f>
        <v>1998</v>
      </c>
      <c r="D393" s="416"/>
      <c r="E393" s="632"/>
      <c r="F393" s="632"/>
      <c r="G393" s="632"/>
      <c r="H393" s="632"/>
      <c r="I393" s="416"/>
      <c r="J393" s="563"/>
      <c r="S393" s="563"/>
      <c r="T393" s="416"/>
      <c r="U393" s="416"/>
      <c r="AC393" s="563"/>
      <c r="AJ393" s="563"/>
      <c r="AK393" s="416"/>
      <c r="AL393" s="416"/>
      <c r="AU393" s="563"/>
      <c r="BJ393" s="623"/>
      <c r="BK393" s="623"/>
      <c r="BL393" s="623"/>
      <c r="BM393" s="623"/>
    </row>
    <row r="394" spans="1:65" ht="12.75" hidden="1" customHeight="1" outlineLevel="1">
      <c r="A394" s="410" t="str">
        <f>$A$12</f>
        <v>1Q</v>
      </c>
      <c r="B394" s="562" t="str">
        <f>$B$12</f>
        <v>Apr</v>
      </c>
      <c r="D394" s="635"/>
      <c r="E394" s="632"/>
      <c r="F394" s="632"/>
      <c r="G394" s="673"/>
      <c r="H394" s="632"/>
      <c r="I394" s="635"/>
      <c r="J394" s="563"/>
      <c r="K394" s="454">
        <f>+K390+2</f>
        <v>11</v>
      </c>
      <c r="L394" s="454"/>
      <c r="M394" s="454"/>
      <c r="N394" s="454"/>
      <c r="P394" s="587">
        <f>+AVERAGE(K390,K394)</f>
        <v>10</v>
      </c>
      <c r="R394" s="645">
        <f>+(P394/P387-1)*100</f>
        <v>25</v>
      </c>
      <c r="S394" s="563" t="s">
        <v>208</v>
      </c>
      <c r="T394" s="595"/>
      <c r="U394" s="416"/>
      <c r="V394" s="416"/>
      <c r="W394" s="416"/>
      <c r="X394" s="631"/>
      <c r="Y394" s="416"/>
      <c r="Z394" s="637"/>
      <c r="AA394" s="416"/>
      <c r="AB394" s="599"/>
      <c r="AC394" s="632"/>
      <c r="AD394" s="416"/>
      <c r="AE394" s="638">
        <f>0.088529/0.75</f>
        <v>0.11803866666666667</v>
      </c>
      <c r="AF394" s="416"/>
      <c r="AG394" s="582">
        <f>AVERAGE(AE394,AE390)</f>
        <v>0.10935866666666667</v>
      </c>
      <c r="AI394" s="539">
        <f>(AG394/AG387-1)*100</f>
        <v>22.139325708839653</v>
      </c>
      <c r="AJ394" s="563" t="s">
        <v>208</v>
      </c>
      <c r="AK394" s="595"/>
      <c r="AL394" s="416"/>
      <c r="AM394" s="416"/>
      <c r="AN394" s="628"/>
      <c r="AO394" s="416"/>
      <c r="AP394" s="639"/>
      <c r="AQ394" s="416"/>
      <c r="AR394" s="639"/>
      <c r="AS394" s="416"/>
      <c r="AT394" s="599"/>
      <c r="AU394" s="632"/>
      <c r="BJ394" s="623"/>
      <c r="BK394" s="623"/>
      <c r="BL394" s="623"/>
      <c r="BM394" s="623"/>
    </row>
    <row r="395" spans="1:65" ht="12.75" hidden="1" customHeight="1" outlineLevel="1">
      <c r="A395" s="410" t="str">
        <f>$A$13</f>
        <v>2Q</v>
      </c>
      <c r="B395" s="562" t="str">
        <f>$B$13</f>
        <v>Jul</v>
      </c>
      <c r="D395" s="635"/>
      <c r="E395" s="416"/>
      <c r="F395" s="632"/>
      <c r="G395" s="673"/>
      <c r="H395" s="416"/>
      <c r="I395" s="635"/>
      <c r="K395" s="454">
        <v>11</v>
      </c>
      <c r="L395" s="454"/>
      <c r="M395" s="454"/>
      <c r="N395" s="454"/>
      <c r="O395" s="454"/>
      <c r="P395" s="587">
        <f>AVERAGE(K395,K394)</f>
        <v>11</v>
      </c>
      <c r="R395" s="645">
        <f>+(P395/P388-1)*100</f>
        <v>37.5</v>
      </c>
      <c r="S395" s="563"/>
      <c r="T395" s="640"/>
      <c r="U395" s="416"/>
      <c r="V395" s="416"/>
      <c r="W395" s="416"/>
      <c r="X395" s="641"/>
      <c r="Y395" s="416"/>
      <c r="Z395" s="642"/>
      <c r="AA395" s="416"/>
      <c r="AB395" s="599"/>
      <c r="AC395" s="632"/>
      <c r="AD395" s="416"/>
      <c r="AE395" s="638">
        <f>+AE394</f>
        <v>0.11803866666666667</v>
      </c>
      <c r="AF395" s="459"/>
      <c r="AG395" s="582">
        <f>AVERAGE(AE395,AE394)</f>
        <v>0.11803866666666667</v>
      </c>
      <c r="AI395" s="539">
        <f>(AG395/AG388-1)*100</f>
        <v>31.833750297831777</v>
      </c>
      <c r="AJ395" s="563"/>
      <c r="AK395" s="595"/>
      <c r="AL395" s="416"/>
      <c r="AM395" s="416"/>
      <c r="AN395" s="610"/>
      <c r="AO395" s="416"/>
      <c r="AP395" s="643"/>
      <c r="AQ395" s="416"/>
      <c r="AR395" s="643"/>
      <c r="AS395" s="416"/>
      <c r="AT395" s="599"/>
      <c r="AU395" s="632"/>
      <c r="BJ395" s="623"/>
      <c r="BK395" s="623"/>
      <c r="BL395" s="623"/>
      <c r="BM395" s="623"/>
    </row>
    <row r="396" spans="1:65" ht="12.75" hidden="1" customHeight="1" outlineLevel="1">
      <c r="A396" s="410" t="str">
        <f>$A$14</f>
        <v>3Q</v>
      </c>
      <c r="B396" s="562" t="str">
        <f>$B$14</f>
        <v>Oct</v>
      </c>
      <c r="D396" s="635"/>
      <c r="E396" s="416"/>
      <c r="F396" s="632"/>
      <c r="G396" s="673"/>
      <c r="H396" s="416"/>
      <c r="I396" s="635"/>
      <c r="K396" s="454">
        <v>11</v>
      </c>
      <c r="L396" s="454"/>
      <c r="M396" s="454"/>
      <c r="N396" s="454"/>
      <c r="O396" s="454"/>
      <c r="P396" s="587">
        <f>AVERAGE(K396,K395)</f>
        <v>11</v>
      </c>
      <c r="R396" s="645">
        <f>+(P396/P389-1)*100</f>
        <v>29.411764705882359</v>
      </c>
      <c r="S396" s="563"/>
      <c r="T396" s="640"/>
      <c r="U396" s="416"/>
      <c r="V396" s="416"/>
      <c r="W396" s="416"/>
      <c r="X396" s="641"/>
      <c r="Y396" s="416"/>
      <c r="Z396" s="642"/>
      <c r="AA396" s="416"/>
      <c r="AB396" s="599"/>
      <c r="AC396" s="632"/>
      <c r="AD396" s="416"/>
      <c r="AE396" s="638">
        <f>+AE395</f>
        <v>0.11803866666666667</v>
      </c>
      <c r="AF396" s="459"/>
      <c r="AG396" s="582">
        <f>AVERAGE(AE396,AE395)</f>
        <v>0.11803866666666667</v>
      </c>
      <c r="AI396" s="539">
        <f>(AG396/AG389-1)*100</f>
        <v>24.111004409053606</v>
      </c>
      <c r="AJ396" s="563"/>
      <c r="AK396" s="595"/>
      <c r="AL396" s="416"/>
      <c r="AM396" s="416"/>
      <c r="AN396" s="610"/>
      <c r="AO396" s="416"/>
      <c r="AP396" s="643"/>
      <c r="AQ396" s="416"/>
      <c r="AR396" s="643"/>
      <c r="AS396" s="416"/>
      <c r="AT396" s="599"/>
      <c r="AU396" s="632"/>
      <c r="BJ396" s="623"/>
      <c r="BK396" s="623"/>
      <c r="BL396" s="623"/>
      <c r="BM396" s="623"/>
    </row>
    <row r="397" spans="1:65" ht="12.75" hidden="1" customHeight="1" outlineLevel="1">
      <c r="A397" s="410" t="str">
        <f>$A$15</f>
        <v>4Q</v>
      </c>
      <c r="B397" s="562" t="str">
        <f>$B$15</f>
        <v>Jan</v>
      </c>
      <c r="D397" s="635"/>
      <c r="E397" s="416"/>
      <c r="F397" s="632"/>
      <c r="G397" s="673"/>
      <c r="H397" s="416"/>
      <c r="I397" s="635"/>
      <c r="K397" s="454">
        <f>+K396+3</f>
        <v>14</v>
      </c>
      <c r="L397" s="454"/>
      <c r="M397" s="454"/>
      <c r="N397" s="454"/>
      <c r="O397" s="454"/>
      <c r="P397" s="588">
        <f>AVERAGE(K397,K396)</f>
        <v>12.5</v>
      </c>
      <c r="R397" s="646">
        <f>+(P397/P390-1)*100</f>
        <v>38.888888888888886</v>
      </c>
      <c r="S397" s="563"/>
      <c r="T397" s="640"/>
      <c r="U397" s="416"/>
      <c r="V397" s="416"/>
      <c r="W397" s="416"/>
      <c r="X397" s="641"/>
      <c r="Y397" s="416"/>
      <c r="Z397" s="642"/>
      <c r="AA397" s="416"/>
      <c r="AB397" s="599"/>
      <c r="AC397" s="632"/>
      <c r="AD397" s="416"/>
      <c r="AE397" s="638">
        <f>0.114993/0.75</f>
        <v>0.15332399999999999</v>
      </c>
      <c r="AF397" s="459"/>
      <c r="AG397" s="591">
        <f>AVERAGE(AE397,AE396)</f>
        <v>0.13568133333333332</v>
      </c>
      <c r="AI397" s="596">
        <f>(AG397/AG390-1)*100</f>
        <v>34.766716550344952</v>
      </c>
      <c r="AJ397" s="563"/>
      <c r="AK397" s="595"/>
      <c r="AL397" s="416"/>
      <c r="AM397" s="416"/>
      <c r="AN397" s="610"/>
      <c r="AO397" s="416"/>
      <c r="AP397" s="643"/>
      <c r="AQ397" s="416"/>
      <c r="AR397" s="643"/>
      <c r="AS397" s="416"/>
      <c r="AT397" s="599"/>
      <c r="AU397" s="632"/>
      <c r="BJ397" s="623"/>
      <c r="BK397" s="623"/>
      <c r="BL397" s="623"/>
      <c r="BM397" s="623"/>
    </row>
    <row r="398" spans="1:65" ht="12.75" hidden="1" customHeight="1" outlineLevel="1">
      <c r="B398" s="562" t="str">
        <f>$B$16</f>
        <v>Year</v>
      </c>
      <c r="D398" s="635"/>
      <c r="E398" s="416"/>
      <c r="F398" s="632"/>
      <c r="G398" s="675"/>
      <c r="H398" s="416"/>
      <c r="I398" s="635"/>
      <c r="P398" s="587">
        <f>AVERAGE(P394:P397)</f>
        <v>11.125</v>
      </c>
      <c r="R398" s="618">
        <f>+(P398/P391-1)*100</f>
        <v>32.835820895522396</v>
      </c>
      <c r="S398" s="563"/>
      <c r="T398" s="595"/>
      <c r="U398" s="416"/>
      <c r="V398" s="416"/>
      <c r="W398" s="416"/>
      <c r="X398" s="628"/>
      <c r="Y398" s="416"/>
      <c r="Z398" s="637"/>
      <c r="AA398" s="416"/>
      <c r="AB398" s="599"/>
      <c r="AC398" s="632"/>
      <c r="AD398" s="416"/>
      <c r="AE398" s="416"/>
      <c r="AF398" s="416"/>
      <c r="AG398" s="582">
        <f>AVERAGE(AG394:AG397)</f>
        <v>0.12027933333333334</v>
      </c>
      <c r="AI398" s="539">
        <f>(AG398/AG391-1)*100</f>
        <v>28.346556118138942</v>
      </c>
      <c r="AJ398" s="563"/>
      <c r="AK398" s="595"/>
      <c r="AL398" s="416"/>
      <c r="AM398" s="416"/>
      <c r="AN398" s="628"/>
      <c r="AO398" s="416"/>
      <c r="AP398" s="639"/>
      <c r="AQ398" s="416"/>
      <c r="AR398" s="639"/>
      <c r="AS398" s="416"/>
      <c r="AT398" s="599"/>
      <c r="AU398" s="632"/>
      <c r="BJ398" s="623"/>
      <c r="BK398" s="623"/>
      <c r="BL398" s="623"/>
      <c r="BM398" s="623"/>
    </row>
    <row r="399" spans="1:65" ht="12.75" hidden="1" customHeight="1" outlineLevel="1">
      <c r="B399" s="562"/>
      <c r="D399" s="416"/>
      <c r="E399" s="416"/>
      <c r="F399" s="632"/>
      <c r="G399" s="676"/>
      <c r="H399" s="416"/>
      <c r="I399" s="416"/>
      <c r="BJ399" s="623"/>
      <c r="BK399" s="623"/>
      <c r="BL399" s="623"/>
      <c r="BM399" s="623"/>
    </row>
    <row r="400" spans="1:65" ht="12.75" hidden="1" customHeight="1" outlineLevel="1">
      <c r="A400" s="593"/>
      <c r="B400" s="431">
        <f>+B223</f>
        <v>1999</v>
      </c>
      <c r="D400" s="416"/>
      <c r="E400" s="632"/>
      <c r="F400" s="632"/>
      <c r="G400" s="632"/>
      <c r="H400" s="632"/>
      <c r="I400" s="416"/>
      <c r="J400" s="563"/>
      <c r="S400" s="563"/>
      <c r="T400" s="416"/>
      <c r="U400" s="416"/>
      <c r="AC400" s="563"/>
      <c r="AJ400" s="563"/>
      <c r="AK400" s="416"/>
      <c r="AL400" s="416"/>
      <c r="AU400" s="563"/>
      <c r="BJ400" s="623"/>
      <c r="BK400" s="623"/>
      <c r="BL400" s="623"/>
      <c r="BM400" s="623"/>
    </row>
    <row r="401" spans="1:65" ht="12.75" hidden="1" customHeight="1" outlineLevel="1">
      <c r="A401" s="410" t="str">
        <f>$A$12</f>
        <v>1Q</v>
      </c>
      <c r="B401" s="562" t="str">
        <f>$B$12</f>
        <v>Apr</v>
      </c>
      <c r="D401" s="635"/>
      <c r="E401" s="632"/>
      <c r="F401" s="632"/>
      <c r="G401" s="673"/>
      <c r="H401" s="632"/>
      <c r="I401" s="635"/>
      <c r="J401" s="563"/>
      <c r="K401" s="454">
        <f>+K397+1</f>
        <v>15</v>
      </c>
      <c r="L401" s="454"/>
      <c r="M401" s="454"/>
      <c r="N401" s="454"/>
      <c r="P401" s="587">
        <f>+AVERAGE(K397,K401)</f>
        <v>14.5</v>
      </c>
      <c r="R401" s="645">
        <f>+(P401/P394-1)*100</f>
        <v>44.999999999999993</v>
      </c>
      <c r="S401" s="563" t="s">
        <v>208</v>
      </c>
      <c r="T401" s="595"/>
      <c r="U401" s="416"/>
      <c r="V401" s="416"/>
      <c r="W401" s="416"/>
      <c r="X401" s="631"/>
      <c r="Y401" s="416"/>
      <c r="Z401" s="637"/>
      <c r="AA401" s="416"/>
      <c r="AB401" s="599"/>
      <c r="AC401" s="632"/>
      <c r="AD401" s="416"/>
      <c r="AE401" s="638">
        <f>0.124722/0.75</f>
        <v>0.166296</v>
      </c>
      <c r="AF401" s="416"/>
      <c r="AG401" s="582">
        <f>AVERAGE(AE401,AE397)</f>
        <v>0.15981000000000001</v>
      </c>
      <c r="AI401" s="539">
        <f>(AG401/AG394-1)*100</f>
        <v>46.133822650849197</v>
      </c>
      <c r="AJ401" s="563" t="s">
        <v>208</v>
      </c>
      <c r="AK401" s="595"/>
      <c r="AL401" s="416"/>
      <c r="AM401" s="416"/>
      <c r="AN401" s="628"/>
      <c r="AO401" s="416"/>
      <c r="AP401" s="639"/>
      <c r="AQ401" s="416"/>
      <c r="AR401" s="639"/>
      <c r="AS401" s="416"/>
      <c r="AT401" s="599"/>
      <c r="AU401" s="632"/>
      <c r="BJ401" s="623"/>
      <c r="BK401" s="623"/>
      <c r="BL401" s="623"/>
      <c r="BM401" s="623"/>
    </row>
    <row r="402" spans="1:65" ht="12.75" hidden="1" customHeight="1" outlineLevel="1">
      <c r="A402" s="410" t="str">
        <f>$A$13</f>
        <v>2Q</v>
      </c>
      <c r="B402" s="562" t="str">
        <f>$B$13</f>
        <v>Jul</v>
      </c>
      <c r="D402" s="635"/>
      <c r="E402" s="416"/>
      <c r="F402" s="632"/>
      <c r="G402" s="673"/>
      <c r="H402" s="416"/>
      <c r="I402" s="635"/>
      <c r="K402" s="454">
        <v>15</v>
      </c>
      <c r="L402" s="454"/>
      <c r="M402" s="454"/>
      <c r="N402" s="454"/>
      <c r="O402" s="454"/>
      <c r="P402" s="587">
        <f>AVERAGE(K402,K401)</f>
        <v>15</v>
      </c>
      <c r="R402" s="645">
        <f>+(P402/P395-1)*100</f>
        <v>36.363636363636353</v>
      </c>
      <c r="S402" s="563"/>
      <c r="T402" s="640"/>
      <c r="U402" s="416"/>
      <c r="V402" s="416"/>
      <c r="W402" s="416"/>
      <c r="X402" s="641"/>
      <c r="Y402" s="416"/>
      <c r="Z402" s="642"/>
      <c r="AA402" s="416"/>
      <c r="AB402" s="599"/>
      <c r="AC402" s="632"/>
      <c r="AD402" s="416"/>
      <c r="AE402" s="638">
        <f>+AE401</f>
        <v>0.166296</v>
      </c>
      <c r="AF402" s="459"/>
      <c r="AG402" s="582">
        <f>AVERAGE(AE402,AE401)</f>
        <v>0.166296</v>
      </c>
      <c r="AI402" s="539">
        <f>(AG402/AG395-1)*100</f>
        <v>40.882648623614855</v>
      </c>
      <c r="AJ402" s="563"/>
      <c r="AK402" s="595"/>
      <c r="AL402" s="416"/>
      <c r="AM402" s="416"/>
      <c r="AN402" s="610"/>
      <c r="AO402" s="416"/>
      <c r="AP402" s="643"/>
      <c r="AQ402" s="416"/>
      <c r="AR402" s="643"/>
      <c r="AS402" s="416"/>
      <c r="AT402" s="599"/>
      <c r="AU402" s="632"/>
      <c r="BJ402" s="623"/>
      <c r="BK402" s="623"/>
      <c r="BL402" s="623"/>
      <c r="BM402" s="623"/>
    </row>
    <row r="403" spans="1:65" ht="12.75" hidden="1" customHeight="1" outlineLevel="1">
      <c r="A403" s="410" t="str">
        <f>$A$14</f>
        <v>3Q</v>
      </c>
      <c r="B403" s="562" t="str">
        <f>$B$14</f>
        <v>Oct</v>
      </c>
      <c r="D403" s="635"/>
      <c r="E403" s="416"/>
      <c r="F403" s="632"/>
      <c r="G403" s="673"/>
      <c r="H403" s="416"/>
      <c r="I403" s="635"/>
      <c r="K403" s="454">
        <f>+K402+1</f>
        <v>16</v>
      </c>
      <c r="L403" s="454"/>
      <c r="M403" s="454"/>
      <c r="N403" s="454"/>
      <c r="O403" s="454"/>
      <c r="P403" s="587">
        <f>AVERAGE(K403,K402)</f>
        <v>15.5</v>
      </c>
      <c r="R403" s="645">
        <f>+(P403/P396-1)*100</f>
        <v>40.909090909090921</v>
      </c>
      <c r="S403" s="563"/>
      <c r="T403" s="640"/>
      <c r="U403" s="416"/>
      <c r="V403" s="416"/>
      <c r="W403" s="416"/>
      <c r="X403" s="641"/>
      <c r="Y403" s="416"/>
      <c r="Z403" s="642"/>
      <c r="AA403" s="416"/>
      <c r="AB403" s="599"/>
      <c r="AC403" s="632"/>
      <c r="AD403" s="416"/>
      <c r="AE403" s="638">
        <f>0.13393/0.75</f>
        <v>0.17857333333333333</v>
      </c>
      <c r="AF403" s="459"/>
      <c r="AG403" s="582">
        <f>AVERAGE(AE403,AE402)</f>
        <v>0.17243466666666668</v>
      </c>
      <c r="AI403" s="539">
        <f>(AG403/AG396-1)*100</f>
        <v>46.083204373708057</v>
      </c>
      <c r="AJ403" s="563"/>
      <c r="AK403" s="595"/>
      <c r="AL403" s="416"/>
      <c r="AM403" s="416"/>
      <c r="AN403" s="610"/>
      <c r="AO403" s="416"/>
      <c r="AP403" s="643"/>
      <c r="AQ403" s="416"/>
      <c r="AR403" s="643"/>
      <c r="AS403" s="416"/>
      <c r="AT403" s="599"/>
      <c r="AU403" s="632"/>
      <c r="BJ403" s="623"/>
      <c r="BK403" s="623"/>
      <c r="BL403" s="623"/>
      <c r="BM403" s="623"/>
    </row>
    <row r="404" spans="1:65" ht="12.75" hidden="1" customHeight="1" outlineLevel="1">
      <c r="A404" s="410" t="str">
        <f>$A$15</f>
        <v>4Q</v>
      </c>
      <c r="B404" s="562" t="str">
        <f>$B$15</f>
        <v>Jan</v>
      </c>
      <c r="D404" s="635"/>
      <c r="E404" s="416"/>
      <c r="F404" s="632"/>
      <c r="G404" s="673"/>
      <c r="H404" s="416"/>
      <c r="I404" s="635"/>
      <c r="K404" s="454">
        <f>+K403+4</f>
        <v>20</v>
      </c>
      <c r="L404" s="454"/>
      <c r="M404" s="454"/>
      <c r="N404" s="454"/>
      <c r="O404" s="454"/>
      <c r="P404" s="588">
        <f>AVERAGE(K404,K403)</f>
        <v>18</v>
      </c>
      <c r="R404" s="646">
        <f>+(P404/P397-1)*100</f>
        <v>43.999999999999993</v>
      </c>
      <c r="S404" s="563"/>
      <c r="T404" s="640"/>
      <c r="U404" s="416"/>
      <c r="V404" s="416"/>
      <c r="W404" s="416"/>
      <c r="X404" s="641"/>
      <c r="Y404" s="416"/>
      <c r="Z404" s="642"/>
      <c r="AA404" s="416"/>
      <c r="AB404" s="599"/>
      <c r="AC404" s="632"/>
      <c r="AD404" s="416"/>
      <c r="AE404" s="638">
        <f>0.176616/0.75</f>
        <v>0.235488</v>
      </c>
      <c r="AF404" s="459"/>
      <c r="AG404" s="591">
        <f>AVERAGE(AE404,AE403)</f>
        <v>0.20703066666666667</v>
      </c>
      <c r="AI404" s="596">
        <f>(AG404/AG397-1)*100</f>
        <v>52.585961222865365</v>
      </c>
      <c r="AJ404" s="563"/>
      <c r="AK404" s="595"/>
      <c r="AL404" s="416"/>
      <c r="AM404" s="416"/>
      <c r="AN404" s="610"/>
      <c r="AO404" s="416"/>
      <c r="AP404" s="643"/>
      <c r="AQ404" s="416"/>
      <c r="AR404" s="643"/>
      <c r="AS404" s="416"/>
      <c r="AT404" s="599"/>
      <c r="AU404" s="632"/>
      <c r="BJ404" s="623"/>
      <c r="BK404" s="623"/>
      <c r="BL404" s="623"/>
      <c r="BM404" s="623"/>
    </row>
    <row r="405" spans="1:65" ht="12.75" hidden="1" customHeight="1" outlineLevel="1">
      <c r="B405" s="562" t="str">
        <f>$B$16</f>
        <v>Year</v>
      </c>
      <c r="D405" s="635"/>
      <c r="E405" s="416"/>
      <c r="F405" s="632"/>
      <c r="G405" s="675"/>
      <c r="H405" s="416"/>
      <c r="I405" s="635"/>
      <c r="P405" s="587">
        <f>AVERAGE(P401:P404)</f>
        <v>15.75</v>
      </c>
      <c r="R405" s="618">
        <f>+(P405/P398-1)*100</f>
        <v>41.573033707865157</v>
      </c>
      <c r="S405" s="563"/>
      <c r="T405" s="595"/>
      <c r="U405" s="416"/>
      <c r="V405" s="416"/>
      <c r="W405" s="416"/>
      <c r="X405" s="628"/>
      <c r="Y405" s="416"/>
      <c r="Z405" s="637"/>
      <c r="AA405" s="416"/>
      <c r="AB405" s="599"/>
      <c r="AC405" s="632"/>
      <c r="AD405" s="416"/>
      <c r="AE405" s="416"/>
      <c r="AF405" s="416"/>
      <c r="AG405" s="582">
        <f>AVERAGE(AG401:AG404)</f>
        <v>0.17639283333333333</v>
      </c>
      <c r="AI405" s="539">
        <f>(AG405/AG398-1)*100</f>
        <v>46.652652991092957</v>
      </c>
      <c r="AJ405" s="563"/>
      <c r="AK405" s="595"/>
      <c r="AL405" s="416"/>
      <c r="AM405" s="416"/>
      <c r="AN405" s="628"/>
      <c r="AO405" s="416"/>
      <c r="AP405" s="639"/>
      <c r="AQ405" s="416"/>
      <c r="AR405" s="639"/>
      <c r="AS405" s="416"/>
      <c r="AT405" s="599"/>
      <c r="AU405" s="632"/>
      <c r="BJ405" s="623"/>
      <c r="BK405" s="623"/>
      <c r="BL405" s="623"/>
      <c r="BM405" s="623"/>
    </row>
    <row r="406" spans="1:65" ht="12.75" hidden="1" customHeight="1" outlineLevel="1">
      <c r="B406" s="562"/>
      <c r="D406" s="416"/>
      <c r="E406" s="416"/>
      <c r="F406" s="632"/>
      <c r="G406" s="676"/>
      <c r="H406" s="416"/>
      <c r="I406" s="416"/>
      <c r="BJ406" s="623"/>
      <c r="BK406" s="623"/>
      <c r="BL406" s="623"/>
      <c r="BM406" s="623"/>
    </row>
    <row r="407" spans="1:65" ht="12.75" hidden="1" customHeight="1" outlineLevel="1">
      <c r="A407" s="593"/>
      <c r="B407" s="431">
        <f>+B230</f>
        <v>2000</v>
      </c>
      <c r="D407" s="416"/>
      <c r="E407" s="632"/>
      <c r="F407" s="632"/>
      <c r="G407" s="632"/>
      <c r="H407" s="632"/>
      <c r="I407" s="416"/>
      <c r="J407" s="563"/>
      <c r="S407" s="563"/>
      <c r="T407" s="416"/>
      <c r="U407" s="416"/>
      <c r="AC407" s="563"/>
      <c r="AJ407" s="563"/>
      <c r="AK407" s="416"/>
      <c r="AL407" s="416"/>
      <c r="AU407" s="563"/>
      <c r="BJ407" s="623"/>
      <c r="BK407" s="623"/>
      <c r="BL407" s="623"/>
      <c r="BM407" s="623"/>
    </row>
    <row r="408" spans="1:65" ht="12.75" hidden="1" customHeight="1" outlineLevel="1">
      <c r="A408" s="410" t="str">
        <f>$A$12</f>
        <v>1Q</v>
      </c>
      <c r="B408" s="562" t="str">
        <f>$B$12</f>
        <v>Apr</v>
      </c>
      <c r="D408" s="635"/>
      <c r="E408" s="632"/>
      <c r="F408" s="632"/>
      <c r="G408" s="673"/>
      <c r="H408" s="632"/>
      <c r="I408" s="635"/>
      <c r="J408" s="563"/>
      <c r="K408" s="454">
        <v>20</v>
      </c>
      <c r="L408" s="454"/>
      <c r="M408" s="454"/>
      <c r="N408" s="454"/>
      <c r="P408" s="587">
        <f>+AVERAGE(K404,K408)</f>
        <v>20</v>
      </c>
      <c r="R408" s="645">
        <f>+(P408/P401-1)*100</f>
        <v>37.931034482758633</v>
      </c>
      <c r="S408" s="563" t="s">
        <v>208</v>
      </c>
      <c r="T408" s="595"/>
      <c r="U408" s="416"/>
      <c r="V408" s="416"/>
      <c r="W408" s="416"/>
      <c r="X408" s="631"/>
      <c r="Y408" s="416"/>
      <c r="Z408" s="637"/>
      <c r="AA408" s="416"/>
      <c r="AB408" s="599"/>
      <c r="AC408" s="632"/>
      <c r="AD408" s="416"/>
      <c r="AE408" s="638">
        <f>+AE404</f>
        <v>0.235488</v>
      </c>
      <c r="AF408" s="416"/>
      <c r="AG408" s="582">
        <f>AVERAGE(AE408,AE404)</f>
        <v>0.235488</v>
      </c>
      <c r="AI408" s="539">
        <f>(AG408/AG401-1)*100</f>
        <v>47.354984043551717</v>
      </c>
      <c r="AJ408" s="563" t="s">
        <v>208</v>
      </c>
      <c r="AK408" s="595"/>
      <c r="AL408" s="416"/>
      <c r="AM408" s="416"/>
      <c r="AN408" s="628"/>
      <c r="AO408" s="416"/>
      <c r="AP408" s="639"/>
      <c r="AQ408" s="416"/>
      <c r="AR408" s="639"/>
      <c r="AS408" s="416"/>
      <c r="AT408" s="599"/>
      <c r="AU408" s="632"/>
      <c r="BJ408" s="623"/>
      <c r="BK408" s="623"/>
      <c r="BL408" s="623"/>
      <c r="BM408" s="623"/>
    </row>
    <row r="409" spans="1:65" ht="12.75" hidden="1" customHeight="1" outlineLevel="1">
      <c r="A409" s="410" t="str">
        <f>$A$13</f>
        <v>2Q</v>
      </c>
      <c r="B409" s="562" t="str">
        <f>$B$13</f>
        <v>Jul</v>
      </c>
      <c r="D409" s="635"/>
      <c r="E409" s="416"/>
      <c r="F409" s="632"/>
      <c r="G409" s="673"/>
      <c r="H409" s="416"/>
      <c r="I409" s="635"/>
      <c r="K409" s="454">
        <f>+K408+2</f>
        <v>22</v>
      </c>
      <c r="L409" s="454"/>
      <c r="M409" s="454"/>
      <c r="N409" s="454"/>
      <c r="O409" s="454"/>
      <c r="P409" s="587">
        <f>AVERAGE(K409,K408)</f>
        <v>21</v>
      </c>
      <c r="R409" s="645">
        <f>+(P409/P402-1)*100</f>
        <v>39.999999999999993</v>
      </c>
      <c r="S409" s="563"/>
      <c r="T409" s="640"/>
      <c r="U409" s="416"/>
      <c r="V409" s="416"/>
      <c r="W409" s="416"/>
      <c r="X409" s="641"/>
      <c r="Y409" s="416"/>
      <c r="Z409" s="642"/>
      <c r="AA409" s="416"/>
      <c r="AB409" s="599"/>
      <c r="AC409" s="632"/>
      <c r="AD409" s="416"/>
      <c r="AE409" s="638">
        <f>0.194567/0.75</f>
        <v>0.25942266666666663</v>
      </c>
      <c r="AF409" s="459"/>
      <c r="AG409" s="582">
        <f>AVERAGE(AE409,AE408)</f>
        <v>0.2474553333333333</v>
      </c>
      <c r="AI409" s="539">
        <f>(AG409/AG402-1)*100</f>
        <v>48.804140408267969</v>
      </c>
      <c r="AJ409" s="563"/>
      <c r="AK409" s="595"/>
      <c r="AL409" s="416"/>
      <c r="AM409" s="416"/>
      <c r="AN409" s="610"/>
      <c r="AO409" s="416"/>
      <c r="AP409" s="643"/>
      <c r="AQ409" s="416"/>
      <c r="AR409" s="643"/>
      <c r="AS409" s="416"/>
      <c r="AT409" s="599"/>
      <c r="AU409" s="632"/>
      <c r="BJ409" s="623"/>
      <c r="BK409" s="623"/>
      <c r="BL409" s="623"/>
      <c r="BM409" s="623"/>
    </row>
    <row r="410" spans="1:65" ht="12.75" hidden="1" customHeight="1" outlineLevel="1">
      <c r="A410" s="410" t="str">
        <f>$A$14</f>
        <v>3Q</v>
      </c>
      <c r="B410" s="562" t="str">
        <f>$B$14</f>
        <v>Oct</v>
      </c>
      <c r="D410" s="635"/>
      <c r="E410" s="416"/>
      <c r="F410" s="632"/>
      <c r="G410" s="673"/>
      <c r="H410" s="416"/>
      <c r="I410" s="635"/>
      <c r="K410" s="454">
        <f>+K409+2</f>
        <v>24</v>
      </c>
      <c r="L410" s="454"/>
      <c r="M410" s="454"/>
      <c r="N410" s="454"/>
      <c r="O410" s="454"/>
      <c r="P410" s="587">
        <f>AVERAGE(K410,K409)</f>
        <v>23</v>
      </c>
      <c r="R410" s="645">
        <f>+(P410/P403-1)*100</f>
        <v>48.387096774193552</v>
      </c>
      <c r="S410" s="563"/>
      <c r="T410" s="640"/>
      <c r="U410" s="416"/>
      <c r="V410" s="416"/>
      <c r="W410" s="416"/>
      <c r="X410" s="641"/>
      <c r="Y410" s="416"/>
      <c r="Z410" s="642"/>
      <c r="AA410" s="416"/>
      <c r="AB410" s="599"/>
      <c r="AC410" s="632"/>
      <c r="AD410" s="416"/>
      <c r="AE410" s="638">
        <f>0.209947/0.75</f>
        <v>0.27992933333333331</v>
      </c>
      <c r="AF410" s="459"/>
      <c r="AG410" s="582">
        <f>AVERAGE(AE410,AE409)</f>
        <v>0.26967599999999997</v>
      </c>
      <c r="AI410" s="539">
        <f>(AG410/AG403-1)*100</f>
        <v>56.39314600312386</v>
      </c>
      <c r="AJ410" s="563"/>
      <c r="AK410" s="595"/>
      <c r="AL410" s="416"/>
      <c r="AM410" s="416"/>
      <c r="AN410" s="610"/>
      <c r="AO410" s="416"/>
      <c r="AP410" s="643"/>
      <c r="AQ410" s="416"/>
      <c r="AR410" s="643"/>
      <c r="AS410" s="416"/>
      <c r="AT410" s="599"/>
      <c r="AU410" s="632"/>
      <c r="BJ410" s="623"/>
      <c r="BK410" s="623"/>
      <c r="BL410" s="623"/>
      <c r="BM410" s="623"/>
    </row>
    <row r="411" spans="1:65" ht="12.75" hidden="1" customHeight="1" outlineLevel="1">
      <c r="A411" s="410" t="str">
        <f>$A$15</f>
        <v>4Q</v>
      </c>
      <c r="B411" s="562" t="str">
        <f>$B$15</f>
        <v>Jan</v>
      </c>
      <c r="D411" s="635"/>
      <c r="E411" s="416"/>
      <c r="F411" s="632"/>
      <c r="G411" s="673"/>
      <c r="H411" s="416"/>
      <c r="I411" s="635"/>
      <c r="K411" s="454">
        <f>+K410+2</f>
        <v>26</v>
      </c>
      <c r="L411" s="454"/>
      <c r="M411" s="454"/>
      <c r="N411" s="454"/>
      <c r="O411" s="454"/>
      <c r="P411" s="588">
        <f>AVERAGE(K411,K410)</f>
        <v>25</v>
      </c>
      <c r="R411" s="646">
        <f>+(P411/P404-1)*100</f>
        <v>38.888888888888886</v>
      </c>
      <c r="S411" s="563"/>
      <c r="T411" s="640"/>
      <c r="U411" s="416"/>
      <c r="V411" s="416"/>
      <c r="W411" s="416"/>
      <c r="X411" s="641"/>
      <c r="Y411" s="416"/>
      <c r="Z411" s="642"/>
      <c r="AA411" s="416"/>
      <c r="AB411" s="599"/>
      <c r="AC411" s="632"/>
      <c r="AD411" s="416"/>
      <c r="AE411" s="638">
        <f>0.223346/0.75</f>
        <v>0.29779466666666665</v>
      </c>
      <c r="AF411" s="459"/>
      <c r="AG411" s="591">
        <f>AVERAGE(AE411,AE410)</f>
        <v>0.28886199999999995</v>
      </c>
      <c r="AI411" s="596">
        <f>(AG411/AG404-1)*100</f>
        <v>39.526189356810249</v>
      </c>
      <c r="AJ411" s="563"/>
      <c r="AK411" s="595"/>
      <c r="AL411" s="416"/>
      <c r="AM411" s="416"/>
      <c r="AN411" s="610"/>
      <c r="AO411" s="416"/>
      <c r="AP411" s="643"/>
      <c r="AQ411" s="416"/>
      <c r="AR411" s="643"/>
      <c r="AS411" s="416"/>
      <c r="AT411" s="599"/>
      <c r="AU411" s="632"/>
      <c r="BJ411" s="623"/>
      <c r="BK411" s="623"/>
      <c r="BL411" s="623"/>
      <c r="BM411" s="623"/>
    </row>
    <row r="412" spans="1:65" ht="12.75" hidden="1" customHeight="1" outlineLevel="1">
      <c r="B412" s="562" t="str">
        <f>$B$16</f>
        <v>Year</v>
      </c>
      <c r="D412" s="635"/>
      <c r="E412" s="416"/>
      <c r="F412" s="632"/>
      <c r="G412" s="675"/>
      <c r="H412" s="416"/>
      <c r="I412" s="635"/>
      <c r="P412" s="587">
        <f>AVERAGE(P408:P411)</f>
        <v>22.25</v>
      </c>
      <c r="R412" s="618">
        <f>+(P412/P405-1)*100</f>
        <v>41.26984126984128</v>
      </c>
      <c r="S412" s="563"/>
      <c r="T412" s="595"/>
      <c r="U412" s="416"/>
      <c r="V412" s="416"/>
      <c r="W412" s="416"/>
      <c r="X412" s="628"/>
      <c r="Y412" s="416"/>
      <c r="Z412" s="637"/>
      <c r="AA412" s="416"/>
      <c r="AB412" s="599"/>
      <c r="AC412" s="632"/>
      <c r="AD412" s="416"/>
      <c r="AE412" s="416"/>
      <c r="AF412" s="416"/>
      <c r="AG412" s="582">
        <f>AVERAGE(AG408:AG411)</f>
        <v>0.26037033333333331</v>
      </c>
      <c r="AI412" s="539">
        <f>(AG412/AG405-1)*100</f>
        <v>47.608226713670334</v>
      </c>
      <c r="AJ412" s="563"/>
      <c r="AK412" s="595"/>
      <c r="AL412" s="416"/>
      <c r="AM412" s="416"/>
      <c r="AN412" s="628"/>
      <c r="AO412" s="416"/>
      <c r="AP412" s="639"/>
      <c r="AQ412" s="416"/>
      <c r="AR412" s="639"/>
      <c r="AS412" s="416"/>
      <c r="AT412" s="599"/>
      <c r="AU412" s="632"/>
      <c r="BJ412" s="623"/>
      <c r="BK412" s="623"/>
      <c r="BL412" s="623"/>
      <c r="BM412" s="623"/>
    </row>
    <row r="413" spans="1:65" ht="12.75" hidden="1" customHeight="1" outlineLevel="1">
      <c r="B413" s="562"/>
      <c r="D413" s="416"/>
      <c r="E413" s="416"/>
      <c r="F413" s="632"/>
      <c r="G413" s="676"/>
      <c r="H413" s="416"/>
      <c r="I413" s="416"/>
      <c r="BJ413" s="623"/>
      <c r="BK413" s="623"/>
      <c r="BL413" s="623"/>
      <c r="BM413" s="623"/>
    </row>
    <row r="414" spans="1:65" ht="12.75" hidden="1" customHeight="1" outlineLevel="1">
      <c r="A414" s="593"/>
      <c r="B414" s="431">
        <f>+B237</f>
        <v>2001</v>
      </c>
      <c r="E414" s="563"/>
      <c r="F414" s="563"/>
      <c r="G414" s="563"/>
      <c r="H414" s="563"/>
      <c r="J414" s="563"/>
      <c r="S414" s="563"/>
      <c r="T414" s="416"/>
      <c r="U414" s="416"/>
      <c r="AC414" s="563"/>
      <c r="AJ414" s="563"/>
      <c r="AK414" s="416"/>
      <c r="AL414" s="416"/>
      <c r="AU414" s="563"/>
      <c r="BJ414" s="623"/>
      <c r="BK414" s="623"/>
      <c r="BL414" s="623"/>
      <c r="BM414" s="623"/>
    </row>
    <row r="415" spans="1:65" ht="12.75" hidden="1" customHeight="1" outlineLevel="1">
      <c r="A415" s="410" t="str">
        <f>$A$12</f>
        <v>1Q</v>
      </c>
      <c r="B415" s="562" t="str">
        <f>$B$12</f>
        <v>Apr</v>
      </c>
      <c r="D415" s="539"/>
      <c r="E415" s="563"/>
      <c r="F415" s="563"/>
      <c r="G415" s="657">
        <v>-8</v>
      </c>
      <c r="H415" s="563"/>
      <c r="I415" s="539"/>
      <c r="J415" s="563"/>
      <c r="K415" s="454">
        <v>27</v>
      </c>
      <c r="L415" s="454"/>
      <c r="M415" s="454"/>
      <c r="N415" s="454"/>
      <c r="P415" s="587">
        <f>+AVERAGE(K411,K415)</f>
        <v>26.5</v>
      </c>
      <c r="R415" s="645">
        <f>+(P415/P408-1)*100</f>
        <v>32.499999999999993</v>
      </c>
      <c r="S415" s="563" t="s">
        <v>208</v>
      </c>
      <c r="T415" s="595"/>
      <c r="U415" s="416"/>
      <c r="X415" s="602">
        <v>24.109000000000002</v>
      </c>
      <c r="Z415" s="580">
        <f>X415/P415</f>
        <v>0.9097735849056604</v>
      </c>
      <c r="AB415" s="599"/>
      <c r="AC415" s="563" t="s">
        <v>208</v>
      </c>
      <c r="AE415" s="581">
        <f>0.230373/0.75</f>
        <v>0.30716399999999999</v>
      </c>
      <c r="AG415" s="582">
        <f>AVERAGE(AE415,AE411)</f>
        <v>0.30247933333333332</v>
      </c>
      <c r="AI415" s="539">
        <f>(AG415/AG408-1)*100</f>
        <v>28.447875617158115</v>
      </c>
      <c r="AJ415" s="563" t="s">
        <v>208</v>
      </c>
      <c r="AK415" s="595"/>
      <c r="AL415" s="416" t="s">
        <v>208</v>
      </c>
      <c r="AN415" s="579">
        <f>+X415</f>
        <v>24.109000000000002</v>
      </c>
      <c r="AP415" s="583">
        <f>AK415/AE415</f>
        <v>0</v>
      </c>
      <c r="AR415" s="583">
        <f>AN415/AG415</f>
        <v>79.704618938153359</v>
      </c>
      <c r="AT415" s="599"/>
      <c r="AU415" s="563" t="s">
        <v>208</v>
      </c>
      <c r="BJ415" s="623"/>
      <c r="BK415" s="623"/>
      <c r="BL415" s="623"/>
      <c r="BM415" s="623"/>
    </row>
    <row r="416" spans="1:65" ht="12.75" hidden="1" customHeight="1" outlineLevel="1">
      <c r="A416" s="410" t="str">
        <f>$A$13</f>
        <v>2Q</v>
      </c>
      <c r="B416" s="562" t="str">
        <f>$B$13</f>
        <v>Jul</v>
      </c>
      <c r="D416" s="539"/>
      <c r="F416" s="563"/>
      <c r="G416" s="657">
        <v>8</v>
      </c>
      <c r="I416" s="539"/>
      <c r="K416" s="454">
        <v>28</v>
      </c>
      <c r="L416" s="454"/>
      <c r="M416" s="454"/>
      <c r="N416" s="454"/>
      <c r="O416" s="454"/>
      <c r="P416" s="587">
        <f>AVERAGE(K416,K415)</f>
        <v>27.5</v>
      </c>
      <c r="R416" s="645">
        <f>+(P416/P409-1)*100</f>
        <v>30.952380952380953</v>
      </c>
      <c r="S416" s="563"/>
      <c r="T416" s="640"/>
      <c r="U416" s="416"/>
      <c r="X416" s="647">
        <v>28.760999999999999</v>
      </c>
      <c r="Z416" s="585">
        <f>X416/P416</f>
        <v>1.0458545454545454</v>
      </c>
      <c r="AB416" s="599"/>
      <c r="AC416" s="563"/>
      <c r="AE416" s="581">
        <f>0.236573/0.75</f>
        <v>0.31543066666666669</v>
      </c>
      <c r="AF416" s="454"/>
      <c r="AG416" s="582">
        <f>AVERAGE(AE416,AE415)</f>
        <v>0.31129733333333331</v>
      </c>
      <c r="AI416" s="539">
        <f>(AG416/AG409-1)*100</f>
        <v>25.799403528717658</v>
      </c>
      <c r="AJ416" s="563"/>
      <c r="AK416" s="595"/>
      <c r="AL416" s="416"/>
      <c r="AN416" s="584">
        <f>+X416</f>
        <v>28.760999999999999</v>
      </c>
      <c r="AP416" s="586">
        <f>AK416/AE416</f>
        <v>0</v>
      </c>
      <c r="AR416" s="586">
        <f>AN416/AG416</f>
        <v>92.390768954011818</v>
      </c>
      <c r="AT416" s="599"/>
      <c r="AU416" s="563"/>
      <c r="BJ416" s="623"/>
      <c r="BK416" s="623"/>
      <c r="BL416" s="623"/>
      <c r="BM416" s="623"/>
    </row>
    <row r="417" spans="1:65" ht="12.75" hidden="1" customHeight="1" outlineLevel="1">
      <c r="A417" s="410" t="str">
        <f>$A$14</f>
        <v>3Q</v>
      </c>
      <c r="B417" s="562" t="str">
        <f>$B$14</f>
        <v>Oct</v>
      </c>
      <c r="D417" s="539"/>
      <c r="F417" s="563"/>
      <c r="G417" s="657"/>
      <c r="I417" s="539"/>
      <c r="K417" s="454">
        <v>29</v>
      </c>
      <c r="L417" s="454"/>
      <c r="M417" s="454"/>
      <c r="N417" s="454"/>
      <c r="O417" s="454"/>
      <c r="P417" s="587">
        <f>AVERAGE(K417,K416)</f>
        <v>28.5</v>
      </c>
      <c r="R417" s="645">
        <f>+(P417/P410-1)*100</f>
        <v>23.913043478260864</v>
      </c>
      <c r="S417" s="563"/>
      <c r="T417" s="640"/>
      <c r="U417" s="416"/>
      <c r="X417" s="647">
        <v>28.588999999999999</v>
      </c>
      <c r="Z417" s="585">
        <f>X417/P417</f>
        <v>1.0031228070175437</v>
      </c>
      <c r="AB417" s="599"/>
      <c r="AC417" s="563"/>
      <c r="AE417" s="581">
        <f>0.242671/0.75</f>
        <v>0.32356133333333331</v>
      </c>
      <c r="AF417" s="454"/>
      <c r="AG417" s="582">
        <f>AVERAGE(AE417,AE416)</f>
        <v>0.319496</v>
      </c>
      <c r="AI417" s="539">
        <f>(AG417/AG410-1)*100</f>
        <v>18.474020676663862</v>
      </c>
      <c r="AJ417" s="563"/>
      <c r="AK417" s="595"/>
      <c r="AL417" s="416"/>
      <c r="AN417" s="584">
        <f>+X417</f>
        <v>28.588999999999999</v>
      </c>
      <c r="AP417" s="586">
        <f>AK417/AE417</f>
        <v>0</v>
      </c>
      <c r="AR417" s="586">
        <f>AN417/AG417</f>
        <v>89.481558454565942</v>
      </c>
      <c r="AT417" s="599"/>
      <c r="AU417" s="563"/>
      <c r="BJ417" s="623"/>
      <c r="BK417" s="623"/>
      <c r="BL417" s="623"/>
      <c r="BM417" s="623"/>
    </row>
    <row r="418" spans="1:65" ht="12.75" hidden="1" customHeight="1" outlineLevel="1">
      <c r="A418" s="410" t="str">
        <f>$A$15</f>
        <v>4Q</v>
      </c>
      <c r="B418" s="562" t="str">
        <f>$B$15</f>
        <v>Jan</v>
      </c>
      <c r="D418" s="596"/>
      <c r="F418" s="563"/>
      <c r="G418" s="659">
        <v>17</v>
      </c>
      <c r="I418" s="596"/>
      <c r="K418" s="454">
        <v>31</v>
      </c>
      <c r="L418" s="454"/>
      <c r="M418" s="454"/>
      <c r="N418" s="454"/>
      <c r="O418" s="454"/>
      <c r="P418" s="588">
        <f>AVERAGE(K418,K417)</f>
        <v>30</v>
      </c>
      <c r="R418" s="646">
        <f>+(P418/P411-1)*100</f>
        <v>19.999999999999996</v>
      </c>
      <c r="S418" s="563"/>
      <c r="T418" s="648"/>
      <c r="U418" s="416"/>
      <c r="X418" s="649">
        <v>39.418999999999997</v>
      </c>
      <c r="Z418" s="590">
        <f>X418/P418</f>
        <v>1.3139666666666665</v>
      </c>
      <c r="AB418" s="597"/>
      <c r="AC418" s="563"/>
      <c r="AE418" s="581">
        <f>0.260244/0.75</f>
        <v>0.34699199999999997</v>
      </c>
      <c r="AF418" s="454"/>
      <c r="AG418" s="591">
        <f>AVERAGE(AE418,AE417)</f>
        <v>0.33527666666666667</v>
      </c>
      <c r="AI418" s="596">
        <f>(AG418/AG411-1)*100</f>
        <v>16.068110954942739</v>
      </c>
      <c r="AJ418" s="563"/>
      <c r="AK418" s="598"/>
      <c r="AL418" s="416"/>
      <c r="AN418" s="589">
        <f>+X418</f>
        <v>39.418999999999997</v>
      </c>
      <c r="AP418" s="592">
        <f>AK418/AE418</f>
        <v>0</v>
      </c>
      <c r="AR418" s="592">
        <f>AN418/AG418</f>
        <v>117.5715578179215</v>
      </c>
      <c r="AT418" s="597"/>
      <c r="AU418" s="563"/>
      <c r="BJ418" s="623"/>
      <c r="BK418" s="623"/>
      <c r="BL418" s="623"/>
      <c r="BM418" s="623"/>
    </row>
    <row r="419" spans="1:65" ht="12.75" hidden="1" customHeight="1" outlineLevel="1">
      <c r="B419" s="562" t="str">
        <f>$B$16</f>
        <v>Year</v>
      </c>
      <c r="D419" s="539"/>
      <c r="F419" s="563"/>
      <c r="G419" s="660"/>
      <c r="I419" s="539"/>
      <c r="P419" s="587">
        <f>AVERAGE(P415:P418)</f>
        <v>28.125</v>
      </c>
      <c r="R419" s="618">
        <f>+(P419/P412-1)*100</f>
        <v>26.404494382022481</v>
      </c>
      <c r="S419" s="563"/>
      <c r="T419" s="595"/>
      <c r="U419" s="416"/>
      <c r="X419" s="579">
        <f>SUM(X415:X418)</f>
        <v>120.878</v>
      </c>
      <c r="Z419" s="580">
        <f>SUM(Z415:Z418)</f>
        <v>4.2727176040444164</v>
      </c>
      <c r="AB419" s="599"/>
      <c r="AC419" s="563"/>
      <c r="AE419" s="600">
        <f>AE418</f>
        <v>0.34699199999999997</v>
      </c>
      <c r="AG419" s="582">
        <f>AVERAGE(AG415:AG418)</f>
        <v>0.31713733333333333</v>
      </c>
      <c r="AI419" s="539">
        <f>(AG419/AG412-1)*100</f>
        <v>21.802407084268438</v>
      </c>
      <c r="AJ419" s="563"/>
      <c r="AK419" s="595"/>
      <c r="AL419" s="416"/>
      <c r="AN419" s="579">
        <f>SUM(AN415:AN418)</f>
        <v>120.878</v>
      </c>
      <c r="AP419" s="583">
        <f>AK419/AE419</f>
        <v>0</v>
      </c>
      <c r="AR419" s="583">
        <f>SUM(AR415:AR418)</f>
        <v>379.14850416465265</v>
      </c>
      <c r="AT419" s="599"/>
      <c r="AU419" s="563"/>
      <c r="BJ419" s="623"/>
      <c r="BK419" s="623"/>
      <c r="BL419" s="623"/>
      <c r="BM419" s="623"/>
    </row>
    <row r="420" spans="1:65" ht="12.75" hidden="1" customHeight="1" outlineLevel="1" collapsed="1">
      <c r="B420" s="562"/>
      <c r="F420" s="563"/>
      <c r="G420" s="677"/>
      <c r="BJ420" s="623"/>
      <c r="BK420" s="623"/>
      <c r="BL420" s="623"/>
      <c r="BM420" s="623"/>
    </row>
    <row r="421" spans="1:65" ht="12.75" hidden="1" customHeight="1" outlineLevel="1" collapsed="1">
      <c r="A421" s="593"/>
      <c r="B421" s="431">
        <f>+B244</f>
        <v>2002</v>
      </c>
      <c r="E421" s="563"/>
      <c r="F421" s="563"/>
      <c r="G421" s="563"/>
      <c r="H421" s="563"/>
      <c r="J421" s="563"/>
      <c r="S421" s="563"/>
      <c r="T421" s="416"/>
      <c r="U421" s="416"/>
      <c r="AC421" s="563"/>
      <c r="AJ421" s="563"/>
      <c r="AK421" s="416"/>
      <c r="AL421" s="416"/>
      <c r="AU421" s="563"/>
      <c r="BJ421" s="623"/>
      <c r="BK421" s="623"/>
      <c r="BL421" s="623"/>
      <c r="BM421" s="623"/>
    </row>
    <row r="422" spans="1:65" ht="12.75" hidden="1" customHeight="1" outlineLevel="1">
      <c r="A422" s="410" t="str">
        <f>$A$12</f>
        <v>1Q</v>
      </c>
      <c r="B422" s="562" t="str">
        <f>$B$12</f>
        <v>Apr</v>
      </c>
      <c r="D422" s="645">
        <f>(X422/X415-1)*100</f>
        <v>51.872744618192378</v>
      </c>
      <c r="E422" s="563" t="s">
        <v>208</v>
      </c>
      <c r="F422" s="563"/>
      <c r="G422" s="657">
        <v>27.3</v>
      </c>
      <c r="H422" s="563" t="s">
        <v>208</v>
      </c>
      <c r="I422" s="645">
        <f>D422-G422</f>
        <v>24.572744618192377</v>
      </c>
      <c r="J422" s="563" t="s">
        <v>208</v>
      </c>
      <c r="K422" s="454">
        <f>+K418+2</f>
        <v>33</v>
      </c>
      <c r="L422" s="454"/>
      <c r="M422" s="454"/>
      <c r="N422" s="454"/>
      <c r="P422" s="587">
        <f>+AVERAGE(K418,K422)</f>
        <v>32</v>
      </c>
      <c r="R422" s="645">
        <f>+(P422/P415-1)*100</f>
        <v>20.75471698113207</v>
      </c>
      <c r="S422" s="563" t="s">
        <v>208</v>
      </c>
      <c r="T422" s="595">
        <f>I422/R422*100</f>
        <v>118.39595134219967</v>
      </c>
      <c r="U422" s="416" t="s">
        <v>208</v>
      </c>
      <c r="X422" s="579">
        <f>+segSales!J51</f>
        <v>36.615000000000002</v>
      </c>
      <c r="Z422" s="580">
        <f>X422/P422</f>
        <v>1.1442187500000001</v>
      </c>
      <c r="AB422" s="599">
        <f>(Z422/Z415-1)*100</f>
        <v>25.769616636940572</v>
      </c>
      <c r="AC422" s="563" t="s">
        <v>208</v>
      </c>
      <c r="AE422" s="581">
        <f>0.27687/0.75</f>
        <v>0.36915999999999999</v>
      </c>
      <c r="AG422" s="582">
        <f>AVERAGE(AE422,AE415)</f>
        <v>0.33816199999999996</v>
      </c>
      <c r="AI422" s="539">
        <f>(AG422/AG415-1)*100</f>
        <v>11.796728812326563</v>
      </c>
      <c r="AJ422" s="563" t="s">
        <v>208</v>
      </c>
      <c r="AK422" s="595">
        <f>+I422/AI422*100</f>
        <v>208.30134361074727</v>
      </c>
      <c r="AL422" s="416" t="s">
        <v>208</v>
      </c>
      <c r="AN422" s="579">
        <f>+X422</f>
        <v>36.615000000000002</v>
      </c>
      <c r="AP422" s="583" t="e">
        <f>AL422/AE422</f>
        <v>#VALUE!</v>
      </c>
      <c r="AR422" s="583">
        <f>AN422/AG422</f>
        <v>108.27650652645775</v>
      </c>
      <c r="AT422" s="599">
        <f>(AR422/AR415-1)*100</f>
        <v>35.847216847589095</v>
      </c>
      <c r="AU422" s="563" t="s">
        <v>208</v>
      </c>
      <c r="BJ422" s="623"/>
      <c r="BK422" s="623"/>
      <c r="BL422" s="623"/>
      <c r="BM422" s="623"/>
    </row>
    <row r="423" spans="1:65" ht="12.75" hidden="1" customHeight="1" outlineLevel="1">
      <c r="A423" s="410" t="str">
        <f>$A$13</f>
        <v>2Q</v>
      </c>
      <c r="B423" s="562" t="str">
        <f>$B$13</f>
        <v>Jul</v>
      </c>
      <c r="D423" s="645">
        <f>(X423/X416-1)*100</f>
        <v>33.566287681234996</v>
      </c>
      <c r="F423" s="563"/>
      <c r="G423" s="657">
        <v>14.6</v>
      </c>
      <c r="I423" s="645">
        <f>D423-G423</f>
        <v>18.966287681234995</v>
      </c>
      <c r="K423" s="454">
        <f>+K422+1</f>
        <v>34</v>
      </c>
      <c r="L423" s="454"/>
      <c r="M423" s="454"/>
      <c r="N423" s="454"/>
      <c r="O423" s="454"/>
      <c r="P423" s="587">
        <f>AVERAGE(K423,K422)</f>
        <v>33.5</v>
      </c>
      <c r="R423" s="645">
        <f>+(P423/P416-1)*100</f>
        <v>21.818181818181827</v>
      </c>
      <c r="S423" s="563"/>
      <c r="T423" s="595">
        <f>I423/R423*100</f>
        <v>86.928818538993696</v>
      </c>
      <c r="U423" s="416"/>
      <c r="X423" s="539">
        <f>+segSales!J52</f>
        <v>38.414999999999999</v>
      </c>
      <c r="Z423" s="585">
        <f>X423/P423</f>
        <v>1.1467164179104476</v>
      </c>
      <c r="AB423" s="599">
        <f>(Z423/Z416-1)*100</f>
        <v>9.6439674995212776</v>
      </c>
      <c r="AC423" s="563"/>
      <c r="AE423" s="581">
        <f>0.282858/0.75</f>
        <v>0.37714399999999998</v>
      </c>
      <c r="AF423" s="454"/>
      <c r="AG423" s="582">
        <f>AVERAGE(AE423,AE422)</f>
        <v>0.37315199999999998</v>
      </c>
      <c r="AI423" s="539">
        <f>(AG423/AG416-1)*100</f>
        <v>19.869963550389123</v>
      </c>
      <c r="AJ423" s="563"/>
      <c r="AK423" s="595">
        <f>+I423/AI423*100</f>
        <v>95.452050695199034</v>
      </c>
      <c r="AL423" s="416"/>
      <c r="AN423" s="584">
        <f>+X423</f>
        <v>38.414999999999999</v>
      </c>
      <c r="AP423" s="586">
        <f>AL423/AE423</f>
        <v>0</v>
      </c>
      <c r="AR423" s="586">
        <f>AN423/AG423</f>
        <v>102.94732441471572</v>
      </c>
      <c r="AT423" s="599">
        <f>(AR423/AR416-1)*100</f>
        <v>11.425985063462907</v>
      </c>
      <c r="AU423" s="563"/>
      <c r="BJ423" s="623"/>
      <c r="BK423" s="623"/>
      <c r="BL423" s="623"/>
      <c r="BM423" s="623"/>
    </row>
    <row r="424" spans="1:65" ht="12.75" hidden="1" customHeight="1" outlineLevel="1">
      <c r="A424" s="410" t="str">
        <f>$A$14</f>
        <v>3Q</v>
      </c>
      <c r="B424" s="562" t="str">
        <f>$B$14</f>
        <v>Oct</v>
      </c>
      <c r="D424" s="645">
        <f>(X424/X417-1)*100</f>
        <v>31.333729756199922</v>
      </c>
      <c r="F424" s="563"/>
      <c r="G424" s="657">
        <v>15.1</v>
      </c>
      <c r="I424" s="645">
        <f>D424-G424</f>
        <v>16.233729756199921</v>
      </c>
      <c r="K424" s="454">
        <f>+K423</f>
        <v>34</v>
      </c>
      <c r="L424" s="454"/>
      <c r="M424" s="454"/>
      <c r="N424" s="454"/>
      <c r="O424" s="454"/>
      <c r="P424" s="587">
        <f>AVERAGE(K424,K423)</f>
        <v>34</v>
      </c>
      <c r="R424" s="645">
        <f>+(P424/P417-1)*100</f>
        <v>19.298245614035082</v>
      </c>
      <c r="S424" s="563"/>
      <c r="T424" s="595">
        <f>I424/R424*100</f>
        <v>84.120236009399619</v>
      </c>
      <c r="U424" s="416"/>
      <c r="X424" s="539">
        <f>+segSales!J53</f>
        <v>37.546999999999997</v>
      </c>
      <c r="Z424" s="585">
        <f>X424/P424</f>
        <v>1.1043235294117646</v>
      </c>
      <c r="AB424" s="599">
        <f>(Z424/Z417-1)*100</f>
        <v>10.088567589755826</v>
      </c>
      <c r="AC424" s="563"/>
      <c r="AE424" s="581">
        <f>+AE423</f>
        <v>0.37714399999999998</v>
      </c>
      <c r="AF424" s="454"/>
      <c r="AG424" s="582">
        <f>AVERAGE(AE424,AE423)</f>
        <v>0.37714399999999998</v>
      </c>
      <c r="AI424" s="539">
        <f>(AG424/AG417-1)*100</f>
        <v>18.043418383954712</v>
      </c>
      <c r="AJ424" s="563"/>
      <c r="AK424" s="595">
        <f>+I424/AI424*100</f>
        <v>89.970367093166359</v>
      </c>
      <c r="AL424" s="416"/>
      <c r="AN424" s="584">
        <f>+X424</f>
        <v>37.546999999999997</v>
      </c>
      <c r="AP424" s="586">
        <f>AL424/AE424</f>
        <v>0</v>
      </c>
      <c r="AR424" s="586">
        <f>AN424/AG424</f>
        <v>99.556137708673603</v>
      </c>
      <c r="AT424" s="599">
        <f>(AR424/AR417-1)*100</f>
        <v>11.25883302448627</v>
      </c>
      <c r="AU424" s="563"/>
      <c r="BJ424" s="623"/>
      <c r="BK424" s="623"/>
      <c r="BL424" s="623"/>
      <c r="BM424" s="623"/>
    </row>
    <row r="425" spans="1:65" ht="12.75" hidden="1" customHeight="1" outlineLevel="1">
      <c r="A425" s="410" t="str">
        <f>$A$15</f>
        <v>4Q</v>
      </c>
      <c r="B425" s="562" t="str">
        <f>$B$15</f>
        <v>Jan</v>
      </c>
      <c r="D425" s="646">
        <f>(X425/X418-1)*100</f>
        <v>17.100890433547278</v>
      </c>
      <c r="F425" s="563"/>
      <c r="G425" s="659">
        <v>-3</v>
      </c>
      <c r="I425" s="646">
        <f>D425-G425</f>
        <v>20.100890433547278</v>
      </c>
      <c r="K425" s="410">
        <f>+yrSales!J28</f>
        <v>39</v>
      </c>
      <c r="O425" s="454"/>
      <c r="P425" s="588">
        <f>AVERAGE(K425,K424)</f>
        <v>36.5</v>
      </c>
      <c r="R425" s="646">
        <f>+(P425/P418-1)*100</f>
        <v>21.666666666666657</v>
      </c>
      <c r="S425" s="563"/>
      <c r="T425" s="598">
        <f>I425/R425*100</f>
        <v>92.773340462525937</v>
      </c>
      <c r="U425" s="416"/>
      <c r="X425" s="596">
        <f>+segSales!J54</f>
        <v>46.16</v>
      </c>
      <c r="Z425" s="590">
        <f>X425/P425</f>
        <v>1.2646575342465753</v>
      </c>
      <c r="AB425" s="597">
        <f>(Z425/Z418-1)*100</f>
        <v>-3.7526927943446919</v>
      </c>
      <c r="AC425" s="563"/>
      <c r="AE425" s="581">
        <f>0.318656/0.75</f>
        <v>0.42487466666666668</v>
      </c>
      <c r="AF425" s="454"/>
      <c r="AG425" s="591">
        <f>AVERAGE(AE425,AE424)</f>
        <v>0.40100933333333333</v>
      </c>
      <c r="AI425" s="596">
        <f>(AG425/AG418-1)*100</f>
        <v>19.605499935376749</v>
      </c>
      <c r="AJ425" s="563"/>
      <c r="AK425" s="598">
        <f>+I425/AI425*100</f>
        <v>102.52679350082082</v>
      </c>
      <c r="AL425" s="416"/>
      <c r="AN425" s="589">
        <f>+X425</f>
        <v>46.16</v>
      </c>
      <c r="AP425" s="592">
        <f>AL425/AE425</f>
        <v>0</v>
      </c>
      <c r="AR425" s="592">
        <f>AN425/AG425</f>
        <v>115.10954026007707</v>
      </c>
      <c r="AT425" s="597">
        <f>(AR425/AR418-1)*100</f>
        <v>-2.0940588043047437</v>
      </c>
      <c r="AU425" s="563"/>
      <c r="BJ425" s="623"/>
      <c r="BK425" s="623"/>
      <c r="BL425" s="623"/>
      <c r="BM425" s="623"/>
    </row>
    <row r="426" spans="1:65" ht="12.75" hidden="1" customHeight="1" outlineLevel="1">
      <c r="B426" s="562" t="str">
        <f>$B$16</f>
        <v>Year</v>
      </c>
      <c r="D426" s="618">
        <f>(X426/X419-1)*100</f>
        <v>31.320008603716133</v>
      </c>
      <c r="F426" s="563"/>
      <c r="G426" s="678">
        <v>12</v>
      </c>
      <c r="I426" s="618">
        <f>D426-G426</f>
        <v>19.320008603716133</v>
      </c>
      <c r="P426" s="587">
        <f>AVERAGE(P422:P425)</f>
        <v>34</v>
      </c>
      <c r="R426" s="618">
        <f>+(P426/P419-1)*100</f>
        <v>20.888888888888889</v>
      </c>
      <c r="S426" s="563"/>
      <c r="T426" s="595">
        <f>I426/R426*100</f>
        <v>92.489402890130421</v>
      </c>
      <c r="U426" s="416"/>
      <c r="X426" s="579">
        <f>SUM(X422:X425)</f>
        <v>158.73699999999999</v>
      </c>
      <c r="Z426" s="580">
        <f>SUM(Z422:Z425)</f>
        <v>4.6599162315687872</v>
      </c>
      <c r="AB426" s="599">
        <f>(Z426/Z419-1)*100</f>
        <v>9.0621160443147719</v>
      </c>
      <c r="AC426" s="563"/>
      <c r="AE426" s="600">
        <f>AE425</f>
        <v>0.42487466666666668</v>
      </c>
      <c r="AG426" s="582">
        <f>AVERAGE(AG422:AG425)</f>
        <v>0.37236683333333331</v>
      </c>
      <c r="AI426" s="539">
        <f>(AG426/AG419-1)*100</f>
        <v>17.415010531714969</v>
      </c>
      <c r="AJ426" s="563"/>
      <c r="AK426" s="595">
        <f>+I426/AI426*100</f>
        <v>110.93882813640519</v>
      </c>
      <c r="AL426" s="416"/>
      <c r="AN426" s="579">
        <f>SUM(AN422:AN425)</f>
        <v>158.73699999999999</v>
      </c>
      <c r="AP426" s="583" t="e">
        <f>SUM(AP422:AP425)</f>
        <v>#VALUE!</v>
      </c>
      <c r="AR426" s="583">
        <f>SUM(AR422:AR425)</f>
        <v>425.88950890992419</v>
      </c>
      <c r="AT426" s="599">
        <f>(AR426/AR419-1)*100</f>
        <v>12.327888474267423</v>
      </c>
      <c r="AU426" s="563"/>
      <c r="BJ426" s="623"/>
      <c r="BK426" s="623"/>
      <c r="BL426" s="623"/>
      <c r="BM426" s="623"/>
    </row>
    <row r="427" spans="1:65" ht="12.75" hidden="1" customHeight="1" outlineLevel="1">
      <c r="B427" s="562"/>
      <c r="F427" s="563"/>
      <c r="G427" s="677"/>
      <c r="BJ427" s="623"/>
      <c r="BK427" s="623"/>
      <c r="BL427" s="623"/>
      <c r="BM427" s="623"/>
    </row>
    <row r="428" spans="1:65" ht="12.75" hidden="1" customHeight="1" outlineLevel="1">
      <c r="A428" s="593"/>
      <c r="B428" s="431">
        <f>+B251</f>
        <v>2003</v>
      </c>
      <c r="E428" s="563"/>
      <c r="F428" s="563"/>
      <c r="G428" s="563"/>
      <c r="H428" s="563"/>
      <c r="J428" s="563"/>
      <c r="S428" s="563"/>
      <c r="T428" s="416"/>
      <c r="U428" s="416"/>
      <c r="AC428" s="563"/>
      <c r="AJ428" s="563"/>
      <c r="AK428" s="416"/>
      <c r="AL428" s="416"/>
      <c r="AU428" s="563"/>
      <c r="BJ428" s="623"/>
      <c r="BK428" s="623"/>
      <c r="BL428" s="623"/>
      <c r="BM428" s="623"/>
    </row>
    <row r="429" spans="1:65" ht="12.75" hidden="1" customHeight="1" outlineLevel="1">
      <c r="A429" s="410" t="str">
        <f>$A$12</f>
        <v>1Q</v>
      </c>
      <c r="B429" s="562" t="str">
        <f>$B$12</f>
        <v>Apr</v>
      </c>
      <c r="D429" s="645">
        <f>(X429/X422-1)*100</f>
        <v>11.850334562337839</v>
      </c>
      <c r="E429" s="563" t="s">
        <v>208</v>
      </c>
      <c r="F429" s="563"/>
      <c r="G429" s="679">
        <v>-2</v>
      </c>
      <c r="H429" s="563" t="s">
        <v>208</v>
      </c>
      <c r="I429" s="645">
        <f>D429-G429</f>
        <v>13.850334562337839</v>
      </c>
      <c r="J429" s="563" t="s">
        <v>208</v>
      </c>
      <c r="K429" s="454">
        <f>+K425+1</f>
        <v>40</v>
      </c>
      <c r="L429" s="454"/>
      <c r="M429" s="454"/>
      <c r="N429" s="454"/>
      <c r="P429" s="587">
        <f>+AVERAGE(K425,K429)</f>
        <v>39.5</v>
      </c>
      <c r="R429" s="645">
        <f>+(P429/P422-1)*100</f>
        <v>23.4375</v>
      </c>
      <c r="S429" s="563" t="s">
        <v>208</v>
      </c>
      <c r="T429" s="595">
        <f>I429/R429*100</f>
        <v>59.094760799308112</v>
      </c>
      <c r="U429" s="416" t="s">
        <v>208</v>
      </c>
      <c r="X429" s="579">
        <f>+segSales!J58</f>
        <v>40.954000000000001</v>
      </c>
      <c r="Z429" s="580">
        <f>X429/P429</f>
        <v>1.0368101265822784</v>
      </c>
      <c r="AB429" s="599">
        <f>(Z429/Z422-1)*100</f>
        <v>-9.3870707343085886</v>
      </c>
      <c r="AC429" s="563" t="s">
        <v>208</v>
      </c>
      <c r="AE429" s="600">
        <f>+AE425+(K429-K425)*yrSales!$K$59/1000000</f>
        <v>0.43387466666666669</v>
      </c>
      <c r="AG429" s="582">
        <f>AVERAGE(AE429,AE422)</f>
        <v>0.40151733333333334</v>
      </c>
      <c r="AI429" s="539">
        <f>(AG429/AG422-1)*100</f>
        <v>18.735201865772446</v>
      </c>
      <c r="AJ429" s="563" t="s">
        <v>208</v>
      </c>
      <c r="AK429" s="595">
        <f>+I429/AI429*100</f>
        <v>73.926796527563297</v>
      </c>
      <c r="AL429" s="416" t="s">
        <v>208</v>
      </c>
      <c r="AN429" s="579">
        <f>+X429</f>
        <v>40.954000000000001</v>
      </c>
      <c r="AP429" s="583" t="e">
        <f>AL429/AE429</f>
        <v>#VALUE!</v>
      </c>
      <c r="AR429" s="583">
        <f>AN429/AG429</f>
        <v>101.99808725567679</v>
      </c>
      <c r="AT429" s="599">
        <f>(AR429/AR422-1)*100</f>
        <v>-5.7985055781669566</v>
      </c>
      <c r="AU429" s="563" t="s">
        <v>208</v>
      </c>
      <c r="BJ429" s="623"/>
      <c r="BK429" s="623"/>
      <c r="BL429" s="623"/>
      <c r="BM429" s="623"/>
    </row>
    <row r="430" spans="1:65" ht="12.75" hidden="1" customHeight="1" outlineLevel="1">
      <c r="A430" s="410" t="str">
        <f>$A$13</f>
        <v>2Q</v>
      </c>
      <c r="B430" s="562" t="str">
        <f>$B$13</f>
        <v>Jul</v>
      </c>
      <c r="D430" s="645">
        <f>(X430/X423-1)*100</f>
        <v>24.623194064818431</v>
      </c>
      <c r="F430" s="563"/>
      <c r="G430" s="679">
        <v>12</v>
      </c>
      <c r="I430" s="645">
        <f>D430-G430</f>
        <v>12.623194064818431</v>
      </c>
      <c r="K430" s="454">
        <f>+K429+3</f>
        <v>43</v>
      </c>
      <c r="L430" s="454"/>
      <c r="M430" s="454"/>
      <c r="N430" s="454"/>
      <c r="O430" s="454"/>
      <c r="P430" s="587">
        <f>AVERAGE(K430,K429)</f>
        <v>41.5</v>
      </c>
      <c r="R430" s="645">
        <f>+(P430/P423-1)*100</f>
        <v>23.880597014925375</v>
      </c>
      <c r="S430" s="563"/>
      <c r="T430" s="595">
        <f>I430/R430*100</f>
        <v>52.859625146427177</v>
      </c>
      <c r="U430" s="416"/>
      <c r="X430" s="539">
        <f>+segSales!J59</f>
        <v>47.874000000000002</v>
      </c>
      <c r="Z430" s="585">
        <f>X430/P430</f>
        <v>1.1535903614457832</v>
      </c>
      <c r="AB430" s="599">
        <f>(Z430/Z423-1)*100</f>
        <v>0.59944581135946695</v>
      </c>
      <c r="AC430" s="563"/>
      <c r="AE430" s="581">
        <f>0.346/0.75</f>
        <v>0.46133333333333332</v>
      </c>
      <c r="AF430" s="454"/>
      <c r="AG430" s="582">
        <f>AVERAGE(AE430,AE429)</f>
        <v>0.447604</v>
      </c>
      <c r="AI430" s="539">
        <f>(AG430/AG423-1)*100</f>
        <v>19.952191064231208</v>
      </c>
      <c r="AJ430" s="563"/>
      <c r="AK430" s="595">
        <f>+I430/AI430*100</f>
        <v>63.267207216396137</v>
      </c>
      <c r="AL430" s="416"/>
      <c r="AN430" s="584">
        <f>+X430</f>
        <v>47.874000000000002</v>
      </c>
      <c r="AP430" s="586">
        <f>AL430/AE430</f>
        <v>0</v>
      </c>
      <c r="AR430" s="586">
        <f>AN430/AG430</f>
        <v>106.95614873861717</v>
      </c>
      <c r="AT430" s="599">
        <f>(AR430/AR423-1)*100</f>
        <v>3.8940539219379788</v>
      </c>
      <c r="AU430" s="563"/>
      <c r="BJ430" s="623"/>
      <c r="BK430" s="623"/>
      <c r="BL430" s="623"/>
      <c r="BM430" s="623"/>
    </row>
    <row r="431" spans="1:65" ht="12.75" hidden="1" customHeight="1" outlineLevel="1">
      <c r="A431" s="410" t="str">
        <f>$A$14</f>
        <v>3Q</v>
      </c>
      <c r="B431" s="562" t="str">
        <f>$B$14</f>
        <v>Oct</v>
      </c>
      <c r="D431" s="645">
        <f>(X431/X424-1)*100</f>
        <v>40.796867925533341</v>
      </c>
      <c r="F431" s="563"/>
      <c r="G431" s="679">
        <v>19</v>
      </c>
      <c r="I431" s="645">
        <f>D431-G431</f>
        <v>21.796867925533341</v>
      </c>
      <c r="K431" s="454">
        <f>+K430+3</f>
        <v>46</v>
      </c>
      <c r="L431" s="454"/>
      <c r="M431" s="454"/>
      <c r="N431" s="454"/>
      <c r="O431" s="454"/>
      <c r="P431" s="587">
        <f>AVERAGE(K431,K430)</f>
        <v>44.5</v>
      </c>
      <c r="R431" s="645">
        <f>+(P431/P424-1)*100</f>
        <v>30.882352941176471</v>
      </c>
      <c r="S431" s="563"/>
      <c r="T431" s="595">
        <f>I431/R431*100</f>
        <v>70.580334235060334</v>
      </c>
      <c r="U431" s="416"/>
      <c r="X431" s="539">
        <f>+segSales!J60</f>
        <v>52.865000000000002</v>
      </c>
      <c r="Z431" s="585">
        <f>X431/P431</f>
        <v>1.1879775280898877</v>
      </c>
      <c r="AB431" s="599">
        <f>(Z431/Z424-1)*100</f>
        <v>7.5751350442277321</v>
      </c>
      <c r="AC431" s="563"/>
      <c r="AE431" s="581">
        <f>0.36556/0.75</f>
        <v>0.48741333333333331</v>
      </c>
      <c r="AF431" s="454"/>
      <c r="AG431" s="582">
        <f>AVERAGE(AE431,AE430)</f>
        <v>0.47437333333333331</v>
      </c>
      <c r="AI431" s="539">
        <f>(AG431/AG424-1)*100</f>
        <v>25.780426927999201</v>
      </c>
      <c r="AJ431" s="563"/>
      <c r="AK431" s="595">
        <f>+I431/AI431*100</f>
        <v>84.548126322378863</v>
      </c>
      <c r="AL431" s="416"/>
      <c r="AN431" s="584">
        <f>+X431</f>
        <v>52.865000000000002</v>
      </c>
      <c r="AP431" s="586">
        <f>AL431/AE431</f>
        <v>0</v>
      </c>
      <c r="AR431" s="586">
        <f>AN431/AG431</f>
        <v>111.44176176288718</v>
      </c>
      <c r="AT431" s="599">
        <f>(AR431/AR424-1)*100</f>
        <v>11.938615064591907</v>
      </c>
      <c r="AU431" s="563"/>
      <c r="BJ431" s="623"/>
      <c r="BK431" s="623"/>
      <c r="BL431" s="623"/>
      <c r="BM431" s="623"/>
    </row>
    <row r="432" spans="1:65" ht="12.75" hidden="1" customHeight="1" outlineLevel="1">
      <c r="A432" s="410" t="str">
        <f>$A$15</f>
        <v>4Q</v>
      </c>
      <c r="B432" s="562" t="str">
        <f>$B$15</f>
        <v>Jan</v>
      </c>
      <c r="D432" s="646">
        <f>(X432/X425-1)*100</f>
        <v>50.457105719237425</v>
      </c>
      <c r="F432" s="563"/>
      <c r="G432" s="680">
        <v>22</v>
      </c>
      <c r="I432" s="646">
        <f>D432-G432</f>
        <v>28.457105719237425</v>
      </c>
      <c r="K432" s="410">
        <f>+yrSales!K28</f>
        <v>52</v>
      </c>
      <c r="O432" s="454"/>
      <c r="P432" s="588">
        <f>AVERAGE(K432,K431)</f>
        <v>49</v>
      </c>
      <c r="R432" s="646">
        <f>+(P432/P425-1)*100</f>
        <v>34.246575342465761</v>
      </c>
      <c r="S432" s="563"/>
      <c r="T432" s="598">
        <f>I432/R432*100</f>
        <v>83.094748700173255</v>
      </c>
      <c r="U432" s="416"/>
      <c r="X432" s="596">
        <f>+segSales!J61</f>
        <v>69.450999999999993</v>
      </c>
      <c r="Z432" s="590">
        <f>X432/P432</f>
        <v>1.4173673469387753</v>
      </c>
      <c r="AB432" s="597">
        <f>(Z432/Z425-1)*100</f>
        <v>12.075190994942165</v>
      </c>
      <c r="AC432" s="563"/>
      <c r="AE432" s="581">
        <f>0.406642/0.75</f>
        <v>0.5421893333333333</v>
      </c>
      <c r="AF432" s="454"/>
      <c r="AG432" s="591">
        <f>AVERAGE(AE432,AE431)</f>
        <v>0.51480133333333333</v>
      </c>
      <c r="AI432" s="596">
        <f>(AG432/AG425-1)*100</f>
        <v>28.376396891842926</v>
      </c>
      <c r="AJ432" s="563"/>
      <c r="AK432" s="598">
        <f>+I432/AI432*100</f>
        <v>100.28442239408379</v>
      </c>
      <c r="AL432" s="416"/>
      <c r="AN432" s="589">
        <f>+X432</f>
        <v>69.450999999999993</v>
      </c>
      <c r="AP432" s="592">
        <f>AL432/AE432</f>
        <v>0</v>
      </c>
      <c r="AR432" s="592">
        <f>AN432/AG432</f>
        <v>134.90835299571873</v>
      </c>
      <c r="AT432" s="597">
        <f>(AR432/AR425-1)*100</f>
        <v>17.199975511072729</v>
      </c>
      <c r="AU432" s="563"/>
      <c r="BJ432" s="623"/>
      <c r="BK432" s="623"/>
      <c r="BL432" s="623"/>
      <c r="BM432" s="623"/>
    </row>
    <row r="433" spans="1:65" ht="12.75" hidden="1" customHeight="1" outlineLevel="1">
      <c r="B433" s="562" t="str">
        <f>$B$16</f>
        <v>Year</v>
      </c>
      <c r="D433" s="618">
        <f>(X433/X426-1)*100</f>
        <v>33.01498705405799</v>
      </c>
      <c r="F433" s="563"/>
      <c r="G433" s="661">
        <f>G429*X429/X433+G430*X430/X433+G431*X431/X433+G432*X432/X433</f>
        <v>14.326417042397605</v>
      </c>
      <c r="I433" s="618">
        <f>D433-G433</f>
        <v>18.688570011660385</v>
      </c>
      <c r="P433" s="587">
        <f>AVERAGE(P429:P432)</f>
        <v>43.625</v>
      </c>
      <c r="R433" s="618">
        <f>+(P433/P426-1)*100</f>
        <v>28.308823529411775</v>
      </c>
      <c r="S433" s="563"/>
      <c r="T433" s="595">
        <f>I433/R433*100</f>
        <v>66.016766794436663</v>
      </c>
      <c r="U433" s="416"/>
      <c r="X433" s="579">
        <f>SUM(X429:X432)</f>
        <v>211.14400000000001</v>
      </c>
      <c r="Z433" s="580">
        <f>SUM(Z429:Z432)</f>
        <v>4.7957453630567244</v>
      </c>
      <c r="AB433" s="599">
        <f>(Z433/Z426-1)*100</f>
        <v>2.9148406266996219</v>
      </c>
      <c r="AC433" s="563"/>
      <c r="AG433" s="582">
        <f>AVERAGE(AG429:AG432)</f>
        <v>0.45957400000000004</v>
      </c>
      <c r="AI433" s="539">
        <f>(AG433/AG426-1)*100</f>
        <v>23.419692319536178</v>
      </c>
      <c r="AJ433" s="563"/>
      <c r="AK433" s="595">
        <f>+I433/AI433*100</f>
        <v>79.798529189347207</v>
      </c>
      <c r="AL433" s="416"/>
      <c r="AN433" s="579">
        <f>SUM(AN429:AN432)</f>
        <v>211.14400000000001</v>
      </c>
      <c r="AP433" s="583" t="e">
        <f>SUM(AP429:AP432)</f>
        <v>#VALUE!</v>
      </c>
      <c r="AR433" s="583">
        <f>SUM(AR429:AR432)</f>
        <v>455.30435075289984</v>
      </c>
      <c r="AT433" s="599">
        <f>(AR433/AR426-1)*100</f>
        <v>6.9066838293959654</v>
      </c>
      <c r="AU433" s="563"/>
      <c r="BJ433" s="623"/>
      <c r="BK433" s="623"/>
      <c r="BL433" s="623"/>
      <c r="BM433" s="623"/>
    </row>
    <row r="434" spans="1:65" ht="12.75" hidden="1" customHeight="1" outlineLevel="1">
      <c r="B434" s="562"/>
      <c r="F434" s="563"/>
      <c r="G434" s="677"/>
      <c r="BJ434" s="623"/>
      <c r="BK434" s="623"/>
      <c r="BL434" s="623"/>
      <c r="BM434" s="623"/>
    </row>
    <row r="435" spans="1:65" ht="12.75" hidden="1" customHeight="1" outlineLevel="1">
      <c r="A435" s="593"/>
      <c r="B435" s="431">
        <f>+B258</f>
        <v>2004</v>
      </c>
      <c r="E435" s="563"/>
      <c r="F435" s="563"/>
      <c r="G435" s="563"/>
      <c r="H435" s="563"/>
      <c r="J435" s="563"/>
      <c r="S435" s="563"/>
      <c r="T435" s="416"/>
      <c r="U435" s="416"/>
      <c r="AC435" s="563"/>
      <c r="AJ435" s="563"/>
      <c r="AK435" s="416"/>
      <c r="AL435" s="416"/>
      <c r="AU435" s="563"/>
      <c r="BJ435" s="623"/>
      <c r="BK435" s="623"/>
      <c r="BL435" s="623"/>
      <c r="BM435" s="623"/>
    </row>
    <row r="436" spans="1:65" ht="12.75" hidden="1" customHeight="1" outlineLevel="1">
      <c r="A436" s="410" t="str">
        <f>$A$12</f>
        <v>1Q</v>
      </c>
      <c r="B436" s="562" t="str">
        <f>$B$12</f>
        <v>Apr</v>
      </c>
      <c r="D436" s="645">
        <f>(X436/X429-1)*100</f>
        <v>62.557991893343747</v>
      </c>
      <c r="E436" s="563" t="s">
        <v>208</v>
      </c>
      <c r="F436" s="563"/>
      <c r="G436" s="679">
        <v>32</v>
      </c>
      <c r="H436" s="563" t="s">
        <v>208</v>
      </c>
      <c r="I436" s="645">
        <f>D436-G436</f>
        <v>30.557991893343747</v>
      </c>
      <c r="J436" s="563" t="s">
        <v>208</v>
      </c>
      <c r="K436" s="454">
        <f>+K432</f>
        <v>52</v>
      </c>
      <c r="L436" s="454"/>
      <c r="M436" s="454"/>
      <c r="N436" s="454"/>
      <c r="P436" s="587">
        <f>+AVERAGE(K432,K436)</f>
        <v>52</v>
      </c>
      <c r="R436" s="645">
        <f>+(P436/P429-1)*100</f>
        <v>31.645569620253156</v>
      </c>
      <c r="S436" s="563" t="s">
        <v>208</v>
      </c>
      <c r="T436" s="595">
        <f>I436/R436*100</f>
        <v>96.563254382966264</v>
      </c>
      <c r="U436" s="416" t="s">
        <v>208</v>
      </c>
      <c r="X436" s="579">
        <f>+segSales!J65</f>
        <v>66.573999999999998</v>
      </c>
      <c r="Z436" s="580">
        <f>X436/P436</f>
        <v>1.2802692307692307</v>
      </c>
      <c r="AB436" s="599">
        <f>(Z436/Z429-1)*100</f>
        <v>23.481551534366886</v>
      </c>
      <c r="AC436" s="563" t="s">
        <v>208</v>
      </c>
      <c r="AE436" s="581">
        <f>0.406642/0.75</f>
        <v>0.5421893333333333</v>
      </c>
      <c r="AG436" s="582">
        <f>AVERAGE(AE436,AE429)</f>
        <v>0.48803200000000002</v>
      </c>
      <c r="AI436" s="539">
        <f>(AG436/AG429-1)*100</f>
        <v>21.546931971388528</v>
      </c>
      <c r="AJ436" s="563" t="s">
        <v>208</v>
      </c>
      <c r="AK436" s="595">
        <f>+I436/AI436*100</f>
        <v>141.82061712507706</v>
      </c>
      <c r="AL436" s="416" t="s">
        <v>208</v>
      </c>
      <c r="AN436" s="579">
        <f>+X436</f>
        <v>66.573999999999998</v>
      </c>
      <c r="AP436" s="583" t="e">
        <f>AL436/AE436</f>
        <v>#VALUE!</v>
      </c>
      <c r="AR436" s="583">
        <f>AN436/AG436</f>
        <v>136.4131860205888</v>
      </c>
      <c r="AT436" s="599">
        <f>(AR436/AR429-1)*100</f>
        <v>33.740925629952542</v>
      </c>
      <c r="AU436" s="563" t="s">
        <v>208</v>
      </c>
      <c r="BJ436" s="623"/>
      <c r="BK436" s="623"/>
      <c r="BL436" s="623"/>
      <c r="BM436" s="623"/>
    </row>
    <row r="437" spans="1:65" ht="12.75" hidden="1" customHeight="1" outlineLevel="1">
      <c r="A437" s="410" t="str">
        <f>$A$13</f>
        <v>2Q</v>
      </c>
      <c r="B437" s="562" t="str">
        <f>$B$13</f>
        <v>Jul</v>
      </c>
      <c r="D437" s="645">
        <f>(X437/X430-1)*100</f>
        <v>54.08363621172245</v>
      </c>
      <c r="F437" s="563"/>
      <c r="G437" s="679">
        <v>27</v>
      </c>
      <c r="I437" s="645">
        <f>D437-G437</f>
        <v>27.08363621172245</v>
      </c>
      <c r="K437" s="454">
        <f>+K436+6</f>
        <v>58</v>
      </c>
      <c r="L437" s="454"/>
      <c r="M437" s="454"/>
      <c r="N437" s="454"/>
      <c r="O437" s="454"/>
      <c r="P437" s="587">
        <f>AVERAGE(K437,K436)</f>
        <v>55</v>
      </c>
      <c r="R437" s="645">
        <f>+(P437/P430-1)*100</f>
        <v>32.530120481927717</v>
      </c>
      <c r="S437" s="563"/>
      <c r="T437" s="595">
        <f>I437/R437*100</f>
        <v>83.257103910109734</v>
      </c>
      <c r="U437" s="416"/>
      <c r="X437" s="539">
        <f>segSales!J66</f>
        <v>73.766000000000005</v>
      </c>
      <c r="Z437" s="585">
        <f>X437/P437</f>
        <v>1.3412000000000002</v>
      </c>
      <c r="AB437" s="599">
        <f>(Z437/Z430-1)*100</f>
        <v>16.263107323390578</v>
      </c>
      <c r="AC437" s="563"/>
      <c r="AE437" s="581">
        <f>0.445786/0.75</f>
        <v>0.59438133333333332</v>
      </c>
      <c r="AF437" s="454"/>
      <c r="AG437" s="582">
        <f>AVERAGE(AE437,AE436)</f>
        <v>0.56828533333333331</v>
      </c>
      <c r="AI437" s="539">
        <f>(AG437/AG430-1)*100</f>
        <v>26.96162977393708</v>
      </c>
      <c r="AJ437" s="563"/>
      <c r="AK437" s="595">
        <f>+I437/AI437*100</f>
        <v>100.45251877875465</v>
      </c>
      <c r="AL437" s="416"/>
      <c r="AN437" s="584">
        <f>+X437</f>
        <v>73.766000000000005</v>
      </c>
      <c r="AP437" s="586">
        <f>AL437/AE437</f>
        <v>0</v>
      </c>
      <c r="AR437" s="586">
        <f>AN437/AG437</f>
        <v>129.80451134875909</v>
      </c>
      <c r="AT437" s="599">
        <f>(AR437/AR430-1)*100</f>
        <v>21.362364744433226</v>
      </c>
      <c r="AU437" s="563"/>
      <c r="BJ437" s="623"/>
      <c r="BK437" s="623"/>
      <c r="BL437" s="623"/>
      <c r="BM437" s="623"/>
    </row>
    <row r="438" spans="1:65" ht="12.75" hidden="1" customHeight="1" outlineLevel="1">
      <c r="A438" s="410" t="str">
        <f>$A$14</f>
        <v>3Q</v>
      </c>
      <c r="B438" s="562" t="str">
        <f>$B$14</f>
        <v>Oct</v>
      </c>
      <c r="D438" s="645">
        <f>(X438/X431-1)*100</f>
        <v>54.103849427787743</v>
      </c>
      <c r="F438" s="563"/>
      <c r="G438" s="679">
        <v>22</v>
      </c>
      <c r="I438" s="645">
        <f>D438-G438</f>
        <v>32.103849427787743</v>
      </c>
      <c r="K438" s="454">
        <f>+K437+4</f>
        <v>62</v>
      </c>
      <c r="L438" s="454"/>
      <c r="M438" s="454"/>
      <c r="N438" s="454"/>
      <c r="O438" s="454"/>
      <c r="P438" s="587">
        <f>AVERAGE(K438,K437)</f>
        <v>60</v>
      </c>
      <c r="R438" s="645">
        <f>+(P438/P431-1)*100</f>
        <v>34.831460674157299</v>
      </c>
      <c r="S438" s="563"/>
      <c r="T438" s="595">
        <f>I438/R438*100</f>
        <v>92.169116099132566</v>
      </c>
      <c r="U438" s="416"/>
      <c r="X438" s="539">
        <f>segSales!J67</f>
        <v>81.466999999999999</v>
      </c>
      <c r="Z438" s="585">
        <f>X438/P438</f>
        <v>1.3577833333333333</v>
      </c>
      <c r="AB438" s="599">
        <f>(Z438/Z431-1)*100</f>
        <v>14.293688325609267</v>
      </c>
      <c r="AC438" s="563"/>
      <c r="AE438" s="581">
        <f>0.476518/0.75</f>
        <v>0.63535733333333333</v>
      </c>
      <c r="AF438" s="454"/>
      <c r="AG438" s="582">
        <f>AVERAGE(AE438,AE437)</f>
        <v>0.61486933333333327</v>
      </c>
      <c r="AI438" s="539">
        <f>(AG438/AG431-1)*100</f>
        <v>29.617179155657979</v>
      </c>
      <c r="AJ438" s="563"/>
      <c r="AK438" s="595">
        <f>+I438/AI438*100</f>
        <v>108.39604021389295</v>
      </c>
      <c r="AL438" s="416"/>
      <c r="AN438" s="584">
        <f>+X438</f>
        <v>81.466999999999999</v>
      </c>
      <c r="AP438" s="586">
        <f>AL438/AE438</f>
        <v>0</v>
      </c>
      <c r="AR438" s="586">
        <f>AN438/AG438</f>
        <v>132.49481732704186</v>
      </c>
      <c r="AT438" s="599">
        <f>(AR438/AR431-1)*100</f>
        <v>18.891531532809868</v>
      </c>
      <c r="AU438" s="563"/>
      <c r="BJ438" s="623"/>
      <c r="BK438" s="623"/>
      <c r="BL438" s="623"/>
      <c r="BM438" s="623"/>
    </row>
    <row r="439" spans="1:65" ht="12.75" hidden="1" customHeight="1" outlineLevel="1">
      <c r="A439" s="410" t="str">
        <f>$A$15</f>
        <v>4Q</v>
      </c>
      <c r="B439" s="562" t="str">
        <f>$B$15</f>
        <v>Jan</v>
      </c>
      <c r="D439" s="646">
        <f>(X439/X432-1)*100</f>
        <v>42.278728887992976</v>
      </c>
      <c r="F439" s="563"/>
      <c r="G439" s="680">
        <v>17</v>
      </c>
      <c r="I439" s="646">
        <f>D439-G439</f>
        <v>25.278728887992976</v>
      </c>
      <c r="K439" s="410">
        <f>+yrSales!L28</f>
        <v>65</v>
      </c>
      <c r="O439" s="454"/>
      <c r="P439" s="588">
        <f>AVERAGE(K439,K438)</f>
        <v>63.5</v>
      </c>
      <c r="R439" s="646">
        <f>+(P439/P432-1)*100</f>
        <v>29.591836734693878</v>
      </c>
      <c r="S439" s="563"/>
      <c r="T439" s="598">
        <f>I439/R439*100</f>
        <v>85.42467003528661</v>
      </c>
      <c r="U439" s="416"/>
      <c r="X439" s="596">
        <f>segSales!J68</f>
        <v>98.813999999999993</v>
      </c>
      <c r="Z439" s="590">
        <f>X439/P439</f>
        <v>1.5561259842519684</v>
      </c>
      <c r="AB439" s="597">
        <f>(Z439/Z432-1)*100</f>
        <v>9.7898852836481254</v>
      </c>
      <c r="AC439" s="563"/>
      <c r="AE439" s="581">
        <f>0.501402/0.75</f>
        <v>0.66853600000000002</v>
      </c>
      <c r="AF439" s="454"/>
      <c r="AG439" s="591">
        <f>AVERAGE(AE439,AE438)</f>
        <v>0.65194666666666667</v>
      </c>
      <c r="AI439" s="596">
        <f>(AG439/AG432-1)*100</f>
        <v>26.640438641702559</v>
      </c>
      <c r="AJ439" s="563"/>
      <c r="AK439" s="598">
        <f>+I439/AI439*100</f>
        <v>94.888561063037528</v>
      </c>
      <c r="AL439" s="416"/>
      <c r="AN439" s="589">
        <f>+X439</f>
        <v>98.813999999999993</v>
      </c>
      <c r="AP439" s="592">
        <f>AL439/AE439</f>
        <v>0</v>
      </c>
      <c r="AR439" s="592">
        <f>AN439/AG439</f>
        <v>151.56761289267016</v>
      </c>
      <c r="AT439" s="597">
        <f>(AR439/AR432-1)*100</f>
        <v>12.34857555297566</v>
      </c>
      <c r="AU439" s="563"/>
      <c r="BJ439" s="623"/>
      <c r="BK439" s="623"/>
      <c r="BL439" s="623"/>
      <c r="BM439" s="623"/>
    </row>
    <row r="440" spans="1:65" ht="12.75" hidden="1" customHeight="1" outlineLevel="1">
      <c r="B440" s="562" t="str">
        <f>$B$16</f>
        <v>Year</v>
      </c>
      <c r="D440" s="618">
        <f>(X440/X433-1)*100</f>
        <v>51.849448717462955</v>
      </c>
      <c r="F440" s="563"/>
      <c r="G440" s="661">
        <f>G436*X436/X440+G437*X437/X440+G438*X438/X440+G439*X439/X440</f>
        <v>23.685791011817692</v>
      </c>
      <c r="I440" s="618">
        <f>D440-G440</f>
        <v>28.163657705645264</v>
      </c>
      <c r="P440" s="587">
        <f>AVERAGE(P436:P439)</f>
        <v>57.625</v>
      </c>
      <c r="R440" s="618">
        <f>+(P440/P433-1)*100</f>
        <v>32.091690544412607</v>
      </c>
      <c r="S440" s="563"/>
      <c r="T440" s="595">
        <f>I440/R440*100</f>
        <v>87.759969100626762</v>
      </c>
      <c r="U440" s="416"/>
      <c r="X440" s="579">
        <f>SUM(X436:X439)</f>
        <v>320.62099999999998</v>
      </c>
      <c r="Z440" s="580">
        <f>SUM(Z436:Z439)</f>
        <v>5.5353785483545321</v>
      </c>
      <c r="AB440" s="599">
        <f>(Z440/Z433-1)*100</f>
        <v>15.422695103777961</v>
      </c>
      <c r="AC440" s="563"/>
      <c r="AG440" s="582">
        <f>AVERAGE(AG436:AG439)</f>
        <v>0.58078333333333332</v>
      </c>
      <c r="AI440" s="539">
        <f>(AG440/AG433-1)*100</f>
        <v>26.374279949112278</v>
      </c>
      <c r="AJ440" s="563"/>
      <c r="AK440" s="595">
        <f>+I440/AI440*100</f>
        <v>106.78455586270219</v>
      </c>
      <c r="AL440" s="416"/>
      <c r="AN440" s="579">
        <f>SUM(AN436:AN439)</f>
        <v>320.62099999999998</v>
      </c>
      <c r="AP440" s="583" t="e">
        <f>SUM(AP436:AP439)</f>
        <v>#VALUE!</v>
      </c>
      <c r="AR440" s="583">
        <f>SUM(AR436:AR439)</f>
        <v>550.28012758905993</v>
      </c>
      <c r="AT440" s="599">
        <f>(AR440/AR433-1)*100</f>
        <v>20.859843899823581</v>
      </c>
      <c r="AU440" s="563"/>
      <c r="BJ440" s="623"/>
      <c r="BK440" s="623"/>
      <c r="BL440" s="623"/>
      <c r="BM440" s="623"/>
    </row>
    <row r="441" spans="1:65" ht="12.75" hidden="1" customHeight="1" outlineLevel="1">
      <c r="B441" s="562"/>
      <c r="F441" s="563"/>
      <c r="G441" s="677"/>
      <c r="BJ441" s="623"/>
      <c r="BK441" s="623"/>
      <c r="BL441" s="623"/>
      <c r="BM441" s="623"/>
    </row>
    <row r="442" spans="1:65" ht="12.75" hidden="1" customHeight="1" outlineLevel="1">
      <c r="A442" s="593"/>
      <c r="B442" s="431">
        <f>+B265</f>
        <v>2005</v>
      </c>
      <c r="E442" s="563"/>
      <c r="F442" s="563"/>
      <c r="G442" s="563"/>
      <c r="H442" s="563"/>
      <c r="J442" s="563"/>
      <c r="S442" s="563"/>
      <c r="T442" s="416"/>
      <c r="U442" s="416"/>
      <c r="AC442" s="563"/>
      <c r="AJ442" s="563"/>
      <c r="AK442" s="416"/>
      <c r="AL442" s="416"/>
      <c r="AU442" s="563"/>
      <c r="BJ442" s="623"/>
      <c r="BK442" s="623"/>
      <c r="BL442" s="623"/>
      <c r="BM442" s="623"/>
    </row>
    <row r="443" spans="1:65" ht="12.75" hidden="1" customHeight="1" outlineLevel="1">
      <c r="A443" s="410" t="str">
        <f>$A$12</f>
        <v>1Q</v>
      </c>
      <c r="B443" s="562" t="str">
        <f>$B$12</f>
        <v>Apr</v>
      </c>
      <c r="D443" s="645">
        <f>(X443/X436-1)*100</f>
        <v>31.142788475981618</v>
      </c>
      <c r="E443" s="563" t="s">
        <v>208</v>
      </c>
      <c r="F443" s="563"/>
      <c r="G443" s="679">
        <v>9</v>
      </c>
      <c r="H443" s="563" t="s">
        <v>208</v>
      </c>
      <c r="I443" s="645">
        <f>D443-G443</f>
        <v>22.142788475981618</v>
      </c>
      <c r="J443" s="563" t="s">
        <v>208</v>
      </c>
      <c r="K443" s="454">
        <v>67</v>
      </c>
      <c r="L443" s="454"/>
      <c r="M443" s="454"/>
      <c r="N443" s="454"/>
      <c r="P443" s="587">
        <f>+AVERAGE(K439,K443)</f>
        <v>66</v>
      </c>
      <c r="R443" s="645">
        <f>+(P443/P436-1)*100</f>
        <v>26.923076923076916</v>
      </c>
      <c r="S443" s="563" t="s">
        <v>208</v>
      </c>
      <c r="T443" s="595">
        <f>I443/R443*100</f>
        <v>82.244642910788883</v>
      </c>
      <c r="U443" s="416" t="s">
        <v>208</v>
      </c>
      <c r="X443" s="579">
        <f>segSales!J72</f>
        <v>87.307000000000002</v>
      </c>
      <c r="Z443" s="580">
        <f>X443/P443</f>
        <v>1.3228333333333333</v>
      </c>
      <c r="AB443" s="599">
        <f>(Z443/Z436-1)*100</f>
        <v>3.3246212235006789</v>
      </c>
      <c r="AC443" s="563" t="s">
        <v>208</v>
      </c>
      <c r="AE443" s="581">
        <f>0.51889/0.75</f>
        <v>0.69185333333333332</v>
      </c>
      <c r="AG443" s="582">
        <f>AVERAGE(AE443,AE436)</f>
        <v>0.61702133333333331</v>
      </c>
      <c r="AI443" s="539">
        <f>(AG443/AG436-1)*100</f>
        <v>26.430507289139491</v>
      </c>
      <c r="AJ443" s="563" t="s">
        <v>208</v>
      </c>
      <c r="AK443" s="595">
        <f>+I443/AI443*100</f>
        <v>83.777387371903629</v>
      </c>
      <c r="AL443" s="416" t="s">
        <v>208</v>
      </c>
      <c r="AN443" s="579">
        <f>+X443</f>
        <v>87.307000000000002</v>
      </c>
      <c r="AP443" s="583" t="e">
        <f>AL443/AE443</f>
        <v>#VALUE!</v>
      </c>
      <c r="AR443" s="583">
        <f>AN443/AG443</f>
        <v>141.49753871287001</v>
      </c>
      <c r="AT443" s="599">
        <f>(AR443/AR436-1)*100</f>
        <v>3.7271709873514913</v>
      </c>
      <c r="AU443" s="563" t="s">
        <v>208</v>
      </c>
      <c r="BJ443" s="623"/>
      <c r="BK443" s="623"/>
      <c r="BL443" s="623"/>
      <c r="BM443" s="623"/>
    </row>
    <row r="444" spans="1:65" ht="12.75" hidden="1" customHeight="1" outlineLevel="1">
      <c r="A444" s="410" t="str">
        <f>$A$13</f>
        <v>2Q</v>
      </c>
      <c r="B444" s="562" t="str">
        <f>$B$13</f>
        <v>Jul</v>
      </c>
      <c r="D444" s="645">
        <f>(X444/X437-1)*100</f>
        <v>22.824878670390135</v>
      </c>
      <c r="F444" s="563"/>
      <c r="G444" s="679">
        <v>6</v>
      </c>
      <c r="I444" s="645">
        <f>D444-G444</f>
        <v>16.824878670390135</v>
      </c>
      <c r="K444" s="454">
        <f>K443+1</f>
        <v>68</v>
      </c>
      <c r="L444" s="454"/>
      <c r="M444" s="454"/>
      <c r="N444" s="454"/>
      <c r="O444" s="454"/>
      <c r="P444" s="587">
        <f>AVERAGE(K444,K443)</f>
        <v>67.5</v>
      </c>
      <c r="R444" s="645">
        <f>+(P444/P437-1)*100</f>
        <v>22.72727272727273</v>
      </c>
      <c r="S444" s="563"/>
      <c r="T444" s="595">
        <f>I444/R444*100</f>
        <v>74.029466149716583</v>
      </c>
      <c r="U444" s="416"/>
      <c r="X444" s="539">
        <f>segSales!J73</f>
        <v>90.602999999999994</v>
      </c>
      <c r="Z444" s="585">
        <f>X444/P444</f>
        <v>1.3422666666666665</v>
      </c>
      <c r="AB444" s="599">
        <f>(Z444/Z437-1)*100</f>
        <v>7.9530768466029578E-2</v>
      </c>
      <c r="AC444" s="563"/>
      <c r="AE444" s="581">
        <f>0.523037/0.75</f>
        <v>0.6973826666666666</v>
      </c>
      <c r="AF444" s="454"/>
      <c r="AG444" s="582">
        <f>AVERAGE(AE444,AE443)</f>
        <v>0.69461799999999996</v>
      </c>
      <c r="AI444" s="539">
        <f>(AG444/AG437-1)*100</f>
        <v>22.230499232779778</v>
      </c>
      <c r="AJ444" s="563"/>
      <c r="AK444" s="595">
        <f>+I444/AI444*100</f>
        <v>75.68376442748152</v>
      </c>
      <c r="AL444" s="416"/>
      <c r="AN444" s="584">
        <f>+X444</f>
        <v>90.602999999999994</v>
      </c>
      <c r="AP444" s="586">
        <f>AL444/AE444</f>
        <v>0</v>
      </c>
      <c r="AR444" s="586">
        <f>AN444/AG444</f>
        <v>130.43572150448159</v>
      </c>
      <c r="AT444" s="599">
        <f>(AR444/AR437-1)*100</f>
        <v>0.48627751775633943</v>
      </c>
      <c r="AU444" s="563"/>
      <c r="BJ444" s="623"/>
      <c r="BK444" s="623"/>
      <c r="BL444" s="623"/>
      <c r="BM444" s="623"/>
    </row>
    <row r="445" spans="1:65" ht="12.75" hidden="1" customHeight="1" outlineLevel="1">
      <c r="A445" s="410" t="str">
        <f>$A$14</f>
        <v>3Q</v>
      </c>
      <c r="B445" s="562" t="str">
        <f>$B$14</f>
        <v>Oct</v>
      </c>
      <c r="D445" s="645">
        <f>(X445/X438-1)*100</f>
        <v>24.479850737108279</v>
      </c>
      <c r="F445" s="563"/>
      <c r="G445" s="679">
        <v>7</v>
      </c>
      <c r="I445" s="645">
        <f>D445-G445</f>
        <v>17.479850737108279</v>
      </c>
      <c r="K445" s="454">
        <v>73</v>
      </c>
      <c r="L445" s="454"/>
      <c r="M445" s="454"/>
      <c r="N445" s="454"/>
      <c r="O445" s="454"/>
      <c r="P445" s="587">
        <f>AVERAGE(K445,K444)</f>
        <v>70.5</v>
      </c>
      <c r="R445" s="645">
        <f>+(P445/P438-1)*100</f>
        <v>17.500000000000004</v>
      </c>
      <c r="S445" s="563"/>
      <c r="T445" s="595">
        <f>I445/R445*100</f>
        <v>99.88486135490443</v>
      </c>
      <c r="U445" s="416"/>
      <c r="X445" s="539">
        <f>segSales!J74</f>
        <v>101.41</v>
      </c>
      <c r="Z445" s="585">
        <f>X445/P445</f>
        <v>1.4384397163120566</v>
      </c>
      <c r="AB445" s="599">
        <f>(Z445/Z438-1)*100</f>
        <v>5.9402984996665964</v>
      </c>
      <c r="AC445" s="563"/>
      <c r="AE445" s="581">
        <f>0.559025/0.75</f>
        <v>0.74536666666666662</v>
      </c>
      <c r="AF445" s="454"/>
      <c r="AG445" s="582">
        <f>AVERAGE(AE445,AE444)</f>
        <v>0.72137466666666661</v>
      </c>
      <c r="AI445" s="539">
        <f>(AG445/AG438-1)*100</f>
        <v>17.321620637013389</v>
      </c>
      <c r="AJ445" s="563"/>
      <c r="AK445" s="595">
        <f>+I445/AI445*100</f>
        <v>100.91348323237594</v>
      </c>
      <c r="AL445" s="416"/>
      <c r="AN445" s="584">
        <f>+X445</f>
        <v>101.41</v>
      </c>
      <c r="AP445" s="586">
        <f>AL445/AE445</f>
        <v>0</v>
      </c>
      <c r="AR445" s="586">
        <f>AN445/AG445</f>
        <v>140.57882080694083</v>
      </c>
      <c r="AT445" s="599">
        <f>(AR445/AR438-1)*100</f>
        <v>6.101373354057249</v>
      </c>
      <c r="AU445" s="563"/>
      <c r="BJ445" s="623"/>
      <c r="BK445" s="623"/>
      <c r="BL445" s="623"/>
      <c r="BM445" s="623"/>
    </row>
    <row r="446" spans="1:65" ht="12.75" hidden="1" customHeight="1" outlineLevel="1">
      <c r="A446" s="410" t="str">
        <f>$A$15</f>
        <v>4Q</v>
      </c>
      <c r="B446" s="562" t="str">
        <f>$B$15</f>
        <v>Jan</v>
      </c>
      <c r="D446" s="646">
        <f>(X446/X439-1)*100</f>
        <v>17.227315967373059</v>
      </c>
      <c r="F446" s="563"/>
      <c r="G446" s="680">
        <v>2</v>
      </c>
      <c r="I446" s="646">
        <f>D446-G446</f>
        <v>15.227315967373059</v>
      </c>
      <c r="K446" s="410">
        <f>yrSales!M$28</f>
        <v>79</v>
      </c>
      <c r="O446" s="454"/>
      <c r="P446" s="588">
        <f>AVERAGE(K446,K445)</f>
        <v>76</v>
      </c>
      <c r="R446" s="646">
        <f>+(P446/P439-1)*100</f>
        <v>19.685039370078748</v>
      </c>
      <c r="S446" s="563"/>
      <c r="T446" s="598">
        <f>I446/R446*100</f>
        <v>77.354765114255102</v>
      </c>
      <c r="U446" s="416"/>
      <c r="X446" s="596">
        <f>segSales!J75</f>
        <v>115.837</v>
      </c>
      <c r="Z446" s="590">
        <f>X446/P446</f>
        <v>1.524171052631579</v>
      </c>
      <c r="AB446" s="597">
        <f>(Z446/Z439-1)*100</f>
        <v>-2.0534925798922465</v>
      </c>
      <c r="AC446" s="563"/>
      <c r="AE446" s="581">
        <f>0.599634/0.75</f>
        <v>0.799512</v>
      </c>
      <c r="AF446" s="454"/>
      <c r="AG446" s="591">
        <f>AVERAGE(AE446,AE445)</f>
        <v>0.77243933333333326</v>
      </c>
      <c r="AI446" s="596">
        <f>(AG446/AG439-1)*100</f>
        <v>18.48198216623036</v>
      </c>
      <c r="AJ446" s="563"/>
      <c r="AK446" s="598">
        <f>+I446/AI446*100</f>
        <v>82.390058763263426</v>
      </c>
      <c r="AL446" s="416"/>
      <c r="AN446" s="589">
        <f>+X446</f>
        <v>115.837</v>
      </c>
      <c r="AP446" s="592">
        <f>AL446/AE446</f>
        <v>0</v>
      </c>
      <c r="AR446" s="592">
        <f>AN446/AG446</f>
        <v>149.96258605853839</v>
      </c>
      <c r="AT446" s="597">
        <f>(AR446/AR439-1)*100</f>
        <v>-1.0589510539222746</v>
      </c>
      <c r="AU446" s="563"/>
      <c r="BJ446" s="623"/>
      <c r="BK446" s="623"/>
      <c r="BL446" s="623"/>
      <c r="BM446" s="623"/>
    </row>
    <row r="447" spans="1:65" ht="12.75" hidden="1" customHeight="1" outlineLevel="1">
      <c r="B447" s="562" t="str">
        <f>$B$16</f>
        <v>Year</v>
      </c>
      <c r="D447" s="618">
        <f>(X447/X440-1)*100</f>
        <v>23.247385542431729</v>
      </c>
      <c r="F447" s="563"/>
      <c r="G447" s="678">
        <v>6.4</v>
      </c>
      <c r="I447" s="618">
        <f>D447-G447</f>
        <v>16.847385542431731</v>
      </c>
      <c r="P447" s="587">
        <f>AVERAGE(P443:P446)</f>
        <v>70</v>
      </c>
      <c r="R447" s="618">
        <f>+(P447/P440-1)*100</f>
        <v>21.475054229934919</v>
      </c>
      <c r="S447" s="563"/>
      <c r="T447" s="595">
        <f>I447/R447*100</f>
        <v>78.450956919808377</v>
      </c>
      <c r="U447" s="416"/>
      <c r="X447" s="579">
        <f>SUM(X443:X446)</f>
        <v>395.15699999999998</v>
      </c>
      <c r="Z447" s="580">
        <f>SUM(Z443:Z446)</f>
        <v>5.6277107689436354</v>
      </c>
      <c r="AB447" s="599">
        <f>(Z447/Z440-1)*100</f>
        <v>1.6680380534507488</v>
      </c>
      <c r="AC447" s="563"/>
      <c r="AG447" s="582">
        <f>AVERAGE(AG443:AG446)</f>
        <v>0.70136333333333334</v>
      </c>
      <c r="AI447" s="539">
        <f>(AG447/AG440-1)*100</f>
        <v>20.761615060119954</v>
      </c>
      <c r="AJ447" s="563"/>
      <c r="AK447" s="595">
        <f>+I447/AI447*100</f>
        <v>81.146796593840676</v>
      </c>
      <c r="AL447" s="416"/>
      <c r="AN447" s="579">
        <f>SUM(AN443:AN446)</f>
        <v>395.15699999999998</v>
      </c>
      <c r="AP447" s="583" t="e">
        <f>SUM(AP443:AP446)</f>
        <v>#VALUE!</v>
      </c>
      <c r="AR447" s="583">
        <f>SUM(AR443:AR446)</f>
        <v>562.47466708283082</v>
      </c>
      <c r="AT447" s="599">
        <f>(AR447/AR440-1)*100</f>
        <v>2.2160603086283981</v>
      </c>
      <c r="AU447" s="563"/>
      <c r="BJ447" s="623"/>
      <c r="BK447" s="623"/>
      <c r="BL447" s="623"/>
      <c r="BM447" s="623"/>
    </row>
    <row r="448" spans="1:65" ht="12.75" hidden="1" customHeight="1" outlineLevel="1">
      <c r="B448" s="562"/>
      <c r="D448" s="618"/>
      <c r="F448" s="563"/>
      <c r="G448" s="661"/>
      <c r="I448" s="618"/>
      <c r="P448" s="587"/>
      <c r="R448" s="618"/>
      <c r="S448" s="563"/>
      <c r="T448" s="595"/>
      <c r="U448" s="416"/>
      <c r="X448" s="579"/>
      <c r="Z448" s="580"/>
      <c r="AB448" s="599"/>
      <c r="AC448" s="563"/>
      <c r="AG448" s="582"/>
      <c r="AI448" s="539"/>
      <c r="AJ448" s="563"/>
      <c r="AK448" s="595"/>
      <c r="AL448" s="416"/>
      <c r="AN448" s="579"/>
      <c r="AP448" s="583"/>
      <c r="AR448" s="583"/>
      <c r="AT448" s="599"/>
      <c r="AU448" s="563"/>
      <c r="BJ448" s="623"/>
      <c r="BK448" s="623"/>
      <c r="BL448" s="623"/>
      <c r="BM448" s="623"/>
    </row>
    <row r="449" spans="1:65" ht="12.75" hidden="1" customHeight="1" outlineLevel="1">
      <c r="A449" s="593"/>
      <c r="B449" s="431">
        <f>B272</f>
        <v>2006</v>
      </c>
      <c r="E449" s="563"/>
      <c r="F449" s="563"/>
      <c r="G449" s="563"/>
      <c r="H449" s="563"/>
      <c r="J449" s="563"/>
      <c r="S449" s="563"/>
      <c r="T449" s="416"/>
      <c r="U449" s="416"/>
      <c r="AC449" s="563"/>
      <c r="AJ449" s="563"/>
      <c r="AK449" s="416"/>
      <c r="AL449" s="416"/>
      <c r="AU449" s="563"/>
      <c r="BJ449" s="623"/>
      <c r="BK449" s="623"/>
      <c r="BL449" s="623"/>
      <c r="BM449" s="623"/>
    </row>
    <row r="450" spans="1:65" ht="12.75" hidden="1" customHeight="1" outlineLevel="1">
      <c r="A450" s="410" t="str">
        <f>$A$12</f>
        <v>1Q</v>
      </c>
      <c r="B450" s="562" t="str">
        <f>$B$12</f>
        <v>Apr</v>
      </c>
      <c r="D450" s="645">
        <f>(X450/X443-1)*100</f>
        <v>14.455885553277504</v>
      </c>
      <c r="E450" s="563" t="s">
        <v>208</v>
      </c>
      <c r="F450" s="563"/>
      <c r="G450" s="679">
        <v>-2.1</v>
      </c>
      <c r="H450" s="563" t="s">
        <v>208</v>
      </c>
      <c r="I450" s="645">
        <f>D450-G450</f>
        <v>16.555885553277506</v>
      </c>
      <c r="J450" s="563" t="s">
        <v>208</v>
      </c>
      <c r="K450" s="454">
        <v>81</v>
      </c>
      <c r="L450" s="454">
        <v>81</v>
      </c>
      <c r="M450" s="454">
        <v>0</v>
      </c>
      <c r="N450" s="454">
        <v>0</v>
      </c>
      <c r="P450" s="587">
        <f>+AVERAGE(K446,K450)</f>
        <v>80</v>
      </c>
      <c r="R450" s="645">
        <f>+(P450/P443-1)*100</f>
        <v>21.212121212121215</v>
      </c>
      <c r="S450" s="563" t="s">
        <v>208</v>
      </c>
      <c r="T450" s="595">
        <f>I450/R450*100</f>
        <v>78.049174751165367</v>
      </c>
      <c r="U450" s="416" t="s">
        <v>208</v>
      </c>
      <c r="X450" s="579">
        <f>segSales!J79</f>
        <v>99.927999999999997</v>
      </c>
      <c r="Z450" s="580">
        <f>X450/P450</f>
        <v>1.2490999999999999</v>
      </c>
      <c r="AB450" s="599">
        <f>(Z450/Z443-1)*100</f>
        <v>-5.5738944185460548</v>
      </c>
      <c r="AC450" s="563" t="s">
        <v>208</v>
      </c>
      <c r="AE450" s="581">
        <f>0.612467/0.75</f>
        <v>0.81662266666666661</v>
      </c>
      <c r="AG450" s="582">
        <f>AVERAGE(AE450,AE443)</f>
        <v>0.75423799999999996</v>
      </c>
      <c r="AI450" s="539">
        <f>(AG450/AG443-1)*100</f>
        <v>22.238561173465634</v>
      </c>
      <c r="AJ450" s="563" t="s">
        <v>208</v>
      </c>
      <c r="AK450" s="595">
        <f>+I450/AI450*100</f>
        <v>74.446747809527707</v>
      </c>
      <c r="AL450" s="416" t="s">
        <v>208</v>
      </c>
      <c r="AN450" s="579">
        <f>+X450</f>
        <v>99.927999999999997</v>
      </c>
      <c r="AP450" s="583" t="e">
        <f>AL450/AE450</f>
        <v>#VALUE!</v>
      </c>
      <c r="AR450" s="583">
        <f>AN450/AG450</f>
        <v>132.48868394326459</v>
      </c>
      <c r="AT450" s="599">
        <f>(AR450/AR443-1)*100</f>
        <v>-6.3667925615910503</v>
      </c>
      <c r="AU450" s="563" t="s">
        <v>208</v>
      </c>
      <c r="BJ450" s="623"/>
      <c r="BK450" s="623"/>
      <c r="BL450" s="623"/>
      <c r="BM450" s="623"/>
    </row>
    <row r="451" spans="1:65" ht="12.75" hidden="1" customHeight="1" outlineLevel="1">
      <c r="A451" s="410" t="str">
        <f>$A$13</f>
        <v>2Q</v>
      </c>
      <c r="B451" s="562" t="str">
        <f>$B$13</f>
        <v>Jul</v>
      </c>
      <c r="D451" s="645">
        <f>(X451/X444-1)*100</f>
        <v>18.914384733397348</v>
      </c>
      <c r="F451" s="563"/>
      <c r="G451" s="679">
        <v>-2</v>
      </c>
      <c r="I451" s="645">
        <f>D451-G451</f>
        <v>20.914384733397348</v>
      </c>
      <c r="K451" s="454">
        <v>83</v>
      </c>
      <c r="L451" s="454">
        <v>83</v>
      </c>
      <c r="M451" s="454">
        <v>0</v>
      </c>
      <c r="N451" s="454">
        <v>0</v>
      </c>
      <c r="O451" s="454"/>
      <c r="P451" s="587">
        <f>AVERAGE(K451,K450)</f>
        <v>82</v>
      </c>
      <c r="R451" s="645">
        <f>+(P451/P444-1)*100</f>
        <v>21.481481481481481</v>
      </c>
      <c r="S451" s="563"/>
      <c r="T451" s="595">
        <f>I451/R451*100</f>
        <v>97.360066862366963</v>
      </c>
      <c r="U451" s="416"/>
      <c r="X451" s="539">
        <f>segSales!J80</f>
        <v>107.74</v>
      </c>
      <c r="Z451" s="585">
        <f>X451/P451</f>
        <v>1.3139024390243901</v>
      </c>
      <c r="AB451" s="599">
        <f>(Z451/Z444-1)*100</f>
        <v>-2.113158908483892</v>
      </c>
      <c r="AC451" s="563"/>
      <c r="AE451" s="581">
        <f>0.631059/0.75</f>
        <v>0.84141200000000005</v>
      </c>
      <c r="AF451" s="454"/>
      <c r="AG451" s="582">
        <f>AVERAGE(AE451,AE450)</f>
        <v>0.82901733333333327</v>
      </c>
      <c r="AI451" s="539">
        <f>(AG451/AG444-1)*100</f>
        <v>19.348668380798273</v>
      </c>
      <c r="AJ451" s="563"/>
      <c r="AK451" s="595">
        <f>+I451/AI451*100</f>
        <v>108.09211425708708</v>
      </c>
      <c r="AL451" s="416"/>
      <c r="AN451" s="584">
        <f>+X451</f>
        <v>107.74</v>
      </c>
      <c r="AP451" s="586">
        <f>AL451/AE451</f>
        <v>0</v>
      </c>
      <c r="AR451" s="586">
        <f>AN451/AG451</f>
        <v>129.9610945006377</v>
      </c>
      <c r="AT451" s="599">
        <f>(AR451/AR444-1)*100</f>
        <v>-0.36387808367939201</v>
      </c>
      <c r="AU451" s="563"/>
      <c r="BJ451" s="623"/>
      <c r="BK451" s="623"/>
      <c r="BL451" s="623"/>
      <c r="BM451" s="623"/>
    </row>
    <row r="452" spans="1:65" ht="12.75" hidden="1" customHeight="1" outlineLevel="1">
      <c r="A452" s="410" t="str">
        <f>$A$14</f>
        <v>3Q</v>
      </c>
      <c r="B452" s="562" t="str">
        <f>$B$14</f>
        <v>Oct</v>
      </c>
      <c r="D452" s="645">
        <f>(X452/X445-1)*100</f>
        <v>4.6178877822699915</v>
      </c>
      <c r="F452" s="563"/>
      <c r="G452" s="679">
        <v>-10</v>
      </c>
      <c r="I452" s="645">
        <f>D452-G452</f>
        <v>14.617887782269992</v>
      </c>
      <c r="K452" s="454">
        <v>87</v>
      </c>
      <c r="L452" s="454">
        <v>87</v>
      </c>
      <c r="M452" s="454">
        <v>0</v>
      </c>
      <c r="N452" s="454">
        <v>0</v>
      </c>
      <c r="O452" s="454"/>
      <c r="P452" s="587">
        <f>AVERAGE(K452,K451)</f>
        <v>85</v>
      </c>
      <c r="R452" s="645">
        <f>+(P452/P445-1)*100</f>
        <v>20.567375886524818</v>
      </c>
      <c r="S452" s="563"/>
      <c r="T452" s="595">
        <f>I452/R452*100</f>
        <v>71.073178527588595</v>
      </c>
      <c r="U452" s="416"/>
      <c r="X452" s="539">
        <f>segSales!J81</f>
        <v>106.093</v>
      </c>
      <c r="Z452" s="585">
        <f>X452/P452</f>
        <v>1.2481529411764707</v>
      </c>
      <c r="AB452" s="599">
        <f>(Z452/Z445-1)*100</f>
        <v>-13.228693074705456</v>
      </c>
      <c r="AC452" s="563"/>
      <c r="AE452" s="581">
        <f>0.662172/0.75</f>
        <v>0.88289600000000001</v>
      </c>
      <c r="AF452" s="454"/>
      <c r="AG452" s="582">
        <f>AVERAGE(AE452,AE451)</f>
        <v>0.86215400000000009</v>
      </c>
      <c r="AI452" s="539">
        <f>(AG452/AG445-1)*100</f>
        <v>19.515425178963895</v>
      </c>
      <c r="AJ452" s="563"/>
      <c r="AK452" s="595">
        <f>+I452/AI452*100</f>
        <v>74.904275198815213</v>
      </c>
      <c r="AL452" s="416"/>
      <c r="AN452" s="584">
        <f>+X452</f>
        <v>106.093</v>
      </c>
      <c r="AP452" s="586">
        <f>AL452/AE452</f>
        <v>0</v>
      </c>
      <c r="AR452" s="586">
        <f>AN452/AG452</f>
        <v>123.05574178163066</v>
      </c>
      <c r="AT452" s="599">
        <f>(AR452/AR445-1)*100</f>
        <v>-12.464949502866363</v>
      </c>
      <c r="AU452" s="563"/>
      <c r="BJ452" s="623"/>
      <c r="BK452" s="623"/>
      <c r="BL452" s="623"/>
      <c r="BM452" s="623"/>
    </row>
    <row r="453" spans="1:65" ht="12.75" hidden="1" customHeight="1" outlineLevel="1">
      <c r="A453" s="410" t="str">
        <f>$A$15</f>
        <v>4Q</v>
      </c>
      <c r="B453" s="562" t="str">
        <f>$B$15</f>
        <v>Jan</v>
      </c>
      <c r="D453" s="646">
        <f>(X453/X446-1)*100</f>
        <v>8.2762847794746186</v>
      </c>
      <c r="F453" s="563"/>
      <c r="G453" s="680">
        <v>-7</v>
      </c>
      <c r="I453" s="646">
        <f>D453-G453</f>
        <v>15.276284779474619</v>
      </c>
      <c r="K453" s="410">
        <f>yrSales!N$28</f>
        <v>93</v>
      </c>
      <c r="L453" s="652">
        <v>93</v>
      </c>
      <c r="M453" s="652">
        <v>0</v>
      </c>
      <c r="N453" s="652">
        <v>0</v>
      </c>
      <c r="O453" s="454"/>
      <c r="P453" s="588">
        <f>AVERAGE(K453,K452)</f>
        <v>90</v>
      </c>
      <c r="R453" s="646">
        <f>+(P453/P446-1)*100</f>
        <v>18.421052631578938</v>
      </c>
      <c r="S453" s="563"/>
      <c r="T453" s="598">
        <f>I453/R453*100</f>
        <v>82.928403088576545</v>
      </c>
      <c r="U453" s="416"/>
      <c r="X453" s="596">
        <f>segSales!J82</f>
        <v>125.42400000000001</v>
      </c>
      <c r="Z453" s="590">
        <f>X453/P453</f>
        <v>1.3936000000000002</v>
      </c>
      <c r="AB453" s="597">
        <f>(Z453/Z446-1)*100</f>
        <v>-8.566692852888103</v>
      </c>
      <c r="AC453" s="563"/>
      <c r="AE453" s="581">
        <f>0.706543/0.75</f>
        <v>0.94205733333333341</v>
      </c>
      <c r="AF453" s="454"/>
      <c r="AG453" s="591">
        <f>AVERAGE(AE453,AE452)</f>
        <v>0.91247666666666671</v>
      </c>
      <c r="AI453" s="596">
        <f>(AG453/AG446-1)*100</f>
        <v>18.129233881582095</v>
      </c>
      <c r="AJ453" s="563"/>
      <c r="AK453" s="598">
        <f>+I453/AI453*100</f>
        <v>84.263267158763654</v>
      </c>
      <c r="AL453" s="416"/>
      <c r="AN453" s="589">
        <f>+X453</f>
        <v>125.42400000000001</v>
      </c>
      <c r="AP453" s="592">
        <f>AL453/AE453</f>
        <v>0</v>
      </c>
      <c r="AR453" s="592">
        <f>AN453/AG453</f>
        <v>137.45447372170247</v>
      </c>
      <c r="AT453" s="597">
        <f>(AR453/AR446-1)*100</f>
        <v>-8.3408219780588091</v>
      </c>
      <c r="AU453" s="563"/>
      <c r="BJ453" s="623"/>
      <c r="BK453" s="623"/>
      <c r="BL453" s="623"/>
      <c r="BM453" s="623"/>
    </row>
    <row r="454" spans="1:65" ht="12.75" hidden="1" customHeight="1" outlineLevel="1">
      <c r="B454" s="562" t="str">
        <f>$B$16</f>
        <v>Year</v>
      </c>
      <c r="D454" s="618">
        <f>(X454/X447-1)*100</f>
        <v>11.141900561042849</v>
      </c>
      <c r="F454" s="563"/>
      <c r="G454" s="681">
        <v>-5</v>
      </c>
      <c r="I454" s="618">
        <f>D454-G454</f>
        <v>16.141900561042849</v>
      </c>
      <c r="P454" s="587">
        <f>AVERAGE(P450:P453)</f>
        <v>84.25</v>
      </c>
      <c r="R454" s="618">
        <f>+(P454/P447-1)*100</f>
        <v>20.357142857142851</v>
      </c>
      <c r="S454" s="563"/>
      <c r="T454" s="595">
        <f>I454/R454*100</f>
        <v>79.29354661564912</v>
      </c>
      <c r="U454" s="416"/>
      <c r="X454" s="579">
        <f>SUM(X450:X453)</f>
        <v>439.18500000000006</v>
      </c>
      <c r="Z454" s="580">
        <f>SUM(Z450:Z453)</f>
        <v>5.2047553802008615</v>
      </c>
      <c r="AB454" s="599">
        <f>(Z454/Z447-1)*100</f>
        <v>-7.5155850417338632</v>
      </c>
      <c r="AC454" s="563"/>
      <c r="AG454" s="582">
        <f>AVERAGE(AG450:AG453)</f>
        <v>0.83947149999999993</v>
      </c>
      <c r="AI454" s="539">
        <f>(AG454/AG447-1)*100</f>
        <v>19.691386775280506</v>
      </c>
      <c r="AJ454" s="563"/>
      <c r="AK454" s="595">
        <f>+I454/AI454*100</f>
        <v>81.974422346457146</v>
      </c>
      <c r="AL454" s="416"/>
      <c r="AN454" s="579">
        <f>SUM(AN450:AN453)</f>
        <v>439.18500000000006</v>
      </c>
      <c r="AP454" s="583" t="e">
        <f>SUM(AP450:AP453)</f>
        <v>#VALUE!</v>
      </c>
      <c r="AR454" s="583">
        <f>SUM(AR450:AR453)</f>
        <v>522.95999394723549</v>
      </c>
      <c r="AT454" s="599">
        <f>(AR454/AR447-1)*100</f>
        <v>-7.0251471662769678</v>
      </c>
      <c r="AU454" s="563"/>
      <c r="BJ454" s="623"/>
      <c r="BK454" s="623"/>
      <c r="BL454" s="623"/>
      <c r="BM454" s="623"/>
    </row>
    <row r="455" spans="1:65" ht="12.75" hidden="1" customHeight="1" outlineLevel="1">
      <c r="B455" s="562"/>
      <c r="D455" s="618"/>
      <c r="F455" s="563"/>
      <c r="G455" s="661"/>
      <c r="I455" s="618"/>
      <c r="P455" s="587"/>
      <c r="R455" s="618"/>
      <c r="S455" s="563"/>
      <c r="T455" s="595"/>
      <c r="U455" s="416"/>
      <c r="X455" s="579"/>
      <c r="Z455" s="580"/>
      <c r="AB455" s="599"/>
      <c r="AC455" s="563"/>
      <c r="AG455" s="582"/>
      <c r="AI455" s="539"/>
      <c r="AJ455" s="563"/>
      <c r="AK455" s="595"/>
      <c r="AL455" s="416"/>
      <c r="AN455" s="579"/>
      <c r="AP455" s="583"/>
      <c r="AR455" s="583"/>
      <c r="AT455" s="599"/>
      <c r="AU455" s="563"/>
      <c r="BJ455" s="623"/>
      <c r="BK455" s="623"/>
      <c r="BL455" s="623"/>
      <c r="BM455" s="623"/>
    </row>
    <row r="456" spans="1:65" ht="12.75" hidden="1" customHeight="1" outlineLevel="1">
      <c r="A456" s="593"/>
      <c r="B456" s="431">
        <f>B279</f>
        <v>2007</v>
      </c>
      <c r="E456" s="563"/>
      <c r="F456" s="563"/>
      <c r="G456" s="563"/>
      <c r="H456" s="563"/>
      <c r="J456" s="563"/>
      <c r="S456" s="563"/>
      <c r="T456" s="416"/>
      <c r="U456" s="416"/>
      <c r="AC456" s="563"/>
      <c r="AJ456" s="563"/>
      <c r="AK456" s="416"/>
      <c r="AL456" s="416"/>
      <c r="AU456" s="563"/>
      <c r="BJ456" s="623"/>
      <c r="BK456" s="623"/>
      <c r="BL456" s="623"/>
      <c r="BM456" s="623"/>
    </row>
    <row r="457" spans="1:65" ht="12.75" hidden="1" customHeight="1" outlineLevel="1">
      <c r="A457" s="410" t="str">
        <f>$A$12</f>
        <v>1Q</v>
      </c>
      <c r="B457" s="562" t="str">
        <f>$B$12</f>
        <v>Apr</v>
      </c>
      <c r="D457" s="645">
        <f>(X457/X450-1)*100</f>
        <v>18.684452806020335</v>
      </c>
      <c r="E457" s="563" t="s">
        <v>208</v>
      </c>
      <c r="F457" s="563"/>
      <c r="G457" s="679">
        <v>2</v>
      </c>
      <c r="H457" s="563" t="s">
        <v>208</v>
      </c>
      <c r="I457" s="645">
        <f>D457-G457</f>
        <v>16.684452806020335</v>
      </c>
      <c r="J457" s="563" t="s">
        <v>208</v>
      </c>
      <c r="K457" s="454">
        <f>+K453+2</f>
        <v>95</v>
      </c>
      <c r="L457" s="454">
        <v>95</v>
      </c>
      <c r="M457" s="454">
        <v>0</v>
      </c>
      <c r="N457" s="454">
        <v>0</v>
      </c>
      <c r="P457" s="587">
        <f>+AVERAGE(K453,K457)</f>
        <v>94</v>
      </c>
      <c r="R457" s="645">
        <f>+(P457/P450-1)*100</f>
        <v>17.500000000000004</v>
      </c>
      <c r="S457" s="563" t="s">
        <v>208</v>
      </c>
      <c r="T457" s="595">
        <f>I457/R457*100</f>
        <v>95.339730320116175</v>
      </c>
      <c r="U457" s="416" t="s">
        <v>208</v>
      </c>
      <c r="X457" s="579">
        <f>segSales!J86</f>
        <v>118.599</v>
      </c>
      <c r="Z457" s="580">
        <f>X457/P457</f>
        <v>1.2616914893617022</v>
      </c>
      <c r="AB457" s="599">
        <f>(Z457/Z450-1)*100</f>
        <v>1.0080449412939174</v>
      </c>
      <c r="AC457" s="563" t="s">
        <v>208</v>
      </c>
      <c r="AE457" s="581">
        <f>0.718765/0.75</f>
        <v>0.95835333333333328</v>
      </c>
      <c r="AG457" s="582">
        <f>AVERAGE(AE457,AE450)</f>
        <v>0.88748799999999994</v>
      </c>
      <c r="AI457" s="539">
        <f>(AG457/AG450-1)*100</f>
        <v>17.666837258265964</v>
      </c>
      <c r="AJ457" s="563" t="s">
        <v>208</v>
      </c>
      <c r="AK457" s="595">
        <f>+I457/AI457*100</f>
        <v>94.439386983168191</v>
      </c>
      <c r="AL457" s="416" t="s">
        <v>208</v>
      </c>
      <c r="AN457" s="579">
        <f>+X457</f>
        <v>118.599</v>
      </c>
      <c r="AP457" s="583" t="e">
        <f>AL457/AE457</f>
        <v>#VALUE!</v>
      </c>
      <c r="AR457" s="583">
        <f>AN457/AG457</f>
        <v>133.63448294512153</v>
      </c>
      <c r="AT457" s="599">
        <f>(AR457/AR450-1)*100</f>
        <v>0.86482782359555976</v>
      </c>
      <c r="AU457" s="563" t="s">
        <v>208</v>
      </c>
      <c r="BJ457" s="623"/>
      <c r="BK457" s="623"/>
      <c r="BL457" s="623"/>
      <c r="BM457" s="623"/>
    </row>
    <row r="458" spans="1:65" ht="12.75" hidden="1" customHeight="1" outlineLevel="1">
      <c r="A458" s="410" t="str">
        <f>$A$13</f>
        <v>2Q</v>
      </c>
      <c r="B458" s="562" t="str">
        <f>$B$13</f>
        <v>Jul</v>
      </c>
      <c r="D458" s="645">
        <f>(X458/X451-1)*100</f>
        <v>27.675886393168735</v>
      </c>
      <c r="F458" s="563"/>
      <c r="G458" s="679">
        <v>14</v>
      </c>
      <c r="I458" s="645">
        <f>D458-G458</f>
        <v>13.675886393168735</v>
      </c>
      <c r="K458" s="454">
        <v>96</v>
      </c>
      <c r="L458" s="454">
        <v>96</v>
      </c>
      <c r="M458" s="454">
        <v>0</v>
      </c>
      <c r="N458" s="454">
        <v>0</v>
      </c>
      <c r="O458" s="454"/>
      <c r="P458" s="587">
        <f>AVERAGE(K458,K457)</f>
        <v>95.5</v>
      </c>
      <c r="R458" s="645">
        <f>+(P458/P451-1)*100</f>
        <v>16.463414634146332</v>
      </c>
      <c r="S458" s="563"/>
      <c r="T458" s="595">
        <f>I458/R458*100</f>
        <v>83.068346980728663</v>
      </c>
      <c r="U458" s="416"/>
      <c r="X458" s="539">
        <f>segSales!J87</f>
        <v>137.55799999999999</v>
      </c>
      <c r="Z458" s="585">
        <f>X458/P458</f>
        <v>1.4403979057591623</v>
      </c>
      <c r="AB458" s="599">
        <f>(Z458/Z451-1)*100</f>
        <v>9.6274626621972494</v>
      </c>
      <c r="AC458" s="563"/>
      <c r="AE458" s="581">
        <f>0.728054/0.75</f>
        <v>0.97073866666666664</v>
      </c>
      <c r="AF458" s="454"/>
      <c r="AG458" s="582">
        <f>AVERAGE(AE458,AE457)</f>
        <v>0.9645459999999999</v>
      </c>
      <c r="AI458" s="539">
        <f>(AG458/AG451-1)*100</f>
        <v>16.348110131995618</v>
      </c>
      <c r="AJ458" s="563"/>
      <c r="AK458" s="595">
        <f>+I458/AI458*100</f>
        <v>83.654234543007178</v>
      </c>
      <c r="AL458" s="416"/>
      <c r="AN458" s="584">
        <f>+X458</f>
        <v>137.55799999999999</v>
      </c>
      <c r="AP458" s="586">
        <f>AL458/AE458</f>
        <v>0</v>
      </c>
      <c r="AR458" s="586">
        <f>AN458/AG458</f>
        <v>142.61424545848513</v>
      </c>
      <c r="AT458" s="599">
        <f>(AR458/AR451-1)*100</f>
        <v>9.7361067990892725</v>
      </c>
      <c r="AU458" s="563"/>
      <c r="BJ458" s="623"/>
      <c r="BK458" s="623"/>
      <c r="BL458" s="623"/>
      <c r="BM458" s="623"/>
    </row>
    <row r="459" spans="1:65" ht="12.75" hidden="1" customHeight="1" outlineLevel="1">
      <c r="A459" s="410" t="str">
        <f>$A$14</f>
        <v>3Q</v>
      </c>
      <c r="B459" s="562" t="str">
        <f>$B$14</f>
        <v>Oct</v>
      </c>
      <c r="D459" s="645">
        <f>(X459/X452-1)*100</f>
        <v>31.940844353538857</v>
      </c>
      <c r="F459" s="563"/>
      <c r="G459" s="679">
        <v>17.399999999999999</v>
      </c>
      <c r="I459" s="645">
        <f>D459-G459</f>
        <v>14.540844353538859</v>
      </c>
      <c r="K459" s="454">
        <v>100</v>
      </c>
      <c r="L459" s="454">
        <v>100</v>
      </c>
      <c r="M459" s="454">
        <v>0</v>
      </c>
      <c r="N459" s="454">
        <v>0</v>
      </c>
      <c r="O459" s="454"/>
      <c r="P459" s="587">
        <f>AVERAGE(K459,K458)</f>
        <v>98</v>
      </c>
      <c r="R459" s="645">
        <f>+(P459/P452-1)*100</f>
        <v>15.294117647058814</v>
      </c>
      <c r="S459" s="563"/>
      <c r="T459" s="595">
        <f>I459/R459*100</f>
        <v>95.074751542369512</v>
      </c>
      <c r="U459" s="416"/>
      <c r="X459" s="539">
        <f>segSales!J88</f>
        <v>139.97999999999999</v>
      </c>
      <c r="Z459" s="585">
        <f>X459/P459</f>
        <v>1.4283673469387754</v>
      </c>
      <c r="AB459" s="599">
        <f>(Z459/Z452-1)*100</f>
        <v>14.438487449497984</v>
      </c>
      <c r="AC459" s="563"/>
      <c r="AE459" s="581">
        <f>0.7536/0.75</f>
        <v>1.0048000000000001</v>
      </c>
      <c r="AF459" s="454"/>
      <c r="AG459" s="582">
        <f>AVERAGE(AE459,AE458)</f>
        <v>0.98776933333333339</v>
      </c>
      <c r="AI459" s="539">
        <f>(AG459/AG452-1)*100</f>
        <v>14.569941487638328</v>
      </c>
      <c r="AJ459" s="563"/>
      <c r="AK459" s="595">
        <f>+I459/AI459*100</f>
        <v>99.800293404581225</v>
      </c>
      <c r="AL459" s="416"/>
      <c r="AN459" s="584">
        <f>+X459</f>
        <v>139.97999999999999</v>
      </c>
      <c r="AP459" s="586">
        <f>AL459/AE459</f>
        <v>0</v>
      </c>
      <c r="AR459" s="586">
        <f>AN459/AG459</f>
        <v>141.71324749232949</v>
      </c>
      <c r="AT459" s="599">
        <f>(AR459/AR452-1)*100</f>
        <v>15.16183271139646</v>
      </c>
      <c r="AU459" s="563"/>
      <c r="BJ459" s="623"/>
      <c r="BK459" s="623"/>
      <c r="BL459" s="623"/>
      <c r="BM459" s="623"/>
    </row>
    <row r="460" spans="1:65" ht="12.75" hidden="1" customHeight="1" outlineLevel="1">
      <c r="A460" s="410" t="str">
        <f>$A$15</f>
        <v>4Q</v>
      </c>
      <c r="B460" s="562" t="str">
        <f>$B$15</f>
        <v>Jan</v>
      </c>
      <c r="D460" s="646">
        <f>(X460/X453-1)*100</f>
        <v>32.23386273759408</v>
      </c>
      <c r="F460" s="563"/>
      <c r="G460" s="680">
        <v>18</v>
      </c>
      <c r="I460" s="646">
        <f>D460-G460</f>
        <v>14.23386273759408</v>
      </c>
      <c r="K460" s="410">
        <f>yrSales!O$28</f>
        <v>108</v>
      </c>
      <c r="L460" s="454">
        <v>108</v>
      </c>
      <c r="M460" s="454">
        <v>0</v>
      </c>
      <c r="N460" s="454">
        <v>0</v>
      </c>
      <c r="O460" s="454"/>
      <c r="P460" s="588">
        <f>AVERAGE(K460,K459)</f>
        <v>104</v>
      </c>
      <c r="R460" s="646">
        <f>+(P460/P453-1)*100</f>
        <v>15.555555555555545</v>
      </c>
      <c r="S460" s="563"/>
      <c r="T460" s="598">
        <f>I460/R460*100</f>
        <v>91.503403313104869</v>
      </c>
      <c r="U460" s="416"/>
      <c r="X460" s="596">
        <f>segSales!J89</f>
        <v>165.85300000000001</v>
      </c>
      <c r="Z460" s="590">
        <f>X460/P460</f>
        <v>1.5947403846153847</v>
      </c>
      <c r="AB460" s="597">
        <f>(Z460/Z453-1)*100</f>
        <v>14.433150445994869</v>
      </c>
      <c r="AC460" s="563"/>
      <c r="AE460" s="581">
        <f>0.806744/0.75</f>
        <v>1.0756586666666668</v>
      </c>
      <c r="AF460" s="454"/>
      <c r="AG460" s="591">
        <f>AVERAGE(AE460,AE459)</f>
        <v>1.0402293333333335</v>
      </c>
      <c r="AI460" s="596">
        <f>(AG460/AG453-1)*100</f>
        <v>14.000650244937773</v>
      </c>
      <c r="AJ460" s="563"/>
      <c r="AK460" s="598">
        <f>+I460/AI460*100</f>
        <v>101.66572615254516</v>
      </c>
      <c r="AL460" s="416"/>
      <c r="AN460" s="589">
        <f>+X460</f>
        <v>165.85300000000001</v>
      </c>
      <c r="AP460" s="592">
        <f>AL460/AE460</f>
        <v>0</v>
      </c>
      <c r="AR460" s="592">
        <f>AN460/AG460</f>
        <v>159.4388801443784</v>
      </c>
      <c r="AT460" s="597">
        <f>(AR460/AR453-1)*100</f>
        <v>15.993954818223454</v>
      </c>
      <c r="AU460" s="563"/>
      <c r="BJ460" s="623"/>
      <c r="BK460" s="623"/>
      <c r="BL460" s="623"/>
      <c r="BM460" s="623"/>
    </row>
    <row r="461" spans="1:65" ht="12.75" hidden="1" customHeight="1" outlineLevel="1">
      <c r="B461" s="562" t="str">
        <f>$B$16</f>
        <v>Year</v>
      </c>
      <c r="D461" s="618">
        <f>(X461/X454-1)*100</f>
        <v>27.962020560811496</v>
      </c>
      <c r="F461" s="563"/>
      <c r="G461" s="678">
        <v>12.8</v>
      </c>
      <c r="I461" s="618">
        <f>D461-G461</f>
        <v>15.162020560811495</v>
      </c>
      <c r="P461" s="587">
        <f>AVERAGE(P457:P460)</f>
        <v>97.875</v>
      </c>
      <c r="R461" s="618">
        <f>+(P461/P454-1)*100</f>
        <v>16.172106824925827</v>
      </c>
      <c r="S461" s="563"/>
      <c r="T461" s="595">
        <f>I461/R461*100</f>
        <v>93.754145486118716</v>
      </c>
      <c r="U461" s="416"/>
      <c r="X461" s="579">
        <f>SUM(X457:X460)</f>
        <v>561.99</v>
      </c>
      <c r="Z461" s="580">
        <f>SUM(Z457:Z460)</f>
        <v>5.7251971266750248</v>
      </c>
      <c r="AB461" s="599">
        <f>(Z461/Z454-1)*100</f>
        <v>9.9993507563092887</v>
      </c>
      <c r="AC461" s="563"/>
      <c r="AG461" s="582">
        <f>AVERAGE(AG457:AG460)</f>
        <v>0.97000816666666667</v>
      </c>
      <c r="AI461" s="539">
        <f>(AG461/AG454-1)*100</f>
        <v>15.549862820437244</v>
      </c>
      <c r="AJ461" s="563"/>
      <c r="AK461" s="595">
        <f>+I461/AI461*100</f>
        <v>97.505815555388651</v>
      </c>
      <c r="AL461" s="416"/>
      <c r="AN461" s="579">
        <f>SUM(AN457:AN460)</f>
        <v>561.99</v>
      </c>
      <c r="AP461" s="583" t="e">
        <f>SUM(AP457:AP460)</f>
        <v>#VALUE!</v>
      </c>
      <c r="AR461" s="583">
        <f>SUM(AR457:AR460)</f>
        <v>577.40085604031447</v>
      </c>
      <c r="AT461" s="599">
        <f>(AR461/AR454-1)*100</f>
        <v>10.4101389634351</v>
      </c>
      <c r="AU461" s="563"/>
      <c r="BJ461" s="623"/>
      <c r="BK461" s="623"/>
      <c r="BL461" s="623"/>
      <c r="BM461" s="623"/>
    </row>
    <row r="462" spans="1:65" ht="12.75" hidden="1" customHeight="1" outlineLevel="1">
      <c r="B462" s="562"/>
      <c r="D462" s="618"/>
      <c r="F462" s="563"/>
      <c r="G462" s="661"/>
      <c r="I462" s="618"/>
      <c r="P462" s="587"/>
      <c r="R462" s="618"/>
      <c r="S462" s="563"/>
      <c r="T462" s="595"/>
      <c r="U462" s="416"/>
      <c r="X462" s="579"/>
      <c r="Z462" s="580"/>
      <c r="AB462" s="599"/>
      <c r="AC462" s="563"/>
      <c r="AG462" s="582"/>
      <c r="AI462" s="539"/>
      <c r="AJ462" s="563"/>
      <c r="AK462" s="595"/>
      <c r="AL462" s="416"/>
      <c r="AN462" s="579"/>
      <c r="AP462" s="583"/>
      <c r="AR462" s="583"/>
      <c r="AT462" s="599"/>
      <c r="AU462" s="563"/>
      <c r="BJ462" s="623"/>
      <c r="BK462" s="623"/>
      <c r="BL462" s="623"/>
      <c r="BM462" s="623"/>
    </row>
    <row r="463" spans="1:65" ht="12.75" hidden="1" customHeight="1" outlineLevel="1">
      <c r="A463" s="593"/>
      <c r="B463" s="431">
        <f>B286</f>
        <v>2008</v>
      </c>
      <c r="E463" s="563"/>
      <c r="F463" s="563"/>
      <c r="G463" s="563"/>
      <c r="H463" s="563"/>
      <c r="J463" s="563"/>
      <c r="S463" s="563"/>
      <c r="T463" s="416"/>
      <c r="U463" s="416"/>
      <c r="AC463" s="563"/>
      <c r="AJ463" s="563"/>
      <c r="AK463" s="416"/>
      <c r="AL463" s="416"/>
      <c r="AU463" s="563"/>
      <c r="BJ463" s="623"/>
      <c r="BK463" s="623"/>
      <c r="BL463" s="623"/>
      <c r="BM463" s="623"/>
    </row>
    <row r="464" spans="1:65" ht="12.75" hidden="1" customHeight="1" outlineLevel="1">
      <c r="A464" s="410" t="str">
        <f>$A$12</f>
        <v>1Q</v>
      </c>
      <c r="B464" s="562" t="str">
        <f>$B$12</f>
        <v>Apr</v>
      </c>
      <c r="D464" s="645">
        <f>(X464/X457-1)*100</f>
        <v>22.763261073027596</v>
      </c>
      <c r="E464" s="563" t="s">
        <v>208</v>
      </c>
      <c r="F464" s="563"/>
      <c r="G464" s="679">
        <v>10.3</v>
      </c>
      <c r="H464" s="563" t="s">
        <v>208</v>
      </c>
      <c r="I464" s="645">
        <f>D464-G464</f>
        <v>12.463261073027596</v>
      </c>
      <c r="J464" s="563" t="s">
        <v>208</v>
      </c>
      <c r="K464" s="454">
        <f>+K460+1</f>
        <v>109</v>
      </c>
      <c r="L464" s="454">
        <v>109</v>
      </c>
      <c r="M464" s="454">
        <v>0</v>
      </c>
      <c r="N464" s="454">
        <v>0</v>
      </c>
      <c r="P464" s="587">
        <f>+AVERAGE(K460,K464)</f>
        <v>108.5</v>
      </c>
      <c r="R464" s="645">
        <f>+(P464/P457-1)*100</f>
        <v>15.42553191489362</v>
      </c>
      <c r="S464" s="563" t="s">
        <v>208</v>
      </c>
      <c r="T464" s="595">
        <f>I464/R464*100</f>
        <v>80.796313163075425</v>
      </c>
      <c r="U464" s="416" t="s">
        <v>208</v>
      </c>
      <c r="X464" s="579">
        <f>segSales!J93</f>
        <v>145.596</v>
      </c>
      <c r="Z464" s="580">
        <f>X464/P464</f>
        <v>1.3418986175115208</v>
      </c>
      <c r="AB464" s="599">
        <f>(Z464/Z457-1)*100</f>
        <v>6.3571109757105448</v>
      </c>
      <c r="AC464" s="563" t="s">
        <v>208</v>
      </c>
      <c r="AE464" s="581">
        <f>0.816047/0.75</f>
        <v>1.0880626666666666</v>
      </c>
      <c r="AG464" s="582">
        <f>AVERAGE(AE464,AE457)</f>
        <v>1.0232079999999999</v>
      </c>
      <c r="AI464" s="539">
        <f>(AG464/AG457-1)*100</f>
        <v>15.292601139395678</v>
      </c>
      <c r="AJ464" s="563" t="s">
        <v>208</v>
      </c>
      <c r="AK464" s="595">
        <f>+I464/AI464*100</f>
        <v>81.498634270403187</v>
      </c>
      <c r="AL464" s="416" t="s">
        <v>208</v>
      </c>
      <c r="AN464" s="579">
        <f>+X464</f>
        <v>145.596</v>
      </c>
      <c r="AP464" s="583" t="e">
        <f>AL464/AE464</f>
        <v>#VALUE!</v>
      </c>
      <c r="AR464" s="583">
        <f>AN464/AG464</f>
        <v>142.29364899414392</v>
      </c>
      <c r="AT464" s="599">
        <f>(AR464/AR457-1)*100</f>
        <v>6.4797392545592913</v>
      </c>
      <c r="AU464" s="563" t="s">
        <v>208</v>
      </c>
      <c r="BJ464" s="623"/>
      <c r="BK464" s="623"/>
      <c r="BL464" s="623"/>
      <c r="BM464" s="623"/>
    </row>
    <row r="465" spans="1:65" ht="12.75" hidden="1" customHeight="1" outlineLevel="1">
      <c r="A465" s="410" t="str">
        <f>$A$13</f>
        <v>2Q</v>
      </c>
      <c r="B465" s="562" t="str">
        <f>$B$13</f>
        <v>Jul</v>
      </c>
      <c r="D465" s="645">
        <f>(X465/X458-1)*100</f>
        <v>20.396487299902599</v>
      </c>
      <c r="F465" s="563"/>
      <c r="G465" s="679">
        <v>7.1</v>
      </c>
      <c r="I465" s="645">
        <f>D465-G465</f>
        <v>13.2964872999026</v>
      </c>
      <c r="K465" s="454">
        <f>+K464+6</f>
        <v>115</v>
      </c>
      <c r="L465" s="454">
        <v>115</v>
      </c>
      <c r="M465" s="454">
        <v>0</v>
      </c>
      <c r="N465" s="454">
        <v>0</v>
      </c>
      <c r="O465" s="454"/>
      <c r="P465" s="587">
        <f>AVERAGE(K465,K464)</f>
        <v>112</v>
      </c>
      <c r="R465" s="645">
        <f>+(P465/P458-1)*100</f>
        <v>17.277486910994753</v>
      </c>
      <c r="S465" s="563"/>
      <c r="T465" s="595">
        <f>I465/R465*100</f>
        <v>76.958456796406011</v>
      </c>
      <c r="U465" s="416"/>
      <c r="X465" s="539">
        <f>segSales!J94</f>
        <v>165.61500000000001</v>
      </c>
      <c r="Z465" s="585">
        <f>X465/P465</f>
        <v>1.4787053571428572</v>
      </c>
      <c r="AB465" s="599">
        <f>(Z465/Z458-1)*100</f>
        <v>2.6595047958990925</v>
      </c>
      <c r="AC465" s="563"/>
      <c r="AE465" s="581">
        <f>0.855442/0.75</f>
        <v>1.1405893333333335</v>
      </c>
      <c r="AF465" s="454"/>
      <c r="AG465" s="582">
        <f>AVERAGE(AE465,AE464)</f>
        <v>1.1143260000000001</v>
      </c>
      <c r="AI465" s="539">
        <f>(AG465/AG458-1)*100</f>
        <v>15.528549182724326</v>
      </c>
      <c r="AJ465" s="563"/>
      <c r="AK465" s="595">
        <f>+I465/AI465*100</f>
        <v>85.626075839042841</v>
      </c>
      <c r="AL465" s="416"/>
      <c r="AN465" s="584">
        <f>+X465</f>
        <v>165.61500000000001</v>
      </c>
      <c r="AP465" s="586">
        <f>AL465/AE465</f>
        <v>0</v>
      </c>
      <c r="AR465" s="586">
        <f>AN465/AG465</f>
        <v>148.62347284367411</v>
      </c>
      <c r="AT465" s="599">
        <f>(AR465/AR458-1)*100</f>
        <v>4.2136235169706548</v>
      </c>
      <c r="AU465" s="563"/>
      <c r="BJ465" s="623"/>
      <c r="BK465" s="623"/>
      <c r="BL465" s="623"/>
      <c r="BM465" s="623"/>
    </row>
    <row r="466" spans="1:65" ht="12.75" hidden="1" customHeight="1" outlineLevel="1">
      <c r="A466" s="410" t="str">
        <f>$A$14</f>
        <v>3Q</v>
      </c>
      <c r="B466" s="562" t="str">
        <f>$B$14</f>
        <v>Oct</v>
      </c>
      <c r="D466" s="645">
        <f>(X466/X459-1)*100</f>
        <v>13.481925989427079</v>
      </c>
      <c r="F466" s="563"/>
      <c r="G466" s="679">
        <v>2</v>
      </c>
      <c r="I466" s="645">
        <f>D466-G466</f>
        <v>11.481925989427079</v>
      </c>
      <c r="K466" s="454">
        <f>+K465+3</f>
        <v>118</v>
      </c>
      <c r="L466" s="454">
        <v>118</v>
      </c>
      <c r="M466" s="454">
        <v>0</v>
      </c>
      <c r="N466" s="454">
        <v>0</v>
      </c>
      <c r="O466" s="454"/>
      <c r="P466" s="587">
        <f>AVERAGE(K466,K465)</f>
        <v>116.5</v>
      </c>
      <c r="R466" s="645">
        <f>+(P466/P459-1)*100</f>
        <v>18.877551020408156</v>
      </c>
      <c r="S466" s="563"/>
      <c r="T466" s="595">
        <f>I466/R466*100</f>
        <v>60.82317551155969</v>
      </c>
      <c r="U466" s="416"/>
      <c r="X466" s="539">
        <f>segSales!J95</f>
        <v>158.852</v>
      </c>
      <c r="Z466" s="585">
        <f>X466/P466</f>
        <v>1.3635364806866954</v>
      </c>
      <c r="AB466" s="599">
        <f>(Z466/Z459-1)*100</f>
        <v>-4.5388090389368756</v>
      </c>
      <c r="AC466" s="563"/>
      <c r="AE466" s="581">
        <f>0.873841/0.75</f>
        <v>1.1651213333333332</v>
      </c>
      <c r="AF466" s="454"/>
      <c r="AG466" s="582">
        <f>AVERAGE(AE466,AE465)</f>
        <v>1.1528553333333333</v>
      </c>
      <c r="AI466" s="539">
        <f>(AG466/AG459-1)*100</f>
        <v>16.713011269837619</v>
      </c>
      <c r="AJ466" s="563"/>
      <c r="AK466" s="595">
        <f>+I466/AI466*100</f>
        <v>68.700522030693492</v>
      </c>
      <c r="AL466" s="416"/>
      <c r="AN466" s="584">
        <f>+X466</f>
        <v>158.852</v>
      </c>
      <c r="AP466" s="586">
        <f>AL466/AE466</f>
        <v>0</v>
      </c>
      <c r="AR466" s="586">
        <f>AN466/AG466</f>
        <v>137.79005518472107</v>
      </c>
      <c r="AT466" s="599">
        <f>(AR466/AR459-1)*100</f>
        <v>-2.7684019504392254</v>
      </c>
      <c r="AU466" s="563"/>
      <c r="BJ466" s="623"/>
      <c r="BK466" s="623"/>
      <c r="BL466" s="623"/>
      <c r="BM466" s="623"/>
    </row>
    <row r="467" spans="1:65" ht="12.75" hidden="1" customHeight="1" outlineLevel="1">
      <c r="A467" s="410" t="str">
        <f>$A$15</f>
        <v>4Q</v>
      </c>
      <c r="B467" s="562" t="str">
        <f>$B$15</f>
        <v>Jan</v>
      </c>
      <c r="D467" s="646">
        <f>(X467/X460-1)*100</f>
        <v>3.7653825978426703</v>
      </c>
      <c r="F467" s="563"/>
      <c r="G467" s="680">
        <v>-6</v>
      </c>
      <c r="I467" s="646">
        <f>D467-G467</f>
        <v>9.7653825978426703</v>
      </c>
      <c r="K467" s="410">
        <f>yrSales!P$28</f>
        <v>121</v>
      </c>
      <c r="L467" s="652">
        <v>121</v>
      </c>
      <c r="M467" s="454">
        <v>0</v>
      </c>
      <c r="N467" s="454">
        <v>0</v>
      </c>
      <c r="O467" s="454"/>
      <c r="P467" s="588">
        <f>AVERAGE(K467,K466)</f>
        <v>119.5</v>
      </c>
      <c r="R467" s="646">
        <f>+(P467/P460-1)*100</f>
        <v>14.903846153846146</v>
      </c>
      <c r="S467" s="563"/>
      <c r="T467" s="598">
        <f>I467/R467*100</f>
        <v>65.52256710810569</v>
      </c>
      <c r="U467" s="416"/>
      <c r="X467" s="596">
        <f>segSales!J96</f>
        <v>172.09800000000001</v>
      </c>
      <c r="Z467" s="590">
        <f>X467/P467</f>
        <v>1.4401506276150629</v>
      </c>
      <c r="AB467" s="597">
        <f>(Z467/Z460-1)*100</f>
        <v>-9.69372560522479</v>
      </c>
      <c r="AC467" s="563"/>
      <c r="AE467" s="581">
        <f>0.895002/0.75</f>
        <v>1.193336</v>
      </c>
      <c r="AF467" s="454"/>
      <c r="AG467" s="591">
        <f>AVERAGE(AE467,AE466)</f>
        <v>1.1792286666666665</v>
      </c>
      <c r="AI467" s="596">
        <f>(AG467/AG460-1)*100</f>
        <v>13.362373938054661</v>
      </c>
      <c r="AJ467" s="563"/>
      <c r="AK467" s="598">
        <f>+I467/AI467*100</f>
        <v>73.081195325868478</v>
      </c>
      <c r="AL467" s="416"/>
      <c r="AN467" s="589">
        <f>+X467</f>
        <v>172.09800000000001</v>
      </c>
      <c r="AP467" s="592">
        <f>AL467/AE467</f>
        <v>0</v>
      </c>
      <c r="AR467" s="592">
        <f>AN467/AG467</f>
        <v>145.94116040824429</v>
      </c>
      <c r="AT467" s="597">
        <f>(AR467/AR460-1)*100</f>
        <v>-8.4657642627139484</v>
      </c>
      <c r="AU467" s="563"/>
      <c r="BJ467" s="623"/>
      <c r="BK467" s="623"/>
      <c r="BL467" s="623"/>
      <c r="BM467" s="623"/>
    </row>
    <row r="468" spans="1:65" ht="12.75" hidden="1" customHeight="1" outlineLevel="1">
      <c r="B468" s="562" t="str">
        <f>$B$16</f>
        <v>Year</v>
      </c>
      <c r="D468" s="618">
        <f>(X468/X461-1)*100</f>
        <v>14.265556326625028</v>
      </c>
      <c r="F468" s="563"/>
      <c r="G468" s="678">
        <v>3.4</v>
      </c>
      <c r="I468" s="618">
        <f>D468-G468</f>
        <v>10.865556326625027</v>
      </c>
      <c r="P468" s="587">
        <f>AVERAGE(P464:P467)</f>
        <v>114.125</v>
      </c>
      <c r="R468" s="618">
        <f>+(P468/P461-1)*100</f>
        <v>16.602809706257982</v>
      </c>
      <c r="S468" s="563"/>
      <c r="T468" s="595">
        <f>I468/R468*100</f>
        <v>65.444081567287654</v>
      </c>
      <c r="U468" s="416"/>
      <c r="X468" s="579">
        <f>SUM(X464:X467)</f>
        <v>642.16100000000006</v>
      </c>
      <c r="Z468" s="580">
        <f>SUM(Z464:Z467)</f>
        <v>5.6242910829561366</v>
      </c>
      <c r="AB468" s="599">
        <f>(Z468/Z461-1)*100</f>
        <v>-1.7624902948536691</v>
      </c>
      <c r="AC468" s="563"/>
      <c r="AG468" s="582">
        <f>AVERAGE(AG464:AG467)</f>
        <v>1.1174045000000001</v>
      </c>
      <c r="AI468" s="539">
        <f>(AG468/AG461-1)*100</f>
        <v>15.195370348256532</v>
      </c>
      <c r="AJ468" s="563"/>
      <c r="AK468" s="595">
        <f>+I468/AI468*100</f>
        <v>71.505702576520008</v>
      </c>
      <c r="AL468" s="416"/>
      <c r="AN468" s="579">
        <f>SUM(AN464:AN467)</f>
        <v>642.16100000000006</v>
      </c>
      <c r="AP468" s="583" t="e">
        <f>SUM(AP464:AP467)</f>
        <v>#VALUE!</v>
      </c>
      <c r="AR468" s="583">
        <f>SUM(AR464:AR467)</f>
        <v>574.64833743078339</v>
      </c>
      <c r="AT468" s="599">
        <f>(AR468/AR461-1)*100</f>
        <v>-0.47670843933402818</v>
      </c>
      <c r="AU468" s="563"/>
      <c r="BJ468" s="623"/>
      <c r="BK468" s="623"/>
      <c r="BL468" s="623"/>
      <c r="BM468" s="623"/>
    </row>
    <row r="469" spans="1:65" ht="12.75" hidden="1" customHeight="1" outlineLevel="1">
      <c r="B469" s="562"/>
      <c r="D469" s="618"/>
      <c r="F469" s="563"/>
      <c r="G469" s="661"/>
      <c r="I469" s="618"/>
      <c r="P469" s="587"/>
      <c r="R469" s="618"/>
      <c r="S469" s="563"/>
      <c r="T469" s="595"/>
      <c r="U469" s="416"/>
      <c r="X469" s="579"/>
      <c r="Z469" s="580"/>
      <c r="AB469" s="599"/>
      <c r="AC469" s="563"/>
      <c r="AG469" s="582"/>
      <c r="AI469" s="539"/>
      <c r="AJ469" s="563"/>
      <c r="AK469" s="595"/>
      <c r="AL469" s="416"/>
      <c r="AN469" s="579"/>
      <c r="AP469" s="583"/>
      <c r="AR469" s="583"/>
      <c r="AT469" s="599"/>
      <c r="AU469" s="563"/>
      <c r="BJ469" s="623"/>
      <c r="BK469" s="623"/>
      <c r="BL469" s="623"/>
      <c r="BM469" s="623"/>
    </row>
    <row r="470" spans="1:65" ht="12.75" hidden="1" customHeight="1" outlineLevel="1">
      <c r="A470" s="593"/>
      <c r="B470" s="431">
        <f>B293</f>
        <v>2009</v>
      </c>
      <c r="E470" s="563"/>
      <c r="F470" s="563"/>
      <c r="G470" s="563"/>
      <c r="H470" s="563"/>
      <c r="J470" s="563"/>
      <c r="S470" s="563"/>
      <c r="T470" s="416"/>
      <c r="U470" s="416"/>
      <c r="AC470" s="563"/>
      <c r="AJ470" s="563"/>
      <c r="AK470" s="416"/>
      <c r="AL470" s="416"/>
      <c r="AU470" s="563"/>
      <c r="BJ470" s="623"/>
      <c r="BK470" s="623"/>
      <c r="BL470" s="623"/>
      <c r="BM470" s="623"/>
    </row>
    <row r="471" spans="1:65" ht="12.75" hidden="1" customHeight="1" outlineLevel="1">
      <c r="A471" s="410" t="str">
        <f>$A$12</f>
        <v>1Q</v>
      </c>
      <c r="B471" s="562" t="str">
        <f>$B$12</f>
        <v>Apr</v>
      </c>
      <c r="D471" s="645">
        <f>(X471/X464-1)*100</f>
        <v>-4.9815929009038857</v>
      </c>
      <c r="E471" s="563" t="s">
        <v>208</v>
      </c>
      <c r="F471" s="563"/>
      <c r="G471" s="679">
        <v>-13</v>
      </c>
      <c r="H471" s="563" t="s">
        <v>208</v>
      </c>
      <c r="I471" s="645">
        <f>D471-G471</f>
        <v>8.0184070990961143</v>
      </c>
      <c r="J471" s="563" t="s">
        <v>208</v>
      </c>
      <c r="K471" s="454">
        <v>123</v>
      </c>
      <c r="L471" s="454">
        <v>122</v>
      </c>
      <c r="M471" s="454">
        <v>1</v>
      </c>
      <c r="N471" s="454">
        <v>0</v>
      </c>
      <c r="P471" s="587">
        <f>+AVERAGE(K467,K471)</f>
        <v>122</v>
      </c>
      <c r="R471" s="645">
        <f>+(P471/P464-1)*100</f>
        <v>12.442396313364057</v>
      </c>
      <c r="S471" s="563" t="s">
        <v>208</v>
      </c>
      <c r="T471" s="595">
        <f>I471/R471*100</f>
        <v>64.444234833476173</v>
      </c>
      <c r="U471" s="416" t="s">
        <v>208</v>
      </c>
      <c r="X471" s="579">
        <f>segSales!J100</f>
        <v>138.34299999999999</v>
      </c>
      <c r="Z471" s="580">
        <f>X471/P471</f>
        <v>1.1339590163934425</v>
      </c>
      <c r="AB471" s="599">
        <f>(Z471/Z464-1)*100</f>
        <v>-15.495924834000585</v>
      </c>
      <c r="AC471" s="563" t="s">
        <v>208</v>
      </c>
      <c r="AE471" s="581">
        <f>0.909847/0.75</f>
        <v>1.2131293333333333</v>
      </c>
      <c r="AG471" s="582">
        <f>AVERAGE(AE471,AE464)</f>
        <v>1.150596</v>
      </c>
      <c r="AI471" s="539">
        <f>(AG471/AG464-1)*100</f>
        <v>12.449863566352114</v>
      </c>
      <c r="AJ471" s="563" t="s">
        <v>208</v>
      </c>
      <c r="AK471" s="595">
        <f>+I471/AI471*100</f>
        <v>64.405582088202408</v>
      </c>
      <c r="AL471" s="416" t="s">
        <v>208</v>
      </c>
      <c r="AN471" s="579">
        <f>+X471</f>
        <v>138.34299999999999</v>
      </c>
      <c r="AP471" s="583" t="e">
        <f>AL471/AE471</f>
        <v>#VALUE!</v>
      </c>
      <c r="AR471" s="583">
        <f>AN471/AG471</f>
        <v>120.23594728297334</v>
      </c>
      <c r="AT471" s="599">
        <f>(AR471/AR464-1)*100</f>
        <v>-15.501536341989775</v>
      </c>
      <c r="AU471" s="563" t="s">
        <v>208</v>
      </c>
      <c r="BJ471" s="623"/>
      <c r="BK471" s="623"/>
      <c r="BL471" s="623"/>
      <c r="BM471" s="623"/>
    </row>
    <row r="472" spans="1:65" ht="12.75" hidden="1" customHeight="1" outlineLevel="1">
      <c r="A472" s="410" t="str">
        <f>$A$13</f>
        <v>2Q</v>
      </c>
      <c r="B472" s="562" t="str">
        <f>$B$13</f>
        <v>Jul</v>
      </c>
      <c r="D472" s="645">
        <f>(X472/X465-1)*100</f>
        <v>4.5472934214895844</v>
      </c>
      <c r="F472" s="563"/>
      <c r="G472" s="679">
        <v>-4.0999999999999996</v>
      </c>
      <c r="I472" s="645">
        <f>D472-G472</f>
        <v>8.647293421489584</v>
      </c>
      <c r="K472" s="454">
        <v>127</v>
      </c>
      <c r="L472" s="454">
        <v>124</v>
      </c>
      <c r="M472" s="454">
        <v>3</v>
      </c>
      <c r="N472" s="454">
        <v>0</v>
      </c>
      <c r="O472" s="454"/>
      <c r="P472" s="587">
        <f>AVERAGE(K472,K471)</f>
        <v>125</v>
      </c>
      <c r="R472" s="645">
        <f>+(P472/P465-1)*100</f>
        <v>11.607142857142861</v>
      </c>
      <c r="S472" s="563"/>
      <c r="T472" s="595">
        <f>I472/R472*100</f>
        <v>74.499758708217939</v>
      </c>
      <c r="U472" s="416"/>
      <c r="X472" s="539">
        <f>segSales!J101</f>
        <v>173.14599999999999</v>
      </c>
      <c r="Z472" s="585">
        <f>X472/P472</f>
        <v>1.385168</v>
      </c>
      <c r="AB472" s="599">
        <f>(Z472/Z465-1)*100</f>
        <v>-6.3256250943453214</v>
      </c>
      <c r="AC472" s="563"/>
      <c r="AE472" s="581">
        <f>0.937667/0.75</f>
        <v>1.2502226666666667</v>
      </c>
      <c r="AF472" s="454"/>
      <c r="AG472" s="582">
        <f>AVERAGE(AE472,AE471)</f>
        <v>1.231676</v>
      </c>
      <c r="AI472" s="539">
        <f>(AG472/AG465-1)*100</f>
        <v>10.531029519189161</v>
      </c>
      <c r="AJ472" s="563"/>
      <c r="AK472" s="595">
        <f>+I472/AI472*100</f>
        <v>82.112517163995037</v>
      </c>
      <c r="AL472" s="416"/>
      <c r="AN472" s="584">
        <f>+X472</f>
        <v>173.14599999999999</v>
      </c>
      <c r="AP472" s="586">
        <f>AL472/AE472</f>
        <v>0</v>
      </c>
      <c r="AR472" s="586">
        <f>AN472/AG472</f>
        <v>140.57755448673188</v>
      </c>
      <c r="AT472" s="599">
        <f>(AR472/AR465-1)*100</f>
        <v>-5.4136255888766138</v>
      </c>
      <c r="AU472" s="563"/>
      <c r="BJ472" s="623"/>
      <c r="BK472" s="623"/>
      <c r="BL472" s="623"/>
      <c r="BM472" s="623"/>
    </row>
    <row r="473" spans="1:65" ht="12.75" hidden="1" customHeight="1" outlineLevel="1">
      <c r="A473" s="410" t="str">
        <f>$A$14</f>
        <v>3Q</v>
      </c>
      <c r="B473" s="562" t="str">
        <f>$B$14</f>
        <v>Oct</v>
      </c>
      <c r="D473" s="645">
        <f>(X473/X466-1)*100</f>
        <v>14.332838113464108</v>
      </c>
      <c r="F473" s="563"/>
      <c r="G473" s="679">
        <v>2.9</v>
      </c>
      <c r="I473" s="645">
        <f>D473-G473</f>
        <v>11.432838113464108</v>
      </c>
      <c r="K473" s="454">
        <f>+K472+6</f>
        <v>133</v>
      </c>
      <c r="L473" s="454">
        <v>129</v>
      </c>
      <c r="M473" s="454">
        <v>3</v>
      </c>
      <c r="N473" s="454">
        <v>1</v>
      </c>
      <c r="O473" s="454"/>
      <c r="P473" s="587">
        <f>AVERAGE(K473,K472)</f>
        <v>130</v>
      </c>
      <c r="R473" s="645">
        <f>+(P473/P466-1)*100</f>
        <v>11.587982832618016</v>
      </c>
      <c r="S473" s="563"/>
      <c r="T473" s="595">
        <f>I473/R473*100</f>
        <v>98.661158534708875</v>
      </c>
      <c r="U473" s="416"/>
      <c r="X473" s="539">
        <f>segSales!J102</f>
        <v>181.62</v>
      </c>
      <c r="Z473" s="585">
        <f>X473/P473</f>
        <v>1.3970769230769231</v>
      </c>
      <c r="AB473" s="599">
        <f>(Z473/Z466-1)*100</f>
        <v>2.4598126170658929</v>
      </c>
      <c r="AC473" s="563"/>
      <c r="AE473" s="581">
        <f>0.98491/0.75</f>
        <v>1.3132133333333333</v>
      </c>
      <c r="AF473" s="454"/>
      <c r="AG473" s="582">
        <f>AVERAGE(AE473,AE472)</f>
        <v>1.2817180000000001</v>
      </c>
      <c r="AI473" s="539">
        <f>(AG473/AG466-1)*100</f>
        <v>11.17769618969251</v>
      </c>
      <c r="AJ473" s="563"/>
      <c r="AK473" s="595">
        <f>+I473/AI473*100</f>
        <v>102.282598483996</v>
      </c>
      <c r="AL473" s="416"/>
      <c r="AN473" s="584">
        <f>+X473</f>
        <v>181.62</v>
      </c>
      <c r="AP473" s="586">
        <f>AL473/AE473</f>
        <v>0</v>
      </c>
      <c r="AR473" s="586">
        <f>AN473/AG473</f>
        <v>141.70043644545834</v>
      </c>
      <c r="AT473" s="599">
        <f>(AR473/AR466-1)*100</f>
        <v>2.8379270590283223</v>
      </c>
      <c r="AU473" s="563"/>
      <c r="BJ473" s="623"/>
      <c r="BK473" s="623"/>
      <c r="BL473" s="623"/>
      <c r="BM473" s="623"/>
    </row>
    <row r="474" spans="1:65" ht="12.75" hidden="1" customHeight="1" outlineLevel="1">
      <c r="A474" s="410" t="str">
        <f>$A$15</f>
        <v>4Q</v>
      </c>
      <c r="B474" s="562" t="str">
        <f>$B$15</f>
        <v>Jan</v>
      </c>
      <c r="D474" s="646">
        <f>(X474/X467-1)*100</f>
        <v>23.03455008193005</v>
      </c>
      <c r="F474" s="563"/>
      <c r="G474" s="680">
        <v>10</v>
      </c>
      <c r="I474" s="646">
        <f>D474-G474</f>
        <v>13.03455008193005</v>
      </c>
      <c r="K474" s="410">
        <f>yrSales!$Q$28</f>
        <v>137</v>
      </c>
      <c r="L474" s="410">
        <f>137-M474-N474</f>
        <v>133</v>
      </c>
      <c r="M474" s="454">
        <v>3</v>
      </c>
      <c r="N474" s="454">
        <v>1</v>
      </c>
      <c r="O474" s="454"/>
      <c r="P474" s="588">
        <f>AVERAGE(K474,K473)</f>
        <v>135</v>
      </c>
      <c r="R474" s="646">
        <f>+(P474/P467-1)*100</f>
        <v>12.970711297071125</v>
      </c>
      <c r="S474" s="563"/>
      <c r="T474" s="598">
        <f>I474/R474*100</f>
        <v>100.4921764381059</v>
      </c>
      <c r="U474" s="416"/>
      <c r="X474" s="596">
        <f>segSales!J103</f>
        <v>211.74</v>
      </c>
      <c r="Z474" s="590">
        <f>X474/P474</f>
        <v>1.5684444444444445</v>
      </c>
      <c r="AB474" s="597">
        <f>(Z474/Z467-1)*100</f>
        <v>8.9083609984492043</v>
      </c>
      <c r="AC474" s="563"/>
      <c r="AE474" s="581">
        <f>1.011082/0.75</f>
        <v>1.3481093333333334</v>
      </c>
      <c r="AF474" s="454"/>
      <c r="AG474" s="591">
        <f>AVERAGE(AE474,AE473)</f>
        <v>1.3306613333333335</v>
      </c>
      <c r="AI474" s="596">
        <f>(AG474/AG467-1)*100</f>
        <v>12.841671081040019</v>
      </c>
      <c r="AJ474" s="563"/>
      <c r="AK474" s="598">
        <f>+I474/AI474*100</f>
        <v>101.5019774270251</v>
      </c>
      <c r="AL474" s="416"/>
      <c r="AN474" s="589">
        <f>+X474</f>
        <v>211.74</v>
      </c>
      <c r="AP474" s="592">
        <f>AL474/AE474</f>
        <v>0</v>
      </c>
      <c r="AR474" s="592">
        <f>AN474/AG474</f>
        <v>159.12388426406517</v>
      </c>
      <c r="AT474" s="597">
        <f>(AR474/AR467-1)*100</f>
        <v>9.0329032734456582</v>
      </c>
      <c r="AU474" s="563"/>
      <c r="BJ474" s="623"/>
      <c r="BK474" s="623"/>
      <c r="BL474" s="623"/>
      <c r="BM474" s="623"/>
    </row>
    <row r="475" spans="1:65" ht="12.75" hidden="1" customHeight="1" outlineLevel="1">
      <c r="B475" s="562" t="str">
        <f>$B$16</f>
        <v>Year</v>
      </c>
      <c r="D475" s="618">
        <f>(X475/X468-1)*100</f>
        <v>9.7620378690079121</v>
      </c>
      <c r="F475" s="563"/>
      <c r="G475" s="661">
        <v>-0.6</v>
      </c>
      <c r="I475" s="618">
        <f>D475-G475</f>
        <v>10.362037869007912</v>
      </c>
      <c r="K475" s="410">
        <f>K474</f>
        <v>137</v>
      </c>
      <c r="L475" s="410">
        <f>L474</f>
        <v>133</v>
      </c>
      <c r="M475" s="410">
        <f>M474</f>
        <v>3</v>
      </c>
      <c r="N475" s="410">
        <f>N474</f>
        <v>1</v>
      </c>
      <c r="P475" s="587">
        <f>AVERAGE(P471:P474)</f>
        <v>128</v>
      </c>
      <c r="R475" s="618">
        <f>+(P475/P468-1)*100</f>
        <v>12.157721796276011</v>
      </c>
      <c r="S475" s="563"/>
      <c r="T475" s="595">
        <f>I475/R475*100</f>
        <v>85.230095264902928</v>
      </c>
      <c r="U475" s="416"/>
      <c r="X475" s="579">
        <f>SUM(X471:X474)</f>
        <v>704.84899999999993</v>
      </c>
      <c r="Z475" s="580">
        <f>SUM(Z471:Z474)</f>
        <v>5.4846483839148101</v>
      </c>
      <c r="AB475" s="599">
        <f>(Z475/Z468-1)*100</f>
        <v>-2.4828497846510866</v>
      </c>
      <c r="AC475" s="563"/>
      <c r="AG475" s="582">
        <f>AVERAGE(AG471:AG474)</f>
        <v>1.2486628333333334</v>
      </c>
      <c r="AI475" s="539">
        <f>(AG475/AG468-1)*100</f>
        <v>11.746716013165614</v>
      </c>
      <c r="AJ475" s="563"/>
      <c r="AK475" s="595">
        <f>+I475/AI475*100</f>
        <v>88.212210607579451</v>
      </c>
      <c r="AL475" s="416"/>
      <c r="AN475" s="579">
        <f>SUM(AN471:AN474)</f>
        <v>704.84899999999993</v>
      </c>
      <c r="AP475" s="583" t="e">
        <f>SUM(AP471:AP474)</f>
        <v>#VALUE!</v>
      </c>
      <c r="AR475" s="583">
        <f>SUM(AR471:AR474)</f>
        <v>561.6378224792287</v>
      </c>
      <c r="AT475" s="599">
        <f>(AR475/AR468-1)*100</f>
        <v>-2.2640829363091641</v>
      </c>
      <c r="AU475" s="563"/>
      <c r="BJ475" s="623"/>
      <c r="BK475" s="623"/>
      <c r="BL475" s="623"/>
      <c r="BM475" s="623"/>
    </row>
    <row r="476" spans="1:65" ht="12.75" hidden="1" customHeight="1" outlineLevel="1">
      <c r="B476" s="562"/>
      <c r="D476" s="618"/>
      <c r="F476" s="563"/>
      <c r="G476" s="661"/>
      <c r="I476" s="618"/>
      <c r="P476" s="587"/>
      <c r="R476" s="618"/>
      <c r="S476" s="563"/>
      <c r="T476" s="595"/>
      <c r="U476" s="416"/>
      <c r="X476" s="579"/>
      <c r="Z476" s="580"/>
      <c r="AB476" s="599"/>
      <c r="AC476" s="563"/>
      <c r="AG476" s="582"/>
      <c r="AI476" s="539"/>
      <c r="AJ476" s="563"/>
      <c r="AK476" s="595"/>
      <c r="AL476" s="416"/>
      <c r="AN476" s="579"/>
      <c r="AP476" s="583"/>
      <c r="AR476" s="583"/>
      <c r="AT476" s="599"/>
      <c r="AU476" s="563"/>
      <c r="BJ476" s="623"/>
      <c r="BK476" s="623"/>
      <c r="BL476" s="623"/>
      <c r="BM476" s="623"/>
    </row>
    <row r="477" spans="1:65" ht="12.75" hidden="1" customHeight="1" outlineLevel="1">
      <c r="A477" s="593"/>
      <c r="B477" s="431">
        <f>B300</f>
        <v>2010</v>
      </c>
      <c r="E477" s="563"/>
      <c r="F477" s="563"/>
      <c r="G477" s="563"/>
      <c r="H477" s="563"/>
      <c r="J477" s="563"/>
      <c r="S477" s="563"/>
      <c r="T477" s="416"/>
      <c r="U477" s="416"/>
      <c r="AC477" s="563"/>
      <c r="AJ477" s="563"/>
      <c r="AK477" s="416"/>
      <c r="AL477" s="416"/>
      <c r="AU477" s="563"/>
      <c r="BJ477" s="623"/>
      <c r="BK477" s="623"/>
      <c r="BL477" s="623"/>
      <c r="BM477" s="623"/>
    </row>
    <row r="478" spans="1:65" ht="12.75" hidden="1" customHeight="1" outlineLevel="1">
      <c r="A478" s="410" t="str">
        <f>$A$12</f>
        <v>1Q</v>
      </c>
      <c r="B478" s="562" t="str">
        <f>$B$12</f>
        <v>Apr</v>
      </c>
      <c r="D478" s="645">
        <f>(X478/X471-1)*100</f>
        <v>32.066674858865298</v>
      </c>
      <c r="E478" s="563" t="s">
        <v>208</v>
      </c>
      <c r="F478" s="563"/>
      <c r="G478" s="657">
        <v>15</v>
      </c>
      <c r="H478" s="563" t="s">
        <v>208</v>
      </c>
      <c r="I478" s="645">
        <f>D478-G478</f>
        <v>17.066674858865298</v>
      </c>
      <c r="J478" s="563" t="s">
        <v>208</v>
      </c>
      <c r="K478" s="454">
        <v>142</v>
      </c>
      <c r="L478" s="454">
        <v>137</v>
      </c>
      <c r="M478" s="454">
        <v>3</v>
      </c>
      <c r="N478" s="454">
        <v>2</v>
      </c>
      <c r="P478" s="587">
        <f>+AVERAGE(K474,K478)</f>
        <v>139.5</v>
      </c>
      <c r="R478" s="645">
        <f>+(P478/P471-1)*100</f>
        <v>14.344262295081966</v>
      </c>
      <c r="S478" s="563" t="s">
        <v>208</v>
      </c>
      <c r="T478" s="595">
        <f>I478/R478*100</f>
        <v>118.97910473037523</v>
      </c>
      <c r="U478" s="416" t="s">
        <v>208</v>
      </c>
      <c r="X478" s="579">
        <f>segSales!J108</f>
        <v>182.70500000000001</v>
      </c>
      <c r="Z478" s="580">
        <f>X478/P478</f>
        <v>1.3097132616487457</v>
      </c>
      <c r="AB478" s="599">
        <f>(Z478/Z471-1)*100</f>
        <v>15.499170844312316</v>
      </c>
      <c r="AC478" s="563" t="s">
        <v>208</v>
      </c>
      <c r="AE478" s="581">
        <f>1.050635/0.75</f>
        <v>1.4008466666666666</v>
      </c>
      <c r="AG478" s="582">
        <f>AVERAGE(AE478,AE471)</f>
        <v>1.306988</v>
      </c>
      <c r="AI478" s="539">
        <f>(AG478/AG471-1)*100</f>
        <v>13.592260011333268</v>
      </c>
      <c r="AJ478" s="563" t="s">
        <v>208</v>
      </c>
      <c r="AK478" s="595">
        <f>+I478/AI478*100</f>
        <v>125.56171559869405</v>
      </c>
      <c r="AL478" s="416" t="s">
        <v>208</v>
      </c>
      <c r="AN478" s="579">
        <f>+X478</f>
        <v>182.70500000000001</v>
      </c>
      <c r="AP478" s="583" t="e">
        <f>AL478/AE478</f>
        <v>#VALUE!</v>
      </c>
      <c r="AR478" s="583">
        <f>AN478/AG478</f>
        <v>139.79087795756351</v>
      </c>
      <c r="AT478" s="599">
        <f>(AR478/AR471-1)*100</f>
        <v>16.263797239080226</v>
      </c>
      <c r="AU478" s="563" t="s">
        <v>208</v>
      </c>
      <c r="BJ478" s="623"/>
      <c r="BK478" s="623"/>
      <c r="BL478" s="623"/>
      <c r="BM478" s="623"/>
    </row>
    <row r="479" spans="1:65" ht="12.75" hidden="1" customHeight="1" outlineLevel="1">
      <c r="A479" s="410" t="str">
        <f>$A$13</f>
        <v>2Q</v>
      </c>
      <c r="B479" s="562" t="str">
        <f>$B$13</f>
        <v>Jul</v>
      </c>
      <c r="D479" s="645">
        <f>(X479/X472-1)*100</f>
        <v>21.119263511718444</v>
      </c>
      <c r="F479" s="563"/>
      <c r="G479" s="657">
        <v>5</v>
      </c>
      <c r="I479" s="645">
        <f>D479-G479</f>
        <v>16.119263511718444</v>
      </c>
      <c r="K479" s="454">
        <v>145</v>
      </c>
      <c r="L479" s="454">
        <v>140</v>
      </c>
      <c r="M479" s="454">
        <v>3</v>
      </c>
      <c r="N479" s="454">
        <v>2</v>
      </c>
      <c r="O479" s="454"/>
      <c r="P479" s="587">
        <f>AVERAGE(K479,K478)</f>
        <v>143.5</v>
      </c>
      <c r="R479" s="645">
        <f>+(P479/P472-1)*100</f>
        <v>14.79999999999999</v>
      </c>
      <c r="S479" s="563"/>
      <c r="T479" s="595">
        <f>I479/R479*100</f>
        <v>108.91394264674632</v>
      </c>
      <c r="U479" s="416"/>
      <c r="X479" s="539">
        <f>segSales!J109</f>
        <v>209.71315999999999</v>
      </c>
      <c r="Z479" s="585">
        <f>X479/P479</f>
        <v>1.4614157491289197</v>
      </c>
      <c r="AB479" s="599">
        <f>(Z479/Z472-1)*100</f>
        <v>5.5045849405212843</v>
      </c>
      <c r="AC479" s="563"/>
      <c r="AE479" s="581">
        <f>1.069806/0.75</f>
        <v>1.4264080000000001</v>
      </c>
      <c r="AF479" s="454"/>
      <c r="AG479" s="582">
        <f>AVERAGE(AE479,AE478)</f>
        <v>1.4136273333333333</v>
      </c>
      <c r="AI479" s="539">
        <f>(AG479/AG472-1)*100</f>
        <v>14.772662074549903</v>
      </c>
      <c r="AJ479" s="563"/>
      <c r="AK479" s="595">
        <f>+I479/AI479*100</f>
        <v>109.11549611283971</v>
      </c>
      <c r="AL479" s="416"/>
      <c r="AN479" s="584">
        <f>+X479</f>
        <v>209.71315999999999</v>
      </c>
      <c r="AP479" s="586">
        <f>AL479/AE479</f>
        <v>0</v>
      </c>
      <c r="AR479" s="586">
        <f>AN479/AG479</f>
        <v>148.35109300376666</v>
      </c>
      <c r="AT479" s="599">
        <f>(AR479/AR472-1)*100</f>
        <v>5.529715284504011</v>
      </c>
      <c r="AU479" s="563"/>
      <c r="BJ479" s="623"/>
      <c r="BK479" s="623"/>
      <c r="BL479" s="623"/>
      <c r="BM479" s="623"/>
    </row>
    <row r="480" spans="1:65" ht="12.75" hidden="1" customHeight="1" outlineLevel="1">
      <c r="A480" s="410" t="str">
        <f>$A$14</f>
        <v>3Q</v>
      </c>
      <c r="B480" s="562" t="str">
        <f>$B$14</f>
        <v>Oct</v>
      </c>
      <c r="D480" s="645">
        <f>(X480/X473-1)*100</f>
        <v>7.8099240171787265</v>
      </c>
      <c r="F480" s="563"/>
      <c r="G480" s="657">
        <v>-2</v>
      </c>
      <c r="I480" s="645">
        <f>D480-G480</f>
        <v>9.8099240171787265</v>
      </c>
      <c r="K480" s="454">
        <v>150</v>
      </c>
      <c r="L480" s="454">
        <v>145</v>
      </c>
      <c r="M480" s="454">
        <v>3</v>
      </c>
      <c r="N480" s="454">
        <v>2</v>
      </c>
      <c r="O480" s="454"/>
      <c r="P480" s="587">
        <f>AVERAGE(K480,K479)</f>
        <v>147.5</v>
      </c>
      <c r="R480" s="645">
        <f>+(P480/P473-1)*100</f>
        <v>13.461538461538458</v>
      </c>
      <c r="S480" s="563"/>
      <c r="T480" s="595">
        <f>I480/R480*100</f>
        <v>72.873721270470554</v>
      </c>
      <c r="U480" s="416"/>
      <c r="X480" s="539">
        <f>segSales!J110</f>
        <v>195.804384</v>
      </c>
      <c r="Z480" s="585">
        <f>X480/P480</f>
        <v>1.3274873491525423</v>
      </c>
      <c r="AB480" s="599">
        <f>(Z480/Z473-1)*100</f>
        <v>-4.9810839170628229</v>
      </c>
      <c r="AC480" s="563"/>
      <c r="AE480" s="581">
        <f>1.104299/0.75</f>
        <v>1.4723986666666666</v>
      </c>
      <c r="AF480" s="454"/>
      <c r="AG480" s="582">
        <f>AVERAGE(AE480,AE479)</f>
        <v>1.4494033333333334</v>
      </c>
      <c r="AI480" s="539">
        <f>(AG480/AG473-1)*100</f>
        <v>13.082857019510774</v>
      </c>
      <c r="AJ480" s="563"/>
      <c r="AK480" s="595">
        <f>+I480/AI480*100</f>
        <v>74.983040803311965</v>
      </c>
      <c r="AL480" s="416"/>
      <c r="AN480" s="584">
        <f>+X480</f>
        <v>195.804384</v>
      </c>
      <c r="AP480" s="586">
        <f>AL480/AE480</f>
        <v>0</v>
      </c>
      <c r="AR480" s="586">
        <f>AN480/AG480</f>
        <v>135.09309623960203</v>
      </c>
      <c r="AT480" s="599">
        <f>(AR480/AR473-1)*100</f>
        <v>-4.6628933344178725</v>
      </c>
      <c r="AU480" s="563"/>
      <c r="BJ480" s="623"/>
      <c r="BK480" s="623"/>
      <c r="BL480" s="623"/>
      <c r="BM480" s="623"/>
    </row>
    <row r="481" spans="1:65" ht="12.75" hidden="1" customHeight="1" outlineLevel="1">
      <c r="A481" s="410" t="str">
        <f>$A$15</f>
        <v>4Q</v>
      </c>
      <c r="B481" s="562" t="str">
        <f>$B$15</f>
        <v>Jan</v>
      </c>
      <c r="D481" s="646">
        <f>(X481/X474-1)*100</f>
        <v>7.7642741097571966</v>
      </c>
      <c r="F481" s="563"/>
      <c r="G481" s="680">
        <v>-4</v>
      </c>
      <c r="I481" s="646">
        <f>D481-G481</f>
        <v>11.764274109757196</v>
      </c>
      <c r="K481" s="410">
        <f>yrSales!$R$28</f>
        <v>153</v>
      </c>
      <c r="L481" s="454">
        <v>147</v>
      </c>
      <c r="M481" s="454">
        <v>4</v>
      </c>
      <c r="N481" s="454">
        <v>2</v>
      </c>
      <c r="O481" s="454"/>
      <c r="P481" s="588">
        <f>AVERAGE(K481,K480)</f>
        <v>151.5</v>
      </c>
      <c r="R481" s="646">
        <f>+(P481/P474-1)*100</f>
        <v>12.222222222222223</v>
      </c>
      <c r="S481" s="563"/>
      <c r="T481" s="654">
        <f>I481/R481*100</f>
        <v>96.253151807104317</v>
      </c>
      <c r="U481" s="416"/>
      <c r="X481" s="596">
        <f>segSales!J111</f>
        <v>228.18007399999991</v>
      </c>
      <c r="Z481" s="590">
        <f>X481/P481</f>
        <v>1.5061391023102304</v>
      </c>
      <c r="AB481" s="597">
        <f>(Z481/Z474-1)*100</f>
        <v>-3.9724290111074478</v>
      </c>
      <c r="AC481" s="563"/>
      <c r="AE481" s="581">
        <f>1.123548/0.75</f>
        <v>1.4980640000000001</v>
      </c>
      <c r="AF481" s="454"/>
      <c r="AG481" s="591">
        <f>AVERAGE(AE481,AE480)</f>
        <v>1.4852313333333333</v>
      </c>
      <c r="AI481" s="596">
        <f>(AG481/AG474-1)*100</f>
        <v>11.616028521156396</v>
      </c>
      <c r="AJ481" s="563"/>
      <c r="AK481" s="598">
        <f>+I481/AI481*100</f>
        <v>101.27621577659522</v>
      </c>
      <c r="AL481" s="416"/>
      <c r="AN481" s="589">
        <f>+X481</f>
        <v>228.18007399999991</v>
      </c>
      <c r="AP481" s="592">
        <f>AL481/AE481</f>
        <v>0</v>
      </c>
      <c r="AR481" s="592">
        <f>AN481/AG481</f>
        <v>153.6326825854737</v>
      </c>
      <c r="AT481" s="597">
        <f>(AR481/AR474-1)*100</f>
        <v>-3.4508972075360189</v>
      </c>
      <c r="AU481" s="563"/>
      <c r="BJ481" s="623"/>
      <c r="BK481" s="623"/>
      <c r="BL481" s="623"/>
      <c r="BM481" s="623"/>
    </row>
    <row r="482" spans="1:65" ht="12.75" hidden="1" customHeight="1" outlineLevel="1">
      <c r="B482" s="562" t="str">
        <f>$B$16</f>
        <v>Year</v>
      </c>
      <c r="D482" s="618">
        <f>(X482/X475-1)*100</f>
        <v>15.826598037310102</v>
      </c>
      <c r="F482" s="563"/>
      <c r="G482" s="661">
        <f>G478*X478/X482+G479*X479/X482+G480*X480/X482+G481*X481/X482</f>
        <v>3.0436106906261786</v>
      </c>
      <c r="I482" s="618">
        <f>D482-G482</f>
        <v>12.782987346683925</v>
      </c>
      <c r="K482" s="410">
        <f>K481</f>
        <v>153</v>
      </c>
      <c r="L482" s="410">
        <f>L481</f>
        <v>147</v>
      </c>
      <c r="M482" s="410">
        <f>M481</f>
        <v>4</v>
      </c>
      <c r="N482" s="410">
        <f>N481</f>
        <v>2</v>
      </c>
      <c r="P482" s="587">
        <f>AVERAGE(P478:P481)</f>
        <v>145.5</v>
      </c>
      <c r="R482" s="618">
        <f>+(P482/P475-1)*100</f>
        <v>13.671875</v>
      </c>
      <c r="S482" s="563"/>
      <c r="T482" s="595">
        <f>I482/R482*100</f>
        <v>93.498421735745268</v>
      </c>
      <c r="U482" s="416"/>
      <c r="X482" s="579">
        <f>SUM(X478:X481)</f>
        <v>816.40261799999985</v>
      </c>
      <c r="Z482" s="580">
        <f>SUM(Z478:Z481)</f>
        <v>5.6047554622404379</v>
      </c>
      <c r="AB482" s="599">
        <f>(Z482/Z475-1)*100</f>
        <v>2.1898774528167353</v>
      </c>
      <c r="AC482" s="563"/>
      <c r="AG482" s="582">
        <f>AVERAGE(AG478:AG481)</f>
        <v>1.4138124999999999</v>
      </c>
      <c r="AI482" s="539">
        <f>(AG482/AG475-1)*100</f>
        <v>13.226121756647125</v>
      </c>
      <c r="AJ482" s="563"/>
      <c r="AK482" s="595">
        <f>+I482/AI482*100</f>
        <v>96.6495514095771</v>
      </c>
      <c r="AL482" s="416"/>
      <c r="AN482" s="579">
        <f>SUM(AN478:AN481)</f>
        <v>816.40261799999985</v>
      </c>
      <c r="AP482" s="583" t="e">
        <f>SUM(AP478:AP481)</f>
        <v>#VALUE!</v>
      </c>
      <c r="AR482" s="583">
        <f>SUM(AR478:AR481)</f>
        <v>576.86774978640597</v>
      </c>
      <c r="AT482" s="599">
        <f>(AR482/AR475-1)*100</f>
        <v>2.7116990162713739</v>
      </c>
      <c r="AU482" s="563"/>
      <c r="BJ482" s="623"/>
      <c r="BK482" s="623"/>
      <c r="BL482" s="623"/>
      <c r="BM482" s="623"/>
    </row>
    <row r="483" spans="1:65" ht="12.75" hidden="1" customHeight="1" outlineLevel="1" collapsed="1">
      <c r="B483" s="562"/>
      <c r="D483" s="618"/>
      <c r="F483" s="563"/>
      <c r="G483" s="661"/>
      <c r="I483" s="618"/>
      <c r="P483" s="587"/>
      <c r="R483" s="618"/>
      <c r="S483" s="563"/>
      <c r="T483" s="595"/>
      <c r="U483" s="416"/>
      <c r="X483" s="655"/>
      <c r="Z483" s="580"/>
      <c r="AB483" s="599"/>
      <c r="AC483" s="563"/>
      <c r="AG483" s="582"/>
      <c r="AI483" s="539"/>
      <c r="AJ483" s="563"/>
      <c r="AK483" s="595"/>
      <c r="AL483" s="416"/>
      <c r="AN483" s="579"/>
      <c r="AP483" s="583"/>
      <c r="AR483" s="583"/>
      <c r="AT483" s="599"/>
      <c r="AU483" s="563"/>
      <c r="BJ483" s="623"/>
      <c r="BK483" s="623"/>
      <c r="BL483" s="623"/>
      <c r="BM483" s="623"/>
    </row>
    <row r="484" spans="1:65" ht="12.75" hidden="1" customHeight="1" outlineLevel="1">
      <c r="A484" s="593"/>
      <c r="B484" s="431">
        <f>B477+1</f>
        <v>2011</v>
      </c>
      <c r="E484" s="563"/>
      <c r="F484" s="563"/>
      <c r="G484" s="563"/>
      <c r="H484" s="563"/>
      <c r="J484" s="563"/>
      <c r="S484" s="563"/>
      <c r="T484" s="416"/>
      <c r="U484" s="416"/>
      <c r="X484" s="584"/>
      <c r="Z484" s="619" t="s">
        <v>639</v>
      </c>
      <c r="AA484" s="620"/>
      <c r="AB484" s="621"/>
      <c r="AC484" s="622"/>
      <c r="AJ484" s="563"/>
      <c r="AK484" s="416"/>
      <c r="AL484" s="416"/>
      <c r="AN484" s="619" t="s">
        <v>639</v>
      </c>
      <c r="AP484" s="619"/>
      <c r="AR484" s="619"/>
      <c r="AU484" s="563"/>
      <c r="BJ484" s="623"/>
      <c r="BK484" s="623"/>
      <c r="BL484" s="623"/>
      <c r="BM484" s="623"/>
    </row>
    <row r="485" spans="1:65" ht="12.75" hidden="1" customHeight="1" outlineLevel="1">
      <c r="A485" s="410" t="str">
        <f>$A$12</f>
        <v>1Q</v>
      </c>
      <c r="B485" s="562" t="str">
        <f>$B$12</f>
        <v>Apr</v>
      </c>
      <c r="D485" s="645">
        <f>(X485/X478-1)*100</f>
        <v>0.67084589912700388</v>
      </c>
      <c r="E485" s="563" t="s">
        <v>208</v>
      </c>
      <c r="F485" s="656">
        <f>segSales!M227</f>
        <v>0</v>
      </c>
      <c r="G485" s="657">
        <v>-9.5</v>
      </c>
      <c r="H485" s="563" t="s">
        <v>208</v>
      </c>
      <c r="I485" s="645">
        <f>D485-F485</f>
        <v>0.67084589912700388</v>
      </c>
      <c r="J485" s="563" t="s">
        <v>208</v>
      </c>
      <c r="K485" s="454">
        <v>156</v>
      </c>
      <c r="L485" s="454">
        <v>150</v>
      </c>
      <c r="M485" s="454">
        <v>4</v>
      </c>
      <c r="N485" s="454">
        <v>2</v>
      </c>
      <c r="P485" s="587">
        <f>+AVERAGE(K481,K485)</f>
        <v>154.5</v>
      </c>
      <c r="R485" s="645">
        <f>+(P485/P478-1)*100</f>
        <v>10.752688172043001</v>
      </c>
      <c r="S485" s="563" t="s">
        <v>208</v>
      </c>
      <c r="T485" s="595">
        <f>I485/R485*100</f>
        <v>6.2388668618811414</v>
      </c>
      <c r="U485" s="416" t="s">
        <v>208</v>
      </c>
      <c r="W485" s="647">
        <v>228.548</v>
      </c>
      <c r="X485" s="602">
        <v>183.93066899999999</v>
      </c>
      <c r="Z485" s="580">
        <f>X485/P485</f>
        <v>1.1904897669902912</v>
      </c>
      <c r="AB485" s="599">
        <f>(Z485/Z478-1)*100</f>
        <v>-9.1030226347688306</v>
      </c>
      <c r="AC485" s="563" t="s">
        <v>208</v>
      </c>
      <c r="AE485" s="581">
        <f>1.139476/0.75</f>
        <v>1.5193013333333332</v>
      </c>
      <c r="AG485" s="582">
        <f>AVERAGE(AE485,AE478)</f>
        <v>1.4600739999999999</v>
      </c>
      <c r="AI485" s="539">
        <f>(AG485/AG478-1)*100</f>
        <v>11.712884892592722</v>
      </c>
      <c r="AJ485" s="563" t="s">
        <v>208</v>
      </c>
      <c r="AK485" s="595">
        <f>+I485/AI485*100</f>
        <v>5.7274181832970088</v>
      </c>
      <c r="AL485" s="416" t="s">
        <v>208</v>
      </c>
      <c r="AN485" s="579">
        <f>+X485</f>
        <v>183.93066899999999</v>
      </c>
      <c r="AP485" s="583">
        <f>W485/AG485</f>
        <v>156.53179222422975</v>
      </c>
      <c r="AR485" s="583">
        <f>AN485/AG485</f>
        <v>125.97352531447036</v>
      </c>
      <c r="AT485" s="599">
        <f>(AR485/AR478-1)*100</f>
        <v>-9.8843020696155133</v>
      </c>
      <c r="AU485" s="563" t="s">
        <v>208</v>
      </c>
      <c r="AV485" s="579">
        <f>W485-X485</f>
        <v>44.617331000000007</v>
      </c>
      <c r="AW485" s="458"/>
      <c r="BJ485" s="623"/>
      <c r="BK485" s="623"/>
      <c r="BL485" s="623"/>
      <c r="BM485" s="623"/>
    </row>
    <row r="486" spans="1:65" ht="12.75" hidden="1" customHeight="1" outlineLevel="1">
      <c r="A486" s="410" t="str">
        <f>$A$13</f>
        <v>2Q</v>
      </c>
      <c r="B486" s="562" t="str">
        <f>$B$13</f>
        <v>Jul</v>
      </c>
      <c r="D486" s="645">
        <f>(X486/X479-1)*100</f>
        <v>5.742019718743463</v>
      </c>
      <c r="F486" s="656">
        <f>segSales!M228</f>
        <v>0</v>
      </c>
      <c r="G486" s="657">
        <v>-2</v>
      </c>
      <c r="I486" s="645">
        <f>D486-F486</f>
        <v>5.742019718743463</v>
      </c>
      <c r="K486" s="454">
        <v>160</v>
      </c>
      <c r="L486" s="454">
        <v>152</v>
      </c>
      <c r="M486" s="454">
        <v>5</v>
      </c>
      <c r="N486" s="454">
        <v>3</v>
      </c>
      <c r="O486" s="454"/>
      <c r="P486" s="587">
        <f>AVERAGE(K486,K485)</f>
        <v>158</v>
      </c>
      <c r="R486" s="645">
        <f>+(P486/P479-1)*100</f>
        <v>10.104529616724744</v>
      </c>
      <c r="S486" s="563"/>
      <c r="T486" s="595">
        <f>I486/R486*100</f>
        <v>56.826195147564583</v>
      </c>
      <c r="U486" s="416"/>
      <c r="W486" s="647">
        <v>272.63900000000001</v>
      </c>
      <c r="X486" s="647">
        <v>221.75493100000003</v>
      </c>
      <c r="Z486" s="585">
        <f>X486/P486</f>
        <v>1.4035122215189875</v>
      </c>
      <c r="AB486" s="599">
        <f>(Z486/Z479-1)*100</f>
        <v>-3.9621529769639952</v>
      </c>
      <c r="AC486" s="563"/>
      <c r="AE486" s="581">
        <f>1.165254/0.75</f>
        <v>1.5536719999999999</v>
      </c>
      <c r="AF486" s="454"/>
      <c r="AG486" s="582">
        <f>AVERAGE(AE486,AE485)</f>
        <v>1.5364866666666666</v>
      </c>
      <c r="AI486" s="539">
        <f>(AG486/AG479-1)*100</f>
        <v>8.6910694520620844</v>
      </c>
      <c r="AJ486" s="563"/>
      <c r="AK486" s="595">
        <f>+I486/AI486*100</f>
        <v>66.0680454852548</v>
      </c>
      <c r="AL486" s="416"/>
      <c r="AN486" s="584">
        <f>+X486</f>
        <v>221.75493100000003</v>
      </c>
      <c r="AP486" s="586">
        <f>W486/AG486</f>
        <v>177.44312782842243</v>
      </c>
      <c r="AR486" s="586">
        <f>AN486/AG486</f>
        <v>144.32597158886293</v>
      </c>
      <c r="AT486" s="599">
        <f>(AR486/AR479-1)*100</f>
        <v>-2.7132401476823165</v>
      </c>
      <c r="AU486" s="563"/>
      <c r="AV486" s="579">
        <f>W486-X486</f>
        <v>50.884068999999982</v>
      </c>
      <c r="AW486" s="458"/>
      <c r="BJ486" s="623"/>
      <c r="BK486" s="623"/>
      <c r="BL486" s="623"/>
      <c r="BM486" s="623"/>
    </row>
    <row r="487" spans="1:65" ht="12.75" hidden="1" customHeight="1" outlineLevel="1">
      <c r="A487" s="410" t="str">
        <f>$A$14</f>
        <v>3Q</v>
      </c>
      <c r="B487" s="562" t="str">
        <f>$B$14</f>
        <v>Oct</v>
      </c>
      <c r="D487" s="645">
        <f>(X487/X480-1)*100</f>
        <v>-2.7229512899976216</v>
      </c>
      <c r="F487" s="656">
        <f>segSales!M229</f>
        <v>0</v>
      </c>
      <c r="G487" s="679">
        <v>-11</v>
      </c>
      <c r="I487" s="645">
        <f>D487-F487</f>
        <v>-2.7229512899976216</v>
      </c>
      <c r="K487" s="454">
        <f>+K486+4</f>
        <v>164</v>
      </c>
      <c r="L487" s="454">
        <v>156</v>
      </c>
      <c r="M487" s="454">
        <v>5</v>
      </c>
      <c r="N487" s="454">
        <v>3</v>
      </c>
      <c r="O487" s="454"/>
      <c r="P487" s="587">
        <f>AVERAGE(K487,K486)</f>
        <v>162</v>
      </c>
      <c r="R487" s="645">
        <f>+(P487/P480-1)*100</f>
        <v>9.8305084745762716</v>
      </c>
      <c r="S487" s="563"/>
      <c r="T487" s="595">
        <f>I487/R487*100</f>
        <v>-27.698987260320635</v>
      </c>
      <c r="U487" s="416"/>
      <c r="W487" s="647">
        <v>244.14</v>
      </c>
      <c r="X487" s="647">
        <v>190.47272600000011</v>
      </c>
      <c r="Z487" s="585">
        <f>X487/P487</f>
        <v>1.1757575679012353</v>
      </c>
      <c r="AB487" s="599">
        <f>(Z487/Z480-1)*100</f>
        <v>-11.429847625152146</v>
      </c>
      <c r="AC487" s="563"/>
      <c r="AE487" s="581">
        <f>1.189167/0.75</f>
        <v>1.5855560000000002</v>
      </c>
      <c r="AF487" s="454"/>
      <c r="AG487" s="582">
        <f>AVERAGE(AE487,AE486)</f>
        <v>1.5696140000000001</v>
      </c>
      <c r="AI487" s="539">
        <f>(AG487/AG480-1)*100</f>
        <v>8.2938036571370777</v>
      </c>
      <c r="AJ487" s="563"/>
      <c r="AK487" s="595">
        <f>+I487/AI487*100</f>
        <v>-32.831152057167841</v>
      </c>
      <c r="AL487" s="416"/>
      <c r="AN487" s="584">
        <f>+X487</f>
        <v>190.47272600000011</v>
      </c>
      <c r="AP487" s="586">
        <f>W487/AG487</f>
        <v>155.54142610858463</v>
      </c>
      <c r="AR487" s="586">
        <f>AN487/AG487</f>
        <v>121.35004274936392</v>
      </c>
      <c r="AT487" s="599">
        <f>(AR487/AR480-1)*100</f>
        <v>-10.173024286795041</v>
      </c>
      <c r="AU487" s="563"/>
      <c r="AV487" s="579">
        <f>W487-X487</f>
        <v>53.667273999999878</v>
      </c>
      <c r="AW487" s="458"/>
      <c r="BJ487" s="623"/>
      <c r="BK487" s="623"/>
      <c r="BL487" s="623"/>
      <c r="BM487" s="623"/>
    </row>
    <row r="488" spans="1:65" ht="12.75" hidden="1" customHeight="1" outlineLevel="1">
      <c r="A488" s="410" t="str">
        <f>$A$15</f>
        <v>4Q</v>
      </c>
      <c r="B488" s="562" t="str">
        <f>$B$15</f>
        <v>Jan</v>
      </c>
      <c r="D488" s="646">
        <f>(X488/X481-1)*100</f>
        <v>4.0899877173323773</v>
      </c>
      <c r="F488" s="658">
        <f>segSales!M230</f>
        <v>0</v>
      </c>
      <c r="G488" s="680">
        <v>-2</v>
      </c>
      <c r="I488" s="646">
        <f>D488-F488</f>
        <v>4.0899877173323773</v>
      </c>
      <c r="K488" s="454">
        <v>168</v>
      </c>
      <c r="L488" s="454">
        <v>160</v>
      </c>
      <c r="M488" s="454">
        <v>5</v>
      </c>
      <c r="N488" s="454">
        <v>3</v>
      </c>
      <c r="O488" s="454"/>
      <c r="P488" s="588">
        <f>AVERAGE(K488,K487)</f>
        <v>166</v>
      </c>
      <c r="R488" s="646">
        <f>+(P488/P481-1)*100</f>
        <v>9.5709570957095647</v>
      </c>
      <c r="S488" s="563"/>
      <c r="T488" s="598">
        <f>I488/R488*100</f>
        <v>42.733319943162449</v>
      </c>
      <c r="U488" s="416"/>
      <c r="W488" s="649">
        <v>299.19799999999998</v>
      </c>
      <c r="X488" s="649">
        <v>237.51261099999985</v>
      </c>
      <c r="Z488" s="590">
        <f>X488/P488</f>
        <v>1.4307988614457823</v>
      </c>
      <c r="AB488" s="597">
        <f>(Z488/Z481-1)*100</f>
        <v>-5.0022100049647129</v>
      </c>
      <c r="AC488" s="563"/>
      <c r="AE488" s="581">
        <f>1.213741/0.75</f>
        <v>1.6183213333333333</v>
      </c>
      <c r="AF488" s="454"/>
      <c r="AG488" s="591">
        <f>AVERAGE(AE488,AE487)</f>
        <v>1.6019386666666668</v>
      </c>
      <c r="AI488" s="596">
        <f>(AG488/AG481-1)*100</f>
        <v>7.8578555888263457</v>
      </c>
      <c r="AJ488" s="563"/>
      <c r="AK488" s="598">
        <f>+I488/AI488*100</f>
        <v>52.049667636399775</v>
      </c>
      <c r="AL488" s="416"/>
      <c r="AN488" s="589">
        <f>+X488</f>
        <v>237.51261099999985</v>
      </c>
      <c r="AP488" s="592">
        <f>W488/AG488</f>
        <v>186.77244405528631</v>
      </c>
      <c r="AR488" s="592">
        <f>AN488/AG488</f>
        <v>148.26573322823833</v>
      </c>
      <c r="AT488" s="597">
        <f>(AR488/AR481-1)*100</f>
        <v>-3.4933643459941988</v>
      </c>
      <c r="AU488" s="563"/>
      <c r="AV488" s="626">
        <f>W488-X488</f>
        <v>61.685389000000129</v>
      </c>
      <c r="AW488" s="625"/>
      <c r="BJ488" s="623"/>
      <c r="BK488" s="623"/>
      <c r="BL488" s="623"/>
      <c r="BM488" s="623"/>
    </row>
    <row r="489" spans="1:65" ht="12.75" hidden="1" customHeight="1" outlineLevel="1">
      <c r="B489" s="562" t="str">
        <f>$B$16</f>
        <v>Year</v>
      </c>
      <c r="D489" s="618">
        <f>(X489/X482-1)*100</f>
        <v>2.1151719285643189</v>
      </c>
      <c r="F489" s="656">
        <f>segSales!M231</f>
        <v>0</v>
      </c>
      <c r="G489" s="661">
        <f>G485*X485/X489+G486*X486/X489+G487*X487/X489+G488*X488/X489</f>
        <v>-5.7109780540424442</v>
      </c>
      <c r="I489" s="618">
        <f>D489-F489</f>
        <v>2.1151719285643189</v>
      </c>
      <c r="K489" s="410">
        <f>K488</f>
        <v>168</v>
      </c>
      <c r="L489" s="410">
        <f>L488</f>
        <v>160</v>
      </c>
      <c r="M489" s="410">
        <f>M488</f>
        <v>5</v>
      </c>
      <c r="N489" s="410">
        <f>N488</f>
        <v>3</v>
      </c>
      <c r="P489" s="587">
        <f>AVERAGE(P485:P488)</f>
        <v>160.125</v>
      </c>
      <c r="R489" s="618">
        <f>+(P489/P482-1)*100</f>
        <v>10.051546391752586</v>
      </c>
      <c r="S489" s="563"/>
      <c r="T489" s="595">
        <f>I489/R489*100</f>
        <v>21.043248930332183</v>
      </c>
      <c r="U489" s="416"/>
      <c r="W489" s="579">
        <f>SUM(W485:W488)</f>
        <v>1044.5250000000001</v>
      </c>
      <c r="X489" s="579">
        <f>SUM(X485:X488)</f>
        <v>833.67093699999998</v>
      </c>
      <c r="Z489" s="580">
        <f>SUM(Z485:Z488)</f>
        <v>5.2005584178562962</v>
      </c>
      <c r="AB489" s="599">
        <f>(Z489/Z482-1)*100</f>
        <v>-7.2116802794919499</v>
      </c>
      <c r="AC489" s="563"/>
      <c r="AG489" s="582">
        <f>AVERAGE(AG485:AG488)</f>
        <v>1.5420283333333336</v>
      </c>
      <c r="AI489" s="539">
        <f>(AG489/AG482-1)*100</f>
        <v>9.0688003772306125</v>
      </c>
      <c r="AJ489" s="563"/>
      <c r="AK489" s="595">
        <f>+I489/AI489*100</f>
        <v>23.323613273867654</v>
      </c>
      <c r="AL489" s="416"/>
      <c r="AN489" s="579">
        <f>SUM(AN485:AN488)</f>
        <v>833.67093699999998</v>
      </c>
      <c r="AP489" s="583">
        <f>SUM(AP485:AP488)</f>
        <v>676.28879021652313</v>
      </c>
      <c r="AR489" s="583">
        <f>SUM(AR485:AR488)</f>
        <v>539.91527288093562</v>
      </c>
      <c r="AT489" s="599">
        <f>(AR489/AR482-1)*100</f>
        <v>-6.4057103069382171</v>
      </c>
      <c r="AU489" s="563"/>
      <c r="AV489" s="579">
        <f>SUM(AV485:AV488)</f>
        <v>210.854063</v>
      </c>
      <c r="AW489" s="458"/>
      <c r="BJ489" s="623"/>
      <c r="BK489" s="623"/>
      <c r="BL489" s="623"/>
      <c r="BM489" s="623"/>
    </row>
    <row r="490" spans="1:65" ht="12.75" customHeight="1" collapsed="1">
      <c r="B490" s="562"/>
      <c r="D490" s="618"/>
      <c r="F490" s="656"/>
      <c r="G490" s="661"/>
      <c r="I490" s="618"/>
      <c r="P490" s="587"/>
      <c r="R490" s="618"/>
      <c r="S490" s="563"/>
      <c r="T490" s="595"/>
      <c r="U490" s="416"/>
      <c r="W490" s="539"/>
      <c r="X490" s="655"/>
      <c r="Z490" s="580"/>
      <c r="AB490" s="599"/>
      <c r="AC490" s="563"/>
      <c r="AG490" s="582"/>
      <c r="AI490" s="539"/>
      <c r="AJ490" s="563"/>
      <c r="AK490" s="595"/>
      <c r="AL490" s="416"/>
      <c r="AN490" s="579"/>
      <c r="AP490" s="583"/>
      <c r="AR490" s="583"/>
      <c r="AT490" s="599"/>
      <c r="AU490" s="563"/>
      <c r="AW490" s="602"/>
      <c r="BJ490" s="623"/>
      <c r="BK490" s="623"/>
      <c r="BL490" s="623"/>
      <c r="BM490" s="623"/>
    </row>
    <row r="491" spans="1:65" ht="12.75" customHeight="1">
      <c r="A491" s="593"/>
      <c r="B491" s="431">
        <f>B314</f>
        <v>2012</v>
      </c>
      <c r="E491" s="563"/>
      <c r="F491" s="656"/>
      <c r="G491" s="563"/>
      <c r="H491" s="563"/>
      <c r="J491" s="563"/>
      <c r="S491" s="563"/>
      <c r="T491" s="416"/>
      <c r="U491" s="416"/>
      <c r="W491" s="539"/>
      <c r="AC491" s="563"/>
      <c r="AJ491" s="563"/>
      <c r="AK491" s="416"/>
      <c r="AL491" s="416"/>
      <c r="AU491" s="563"/>
      <c r="AW491" s="602"/>
      <c r="BJ491" s="623"/>
      <c r="BK491" s="623"/>
      <c r="BL491" s="623"/>
      <c r="BM491" s="623"/>
    </row>
    <row r="492" spans="1:65" ht="12.75" customHeight="1">
      <c r="A492" s="410" t="str">
        <f>$A$12</f>
        <v>1Q</v>
      </c>
      <c r="B492" s="562" t="str">
        <f>$B$12</f>
        <v>Apr</v>
      </c>
      <c r="D492" s="645">
        <f>(W492/W485-1)*100</f>
        <v>2.8746696536394944</v>
      </c>
      <c r="E492" s="563" t="s">
        <v>208</v>
      </c>
      <c r="F492" s="656">
        <f>segSales!M234</f>
        <v>0</v>
      </c>
      <c r="G492" s="679">
        <v>-5</v>
      </c>
      <c r="H492" s="563" t="s">
        <v>208</v>
      </c>
      <c r="I492" s="645">
        <f>D492-F492</f>
        <v>2.8746696536394944</v>
      </c>
      <c r="J492" s="563" t="s">
        <v>208</v>
      </c>
      <c r="K492" s="454">
        <v>170</v>
      </c>
      <c r="L492" s="454">
        <v>161</v>
      </c>
      <c r="M492" s="454">
        <v>6</v>
      </c>
      <c r="N492" s="454">
        <v>3</v>
      </c>
      <c r="P492" s="587">
        <f>+AVERAGE(K488,K492)</f>
        <v>169</v>
      </c>
      <c r="R492" s="645">
        <f>+(P492/P485-1)*100</f>
        <v>9.3851132686084249</v>
      </c>
      <c r="S492" s="563" t="s">
        <v>208</v>
      </c>
      <c r="T492" s="595">
        <f>I492/R492*100</f>
        <v>30.630100792227683</v>
      </c>
      <c r="U492" s="416" t="s">
        <v>208</v>
      </c>
      <c r="W492" s="647">
        <v>235.11799999999999</v>
      </c>
      <c r="X492" s="602">
        <v>186.04011</v>
      </c>
      <c r="Z492" s="580">
        <f>W492/P492</f>
        <v>1.3912307692307693</v>
      </c>
      <c r="AB492" s="599">
        <f>(Z492/Z485-1)*100</f>
        <v>16.862051888776563</v>
      </c>
      <c r="AC492" s="563" t="s">
        <v>208</v>
      </c>
      <c r="AE492" s="581">
        <f>1.230802/0.75</f>
        <v>1.6410693333333333</v>
      </c>
      <c r="AG492" s="582">
        <f>AVERAGE(AE492,AE485)</f>
        <v>1.5801853333333331</v>
      </c>
      <c r="AI492" s="539">
        <f>(AG492/AG485-1)*100</f>
        <v>8.226386699121635</v>
      </c>
      <c r="AJ492" s="563" t="s">
        <v>208</v>
      </c>
      <c r="AK492" s="595">
        <f>+I492/AI492*100</f>
        <v>34.944499435535107</v>
      </c>
      <c r="AL492" s="416" t="s">
        <v>208</v>
      </c>
      <c r="AN492" s="579">
        <f>W492</f>
        <v>235.11799999999999</v>
      </c>
      <c r="AP492" s="583">
        <f>W492/AG492</f>
        <v>148.79140759016454</v>
      </c>
      <c r="AR492" s="583">
        <f>AN492/AG492</f>
        <v>148.79140759016454</v>
      </c>
      <c r="AT492" s="599">
        <f>(AP492/AP485-1)*100</f>
        <v>-4.9449281350955276</v>
      </c>
      <c r="AU492" s="563" t="s">
        <v>208</v>
      </c>
      <c r="AV492" s="579">
        <f>W492-X492</f>
        <v>49.077889999999996</v>
      </c>
      <c r="AW492" s="458">
        <f>AV492/AV485-1</f>
        <v>9.9973685113526667E-2</v>
      </c>
      <c r="BJ492" s="623"/>
      <c r="BK492" s="623"/>
      <c r="BL492" s="623"/>
      <c r="BM492" s="623"/>
    </row>
    <row r="493" spans="1:65" ht="12.75" customHeight="1">
      <c r="A493" s="410" t="str">
        <f>$A$13</f>
        <v>2Q</v>
      </c>
      <c r="B493" s="562" t="str">
        <f>$B$13</f>
        <v>Jul</v>
      </c>
      <c r="D493" s="645">
        <f>(W493/W486-1)*100</f>
        <v>3.3630551755251314</v>
      </c>
      <c r="F493" s="656">
        <f>segSales!M235</f>
        <v>0</v>
      </c>
      <c r="G493" s="679">
        <v>-4</v>
      </c>
      <c r="I493" s="645">
        <f>D493-F493</f>
        <v>3.3630551755251314</v>
      </c>
      <c r="K493" s="454">
        <v>174</v>
      </c>
      <c r="L493" s="454">
        <v>164</v>
      </c>
      <c r="M493" s="454">
        <v>6</v>
      </c>
      <c r="N493" s="454">
        <v>3</v>
      </c>
      <c r="O493" s="454"/>
      <c r="P493" s="587">
        <f>AVERAGE(K493,K492)</f>
        <v>172</v>
      </c>
      <c r="R493" s="645">
        <f>+(P493/P486-1)*100</f>
        <v>8.8607594936708889</v>
      </c>
      <c r="S493" s="563"/>
      <c r="T493" s="595">
        <f>I493/R493*100</f>
        <v>37.954479838069325</v>
      </c>
      <c r="U493" s="416"/>
      <c r="W493" s="647">
        <v>281.80799999999999</v>
      </c>
      <c r="X493" s="602">
        <v>221.13996300000002</v>
      </c>
      <c r="Z493" s="585">
        <f t="shared" ref="Z493:Z496" si="61">W493/P493</f>
        <v>1.6384186046511628</v>
      </c>
      <c r="AB493" s="599">
        <f>(Z493/Z486-1)*100</f>
        <v>16.737038661333624</v>
      </c>
      <c r="AC493" s="563"/>
      <c r="AE493" s="581">
        <f>1.189167/0.75</f>
        <v>1.5855560000000002</v>
      </c>
      <c r="AF493" s="454"/>
      <c r="AG493" s="582">
        <f>AVERAGE(AE493,AE492)</f>
        <v>1.6133126666666668</v>
      </c>
      <c r="AI493" s="539">
        <f>(AG493/AG486-1)*100</f>
        <v>5.0001084725759926</v>
      </c>
      <c r="AJ493" s="563"/>
      <c r="AK493" s="595">
        <f>+I493/AI493*100</f>
        <v>67.259644345126134</v>
      </c>
      <c r="AL493" s="416"/>
      <c r="AN493" s="584">
        <f t="shared" ref="AN493:AN496" si="62">W493</f>
        <v>281.80799999999999</v>
      </c>
      <c r="AP493" s="586">
        <f>W493/AG493</f>
        <v>174.67661775832664</v>
      </c>
      <c r="AR493" s="586">
        <f>AN493/AG493</f>
        <v>174.67661775832664</v>
      </c>
      <c r="AT493" s="599">
        <f>(AP493/AP486-1)*100</f>
        <v>-1.5590967674842027</v>
      </c>
      <c r="AU493" s="563"/>
      <c r="AV493" s="579">
        <f>W493-X493</f>
        <v>60.66803699999997</v>
      </c>
      <c r="AW493" s="458">
        <f>AV493/AV486-1</f>
        <v>0.19227959147685292</v>
      </c>
      <c r="BJ493" s="623"/>
      <c r="BK493" s="623"/>
      <c r="BL493" s="623"/>
      <c r="BM493" s="623"/>
    </row>
    <row r="494" spans="1:65" ht="12.75" customHeight="1">
      <c r="A494" s="410" t="str">
        <f>$A$14</f>
        <v>3Q</v>
      </c>
      <c r="B494" s="562" t="str">
        <f>$B$14</f>
        <v>Oct</v>
      </c>
      <c r="D494" s="645">
        <f>(W494/W487-1)*100</f>
        <v>9.318423855165058</v>
      </c>
      <c r="F494" s="656">
        <f>segSales!M236</f>
        <v>0</v>
      </c>
      <c r="G494" s="682">
        <v>-1</v>
      </c>
      <c r="I494" s="645">
        <f>D494-F494</f>
        <v>9.318423855165058</v>
      </c>
      <c r="K494" s="454">
        <v>177</v>
      </c>
      <c r="L494" s="454">
        <v>167</v>
      </c>
      <c r="M494" s="454">
        <v>7</v>
      </c>
      <c r="N494" s="454">
        <v>3</v>
      </c>
      <c r="O494" s="454"/>
      <c r="P494" s="587">
        <f>AVERAGE(K494,K493)</f>
        <v>175.5</v>
      </c>
      <c r="R494" s="645">
        <f>+(P494/P487-1)*100</f>
        <v>8.333333333333325</v>
      </c>
      <c r="S494" s="563"/>
      <c r="T494" s="595">
        <f>I494/R494*100</f>
        <v>111.82108626198082</v>
      </c>
      <c r="U494" s="416"/>
      <c r="W494" s="647">
        <v>266.89</v>
      </c>
      <c r="X494" s="539">
        <f>+X487*(1+(G494+(R494*T494/100))/100)</f>
        <v>206.31705467716731</v>
      </c>
      <c r="Z494" s="585">
        <f t="shared" si="61"/>
        <v>1.5207407407407407</v>
      </c>
      <c r="AB494" s="599">
        <f>(Z494/Z487-1)*100</f>
        <v>29.341352525190324</v>
      </c>
      <c r="AC494" s="563"/>
      <c r="AE494" s="600">
        <f>AE487*1.06</f>
        <v>1.6806893600000004</v>
      </c>
      <c r="AF494" s="454"/>
      <c r="AG494" s="582">
        <f>AVERAGE(AE494,AE493)</f>
        <v>1.6331226800000003</v>
      </c>
      <c r="AI494" s="539">
        <f>(AG494/AG487-1)*100</f>
        <v>4.0461336354033595</v>
      </c>
      <c r="AJ494" s="563"/>
      <c r="AK494" s="595">
        <f>+I494/AI494*100</f>
        <v>230.304401555835</v>
      </c>
      <c r="AL494" s="416"/>
      <c r="AN494" s="584">
        <f t="shared" si="62"/>
        <v>266.89</v>
      </c>
      <c r="AP494" s="586">
        <f>W494/AG494</f>
        <v>163.42311772928164</v>
      </c>
      <c r="AR494" s="586">
        <f>AN494/AG494</f>
        <v>163.42311772928164</v>
      </c>
      <c r="AT494" s="599">
        <f t="shared" ref="AT494:AT496" si="63">(AP494/AP487-1)*100</f>
        <v>5.0672620265129531</v>
      </c>
      <c r="AU494" s="563"/>
      <c r="AV494" s="579">
        <f>W494-X494</f>
        <v>60.57294532283268</v>
      </c>
      <c r="AW494" s="458">
        <f>AV494/AV487-1</f>
        <v>0.12867564920164964</v>
      </c>
      <c r="BJ494" s="623"/>
      <c r="BK494" s="623"/>
      <c r="BL494" s="623"/>
      <c r="BM494" s="623"/>
    </row>
    <row r="495" spans="1:65" ht="12.75" customHeight="1">
      <c r="A495" s="410" t="str">
        <f>$A$15</f>
        <v>4Q</v>
      </c>
      <c r="B495" s="562" t="str">
        <f>$B$15</f>
        <v>Jan</v>
      </c>
      <c r="D495" s="646">
        <f>(W495/W488-1)*100</f>
        <v>11.896469896189155</v>
      </c>
      <c r="F495" s="658">
        <f>segSales!M237</f>
        <v>0</v>
      </c>
      <c r="G495" s="683">
        <v>1.5</v>
      </c>
      <c r="I495" s="646">
        <f>D495-F495</f>
        <v>11.896469896189155</v>
      </c>
      <c r="K495" s="454">
        <v>180</v>
      </c>
      <c r="L495" s="454">
        <v>169</v>
      </c>
      <c r="M495" s="454">
        <v>8</v>
      </c>
      <c r="N495" s="454">
        <v>3</v>
      </c>
      <c r="O495" s="454"/>
      <c r="P495" s="588">
        <f>AVERAGE(K495,K494)</f>
        <v>178.5</v>
      </c>
      <c r="R495" s="646">
        <f>+(P495/P488-1)*100</f>
        <v>7.5301204819277157</v>
      </c>
      <c r="S495" s="563"/>
      <c r="T495" s="598">
        <f>I495/R495*100</f>
        <v>157.98512022139187</v>
      </c>
      <c r="U495" s="416"/>
      <c r="W495" s="649">
        <v>334.79199999999997</v>
      </c>
      <c r="X495" s="596">
        <f>+X488*(1+(G495+(R495*T495/100))/100)</f>
        <v>269.33091643226766</v>
      </c>
      <c r="Z495" s="590">
        <f t="shared" si="61"/>
        <v>1.8755854341736693</v>
      </c>
      <c r="AB495" s="597">
        <f>(Z495/Z488-1)*100</f>
        <v>31.086589786522655</v>
      </c>
      <c r="AC495" s="563"/>
      <c r="AE495" s="600">
        <f>AE488*1.05</f>
        <v>1.6992374000000001</v>
      </c>
      <c r="AF495" s="454"/>
      <c r="AG495" s="591">
        <f>AVERAGE(AE495,AE494)</f>
        <v>1.6899633800000002</v>
      </c>
      <c r="AI495" s="596">
        <f>(AG495/AG488-1)*100</f>
        <v>5.4948866123879947</v>
      </c>
      <c r="AJ495" s="563"/>
      <c r="AK495" s="598">
        <f>+I495/AI495*100</f>
        <v>216.50073487174524</v>
      </c>
      <c r="AL495" s="416"/>
      <c r="AN495" s="589">
        <f t="shared" si="62"/>
        <v>334.79199999999997</v>
      </c>
      <c r="AP495" s="592">
        <f>W495/AG495</f>
        <v>198.10606783680717</v>
      </c>
      <c r="AR495" s="592">
        <f>AN495/AG495</f>
        <v>198.10606783680717</v>
      </c>
      <c r="AT495" s="597">
        <f t="shared" si="63"/>
        <v>6.0681455655021477</v>
      </c>
      <c r="AU495" s="563"/>
      <c r="AV495" s="626">
        <f>W495-X495</f>
        <v>65.461083567732317</v>
      </c>
      <c r="AW495" s="625">
        <f>AV495/AV488-1</f>
        <v>6.1208896125015677E-2</v>
      </c>
      <c r="BJ495" s="623"/>
      <c r="BK495" s="623"/>
      <c r="BL495" s="623"/>
      <c r="BM495" s="623"/>
    </row>
    <row r="496" spans="1:65" ht="12.75" customHeight="1">
      <c r="B496" s="562" t="str">
        <f>$B$16</f>
        <v>Year</v>
      </c>
      <c r="D496" s="618">
        <f>(W496/W489-1)*100</f>
        <v>7.0925061630884745</v>
      </c>
      <c r="F496" s="656">
        <f>F492*W492/W496+F493*W493/W496+F494*W494/W496+F495*W495/W496</f>
        <v>0</v>
      </c>
      <c r="G496" s="661">
        <f>G492*X492/X496+G493*X493/X496+G494*X494/X496+G495*X495/X496</f>
        <v>-1.8317056110966876</v>
      </c>
      <c r="I496" s="618">
        <f>D496-F496</f>
        <v>7.0925061630884745</v>
      </c>
      <c r="K496" s="410">
        <f>K495</f>
        <v>180</v>
      </c>
      <c r="L496" s="410">
        <f>L495</f>
        <v>169</v>
      </c>
      <c r="M496" s="410">
        <f>M495</f>
        <v>8</v>
      </c>
      <c r="N496" s="410">
        <f>N495</f>
        <v>3</v>
      </c>
      <c r="P496" s="587">
        <f>AVERAGE(P492:P495)</f>
        <v>173.75</v>
      </c>
      <c r="R496" s="618">
        <f>+(P496/P489-1)*100</f>
        <v>8.5089773614363864</v>
      </c>
      <c r="S496" s="563"/>
      <c r="T496" s="595">
        <f>I496/R496*100</f>
        <v>83.353214632259878</v>
      </c>
      <c r="U496" s="416"/>
      <c r="W496" s="579">
        <f>SUM(W492:W495)</f>
        <v>1118.6079999999999</v>
      </c>
      <c r="X496" s="579">
        <f>SUM(X492:X495)</f>
        <v>882.82804410943504</v>
      </c>
      <c r="Z496" s="580">
        <f t="shared" si="61"/>
        <v>6.4380316546762586</v>
      </c>
      <c r="AB496" s="599">
        <f>(Z496/Z489-1)*100</f>
        <v>23.795006947158903</v>
      </c>
      <c r="AC496" s="563"/>
      <c r="AG496" s="582">
        <f>AVERAGE(AG492:AG495)</f>
        <v>1.6291460150000001</v>
      </c>
      <c r="AI496" s="539">
        <f>(AG496/AG489-1)*100</f>
        <v>5.6495512944530812</v>
      </c>
      <c r="AJ496" s="563"/>
      <c r="AK496" s="595">
        <f>+I496/AI496*100</f>
        <v>125.54105261513662</v>
      </c>
      <c r="AL496" s="416"/>
      <c r="AN496" s="579">
        <f t="shared" si="62"/>
        <v>1118.6079999999999</v>
      </c>
      <c r="AP496" s="583">
        <f>SUM(AP492:AP495)</f>
        <v>684.99721091458002</v>
      </c>
      <c r="AR496" s="583">
        <f>SUM(AR492:AR495)</f>
        <v>684.99721091458002</v>
      </c>
      <c r="AT496" s="599">
        <f t="shared" si="63"/>
        <v>1.2876778122063559</v>
      </c>
      <c r="AU496" s="563"/>
      <c r="AV496" s="579">
        <f>SUM(AV492:AV495)</f>
        <v>235.77995589056496</v>
      </c>
      <c r="AW496" s="458">
        <f>AV496/AV489-1</f>
        <v>0.11821395583240424</v>
      </c>
      <c r="BJ496" s="623"/>
      <c r="BK496" s="623"/>
      <c r="BL496" s="623"/>
      <c r="BM496" s="623"/>
    </row>
    <row r="497" spans="1:65" ht="12.75" customHeight="1">
      <c r="B497" s="562"/>
      <c r="D497" s="618"/>
      <c r="F497" s="656"/>
      <c r="G497" s="661"/>
      <c r="I497" s="618"/>
      <c r="P497" s="587"/>
      <c r="R497" s="618"/>
      <c r="S497" s="563"/>
      <c r="T497" s="595"/>
      <c r="U497" s="416"/>
      <c r="X497" s="579"/>
      <c r="Z497" s="580"/>
      <c r="AB497" s="599"/>
      <c r="AC497" s="563"/>
      <c r="AG497" s="582"/>
      <c r="AI497" s="539"/>
      <c r="AJ497" s="563"/>
      <c r="AK497" s="595"/>
      <c r="AL497" s="416"/>
      <c r="AN497" s="579"/>
      <c r="AP497" s="583"/>
      <c r="AR497" s="583"/>
      <c r="AT497" s="599"/>
      <c r="AU497" s="563"/>
      <c r="AV497" s="579"/>
      <c r="AW497" s="631"/>
      <c r="BJ497" s="623"/>
      <c r="BK497" s="623"/>
      <c r="BL497" s="623"/>
      <c r="BM497" s="623"/>
    </row>
    <row r="498" spans="1:65" ht="12.75" customHeight="1">
      <c r="A498" s="593"/>
      <c r="B498" s="431">
        <f>B321</f>
        <v>2013</v>
      </c>
      <c r="D498" s="618"/>
      <c r="F498" s="563"/>
      <c r="G498" s="661"/>
      <c r="I498" s="618"/>
      <c r="P498" s="587"/>
      <c r="R498" s="618"/>
      <c r="S498" s="563"/>
      <c r="T498" s="595"/>
      <c r="U498" s="416"/>
      <c r="X498" s="579"/>
      <c r="Z498" s="580"/>
      <c r="AB498" s="599"/>
      <c r="AC498" s="563"/>
      <c r="AG498" s="582"/>
      <c r="AI498" s="539"/>
      <c r="AJ498" s="563"/>
      <c r="AK498" s="595"/>
      <c r="AL498" s="416"/>
      <c r="AN498" s="579"/>
      <c r="AP498" s="583"/>
      <c r="AR498" s="583"/>
      <c r="AT498" s="599"/>
      <c r="AU498" s="563"/>
      <c r="AV498" s="579"/>
      <c r="AW498" s="631"/>
      <c r="BJ498" s="623"/>
      <c r="BK498" s="623"/>
      <c r="BL498" s="623"/>
      <c r="BM498" s="623"/>
    </row>
    <row r="499" spans="1:65" ht="12.75" customHeight="1">
      <c r="A499" s="410" t="str">
        <f>$A$12</f>
        <v>1Q</v>
      </c>
      <c r="B499" s="562" t="str">
        <f>$B$12</f>
        <v>Apr</v>
      </c>
      <c r="D499" s="645">
        <f>(W499/W492-1)*100</f>
        <v>12.738284606027616</v>
      </c>
      <c r="E499" s="563" t="s">
        <v>208</v>
      </c>
      <c r="F499" s="656">
        <f>segSales!N130</f>
        <v>8</v>
      </c>
      <c r="G499" s="682">
        <v>-2</v>
      </c>
      <c r="H499" s="563" t="s">
        <v>208</v>
      </c>
      <c r="I499" s="645">
        <f>D499-F499</f>
        <v>4.7382846060276158</v>
      </c>
      <c r="J499" s="563" t="s">
        <v>208</v>
      </c>
      <c r="K499" s="454">
        <v>182</v>
      </c>
      <c r="L499" s="454">
        <v>171</v>
      </c>
      <c r="M499" s="454">
        <v>8</v>
      </c>
      <c r="N499" s="454">
        <v>3</v>
      </c>
      <c r="P499" s="587">
        <f>+AVERAGE(K495,K499)</f>
        <v>181</v>
      </c>
      <c r="R499" s="645">
        <f>+(P499/P492-1)*100</f>
        <v>7.1005917159763232</v>
      </c>
      <c r="S499" s="563" t="s">
        <v>208</v>
      </c>
      <c r="T499" s="595">
        <f>I499/R499*100</f>
        <v>66.730841534888995</v>
      </c>
      <c r="U499" s="416" t="s">
        <v>208</v>
      </c>
      <c r="W499" s="647">
        <v>265.06799999999998</v>
      </c>
      <c r="X499" s="539">
        <f>+X492*(1+(G499+I499)/100)</f>
        <v>191.13441769316682</v>
      </c>
      <c r="Z499" s="580">
        <f>W499/P499</f>
        <v>1.46446408839779</v>
      </c>
      <c r="AB499" s="599">
        <f>(Z499/Z492-1)*100</f>
        <v>5.2639231956832289</v>
      </c>
      <c r="AC499" s="563" t="s">
        <v>208</v>
      </c>
      <c r="AE499" s="581">
        <f>1.290645/0.75</f>
        <v>1.7208600000000001</v>
      </c>
      <c r="AG499" s="582">
        <f>AVERAGE(AE499,AE492)</f>
        <v>1.6809646666666667</v>
      </c>
      <c r="AI499" s="539">
        <f>(AG499/AG492-1)*100</f>
        <v>6.3776907181351872</v>
      </c>
      <c r="AJ499" s="563" t="s">
        <v>208</v>
      </c>
      <c r="AK499" s="595">
        <f>+I499/AI499*100</f>
        <v>74.294675227102772</v>
      </c>
      <c r="AL499" s="416" t="s">
        <v>208</v>
      </c>
      <c r="AN499" s="579">
        <f>W499</f>
        <v>265.06799999999998</v>
      </c>
      <c r="AP499" s="583">
        <f>W499/AG499</f>
        <v>157.68802596286972</v>
      </c>
      <c r="AR499" s="583">
        <f>AN499/AG499</f>
        <v>157.68802596286972</v>
      </c>
      <c r="AT499" s="599">
        <f>(AP499/AP492-1)*100</f>
        <v>5.9792554669623632</v>
      </c>
      <c r="AU499" s="563" t="s">
        <v>208</v>
      </c>
      <c r="AV499" s="579">
        <f>W499-X499</f>
        <v>73.933582306833159</v>
      </c>
      <c r="AW499" s="458">
        <f>AV499/AV492-1</f>
        <v>0.50645397157117311</v>
      </c>
      <c r="BJ499" s="623"/>
      <c r="BK499" s="623"/>
      <c r="BL499" s="623"/>
      <c r="BM499" s="623"/>
    </row>
    <row r="500" spans="1:65" ht="12.75" customHeight="1">
      <c r="A500" s="410" t="str">
        <f>$A$13</f>
        <v>2Q</v>
      </c>
      <c r="B500" s="562" t="str">
        <f>$B$13</f>
        <v>Jul</v>
      </c>
      <c r="D500" s="645">
        <f>(W500/W493-1)*100</f>
        <v>11.808039516266389</v>
      </c>
      <c r="F500" s="656">
        <f>segSales!N131</f>
        <v>9</v>
      </c>
      <c r="G500" s="682">
        <v>-2</v>
      </c>
      <c r="I500" s="645">
        <f>D500-F500</f>
        <v>2.8080395162663887</v>
      </c>
      <c r="K500" s="454">
        <v>182</v>
      </c>
      <c r="L500" s="454">
        <v>171</v>
      </c>
      <c r="M500" s="454">
        <v>8</v>
      </c>
      <c r="N500" s="454">
        <v>3</v>
      </c>
      <c r="P500" s="587">
        <f>AVERAGE(K500,K499)</f>
        <v>182</v>
      </c>
      <c r="R500" s="645">
        <f>+(P500/P493-1)*100</f>
        <v>5.8139534883721034</v>
      </c>
      <c r="S500" s="563"/>
      <c r="T500" s="595">
        <f>I500/R500*100</f>
        <v>48.2982796797818</v>
      </c>
      <c r="U500" s="416"/>
      <c r="W500" s="647">
        <v>315.084</v>
      </c>
      <c r="X500" s="539">
        <f>+X493*(1+(G500+I500)/100)</f>
        <v>222.92686128729687</v>
      </c>
      <c r="Z500" s="585">
        <f t="shared" ref="Z500:Z503" si="64">W500/P500</f>
        <v>1.7312307692307694</v>
      </c>
      <c r="AB500" s="599">
        <f>(Z500/Z493-1)*100</f>
        <v>5.6647406417462687</v>
      </c>
      <c r="AC500" s="563"/>
      <c r="AE500" s="581">
        <f>1.288829/0.75</f>
        <v>1.7184386666666667</v>
      </c>
      <c r="AG500" s="582">
        <f>AVERAGE(AE500,AE499)</f>
        <v>1.7196493333333334</v>
      </c>
      <c r="AI500" s="539">
        <f>(AG500/AG493-1)*100</f>
        <v>6.5912001352083305</v>
      </c>
      <c r="AJ500" s="563"/>
      <c r="AK500" s="595">
        <f>+I500/AI500*100</f>
        <v>42.602856212279676</v>
      </c>
      <c r="AL500" s="416"/>
      <c r="AN500" s="584">
        <f t="shared" ref="AN500:AN503" si="65">W500</f>
        <v>315.084</v>
      </c>
      <c r="AP500" s="586">
        <f>W500/AG500</f>
        <v>183.22572741574444</v>
      </c>
      <c r="AR500" s="586">
        <f>AN500/AG500</f>
        <v>183.22572741574444</v>
      </c>
      <c r="AT500" s="599">
        <f>(AP500/AP493-1)*100</f>
        <v>4.8942495951266318</v>
      </c>
      <c r="AU500" s="563"/>
      <c r="AV500" s="579">
        <f>W500-X500</f>
        <v>92.15713871270313</v>
      </c>
      <c r="AW500" s="458">
        <f>AV500/AV493-1</f>
        <v>0.51903940311606211</v>
      </c>
      <c r="BJ500" s="623"/>
      <c r="BK500" s="623"/>
      <c r="BL500" s="623"/>
      <c r="BM500" s="623"/>
    </row>
    <row r="501" spans="1:65" ht="12.75" customHeight="1">
      <c r="A501" s="410" t="str">
        <f>$A$14</f>
        <v>3Q</v>
      </c>
      <c r="B501" s="562" t="str">
        <f>$B$14</f>
        <v>Oct</v>
      </c>
      <c r="D501" s="645">
        <f>(W501/W494-1)*100</f>
        <v>16.201805987485486</v>
      </c>
      <c r="F501" s="656">
        <f>segSales!N132</f>
        <v>13</v>
      </c>
      <c r="G501" s="682">
        <v>-2</v>
      </c>
      <c r="I501" s="645">
        <f>D501-F501</f>
        <v>3.2018059874854856</v>
      </c>
      <c r="K501" s="454">
        <v>185</v>
      </c>
      <c r="L501" s="454">
        <v>173</v>
      </c>
      <c r="M501" s="454">
        <v>8</v>
      </c>
      <c r="N501" s="454">
        <v>4</v>
      </c>
      <c r="P501" s="587">
        <f>AVERAGE(K501,K500)</f>
        <v>183.5</v>
      </c>
      <c r="R501" s="645">
        <f>+(P501/P494-1)*100</f>
        <v>4.5584045584045496</v>
      </c>
      <c r="S501" s="563"/>
      <c r="T501" s="595">
        <f>I501/R501*100</f>
        <v>70.239618850462975</v>
      </c>
      <c r="U501" s="416"/>
      <c r="W501" s="647">
        <v>310.13099999999997</v>
      </c>
      <c r="X501" s="539">
        <f>+X494*(1+(G501+I501)/100)</f>
        <v>208.79658539348122</v>
      </c>
      <c r="Z501" s="585">
        <f t="shared" si="64"/>
        <v>1.6900871934604904</v>
      </c>
      <c r="AB501" s="599">
        <f>(Z501/Z494-1)*100</f>
        <v>11.13578719784034</v>
      </c>
      <c r="AC501" s="563"/>
      <c r="AE501" s="581">
        <f>1.307492/0.75</f>
        <v>1.7433226666666668</v>
      </c>
      <c r="AG501" s="582">
        <f>AVERAGE(AE501,AE500)</f>
        <v>1.7308806666666667</v>
      </c>
      <c r="AI501" s="539">
        <f>(AG501/AG494-1)*100</f>
        <v>5.9859548742943414</v>
      </c>
      <c r="AJ501" s="563"/>
      <c r="AK501" s="595">
        <f>+I501/AI501*100</f>
        <v>53.488642242110672</v>
      </c>
      <c r="AL501" s="416"/>
      <c r="AN501" s="584">
        <f t="shared" si="65"/>
        <v>310.13099999999997</v>
      </c>
      <c r="AP501" s="586">
        <f>W501/AG501</f>
        <v>179.1752637674617</v>
      </c>
      <c r="AR501" s="586">
        <f>AN501/AG501</f>
        <v>179.1752637674617</v>
      </c>
      <c r="AT501" s="599">
        <f t="shared" ref="AT501:AT503" si="66">(AP501/AP494-1)*100</f>
        <v>9.6388725518468341</v>
      </c>
      <c r="AU501" s="563"/>
      <c r="AV501" s="579">
        <f>W501-X501</f>
        <v>101.33441460651875</v>
      </c>
      <c r="AW501" s="458">
        <f>AV501/AV494-1</f>
        <v>0.67293193465237078</v>
      </c>
      <c r="BJ501" s="623"/>
      <c r="BK501" s="623"/>
      <c r="BL501" s="623"/>
      <c r="BM501" s="623"/>
    </row>
    <row r="502" spans="1:65" ht="12.75" customHeight="1">
      <c r="A502" s="410" t="str">
        <f>$A$15</f>
        <v>4Q</v>
      </c>
      <c r="B502" s="562" t="str">
        <f>$B$15</f>
        <v>Jan</v>
      </c>
      <c r="D502" s="646">
        <f>(W502/W495-1)*100</f>
        <v>11.698905589141928</v>
      </c>
      <c r="F502" s="658">
        <f>segSales!N133</f>
        <v>10</v>
      </c>
      <c r="G502" s="683">
        <v>-2</v>
      </c>
      <c r="I502" s="646">
        <f>D502-F502</f>
        <v>1.698905589141928</v>
      </c>
      <c r="K502" s="454">
        <v>187</v>
      </c>
      <c r="L502" s="454">
        <v>174</v>
      </c>
      <c r="M502" s="454">
        <v>9</v>
      </c>
      <c r="N502" s="454">
        <v>4</v>
      </c>
      <c r="P502" s="588">
        <f>AVERAGE(K502,K501)</f>
        <v>186</v>
      </c>
      <c r="R502" s="646">
        <f>+(P502/P495-1)*100</f>
        <v>4.2016806722689148</v>
      </c>
      <c r="S502" s="563"/>
      <c r="T502" s="598">
        <f>I502/R502*100</f>
        <v>40.433953021577821</v>
      </c>
      <c r="U502" s="416"/>
      <c r="W502" s="649">
        <v>373.959</v>
      </c>
      <c r="X502" s="596">
        <f>+X495*(1+(G502+I502)/100)</f>
        <v>268.51997609617729</v>
      </c>
      <c r="Z502" s="590">
        <f t="shared" si="64"/>
        <v>2.010532258064516</v>
      </c>
      <c r="AB502" s="597">
        <f>(Z502/Z495-1)*100</f>
        <v>7.1949174605474786</v>
      </c>
      <c r="AC502" s="563"/>
      <c r="AE502" s="664">
        <f>1.317622/0.75</f>
        <v>1.7568293333333334</v>
      </c>
      <c r="AG502" s="591">
        <f>AVERAGE(AE502,AE501)</f>
        <v>1.750076</v>
      </c>
      <c r="AI502" s="596">
        <f>(AG502/AG495-1)*100</f>
        <v>3.5570368394609586</v>
      </c>
      <c r="AJ502" s="563"/>
      <c r="AK502" s="598">
        <f>+I502/AI502*100</f>
        <v>47.761821589662929</v>
      </c>
      <c r="AL502" s="416"/>
      <c r="AN502" s="589">
        <f t="shared" si="65"/>
        <v>373.959</v>
      </c>
      <c r="AP502" s="592">
        <f>W502/AG502</f>
        <v>213.68157725721628</v>
      </c>
      <c r="AR502" s="592">
        <f>AN502/AG502</f>
        <v>213.68157725721628</v>
      </c>
      <c r="AT502" s="597">
        <f t="shared" si="66"/>
        <v>7.8622071451338149</v>
      </c>
      <c r="AU502" s="563"/>
      <c r="AV502" s="626">
        <f>W502-X502</f>
        <v>105.43902390382272</v>
      </c>
      <c r="AW502" s="625">
        <f>AV502/AV495-1</f>
        <v>0.61071308565684501</v>
      </c>
      <c r="BJ502" s="623"/>
      <c r="BK502" s="623"/>
      <c r="BL502" s="623"/>
      <c r="BM502" s="623"/>
    </row>
    <row r="503" spans="1:65" ht="12.75" customHeight="1">
      <c r="B503" s="562" t="str">
        <f>$B$16</f>
        <v>Year</v>
      </c>
      <c r="D503" s="618">
        <f>(W503/W496-1)*100</f>
        <v>13.019216740806439</v>
      </c>
      <c r="F503" s="661">
        <f>F499*W499/W503+F500*W500/W503+F501*W501/W503+F502*W502/W503</f>
        <v>10.06737080400746</v>
      </c>
      <c r="G503" s="661">
        <f>G499*X499/X503+G500*X500/X503+G501*X501/X503+G502*X502/X503</f>
        <v>-2</v>
      </c>
      <c r="I503" s="618">
        <f>D503-F503</f>
        <v>2.9518459367989784</v>
      </c>
      <c r="K503" s="410">
        <f>K502</f>
        <v>187</v>
      </c>
      <c r="L503" s="410">
        <f>L502</f>
        <v>174</v>
      </c>
      <c r="M503" s="410">
        <f>M502</f>
        <v>9</v>
      </c>
      <c r="N503" s="410">
        <f>N502</f>
        <v>4</v>
      </c>
      <c r="P503" s="587">
        <f>AVERAGE(P499:P502)</f>
        <v>183.125</v>
      </c>
      <c r="R503" s="618">
        <f>+(P503/P496-1)*100</f>
        <v>5.3956834532374209</v>
      </c>
      <c r="S503" s="563"/>
      <c r="T503" s="595">
        <f>I503/R503*100</f>
        <v>54.707544695340957</v>
      </c>
      <c r="U503" s="416"/>
      <c r="W503" s="579">
        <f>SUM(W499:W502)</f>
        <v>1264.242</v>
      </c>
      <c r="X503" s="579">
        <f>SUM(X499:X502)</f>
        <v>891.37784047012224</v>
      </c>
      <c r="Z503" s="580">
        <f t="shared" si="64"/>
        <v>6.9037105802047778</v>
      </c>
      <c r="AB503" s="599">
        <f>(Z503/Z496-1)*100</f>
        <v>7.2332500134614008</v>
      </c>
      <c r="AC503" s="563"/>
      <c r="AG503" s="582">
        <f>AVERAGE(AG499:AG502)</f>
        <v>1.7203926666666667</v>
      </c>
      <c r="AI503" s="539">
        <f>(AG503/AG496-1)*100</f>
        <v>5.6008884916719071</v>
      </c>
      <c r="AJ503" s="563"/>
      <c r="AK503" s="595">
        <f>+I503/AI503*100</f>
        <v>52.703172741041847</v>
      </c>
      <c r="AL503" s="416"/>
      <c r="AN503" s="579">
        <f t="shared" si="65"/>
        <v>1264.242</v>
      </c>
      <c r="AP503" s="583">
        <f>SUM(AP499:AP502)</f>
        <v>733.77059440329219</v>
      </c>
      <c r="AR503" s="583">
        <f>SUM(AR499:AR502)</f>
        <v>733.77059440329219</v>
      </c>
      <c r="AT503" s="599">
        <f t="shared" si="66"/>
        <v>7.1202309602971914</v>
      </c>
      <c r="AU503" s="563"/>
      <c r="AV503" s="579">
        <f>SUM(AV499:AV502)</f>
        <v>372.86415952987778</v>
      </c>
      <c r="AW503" s="458">
        <f>AV503/AV496-1</f>
        <v>0.58140736824524275</v>
      </c>
      <c r="BJ503" s="623"/>
      <c r="BK503" s="623"/>
      <c r="BL503" s="623"/>
      <c r="BM503" s="623"/>
    </row>
    <row r="504" spans="1:65" ht="12.75" customHeight="1">
      <c r="B504" s="562"/>
      <c r="F504" s="563"/>
      <c r="G504" s="677"/>
      <c r="X504" s="482"/>
      <c r="BJ504" s="623"/>
      <c r="BK504" s="623"/>
      <c r="BL504" s="623"/>
      <c r="BM504" s="623"/>
    </row>
    <row r="505" spans="1:65" ht="12.75" customHeight="1">
      <c r="A505" s="593"/>
      <c r="B505" s="431">
        <f>B328</f>
        <v>2014</v>
      </c>
      <c r="D505" s="618"/>
      <c r="F505" s="563"/>
      <c r="G505" s="661"/>
      <c r="I505" s="618"/>
      <c r="P505" s="587"/>
      <c r="R505" s="618"/>
      <c r="S505" s="563"/>
      <c r="T505" s="595"/>
      <c r="U505" s="416"/>
      <c r="X505" s="579"/>
      <c r="Z505" s="580"/>
      <c r="AB505" s="599"/>
      <c r="AC505" s="563"/>
      <c r="AG505" s="582"/>
      <c r="AI505" s="539"/>
      <c r="AJ505" s="563"/>
      <c r="AK505" s="595"/>
      <c r="AL505" s="416"/>
      <c r="AN505" s="579"/>
      <c r="AP505" s="583"/>
      <c r="AR505" s="583"/>
      <c r="AT505" s="599"/>
      <c r="AU505" s="563"/>
      <c r="AV505" s="579"/>
      <c r="AW505" s="631"/>
      <c r="BJ505" s="623"/>
      <c r="BK505" s="623"/>
      <c r="BL505" s="623"/>
      <c r="BM505" s="623"/>
    </row>
    <row r="506" spans="1:65" ht="12.75" customHeight="1">
      <c r="A506" s="410" t="str">
        <f>$A$12</f>
        <v>1Q</v>
      </c>
      <c r="B506" s="562" t="str">
        <f>$B$12</f>
        <v>Apr</v>
      </c>
      <c r="D506" s="645">
        <f>(W506/W499-1)*100</f>
        <v>11.608342010352079</v>
      </c>
      <c r="E506" s="563" t="s">
        <v>208</v>
      </c>
      <c r="F506" s="656">
        <f>segSales!N137</f>
        <v>8</v>
      </c>
      <c r="G506" s="682"/>
      <c r="H506" s="563" t="s">
        <v>208</v>
      </c>
      <c r="I506" s="645">
        <f>D506-F506</f>
        <v>3.6083420103520787</v>
      </c>
      <c r="J506" s="563" t="s">
        <v>208</v>
      </c>
      <c r="K506" s="454">
        <v>190</v>
      </c>
      <c r="L506" s="454">
        <v>177</v>
      </c>
      <c r="M506" s="454">
        <v>9</v>
      </c>
      <c r="N506" s="454">
        <v>4</v>
      </c>
      <c r="P506" s="587">
        <f>+AVERAGE(K502,K506)</f>
        <v>188.5</v>
      </c>
      <c r="R506" s="645">
        <f>+(P506/P499-1)*100</f>
        <v>4.143646408839774</v>
      </c>
      <c r="S506" s="563" t="s">
        <v>208</v>
      </c>
      <c r="T506" s="595">
        <f>I506/R506*100</f>
        <v>87.081320516496945</v>
      </c>
      <c r="U506" s="416" t="s">
        <v>208</v>
      </c>
      <c r="W506" s="647">
        <v>295.83800000000002</v>
      </c>
      <c r="X506" s="539">
        <f>+X499*(1+(G506+I506)/100)</f>
        <v>198.03120118303116</v>
      </c>
      <c r="Z506" s="580">
        <f>W506/P506</f>
        <v>1.5694323607427056</v>
      </c>
      <c r="AB506" s="599">
        <f>(Z506/Z499-1)*100</f>
        <v>7.1676917977385957</v>
      </c>
      <c r="AC506" s="563" t="s">
        <v>208</v>
      </c>
      <c r="AE506" s="581">
        <f>1.330413/0.75</f>
        <v>1.773884</v>
      </c>
      <c r="AG506" s="582">
        <f>AVERAGE(AE506,AE499)</f>
        <v>1.7473719999999999</v>
      </c>
      <c r="AI506" s="539">
        <f>(AG506/AG499-1)*100</f>
        <v>3.9505490299815982</v>
      </c>
      <c r="AJ506" s="563" t="s">
        <v>208</v>
      </c>
      <c r="AK506" s="595">
        <f>+I506/AI506*100</f>
        <v>91.337735159532656</v>
      </c>
      <c r="AL506" s="416" t="s">
        <v>208</v>
      </c>
      <c r="AN506" s="579">
        <f>W506</f>
        <v>295.83800000000002</v>
      </c>
      <c r="AP506" s="583">
        <f>W506/AG506</f>
        <v>169.30453274975221</v>
      </c>
      <c r="AR506" s="583">
        <f>AN506/AG506</f>
        <v>169.30453274975221</v>
      </c>
      <c r="AT506" s="599">
        <f>(AP506/AP499-1)*100</f>
        <v>7.3667653050700332</v>
      </c>
      <c r="AU506" s="563" t="s">
        <v>208</v>
      </c>
      <c r="AV506" s="579">
        <f>W506-X506</f>
        <v>97.806798816968865</v>
      </c>
      <c r="AW506" s="458">
        <f>AV506/AV499-1</f>
        <v>0.32290084918459683</v>
      </c>
      <c r="BJ506" s="623"/>
      <c r="BK506" s="623"/>
      <c r="BL506" s="623"/>
      <c r="BM506" s="623"/>
    </row>
    <row r="507" spans="1:65" ht="12.75" customHeight="1">
      <c r="A507" s="410" t="str">
        <f>$A$13</f>
        <v>2Q</v>
      </c>
      <c r="B507" s="562" t="str">
        <f>$B$13</f>
        <v>Jul</v>
      </c>
      <c r="D507" s="645">
        <f>(W507/W500-1)*100</f>
        <v>10.361998705107212</v>
      </c>
      <c r="F507" s="656">
        <f>segSales!N138</f>
        <v>6</v>
      </c>
      <c r="G507" s="682"/>
      <c r="I507" s="645">
        <f>D507-F507</f>
        <v>4.3619987051072115</v>
      </c>
      <c r="K507" s="454">
        <v>193</v>
      </c>
      <c r="L507" s="454">
        <v>178</v>
      </c>
      <c r="M507" s="454">
        <v>10</v>
      </c>
      <c r="N507" s="454">
        <v>5</v>
      </c>
      <c r="P507" s="587">
        <f>AVERAGE(K507,K506)</f>
        <v>191.5</v>
      </c>
      <c r="R507" s="645">
        <f>+(P507/P500-1)*100</f>
        <v>5.2197802197802234</v>
      </c>
      <c r="S507" s="563"/>
      <c r="T507" s="595">
        <f>I507/R507*100</f>
        <v>83.566712034685466</v>
      </c>
      <c r="U507" s="416"/>
      <c r="W507" s="647">
        <v>347.733</v>
      </c>
      <c r="X507" s="539">
        <f>+X500*(1+(G507+I507)/100)</f>
        <v>232.65092808998489</v>
      </c>
      <c r="Z507" s="585">
        <f t="shared" ref="Z507:Z510" si="67">W507/P507</f>
        <v>1.8158381201044387</v>
      </c>
      <c r="AB507" s="599">
        <f>(Z507/Z500-1)*100</f>
        <v>4.8871214847494127</v>
      </c>
      <c r="AC507" s="563"/>
      <c r="AE507" s="581">
        <f>1.351165/0.75</f>
        <v>1.8015533333333333</v>
      </c>
      <c r="AG507" s="582">
        <f>AVERAGE(AE507,AE506)</f>
        <v>1.7877186666666667</v>
      </c>
      <c r="AI507" s="539">
        <f>(AG507/AG500-1)*100</f>
        <v>3.9583263874727992</v>
      </c>
      <c r="AJ507" s="563"/>
      <c r="AK507" s="595">
        <f>+I507/AI507*100</f>
        <v>110.19805539310612</v>
      </c>
      <c r="AL507" s="416"/>
      <c r="AN507" s="584">
        <f t="shared" ref="AN507:AN510" si="68">W507</f>
        <v>347.733</v>
      </c>
      <c r="AP507" s="586">
        <f>W507/AG507</f>
        <v>194.51214918976811</v>
      </c>
      <c r="AR507" s="586">
        <f>AN507/AG507</f>
        <v>194.51214918976811</v>
      </c>
      <c r="AT507" s="599">
        <f>(AP507/AP500-1)*100</f>
        <v>6.159845526722596</v>
      </c>
      <c r="AU507" s="563"/>
      <c r="AV507" s="579">
        <f>W507-X507</f>
        <v>115.08207191001512</v>
      </c>
      <c r="AW507" s="458">
        <f>AV507/AV500-1</f>
        <v>0.24875916849783852</v>
      </c>
      <c r="BJ507" s="623"/>
      <c r="BK507" s="623"/>
      <c r="BL507" s="623"/>
      <c r="BM507" s="623"/>
    </row>
    <row r="508" spans="1:65" ht="12.75" customHeight="1">
      <c r="A508" s="410" t="str">
        <f>$A$14</f>
        <v>3Q</v>
      </c>
      <c r="B508" s="562" t="str">
        <f>$B$14</f>
        <v>Oct</v>
      </c>
      <c r="D508" s="645">
        <f>(W508/W501-1)*100</f>
        <v>5.6630907584214629</v>
      </c>
      <c r="F508" s="656">
        <f>segSales!N139</f>
        <v>2</v>
      </c>
      <c r="G508" s="682"/>
      <c r="I508" s="645">
        <f>D508-F508</f>
        <v>3.6630907584214629</v>
      </c>
      <c r="K508" s="454">
        <v>199</v>
      </c>
      <c r="L508" s="454">
        <v>182</v>
      </c>
      <c r="M508" s="454">
        <v>11</v>
      </c>
      <c r="N508" s="454">
        <v>6</v>
      </c>
      <c r="P508" s="587">
        <f>AVERAGE(K508,K507)</f>
        <v>196</v>
      </c>
      <c r="R508" s="645">
        <f>+(P508/P501-1)*100</f>
        <v>6.8119891008174394</v>
      </c>
      <c r="S508" s="563"/>
      <c r="T508" s="595">
        <f>I508/R508*100</f>
        <v>53.774172333627071</v>
      </c>
      <c r="U508" s="416"/>
      <c r="W508" s="666">
        <v>327.69400000000002</v>
      </c>
      <c r="X508" s="539">
        <f>+X501*(1+(G508+I508)/100)</f>
        <v>216.44499381692941</v>
      </c>
      <c r="Z508" s="585">
        <f t="shared" si="67"/>
        <v>1.6719081632653061</v>
      </c>
      <c r="AB508" s="599">
        <f>(Z508/Z501-1)*100</f>
        <v>-1.0756267644370654</v>
      </c>
      <c r="AC508" s="563"/>
      <c r="AE508" s="667">
        <f>1.383955/0.75</f>
        <v>1.8452733333333333</v>
      </c>
      <c r="AG508" s="582">
        <f>AVERAGE(AE508,AE507)</f>
        <v>1.8234133333333333</v>
      </c>
      <c r="AI508" s="539">
        <f>(AG508/AG501-1)*100</f>
        <v>5.3459876494470482</v>
      </c>
      <c r="AJ508" s="563"/>
      <c r="AK508" s="595">
        <f>+I508/AI508*100</f>
        <v>68.520374505548048</v>
      </c>
      <c r="AL508" s="416"/>
      <c r="AN508" s="584">
        <f t="shared" si="68"/>
        <v>327.69400000000002</v>
      </c>
      <c r="AP508" s="586">
        <f>W508/AG508</f>
        <v>179.71460118751645</v>
      </c>
      <c r="AR508" s="586">
        <f>AN508/AG508</f>
        <v>179.71460118751645</v>
      </c>
      <c r="AT508" s="599">
        <f t="shared" ref="AT508:AT510" si="69">(AP508/AP501-1)*100</f>
        <v>0.30101109311311269</v>
      </c>
      <c r="AU508" s="563"/>
      <c r="AV508" s="579">
        <f>W508-X508</f>
        <v>111.24900618307061</v>
      </c>
      <c r="AW508" s="458">
        <f>AV508/AV501-1</f>
        <v>9.7840320241155965E-2</v>
      </c>
      <c r="BJ508" s="623"/>
      <c r="BK508" s="623"/>
      <c r="BL508" s="623"/>
      <c r="BM508" s="623"/>
    </row>
    <row r="509" spans="1:65" ht="12.75" customHeight="1">
      <c r="A509" s="410" t="str">
        <f>$A$15</f>
        <v>4Q</v>
      </c>
      <c r="B509" s="562" t="str">
        <f>$B$15</f>
        <v>Jan</v>
      </c>
      <c r="D509" s="646">
        <f>(W509/W502-1)*100</f>
        <v>8.5581574450675149</v>
      </c>
      <c r="F509" s="684">
        <f>segSales!N140</f>
        <v>6</v>
      </c>
      <c r="G509" s="683"/>
      <c r="I509" s="646">
        <f>D509-F509</f>
        <v>2.5581574450675149</v>
      </c>
      <c r="K509" s="454">
        <v>204</v>
      </c>
      <c r="L509" s="454">
        <v>184</v>
      </c>
      <c r="M509" s="454">
        <v>12</v>
      </c>
      <c r="N509" s="454">
        <v>7</v>
      </c>
      <c r="P509" s="588">
        <f>AVERAGE(K509,K508)</f>
        <v>201.5</v>
      </c>
      <c r="R509" s="646">
        <f>+(P509/P502-1)*100</f>
        <v>8.333333333333325</v>
      </c>
      <c r="S509" s="563"/>
      <c r="T509" s="598">
        <f>I509/R509*100</f>
        <v>30.697889340810207</v>
      </c>
      <c r="U509" s="416"/>
      <c r="W509" s="670">
        <f>413.004-7.041</f>
        <v>405.96300000000002</v>
      </c>
      <c r="X509" s="596">
        <f>+X502*(1+(G509+I509)/100)</f>
        <v>275.38913985617512</v>
      </c>
      <c r="Z509" s="590">
        <f t="shared" si="67"/>
        <v>2.0147047146401986</v>
      </c>
      <c r="AB509" s="597">
        <f>(Z509/Z502-1)*100</f>
        <v>0.20752994929309487</v>
      </c>
      <c r="AC509" s="563"/>
      <c r="AE509" s="667">
        <f>1.413621/0.75</f>
        <v>1.8848279999999999</v>
      </c>
      <c r="AG509" s="591">
        <f>AVERAGE(AE509,AE508)</f>
        <v>1.8650506666666666</v>
      </c>
      <c r="AI509" s="596">
        <f>(AG509/AG502-1)*100</f>
        <v>6.5696956398845874</v>
      </c>
      <c r="AJ509" s="563"/>
      <c r="AK509" s="598">
        <f>+I509/AI509*100</f>
        <v>38.938751279997732</v>
      </c>
      <c r="AL509" s="416"/>
      <c r="AN509" s="589">
        <f t="shared" si="68"/>
        <v>405.96300000000002</v>
      </c>
      <c r="AP509" s="592">
        <f>W509/AG509</f>
        <v>217.66861740306609</v>
      </c>
      <c r="AR509" s="592">
        <f>AN509/AG509</f>
        <v>217.66861740306609</v>
      </c>
      <c r="AT509" s="597">
        <f t="shared" si="69"/>
        <v>1.8658792194567564</v>
      </c>
      <c r="AU509" s="563"/>
      <c r="AV509" s="626">
        <f>W509-X509</f>
        <v>130.5738601438249</v>
      </c>
      <c r="AW509" s="625">
        <f>AV509/AV502-1</f>
        <v>0.23838267189318052</v>
      </c>
      <c r="BJ509" s="623"/>
      <c r="BK509" s="623"/>
      <c r="BL509" s="623"/>
      <c r="BM509" s="623"/>
    </row>
    <row r="510" spans="1:65" ht="12.75" customHeight="1">
      <c r="B510" s="562" t="str">
        <f>$B$16</f>
        <v>Year</v>
      </c>
      <c r="D510" s="618">
        <f>(W510/W503-1)*100</f>
        <v>8.937054772741293</v>
      </c>
      <c r="F510" s="661">
        <f>F506*W506/W510+F507*W507/W510+F508*W508/W510+F509*W509/W510</f>
        <v>5.4778642316304929</v>
      </c>
      <c r="G510" s="661"/>
      <c r="I510" s="618">
        <f>D510-F510</f>
        <v>3.4591905411108002</v>
      </c>
      <c r="K510" s="410">
        <f>K509</f>
        <v>204</v>
      </c>
      <c r="L510" s="410">
        <f>L509</f>
        <v>184</v>
      </c>
      <c r="M510" s="410">
        <f>M509</f>
        <v>12</v>
      </c>
      <c r="N510" s="410">
        <f>N509</f>
        <v>7</v>
      </c>
      <c r="P510" s="587">
        <f>AVERAGE(P506:P509)</f>
        <v>194.375</v>
      </c>
      <c r="R510" s="618">
        <f>+(P510/P503-1)*100</f>
        <v>6.1433447098976135</v>
      </c>
      <c r="S510" s="563"/>
      <c r="T510" s="595">
        <f>I510/R510*100</f>
        <v>56.307934919192448</v>
      </c>
      <c r="U510" s="416"/>
      <c r="W510" s="579">
        <f>SUM(W506:W509)</f>
        <v>1377.2280000000001</v>
      </c>
      <c r="X510" s="579">
        <f>SUM(X506:X509)</f>
        <v>922.51626294612049</v>
      </c>
      <c r="Z510" s="580">
        <f t="shared" si="67"/>
        <v>7.0854173633440514</v>
      </c>
      <c r="AB510" s="599">
        <f>(Z510/Z503-1)*100</f>
        <v>2.6320162328398844</v>
      </c>
      <c r="AC510" s="563"/>
      <c r="AG510" s="582">
        <f>AVERAGE(AG506:AG509)</f>
        <v>1.8058886666666667</v>
      </c>
      <c r="AI510" s="539">
        <f>(AG510/AG503-1)*100</f>
        <v>4.9695631501180504</v>
      </c>
      <c r="AJ510" s="563"/>
      <c r="AK510" s="595">
        <f>+I510/AI510*100</f>
        <v>69.607537657080144</v>
      </c>
      <c r="AL510" s="416"/>
      <c r="AN510" s="579">
        <f t="shared" si="68"/>
        <v>1377.2280000000001</v>
      </c>
      <c r="AP510" s="583">
        <f>SUM(AP506:AP509)</f>
        <v>761.19990053010292</v>
      </c>
      <c r="AR510" s="583">
        <f>SUM(AR506:AR509)</f>
        <v>761.19990053010292</v>
      </c>
      <c r="AT510" s="599">
        <f t="shared" si="69"/>
        <v>3.7381310093403952</v>
      </c>
      <c r="AU510" s="563"/>
      <c r="AV510" s="579">
        <f>SUM(AV506:AV509)</f>
        <v>454.71173705387952</v>
      </c>
      <c r="AW510" s="458">
        <f>AV510/AV503-1</f>
        <v>0.2195104448418923</v>
      </c>
      <c r="BJ510" s="623"/>
      <c r="BK510" s="623"/>
      <c r="BL510" s="623"/>
      <c r="BM510" s="623"/>
    </row>
    <row r="511" spans="1:65" ht="12.75" customHeight="1">
      <c r="B511" s="562"/>
      <c r="F511" s="563"/>
      <c r="G511" s="677"/>
      <c r="X511" s="482"/>
      <c r="BJ511" s="623"/>
      <c r="BK511" s="623"/>
      <c r="BL511" s="623"/>
      <c r="BM511" s="623"/>
    </row>
    <row r="512" spans="1:65" ht="12.75" customHeight="1">
      <c r="A512" s="593"/>
      <c r="B512" s="431">
        <f>B335</f>
        <v>2015</v>
      </c>
      <c r="D512" s="618"/>
      <c r="F512" s="563"/>
      <c r="G512" s="661"/>
      <c r="I512" s="618"/>
      <c r="P512" s="587"/>
      <c r="R512" s="618"/>
      <c r="S512" s="563"/>
      <c r="T512" s="595"/>
      <c r="U512" s="416"/>
      <c r="X512" s="579"/>
      <c r="Z512" s="580"/>
      <c r="AB512" s="599"/>
      <c r="AC512" s="563"/>
      <c r="AG512" s="582"/>
      <c r="AI512" s="539"/>
      <c r="AJ512" s="563"/>
      <c r="AK512" s="595"/>
      <c r="AL512" s="416"/>
      <c r="AN512" s="579"/>
      <c r="AP512" s="583"/>
      <c r="AR512" s="583"/>
      <c r="AT512" s="599"/>
      <c r="AU512" s="563"/>
      <c r="AV512" s="579"/>
      <c r="AW512" s="631"/>
      <c r="BJ512" s="623"/>
      <c r="BK512" s="623"/>
      <c r="BL512" s="623"/>
      <c r="BM512" s="623"/>
    </row>
    <row r="513" spans="1:65" ht="12.75" customHeight="1">
      <c r="A513" s="410" t="str">
        <f>$A$12</f>
        <v>1Q</v>
      </c>
      <c r="B513" s="562" t="str">
        <f>$B$12</f>
        <v>Apr</v>
      </c>
      <c r="D513" s="645">
        <f>(W513/W506-1)*100</f>
        <v>5.2521988385535234</v>
      </c>
      <c r="E513" s="563" t="s">
        <v>208</v>
      </c>
      <c r="F513" s="656">
        <f>segSales!N144</f>
        <v>1</v>
      </c>
      <c r="G513" s="682"/>
      <c r="H513" s="563" t="s">
        <v>208</v>
      </c>
      <c r="I513" s="645">
        <f>D513-F513</f>
        <v>4.2521988385535234</v>
      </c>
      <c r="J513" s="563" t="s">
        <v>208</v>
      </c>
      <c r="K513" s="454">
        <v>204</v>
      </c>
      <c r="L513" s="454">
        <v>186</v>
      </c>
      <c r="M513" s="454">
        <v>12</v>
      </c>
      <c r="N513" s="454">
        <v>7</v>
      </c>
      <c r="P513" s="587">
        <f>+AVERAGE(K509,K513)</f>
        <v>204</v>
      </c>
      <c r="R513" s="645">
        <f>+(P513/P506-1)*100</f>
        <v>8.2228116710875376</v>
      </c>
      <c r="S513" s="563" t="s">
        <v>208</v>
      </c>
      <c r="T513" s="595">
        <f>I513/R513*100</f>
        <v>51.712224584989599</v>
      </c>
      <c r="U513" s="416" t="s">
        <v>208</v>
      </c>
      <c r="W513" s="647">
        <v>311.37599999999998</v>
      </c>
      <c r="X513" s="539">
        <f>+X506*(1+(G513+I513)/100)</f>
        <v>206.45188161970961</v>
      </c>
      <c r="Z513" s="580">
        <f>W513/P513</f>
        <v>1.5263529411764705</v>
      </c>
      <c r="AB513" s="599">
        <f>(Z513/Z506-1)*100</f>
        <v>-2.7449045045718656</v>
      </c>
      <c r="AC513" s="563" t="s">
        <v>208</v>
      </c>
      <c r="AE513" s="600">
        <f>AE509+(K513-K509)*yrSales!$W$59/1000000</f>
        <v>1.8848279999999999</v>
      </c>
      <c r="AG513" s="582">
        <f>AVERAGE(AE513,AE506)</f>
        <v>1.829356</v>
      </c>
      <c r="AI513" s="539">
        <f>(AG513/AG506-1)*100</f>
        <v>4.6918458118820672</v>
      </c>
      <c r="AJ513" s="563" t="s">
        <v>208</v>
      </c>
      <c r="AK513" s="595">
        <f>+I513/AI513*100</f>
        <v>90.629551972591656</v>
      </c>
      <c r="AL513" s="416" t="s">
        <v>208</v>
      </c>
      <c r="AN513" s="579">
        <f>W513</f>
        <v>311.37599999999998</v>
      </c>
      <c r="AP513" s="583">
        <f>W513/AG513</f>
        <v>170.21071896339475</v>
      </c>
      <c r="AR513" s="583">
        <f>AN513/AG513</f>
        <v>170.21071896339475</v>
      </c>
      <c r="AT513" s="599">
        <f>(AP513/AP506-1)*100</f>
        <v>0.53524037361833976</v>
      </c>
      <c r="AU513" s="563" t="s">
        <v>208</v>
      </c>
      <c r="AV513" s="579">
        <f>W513-X513</f>
        <v>104.92411838029037</v>
      </c>
      <c r="AW513" s="458">
        <f>AV513/AV506-1</f>
        <v>7.2769169928979416E-2</v>
      </c>
      <c r="BJ513" s="623"/>
      <c r="BK513" s="623"/>
      <c r="BL513" s="623"/>
      <c r="BM513" s="623"/>
    </row>
    <row r="514" spans="1:65" ht="12.75" customHeight="1">
      <c r="A514" s="410" t="str">
        <f>$A$13</f>
        <v>2Q</v>
      </c>
      <c r="B514" s="562" t="str">
        <f>$B$13</f>
        <v>Jul</v>
      </c>
      <c r="D514" s="645">
        <f>(W514/W507-1)*100</f>
        <v>6.5967279493174491</v>
      </c>
      <c r="F514" s="656">
        <f>segSales!N145</f>
        <v>2</v>
      </c>
      <c r="G514" s="682"/>
      <c r="I514" s="645">
        <f>D514-F514</f>
        <v>4.5967279493174491</v>
      </c>
      <c r="K514" s="454">
        <v>208</v>
      </c>
      <c r="L514" s="454"/>
      <c r="M514" s="454"/>
      <c r="N514" s="454"/>
      <c r="P514" s="587">
        <f>AVERAGE(K514,K513)</f>
        <v>206</v>
      </c>
      <c r="R514" s="645">
        <f>+(P514/P507-1)*100</f>
        <v>7.571801566579639</v>
      </c>
      <c r="S514" s="563"/>
      <c r="T514" s="595">
        <f>I514/R514*100</f>
        <v>60.708510503054548</v>
      </c>
      <c r="U514" s="416"/>
      <c r="W514" s="647">
        <v>370.67200000000003</v>
      </c>
      <c r="X514" s="539">
        <f>+X507*(1+(G514+I514)/100)</f>
        <v>243.34525832584364</v>
      </c>
      <c r="Z514" s="585">
        <f t="shared" ref="Z514:Z517" si="70">W514/P514</f>
        <v>1.7993786407766992</v>
      </c>
      <c r="AB514" s="599">
        <f>(Z514/Z507-1)*100</f>
        <v>-0.9064397946879077</v>
      </c>
      <c r="AC514" s="563"/>
      <c r="AE514" s="600">
        <f>AE513+(K514-K513)*yrSales!$W$59/1000000</f>
        <v>1.9381613333333332</v>
      </c>
      <c r="AG514" s="582">
        <f>AVERAGE(AE514,AE513)</f>
        <v>1.9114946666666666</v>
      </c>
      <c r="AI514" s="539">
        <f>(AG514/AG507-1)*100</f>
        <v>6.9236844872683001</v>
      </c>
      <c r="AJ514" s="563"/>
      <c r="AK514" s="595">
        <f>+I514/AI514*100</f>
        <v>66.391355033150305</v>
      </c>
      <c r="AL514" s="416"/>
      <c r="AN514" s="584">
        <f t="shared" ref="AN514:AN517" si="71">W514</f>
        <v>370.67200000000003</v>
      </c>
      <c r="AP514" s="586">
        <f>W514/AG514</f>
        <v>193.91736030652456</v>
      </c>
      <c r="AR514" s="586">
        <f>AN514/AG514</f>
        <v>193.91736030652456</v>
      </c>
      <c r="AT514" s="599">
        <f>(AP514/AP507-1)*100</f>
        <v>-0.3057849526217904</v>
      </c>
      <c r="AU514" s="563"/>
      <c r="AV514" s="579">
        <f>W514-X514</f>
        <v>127.32674167415638</v>
      </c>
      <c r="AW514" s="458">
        <f>AV514/AV507-1</f>
        <v>0.10639945528366579</v>
      </c>
      <c r="BJ514" s="623"/>
      <c r="BK514" s="623"/>
      <c r="BL514" s="623"/>
      <c r="BM514" s="623"/>
    </row>
    <row r="515" spans="1:65" ht="12.75" customHeight="1">
      <c r="A515" s="410" t="str">
        <f>$A$14</f>
        <v>3Q</v>
      </c>
      <c r="B515" s="562" t="str">
        <f>$B$14</f>
        <v>Oct</v>
      </c>
      <c r="D515" s="645">
        <f>(W515/W508-1)*100</f>
        <v>4.0946736894786007</v>
      </c>
      <c r="F515" s="656">
        <f>segSales!N146</f>
        <v>0</v>
      </c>
      <c r="G515" s="682"/>
      <c r="I515" s="645">
        <f>D515-F515</f>
        <v>4.0946736894786007</v>
      </c>
      <c r="K515" s="454">
        <v>214</v>
      </c>
      <c r="L515" s="454"/>
      <c r="M515" s="454"/>
      <c r="N515" s="454"/>
      <c r="P515" s="587">
        <f>AVERAGE(K515,K514)</f>
        <v>211</v>
      </c>
      <c r="R515" s="645">
        <f>+(P515/P508-1)*100</f>
        <v>7.6530612244897878</v>
      </c>
      <c r="S515" s="563"/>
      <c r="T515" s="595">
        <f>I515/R515*100</f>
        <v>53.503736209187103</v>
      </c>
      <c r="U515" s="416"/>
      <c r="W515" s="647">
        <v>341.11200000000002</v>
      </c>
      <c r="X515" s="539">
        <f>+X508*(1+(G515+I515)/100)</f>
        <v>225.3077100309448</v>
      </c>
      <c r="Z515" s="585">
        <f t="shared" si="70"/>
        <v>1.6166445497630333</v>
      </c>
      <c r="AB515" s="599">
        <f>(Z515/Z508-1)*100</f>
        <v>-3.3054215965032885</v>
      </c>
      <c r="AC515" s="563"/>
      <c r="AE515" s="600">
        <f>AE514+(K515-K514)*yrSales!$W$59/1000000</f>
        <v>2.018161333333333</v>
      </c>
      <c r="AG515" s="582">
        <f>AVERAGE(AE515,AE514)</f>
        <v>1.978161333333333</v>
      </c>
      <c r="AI515" s="539">
        <f>(AG515/AG508-1)*100</f>
        <v>8.4867208751352674</v>
      </c>
      <c r="AJ515" s="563"/>
      <c r="AK515" s="595">
        <f>+I515/AI515*100</f>
        <v>48.248007089232061</v>
      </c>
      <c r="AL515" s="416"/>
      <c r="AN515" s="584">
        <f t="shared" si="71"/>
        <v>341.11200000000002</v>
      </c>
      <c r="AP515" s="586">
        <f>W515/AG515</f>
        <v>172.43891802556047</v>
      </c>
      <c r="AR515" s="586">
        <f>AN515/AG515</f>
        <v>172.43891802556047</v>
      </c>
      <c r="AT515" s="599">
        <f t="shared" ref="AT515:AT517" si="72">(AP515/AP508-1)*100</f>
        <v>-4.0484652409318977</v>
      </c>
      <c r="AU515" s="563"/>
      <c r="AV515" s="579">
        <f>W515-X515</f>
        <v>115.80428996905522</v>
      </c>
      <c r="AW515" s="458">
        <f>AV515/AV508-1</f>
        <v>4.0946736894786007E-2</v>
      </c>
      <c r="BJ515" s="623"/>
      <c r="BK515" s="623"/>
      <c r="BL515" s="623"/>
      <c r="BM515" s="623"/>
    </row>
    <row r="516" spans="1:65" ht="12.75" customHeight="1">
      <c r="A516" s="410" t="str">
        <f>$A$15</f>
        <v>4Q</v>
      </c>
      <c r="B516" s="562" t="str">
        <f>$B$15</f>
        <v>Jan</v>
      </c>
      <c r="D516" s="646">
        <f>(W516/W509-1)*100</f>
        <v>3.2345312257521019</v>
      </c>
      <c r="F516" s="684">
        <f>segSales!N147</f>
        <v>-2</v>
      </c>
      <c r="G516" s="683"/>
      <c r="I516" s="646">
        <f>D516-F516</f>
        <v>5.2345312257521019</v>
      </c>
      <c r="K516" s="454">
        <v>218</v>
      </c>
      <c r="P516" s="588">
        <f>AVERAGE(K516,K515)</f>
        <v>216</v>
      </c>
      <c r="R516" s="646">
        <f>+(P516/P509-1)*100</f>
        <v>7.1960297766749282</v>
      </c>
      <c r="S516" s="563"/>
      <c r="T516" s="598">
        <f>I516/R516*100</f>
        <v>72.741933930279316</v>
      </c>
      <c r="U516" s="416"/>
      <c r="W516" s="670">
        <v>419.09399999999999</v>
      </c>
      <c r="X516" s="596">
        <f>+X509*(1+(G516+I516)/100)</f>
        <v>289.80447037427672</v>
      </c>
      <c r="Z516" s="590">
        <f t="shared" si="70"/>
        <v>1.94025</v>
      </c>
      <c r="AB516" s="597">
        <f>(Z516/Z509-1)*100</f>
        <v>-3.6955646204210768</v>
      </c>
      <c r="AC516" s="563"/>
      <c r="AE516" s="600">
        <f>AE515+(K516-K515)*yrSales!$W$59/1000000</f>
        <v>2.0714946666666663</v>
      </c>
      <c r="AG516" s="591">
        <f>AVERAGE(AE516,AE515)</f>
        <v>2.0448279999999999</v>
      </c>
      <c r="AI516" s="596">
        <f>(AG516/AG509-1)*100</f>
        <v>9.6392734281392158</v>
      </c>
      <c r="AJ516" s="563"/>
      <c r="AK516" s="598">
        <f>+I516/AI516*100</f>
        <v>54.304209386480551</v>
      </c>
      <c r="AL516" s="416"/>
      <c r="AN516" s="589">
        <f t="shared" si="71"/>
        <v>419.09399999999999</v>
      </c>
      <c r="AP516" s="592">
        <f>W516/AG516</f>
        <v>204.95317943611883</v>
      </c>
      <c r="AR516" s="592">
        <f>AN516/AG516</f>
        <v>204.95317943611883</v>
      </c>
      <c r="AT516" s="597">
        <f t="shared" si="72"/>
        <v>-5.8416496225551668</v>
      </c>
      <c r="AU516" s="563"/>
      <c r="AV516" s="626">
        <f>W516-X516</f>
        <v>129.28952962572328</v>
      </c>
      <c r="AW516" s="625">
        <f>AV516/AV509-1</f>
        <v>-9.8360461786681785E-3</v>
      </c>
      <c r="BJ516" s="623"/>
      <c r="BK516" s="623"/>
      <c r="BL516" s="623"/>
      <c r="BM516" s="623"/>
    </row>
    <row r="517" spans="1:65" ht="12.75" customHeight="1">
      <c r="B517" s="562" t="str">
        <f>$B$16</f>
        <v>Year</v>
      </c>
      <c r="D517" s="618">
        <f>(W517/W510-1)*100</f>
        <v>4.7215130682791928</v>
      </c>
      <c r="F517" s="686">
        <f>F513*W513/W517+F514*W514/W517+F515*W515/W517+F516*W516/W517</f>
        <v>0.14874772404860714</v>
      </c>
      <c r="G517" s="661"/>
      <c r="I517" s="618">
        <f>D517-F517</f>
        <v>4.5727653442305858</v>
      </c>
      <c r="P517" s="587">
        <f>AVERAGE(P513:P516)</f>
        <v>209.25</v>
      </c>
      <c r="R517" s="618">
        <f>+(P517/P510-1)*100</f>
        <v>7.6527331189710557</v>
      </c>
      <c r="S517" s="563"/>
      <c r="T517" s="595">
        <f>I517/R517*100</f>
        <v>59.753362271248456</v>
      </c>
      <c r="U517" s="416"/>
      <c r="W517" s="579">
        <f>SUM(W513:W516)</f>
        <v>1442.2540000000001</v>
      </c>
      <c r="X517" s="579">
        <f>SUM(X513:X516)</f>
        <v>964.90932035077481</v>
      </c>
      <c r="Z517" s="580">
        <f t="shared" si="70"/>
        <v>6.8924922341696542</v>
      </c>
      <c r="AB517" s="599">
        <f>(Z517/Z510-1)*100</f>
        <v>-2.7228477770763759</v>
      </c>
      <c r="AC517" s="563"/>
      <c r="AG517" s="582">
        <f>AVERAGE(AG513:AG516)</f>
        <v>1.9409599999999998</v>
      </c>
      <c r="AI517" s="539">
        <f>(AG517/AG510-1)*100</f>
        <v>7.4794939370570246</v>
      </c>
      <c r="AJ517" s="563"/>
      <c r="AK517" s="595">
        <f>+I517/AI517*100</f>
        <v>61.13736280438571</v>
      </c>
      <c r="AL517" s="416"/>
      <c r="AN517" s="579">
        <f t="shared" si="71"/>
        <v>1442.2540000000001</v>
      </c>
      <c r="AP517" s="583">
        <f>SUM(AP513:AP516)</f>
        <v>741.52017673159867</v>
      </c>
      <c r="AR517" s="583">
        <f>SUM(AR513:AR516)</f>
        <v>741.52017673159867</v>
      </c>
      <c r="AT517" s="599">
        <f t="shared" si="72"/>
        <v>-2.5853555399572681</v>
      </c>
      <c r="AU517" s="563"/>
      <c r="AV517" s="579">
        <f>SUM(AV513:AV516)</f>
        <v>477.34467964922521</v>
      </c>
      <c r="AW517" s="458">
        <f>AV517/AV510-1</f>
        <v>4.9774265212476632E-2</v>
      </c>
      <c r="BJ517" s="623"/>
      <c r="BK517" s="623"/>
      <c r="BL517" s="623"/>
      <c r="BM517" s="623"/>
    </row>
    <row r="518" spans="1:65" ht="12.75" customHeight="1">
      <c r="B518" s="562"/>
      <c r="F518" s="563"/>
      <c r="G518" s="677"/>
      <c r="X518" s="482"/>
      <c r="BJ518" s="623"/>
      <c r="BK518" s="623"/>
      <c r="BL518" s="623"/>
      <c r="BM518" s="623"/>
    </row>
    <row r="519" spans="1:65" ht="12.75" customHeight="1">
      <c r="A519" s="593"/>
      <c r="B519" s="431">
        <f>B342</f>
        <v>2016</v>
      </c>
      <c r="D519" s="618"/>
      <c r="F519" s="563"/>
      <c r="G519" s="661"/>
      <c r="I519" s="618"/>
      <c r="P519" s="587"/>
      <c r="R519" s="618"/>
      <c r="S519" s="563"/>
      <c r="T519" s="595"/>
      <c r="U519" s="416"/>
      <c r="X519" s="579"/>
      <c r="Z519" s="580"/>
      <c r="AB519" s="599"/>
      <c r="AC519" s="563"/>
      <c r="AG519" s="582"/>
      <c r="AI519" s="539"/>
      <c r="AJ519" s="563"/>
      <c r="AK519" s="595"/>
      <c r="AL519" s="416"/>
      <c r="AN519" s="579"/>
      <c r="AP519" s="583"/>
      <c r="AR519" s="583"/>
      <c r="AT519" s="599"/>
      <c r="AU519" s="563"/>
      <c r="AV519" s="579"/>
      <c r="AW519" s="631"/>
      <c r="BJ519" s="623"/>
      <c r="BK519" s="623"/>
      <c r="BL519" s="623"/>
      <c r="BM519" s="623"/>
    </row>
    <row r="520" spans="1:65" ht="12.75" customHeight="1">
      <c r="A520" s="410" t="str">
        <f>$A$12</f>
        <v>1Q</v>
      </c>
      <c r="B520" s="562" t="str">
        <f>$B$12</f>
        <v>Apr</v>
      </c>
      <c r="D520" s="645">
        <f>(W520/W513-1)*100</f>
        <v>0.86615538769847511</v>
      </c>
      <c r="E520" s="563" t="s">
        <v>208</v>
      </c>
      <c r="F520" s="656">
        <f>segSales!N151</f>
        <v>0</v>
      </c>
      <c r="G520" s="682"/>
      <c r="H520" s="563" t="s">
        <v>208</v>
      </c>
      <c r="I520" s="645">
        <f>D520-F520</f>
        <v>0.86615538769847511</v>
      </c>
      <c r="J520" s="563" t="s">
        <v>208</v>
      </c>
      <c r="K520" s="454">
        <v>218</v>
      </c>
      <c r="L520" s="454">
        <v>186</v>
      </c>
      <c r="M520" s="454">
        <v>12</v>
      </c>
      <c r="N520" s="454">
        <v>7</v>
      </c>
      <c r="P520" s="587">
        <f>+AVERAGE(K516,K520)</f>
        <v>218</v>
      </c>
      <c r="R520" s="645">
        <f>+(P520/P513-1)*100</f>
        <v>6.8627450980392135</v>
      </c>
      <c r="S520" s="563" t="s">
        <v>208</v>
      </c>
      <c r="T520" s="595">
        <f>I520/R520*100</f>
        <v>12.621121363606354</v>
      </c>
      <c r="U520" s="416" t="s">
        <v>208</v>
      </c>
      <c r="W520" s="647">
        <v>314.07299999999998</v>
      </c>
      <c r="X520" s="539">
        <f>+X513*(1+(G520+I520)/100)</f>
        <v>208.24007571536362</v>
      </c>
      <c r="Z520" s="580">
        <f>W520/P520</f>
        <v>1.4407018348623852</v>
      </c>
      <c r="AB520" s="599">
        <f>(Z520/Z513-1)*100</f>
        <v>-5.6114876188509637</v>
      </c>
      <c r="AC520" s="563" t="s">
        <v>208</v>
      </c>
      <c r="AE520" s="600">
        <f>AE516+(K520-K516)*yrSales!$X$59/1000000</f>
        <v>2.0714946666666663</v>
      </c>
      <c r="AG520" s="582">
        <f>AVERAGE(AE520,AE516)</f>
        <v>2.0714946666666663</v>
      </c>
      <c r="AI520" s="539">
        <f>(AG520/AG513-1)*100</f>
        <v>13.236279142313823</v>
      </c>
      <c r="AJ520" s="563" t="s">
        <v>208</v>
      </c>
      <c r="AK520" s="595">
        <f>+I520/AI520*100</f>
        <v>6.5437981353048373</v>
      </c>
      <c r="AL520" s="416" t="s">
        <v>208</v>
      </c>
      <c r="AN520" s="579">
        <f>W520</f>
        <v>314.07299999999998</v>
      </c>
      <c r="AP520" s="583">
        <f>W520/AG520</f>
        <v>151.61661048608383</v>
      </c>
      <c r="AR520" s="583">
        <f>AN520/AG520</f>
        <v>151.61661048608383</v>
      </c>
      <c r="AT520" s="599">
        <f>(AP520/AP513-1)*100</f>
        <v>-10.924170105473641</v>
      </c>
      <c r="AU520" s="563" t="s">
        <v>208</v>
      </c>
      <c r="AV520" s="579">
        <f>W520-X520</f>
        <v>105.83292428463636</v>
      </c>
      <c r="AW520" s="458">
        <f>AV520/AV513-1</f>
        <v>8.6615538769845291E-3</v>
      </c>
      <c r="BJ520" s="623"/>
      <c r="BK520" s="623"/>
      <c r="BL520" s="623"/>
      <c r="BM520" s="623"/>
    </row>
    <row r="521" spans="1:65" ht="12.75" customHeight="1">
      <c r="A521" s="410" t="str">
        <f>$A$13</f>
        <v>2Q</v>
      </c>
      <c r="B521" s="562" t="str">
        <f>$B$13</f>
        <v>Jul</v>
      </c>
      <c r="D521" s="645">
        <f>(W521/W514-1)*100</f>
        <v>-1.0958475417619962</v>
      </c>
      <c r="F521" s="656">
        <f>segSales!N152</f>
        <v>-3</v>
      </c>
      <c r="G521" s="682"/>
      <c r="I521" s="645">
        <f>D521-F521</f>
        <v>1.9041524582380038</v>
      </c>
      <c r="K521" s="454">
        <v>220</v>
      </c>
      <c r="L521" s="454"/>
      <c r="M521" s="454"/>
      <c r="N521" s="454"/>
      <c r="P521" s="587">
        <f>AVERAGE(K521,K520)</f>
        <v>219</v>
      </c>
      <c r="R521" s="645">
        <f>+(P521/P514-1)*100</f>
        <v>6.3106796116504826</v>
      </c>
      <c r="S521" s="563"/>
      <c r="T521" s="595">
        <f>I521/R521*100</f>
        <v>30.173492799771456</v>
      </c>
      <c r="U521" s="416"/>
      <c r="W521" s="647">
        <v>366.61</v>
      </c>
      <c r="X521" s="539">
        <f>+X514*(1+(G521+I521)/100)</f>
        <v>247.97892304426082</v>
      </c>
      <c r="Z521" s="585">
        <f t="shared" ref="Z521:Z524" si="73">W521/P521</f>
        <v>1.6740182648401827</v>
      </c>
      <c r="AB521" s="599">
        <f>(Z521/Z514-1)*100</f>
        <v>-6.9668702904245201</v>
      </c>
      <c r="AC521" s="563"/>
      <c r="AE521" s="600">
        <f>AE520+(K521-K520)*yrSales!$X$59/1000000</f>
        <v>2.1014946666666661</v>
      </c>
      <c r="AG521" s="582">
        <f>AVERAGE(AE521,AE520)</f>
        <v>2.0864946666666659</v>
      </c>
      <c r="AI521" s="539">
        <f>(AG521/AG514-1)*100</f>
        <v>9.1551393290137071</v>
      </c>
      <c r="AJ521" s="563"/>
      <c r="AK521" s="595">
        <f>+I521/AI521*100</f>
        <v>20.798727248241018</v>
      </c>
      <c r="AL521" s="416"/>
      <c r="AN521" s="584">
        <f t="shared" ref="AN521:AN524" si="74">W521</f>
        <v>366.61</v>
      </c>
      <c r="AP521" s="586">
        <f>W521/AG521</f>
        <v>175.70617641965381</v>
      </c>
      <c r="AR521" s="586">
        <f>AN521/AG521</f>
        <v>175.70617641965381</v>
      </c>
      <c r="AT521" s="599">
        <f>(AP521/AP514-1)*100</f>
        <v>-9.3912086355158575</v>
      </c>
      <c r="AU521" s="563"/>
      <c r="AV521" s="579">
        <f>W521-X521</f>
        <v>118.63107695573919</v>
      </c>
      <c r="AW521" s="458">
        <f>AV521/AV514-1</f>
        <v>-6.8294095993364778E-2</v>
      </c>
      <c r="BJ521" s="623"/>
      <c r="BK521" s="623"/>
      <c r="BL521" s="623"/>
      <c r="BM521" s="623"/>
    </row>
    <row r="522" spans="1:65" ht="12.75" customHeight="1">
      <c r="A522" s="410" t="str">
        <f>$A$14</f>
        <v>3Q</v>
      </c>
      <c r="B522" s="562" t="str">
        <f>$B$14</f>
        <v>Oct</v>
      </c>
      <c r="D522" s="645">
        <f>(W522/W515-1)*100</f>
        <v>-0.11286615539765066</v>
      </c>
      <c r="F522" s="686">
        <f>segSales!N153</f>
        <v>-2.7</v>
      </c>
      <c r="G522" s="682"/>
      <c r="I522" s="645">
        <f>D522-F522</f>
        <v>2.5871338446023495</v>
      </c>
      <c r="K522" s="454">
        <v>226</v>
      </c>
      <c r="L522" s="454"/>
      <c r="M522" s="454"/>
      <c r="N522" s="454"/>
      <c r="P522" s="587">
        <f>AVERAGE(K522,K521)</f>
        <v>223</v>
      </c>
      <c r="R522" s="645">
        <f>+(P522/P515-1)*100</f>
        <v>5.6872037914691864</v>
      </c>
      <c r="S522" s="563"/>
      <c r="T522" s="595">
        <f>I522/R522*100</f>
        <v>45.490436767591376</v>
      </c>
      <c r="U522" s="416"/>
      <c r="W522" s="647">
        <v>340.72699999999998</v>
      </c>
      <c r="X522" s="539">
        <f>+X515*(1+(G522+I522)/100)</f>
        <v>231.13672205165389</v>
      </c>
      <c r="Z522" s="585">
        <f t="shared" si="73"/>
        <v>1.5279237668161434</v>
      </c>
      <c r="AB522" s="599">
        <f>(Z522/Z515-1)*100</f>
        <v>-5.4879585595914993</v>
      </c>
      <c r="AC522" s="563"/>
      <c r="AE522" s="600">
        <f>AE521+(K522-K521)*yrSales!$X$59/1000000</f>
        <v>2.1914946666666659</v>
      </c>
      <c r="AG522" s="582">
        <f>AVERAGE(AE522,AE521)</f>
        <v>2.146494666666666</v>
      </c>
      <c r="AI522" s="539">
        <f>(AG522/AG515-1)*100</f>
        <v>8.5095856691162819</v>
      </c>
      <c r="AJ522" s="563"/>
      <c r="AK522" s="595">
        <f>+I522/AI522*100</f>
        <v>30.402582983467664</v>
      </c>
      <c r="AL522" s="416"/>
      <c r="AN522" s="584">
        <f t="shared" si="74"/>
        <v>340.72699999999998</v>
      </c>
      <c r="AP522" s="586">
        <f>W522/AG522</f>
        <v>158.73647640090422</v>
      </c>
      <c r="AR522" s="586">
        <f>AN522/AG522</f>
        <v>158.73647640090422</v>
      </c>
      <c r="AT522" s="599">
        <f t="shared" ref="AT522:AT524" si="75">(AP522/AP515-1)*100</f>
        <v>-7.9462581774174312</v>
      </c>
      <c r="AU522" s="563"/>
      <c r="AV522" s="579">
        <f>W522-X522</f>
        <v>109.59027794834608</v>
      </c>
      <c r="AW522" s="458">
        <f>AV522/AV515-1</f>
        <v>-5.3659601232127208E-2</v>
      </c>
      <c r="BJ522" s="623"/>
      <c r="BK522" s="623"/>
      <c r="BL522" s="623"/>
      <c r="BM522" s="623"/>
    </row>
    <row r="523" spans="1:65" ht="12.75" customHeight="1">
      <c r="A523" s="410" t="str">
        <f>$A$15</f>
        <v>4Q</v>
      </c>
      <c r="B523" s="562" t="str">
        <f>$B$15</f>
        <v>Jan</v>
      </c>
      <c r="D523" s="646">
        <f>(W523/W516-1)*100</f>
        <v>1.1670412842942124</v>
      </c>
      <c r="F523" s="684">
        <f>segSales!N154</f>
        <v>-2.9</v>
      </c>
      <c r="G523" s="683"/>
      <c r="I523" s="646">
        <f>D523-F523</f>
        <v>4.0670412842942127</v>
      </c>
      <c r="K523" s="410">
        <f>yrSales!$X$28</f>
        <v>225</v>
      </c>
      <c r="P523" s="588">
        <f>AVERAGE(K523,K522)</f>
        <v>225.5</v>
      </c>
      <c r="R523" s="646">
        <f>+(P523/P516-1)*100</f>
        <v>4.3981481481481399</v>
      </c>
      <c r="S523" s="563"/>
      <c r="T523" s="598">
        <f>I523/R523*100</f>
        <v>92.471675516584384</v>
      </c>
      <c r="U523" s="416"/>
      <c r="W523" s="649">
        <v>423.98500000000001</v>
      </c>
      <c r="X523" s="596">
        <f>+X516*(1+(G523+I523)/100)</f>
        <v>301.59093782812874</v>
      </c>
      <c r="Z523" s="590">
        <f t="shared" si="73"/>
        <v>1.8801995565410201</v>
      </c>
      <c r="AB523" s="597">
        <f>(Z523/Z516-1)*100</f>
        <v>-3.0949848451993223</v>
      </c>
      <c r="AC523" s="563"/>
      <c r="AE523" s="600">
        <f>AE522+(K523-K522)*yrSales!$X$59/1000000</f>
        <v>2.1764946666666658</v>
      </c>
      <c r="AG523" s="591">
        <f>AVERAGE(AE523,AE522)</f>
        <v>2.1839946666666661</v>
      </c>
      <c r="AI523" s="596">
        <f>(AG523/AG516-1)*100</f>
        <v>6.8057883923081208</v>
      </c>
      <c r="AJ523" s="563"/>
      <c r="AK523" s="598">
        <f>+I523/AI523*100</f>
        <v>59.758562121778127</v>
      </c>
      <c r="AL523" s="416"/>
      <c r="AN523" s="589">
        <f t="shared" si="74"/>
        <v>423.98500000000001</v>
      </c>
      <c r="AP523" s="592">
        <f>W523/AG523</f>
        <v>194.13280008009792</v>
      </c>
      <c r="AR523" s="592">
        <f>AN523/AG523</f>
        <v>194.13280008009792</v>
      </c>
      <c r="AT523" s="597">
        <f t="shared" si="75"/>
        <v>-5.2794396192294641</v>
      </c>
      <c r="AU523" s="563"/>
      <c r="AV523" s="626">
        <f>W523-X523</f>
        <v>122.39406217187127</v>
      </c>
      <c r="AW523" s="625">
        <f>AV523/AV516-1</f>
        <v>-5.3333533456371152E-2</v>
      </c>
      <c r="BJ523" s="623"/>
      <c r="BK523" s="623"/>
      <c r="BL523" s="623"/>
      <c r="BM523" s="623"/>
    </row>
    <row r="524" spans="1:65" ht="12.75" customHeight="1">
      <c r="B524" s="562" t="str">
        <f>$B$16</f>
        <v>Year</v>
      </c>
      <c r="D524" s="618">
        <f>(W524/W517-1)*100</f>
        <v>0.217784107376362</v>
      </c>
      <c r="F524" s="686">
        <f>F520*W520/W524+F521*W521/W524+F522*W522/W524+F523*W523/W524</f>
        <v>-2.2480701815074773</v>
      </c>
      <c r="G524" s="661"/>
      <c r="I524" s="618">
        <f>D524-F524</f>
        <v>2.4658542888838393</v>
      </c>
      <c r="P524" s="587">
        <f>AVERAGE(P520:P523)</f>
        <v>221.375</v>
      </c>
      <c r="R524" s="618">
        <f>+(P524/P517-1)*100</f>
        <v>5.7945041816009457</v>
      </c>
      <c r="S524" s="563"/>
      <c r="T524" s="595">
        <f>I524/R524*100</f>
        <v>42.555052366923242</v>
      </c>
      <c r="U524" s="416"/>
      <c r="W524" s="579">
        <f>SUM(W520:W523)</f>
        <v>1445.395</v>
      </c>
      <c r="X524" s="579">
        <f>SUM(X520:X523)</f>
        <v>988.94665863940713</v>
      </c>
      <c r="Z524" s="580">
        <f t="shared" si="73"/>
        <v>6.5291699604743085</v>
      </c>
      <c r="AB524" s="599">
        <f>(Z524/Z517-1)*100</f>
        <v>-5.271275778798401</v>
      </c>
      <c r="AC524" s="563"/>
      <c r="AG524" s="582">
        <f>AVERAGE(AG520:AG523)</f>
        <v>2.1221196666666664</v>
      </c>
      <c r="AI524" s="539">
        <f>(AG524/AG517-1)*100</f>
        <v>9.3335085043827029</v>
      </c>
      <c r="AJ524" s="563"/>
      <c r="AK524" s="595">
        <f>+I524/AI524*100</f>
        <v>26.41937153350165</v>
      </c>
      <c r="AL524" s="416"/>
      <c r="AN524" s="579">
        <f t="shared" si="74"/>
        <v>1445.395</v>
      </c>
      <c r="AP524" s="583">
        <f>SUM(AP520:AP523)</f>
        <v>680.19206338673985</v>
      </c>
      <c r="AR524" s="583">
        <f>SUM(AR520:AR523)</f>
        <v>680.19206338673985</v>
      </c>
      <c r="AT524" s="599">
        <f t="shared" si="75"/>
        <v>-8.2705926648112271</v>
      </c>
      <c r="AU524" s="563"/>
      <c r="AV524" s="579">
        <f>SUM(AV520:AV523)</f>
        <v>456.44834136059291</v>
      </c>
      <c r="AW524" s="458">
        <f>AV524/AV517-1</f>
        <v>-4.3776204448299105E-2</v>
      </c>
      <c r="BJ524" s="623"/>
      <c r="BK524" s="623"/>
      <c r="BL524" s="623"/>
      <c r="BM524" s="623"/>
    </row>
    <row r="525" spans="1:65" ht="12.75" customHeight="1">
      <c r="B525" s="562"/>
      <c r="D525" s="618"/>
      <c r="F525" s="686"/>
      <c r="G525" s="661"/>
      <c r="I525" s="618"/>
      <c r="P525" s="587"/>
      <c r="R525" s="618"/>
      <c r="S525" s="563"/>
      <c r="T525" s="595"/>
      <c r="U525" s="416"/>
      <c r="W525" s="579"/>
      <c r="X525" s="579"/>
      <c r="Z525" s="580"/>
      <c r="AB525" s="599"/>
      <c r="AC525" s="563"/>
      <c r="AG525" s="582"/>
      <c r="AI525" s="539"/>
      <c r="AJ525" s="563"/>
      <c r="AK525" s="595"/>
      <c r="AL525" s="416"/>
      <c r="AN525" s="579"/>
      <c r="AP525" s="583"/>
      <c r="AR525" s="583"/>
      <c r="AT525" s="599"/>
      <c r="AU525" s="563"/>
      <c r="AV525" s="579"/>
      <c r="AW525" s="458"/>
      <c r="BJ525" s="623"/>
      <c r="BK525" s="623"/>
      <c r="BL525" s="623"/>
      <c r="BM525" s="623"/>
    </row>
    <row r="526" spans="1:65" ht="12.75" customHeight="1">
      <c r="A526" s="593"/>
      <c r="B526" s="431">
        <f>B349</f>
        <v>2017</v>
      </c>
      <c r="D526" s="618"/>
      <c r="F526" s="563"/>
      <c r="G526" s="661"/>
      <c r="I526" s="618"/>
      <c r="P526" s="587"/>
      <c r="R526" s="618"/>
      <c r="S526" s="563"/>
      <c r="T526" s="595"/>
      <c r="U526" s="416"/>
      <c r="X526" s="579"/>
      <c r="Z526" s="580"/>
      <c r="AB526" s="599"/>
      <c r="AC526" s="563"/>
      <c r="AG526" s="582"/>
      <c r="AI526" s="539"/>
      <c r="AJ526" s="563"/>
      <c r="AK526" s="595"/>
      <c r="AL526" s="416"/>
      <c r="AN526" s="579"/>
      <c r="AP526" s="583"/>
      <c r="AR526" s="583"/>
      <c r="AT526" s="599"/>
      <c r="AU526" s="563"/>
      <c r="AV526" s="579"/>
      <c r="AW526" s="631"/>
      <c r="BJ526" s="623"/>
      <c r="BK526" s="623"/>
      <c r="BL526" s="623"/>
      <c r="BM526" s="623"/>
    </row>
    <row r="527" spans="1:65" ht="12.75" customHeight="1">
      <c r="A527" s="410" t="str">
        <f>$A$12</f>
        <v>1Q</v>
      </c>
      <c r="B527" s="562" t="str">
        <f>$B$12</f>
        <v>Apr</v>
      </c>
      <c r="D527" s="645">
        <f>(W527/W520-1)*100</f>
        <v>-0.96060470018116684</v>
      </c>
      <c r="E527" s="563" t="s">
        <v>208</v>
      </c>
      <c r="F527" s="656">
        <f>segSales!N158</f>
        <v>-4.4000000000000004</v>
      </c>
      <c r="G527" s="682"/>
      <c r="H527" s="563" t="s">
        <v>208</v>
      </c>
      <c r="I527" s="645">
        <f>D527-F527</f>
        <v>3.4393952998188335</v>
      </c>
      <c r="J527" s="563" t="s">
        <v>208</v>
      </c>
      <c r="K527" s="454">
        <v>225</v>
      </c>
      <c r="L527" s="454">
        <v>186</v>
      </c>
      <c r="M527" s="454">
        <v>12</v>
      </c>
      <c r="N527" s="454">
        <v>7</v>
      </c>
      <c r="P527" s="587">
        <f>+AVERAGE(K523,K527)</f>
        <v>225</v>
      </c>
      <c r="R527" s="645">
        <f>+(P527/P520-1)*100</f>
        <v>3.2110091743119185</v>
      </c>
      <c r="S527" s="563" t="s">
        <v>208</v>
      </c>
      <c r="T527" s="595">
        <f>I527/R527*100</f>
        <v>107.11259648007253</v>
      </c>
      <c r="U527" s="416" t="s">
        <v>208</v>
      </c>
      <c r="W527" s="647">
        <v>311.05599999999998</v>
      </c>
      <c r="X527" s="539">
        <f>+X520*(1+(G527+I527)/100)</f>
        <v>215.40227509185701</v>
      </c>
      <c r="Z527" s="580">
        <f>W527/P527</f>
        <v>1.382471111111111</v>
      </c>
      <c r="AB527" s="599">
        <f>(Z527/Z520-1)*100</f>
        <v>-4.0418303317310889</v>
      </c>
      <c r="AC527" s="563" t="s">
        <v>208</v>
      </c>
      <c r="AE527" s="600">
        <f>AE523+(K527-K523)*yrSales!$X$59/1000000</f>
        <v>2.1764946666666658</v>
      </c>
      <c r="AG527" s="582">
        <f>AVERAGE(AE527,AE523)</f>
        <v>2.1764946666666658</v>
      </c>
      <c r="AI527" s="539">
        <f>(AG527/AG520-1)*100</f>
        <v>5.0688037816172482</v>
      </c>
      <c r="AJ527" s="563" t="s">
        <v>208</v>
      </c>
      <c r="AK527" s="595">
        <f>+I527/AI527*100</f>
        <v>67.85418114412515</v>
      </c>
      <c r="AL527" s="416" t="s">
        <v>208</v>
      </c>
      <c r="AN527" s="579">
        <f>W527</f>
        <v>311.05599999999998</v>
      </c>
      <c r="AP527" s="583">
        <f>W527/AG527</f>
        <v>142.91604053245254</v>
      </c>
      <c r="AR527" s="583">
        <f>AN527/AG527</f>
        <v>142.91604053245254</v>
      </c>
      <c r="AT527" s="599">
        <f>(AP527/AP520-1)*100</f>
        <v>-5.7385334797666276</v>
      </c>
      <c r="AU527" s="563" t="s">
        <v>208</v>
      </c>
      <c r="AV527" s="579">
        <f>W527-X527</f>
        <v>95.653724908142976</v>
      </c>
      <c r="AW527" s="458">
        <f>AV527/AV520-1</f>
        <v>-9.6181783176628066E-2</v>
      </c>
      <c r="BJ527" s="623"/>
      <c r="BK527" s="623"/>
      <c r="BL527" s="623"/>
      <c r="BM527" s="623"/>
    </row>
    <row r="528" spans="1:65" ht="12.75" customHeight="1">
      <c r="A528" s="410" t="str">
        <f>$A$13</f>
        <v>2Q</v>
      </c>
      <c r="B528" s="562" t="str">
        <f>$B$13</f>
        <v>Jul</v>
      </c>
      <c r="D528" s="645">
        <f>(W528/W521-1)*100</f>
        <v>-1.1349935899184427</v>
      </c>
      <c r="F528" s="656">
        <f>segSales!N159</f>
        <v>-4</v>
      </c>
      <c r="G528" s="682"/>
      <c r="I528" s="645">
        <f>D528-F528</f>
        <v>2.8650064100815573</v>
      </c>
      <c r="K528" s="454">
        <v>225</v>
      </c>
      <c r="L528" s="454"/>
      <c r="M528" s="454"/>
      <c r="N528" s="454"/>
      <c r="P528" s="587">
        <f>AVERAGE(K528,K527)</f>
        <v>225</v>
      </c>
      <c r="R528" s="645">
        <f>+(P528/P521-1)*100</f>
        <v>2.7397260273972712</v>
      </c>
      <c r="S528" s="563"/>
      <c r="T528" s="595">
        <f>I528/R528*100</f>
        <v>104.57273396797642</v>
      </c>
      <c r="U528" s="416"/>
      <c r="W528" s="647">
        <v>362.44900000000001</v>
      </c>
      <c r="X528" s="539">
        <f>+X521*(1+(G528+I528)/100)</f>
        <v>255.08353508513011</v>
      </c>
      <c r="Z528" s="585">
        <f t="shared" ref="Z528:Z531" si="76">W528/P528</f>
        <v>1.6108844444444446</v>
      </c>
      <c r="AB528" s="599">
        <f>(Z528/Z521-1)*100</f>
        <v>-3.7713937608539472</v>
      </c>
      <c r="AC528" s="563"/>
      <c r="AE528" s="600">
        <f>AE527+(K528-K527)*yrSales!$X$59/1000000</f>
        <v>2.1764946666666658</v>
      </c>
      <c r="AG528" s="582">
        <f>AVERAGE(AE528,AE527)</f>
        <v>2.1764946666666658</v>
      </c>
      <c r="AI528" s="539">
        <f>(AG528/AG521-1)*100</f>
        <v>4.3134545914647271</v>
      </c>
      <c r="AJ528" s="563"/>
      <c r="AK528" s="595">
        <f>+I528/AI528*100</f>
        <v>66.420228828899809</v>
      </c>
      <c r="AL528" s="416"/>
      <c r="AN528" s="584">
        <f t="shared" ref="AN528:AN531" si="77">W528</f>
        <v>362.44900000000001</v>
      </c>
      <c r="AP528" s="586">
        <f>W528/AG528</f>
        <v>166.52877930323444</v>
      </c>
      <c r="AR528" s="586">
        <f>AN528/AG528</f>
        <v>166.52877930323444</v>
      </c>
      <c r="AT528" s="599">
        <f>(AP528/AP521-1)*100</f>
        <v>-5.2231499788033764</v>
      </c>
      <c r="AU528" s="563"/>
      <c r="AV528" s="579">
        <f>W528-X528</f>
        <v>107.3654649148699</v>
      </c>
      <c r="AW528" s="458">
        <f>AV528/AV521-1</f>
        <v>-9.4963413718923251E-2</v>
      </c>
      <c r="BJ528" s="623"/>
      <c r="BK528" s="623"/>
      <c r="BL528" s="623"/>
      <c r="BM528" s="623"/>
    </row>
    <row r="529" spans="1:65" ht="12.75" customHeight="1">
      <c r="A529" s="410" t="str">
        <f>$A$14</f>
        <v>3Q</v>
      </c>
      <c r="B529" s="562" t="str">
        <f>$B$14</f>
        <v>Oct</v>
      </c>
      <c r="D529" s="645">
        <f>(W529/W522-1)*100</f>
        <v>3.331993061894134</v>
      </c>
      <c r="F529" s="1763">
        <f>segSales!N160</f>
        <v>2</v>
      </c>
      <c r="G529" s="682"/>
      <c r="I529" s="645">
        <f>D529-F529</f>
        <v>1.331993061894134</v>
      </c>
      <c r="K529" s="454">
        <v>227</v>
      </c>
      <c r="L529" s="454"/>
      <c r="M529" s="454"/>
      <c r="N529" s="454"/>
      <c r="P529" s="587">
        <f>AVERAGE(K529,K528)</f>
        <v>226</v>
      </c>
      <c r="R529" s="645">
        <f>+(P529/P522-1)*100</f>
        <v>1.3452914798206317</v>
      </c>
      <c r="S529" s="563"/>
      <c r="T529" s="595">
        <f>I529/R529*100</f>
        <v>99.011484267463672</v>
      </c>
      <c r="U529" s="416"/>
      <c r="W529" s="666">
        <v>352.08</v>
      </c>
      <c r="X529" s="539">
        <f>+X522*(1+(G529+I529)/100)</f>
        <v>234.21544715287143</v>
      </c>
      <c r="Z529" s="585">
        <f t="shared" si="76"/>
        <v>1.5578761061946902</v>
      </c>
      <c r="AB529" s="599">
        <f>(Z529/Z522-1)*100</f>
        <v>1.9603294371787205</v>
      </c>
      <c r="AC529" s="563"/>
      <c r="AE529" s="600">
        <f>AE528+(K529-K528)*yrSales!$X$59/1000000</f>
        <v>2.2064946666666656</v>
      </c>
      <c r="AG529" s="582">
        <f>AVERAGE(AE529,AE528)</f>
        <v>2.1914946666666655</v>
      </c>
      <c r="AI529" s="539">
        <f>(AG529/AG522-1)*100</f>
        <v>2.0964412676543365</v>
      </c>
      <c r="AJ529" s="563"/>
      <c r="AK529" s="595">
        <f>+I529/AI529*100</f>
        <v>63.535911186506681</v>
      </c>
      <c r="AL529" s="416"/>
      <c r="AN529" s="584">
        <f t="shared" si="77"/>
        <v>352.08</v>
      </c>
      <c r="AP529" s="586">
        <f>W529/AG529</f>
        <v>160.65747517219611</v>
      </c>
      <c r="AR529" s="586">
        <f>AN529/AG529</f>
        <v>160.65747517219611</v>
      </c>
      <c r="AT529" s="599">
        <f t="shared" ref="AT529:AT531" si="78">(AP529/AP522-1)*100</f>
        <v>1.210181059103399</v>
      </c>
      <c r="AU529" s="563"/>
      <c r="AV529" s="579">
        <f>W529-X529</f>
        <v>117.86455284712855</v>
      </c>
      <c r="AW529" s="458">
        <f>AV529/AV522-1</f>
        <v>7.5501906315836198E-2</v>
      </c>
      <c r="BJ529" s="623"/>
      <c r="BK529" s="623"/>
      <c r="BL529" s="623"/>
      <c r="BM529" s="623"/>
    </row>
    <row r="530" spans="1:65" ht="12.75" customHeight="1">
      <c r="A530" s="410" t="str">
        <f>$A$15</f>
        <v>4Q</v>
      </c>
      <c r="B530" s="562" t="str">
        <f>$B$15</f>
        <v>Jan</v>
      </c>
      <c r="D530" s="646">
        <f>(W530/W523-1)*100</f>
        <v>5.4716558368810286</v>
      </c>
      <c r="F530" s="1781">
        <f>segSales!N161</f>
        <v>5</v>
      </c>
      <c r="G530" s="683"/>
      <c r="I530" s="646">
        <f>D530-F530</f>
        <v>0.47165583688102863</v>
      </c>
      <c r="K530" s="13">
        <f>yrSales!$Y$28</f>
        <v>226</v>
      </c>
      <c r="P530" s="588">
        <f>AVERAGE(K530,K529)</f>
        <v>226.5</v>
      </c>
      <c r="R530" s="646">
        <f>+(P530/P523-1)*100</f>
        <v>0.44345898004434225</v>
      </c>
      <c r="S530" s="563"/>
      <c r="T530" s="1782">
        <f>I530/R530*100</f>
        <v>106.35839121667283</v>
      </c>
      <c r="U530" s="416"/>
      <c r="W530" s="670">
        <v>447.18400000000003</v>
      </c>
      <c r="X530" s="596">
        <f>+X523*(1+(G530+I530)/100)</f>
        <v>303.01340908989931</v>
      </c>
      <c r="Z530" s="590">
        <f t="shared" si="76"/>
        <v>1.9743222958057396</v>
      </c>
      <c r="AB530" s="597">
        <f>(Z530/Z523-1)*100</f>
        <v>5.0059973122148715</v>
      </c>
      <c r="AC530" s="563"/>
      <c r="AE530" s="600">
        <f>AE529+(K530-K529)*yrSales!$X$59/1000000</f>
        <v>2.1914946666666655</v>
      </c>
      <c r="AG530" s="591">
        <f>AVERAGE(AE530,AE529)</f>
        <v>2.1989946666666658</v>
      </c>
      <c r="AI530" s="596">
        <f>(AG530/AG523-1)*100</f>
        <v>0.68681486401673819</v>
      </c>
      <c r="AJ530" s="563"/>
      <c r="AK530" s="598">
        <f>+I530/AI530*100</f>
        <v>68.672922150027034</v>
      </c>
      <c r="AL530" s="416"/>
      <c r="AN530" s="589">
        <f t="shared" si="77"/>
        <v>447.18400000000003</v>
      </c>
      <c r="AP530" s="592">
        <f>W530/AG530</f>
        <v>203.35838316418543</v>
      </c>
      <c r="AR530" s="592">
        <f>AN530/AG530</f>
        <v>203.35838316418543</v>
      </c>
      <c r="AT530" s="597">
        <f t="shared" si="78"/>
        <v>4.7522021421836369</v>
      </c>
      <c r="AU530" s="563"/>
      <c r="AV530" s="626">
        <f>W530-X530</f>
        <v>144.17059091010071</v>
      </c>
      <c r="AW530" s="625">
        <f>AV530/AV523-1</f>
        <v>0.17792144775495622</v>
      </c>
      <c r="BJ530" s="623"/>
      <c r="BK530" s="623"/>
      <c r="BL530" s="623"/>
      <c r="BM530" s="623"/>
    </row>
    <row r="531" spans="1:65" ht="12.75" customHeight="1">
      <c r="B531" s="562" t="str">
        <f>$B$16</f>
        <v>Year</v>
      </c>
      <c r="D531" s="618">
        <f>(W531/W524-1)*100</f>
        <v>1.8938767603319473</v>
      </c>
      <c r="F531" s="682">
        <f>F527*W527/W531+F528*W528/W531+F529*W529/W531+F530*W530/W531</f>
        <v>8.2591092017824996E-2</v>
      </c>
      <c r="G531" s="661"/>
      <c r="I531" s="618">
        <f>D531-F531</f>
        <v>1.8112856683141223</v>
      </c>
      <c r="P531" s="587">
        <f>AVERAGE(P527:P530)</f>
        <v>225.625</v>
      </c>
      <c r="R531" s="618">
        <f>+(P531/P524-1)*100</f>
        <v>1.9198193111236606</v>
      </c>
      <c r="S531" s="563"/>
      <c r="T531" s="595">
        <f>I531/R531*100</f>
        <v>94.346674076009052</v>
      </c>
      <c r="U531" s="416"/>
      <c r="W531" s="579">
        <f>SUM(W527:W530)</f>
        <v>1472.769</v>
      </c>
      <c r="X531" s="579">
        <f>SUM(X527:X530)</f>
        <v>1007.7146664197578</v>
      </c>
      <c r="Z531" s="580">
        <f t="shared" si="76"/>
        <v>6.5275080332409976</v>
      </c>
      <c r="AB531" s="599">
        <f>(Z531/Z524-1)*100</f>
        <v>-2.5453882244941273E-2</v>
      </c>
      <c r="AC531" s="563"/>
      <c r="AG531" s="582">
        <f>AVERAGE(AG527:AG530)</f>
        <v>2.1858696666666657</v>
      </c>
      <c r="AI531" s="539">
        <f>(AG531/AG524-1)*100</f>
        <v>3.0040718721642712</v>
      </c>
      <c r="AJ531" s="563"/>
      <c r="AK531" s="595">
        <f>+I531/AI531*100</f>
        <v>60.294351979308303</v>
      </c>
      <c r="AL531" s="416"/>
      <c r="AN531" s="579">
        <f t="shared" si="77"/>
        <v>1472.769</v>
      </c>
      <c r="AP531" s="583">
        <f>SUM(AP527:AP530)</f>
        <v>673.46067817206847</v>
      </c>
      <c r="AR531" s="583">
        <f>SUM(AR527:AR530)</f>
        <v>673.46067817206847</v>
      </c>
      <c r="AT531" s="599">
        <f t="shared" si="78"/>
        <v>-0.98963007318185747</v>
      </c>
      <c r="AU531" s="563"/>
      <c r="AV531" s="579">
        <f>SUM(AV527:AV530)</f>
        <v>465.05433358024214</v>
      </c>
      <c r="AW531" s="458">
        <f>AV531/AV524-1</f>
        <v>1.8854252365111623E-2</v>
      </c>
      <c r="BJ531" s="623"/>
      <c r="BK531" s="623"/>
      <c r="BL531" s="623"/>
      <c r="BM531" s="623"/>
    </row>
    <row r="532" spans="1:65" ht="12.75" customHeight="1">
      <c r="B532" s="562"/>
      <c r="D532" s="618"/>
      <c r="F532" s="686"/>
      <c r="G532" s="661"/>
      <c r="I532" s="618"/>
      <c r="P532" s="587"/>
      <c r="R532" s="618"/>
      <c r="S532" s="563"/>
      <c r="T532" s="595"/>
      <c r="U532" s="416"/>
      <c r="W532" s="579"/>
      <c r="X532" s="579"/>
      <c r="Z532" s="580"/>
      <c r="AB532" s="599"/>
      <c r="AC532" s="563"/>
      <c r="AG532" s="582"/>
      <c r="AI532" s="539"/>
      <c r="AJ532" s="563"/>
      <c r="AK532" s="595"/>
      <c r="AL532" s="416"/>
      <c r="AN532" s="579"/>
      <c r="AP532" s="583"/>
      <c r="AR532" s="583"/>
      <c r="AT532" s="599"/>
      <c r="AU532" s="563"/>
      <c r="AV532" s="579"/>
      <c r="AW532" s="458"/>
      <c r="BJ532" s="623"/>
      <c r="BK532" s="623"/>
      <c r="BL532" s="623"/>
      <c r="BM532" s="623"/>
    </row>
    <row r="533" spans="1:65" ht="12.75" customHeight="1">
      <c r="A533" s="593"/>
      <c r="B533" s="518">
        <f>B356</f>
        <v>2018</v>
      </c>
      <c r="D533" s="618"/>
      <c r="F533" s="563"/>
      <c r="G533" s="661"/>
      <c r="I533" s="618"/>
      <c r="P533" s="587"/>
      <c r="R533" s="618"/>
      <c r="S533" s="563"/>
      <c r="T533" s="595"/>
      <c r="U533" s="416"/>
      <c r="X533" s="579"/>
      <c r="Z533" s="580"/>
      <c r="AB533" s="599"/>
      <c r="AC533" s="563"/>
      <c r="AG533" s="582"/>
      <c r="AI533" s="539"/>
      <c r="AJ533" s="563"/>
      <c r="AK533" s="595"/>
      <c r="AL533" s="416"/>
      <c r="AN533" s="579"/>
      <c r="AP533" s="583"/>
      <c r="AR533" s="583"/>
      <c r="AT533" s="599"/>
      <c r="AU533" s="563"/>
      <c r="AV533" s="579"/>
      <c r="AW533" s="631"/>
      <c r="BJ533" s="623"/>
      <c r="BK533" s="623"/>
      <c r="BL533" s="623"/>
      <c r="BM533" s="623"/>
    </row>
    <row r="534" spans="1:65" ht="12.75" customHeight="1">
      <c r="A534" s="410" t="str">
        <f>$A$12</f>
        <v>1Q</v>
      </c>
      <c r="B534" s="562" t="str">
        <f>$B$12</f>
        <v>Apr</v>
      </c>
      <c r="D534" s="645">
        <f t="shared" ref="D534:D535" si="79">F534+I534</f>
        <v>9.2333333333333254</v>
      </c>
      <c r="E534" s="563" t="s">
        <v>208</v>
      </c>
      <c r="F534" s="1457">
        <f>segSales!N165</f>
        <v>8.5</v>
      </c>
      <c r="G534" s="682"/>
      <c r="H534" s="563" t="s">
        <v>208</v>
      </c>
      <c r="I534" s="645">
        <f t="shared" ref="I534:I535" si="80">R534*T534/100</f>
        <v>0.73333333333332584</v>
      </c>
      <c r="J534" s="563" t="s">
        <v>208</v>
      </c>
      <c r="K534" s="454">
        <v>227</v>
      </c>
      <c r="L534" s="454">
        <v>186</v>
      </c>
      <c r="M534" s="454">
        <v>12</v>
      </c>
      <c r="N534" s="454">
        <v>7</v>
      </c>
      <c r="P534" s="587">
        <f>+AVERAGE(K530,K534)</f>
        <v>226.5</v>
      </c>
      <c r="R534" s="645">
        <f>+(P534/P527-1)*100</f>
        <v>0.66666666666665986</v>
      </c>
      <c r="S534" s="563" t="s">
        <v>208</v>
      </c>
      <c r="T534" s="1725">
        <v>110</v>
      </c>
      <c r="U534" s="416" t="s">
        <v>208</v>
      </c>
      <c r="W534" s="539">
        <f t="shared" ref="W534:W535" si="81">+W527*(1+D534/100)</f>
        <v>339.77683733333328</v>
      </c>
      <c r="X534" s="539">
        <f>+X527*(1+(G534+I534)/100)</f>
        <v>216.98189177586391</v>
      </c>
      <c r="Z534" s="580">
        <f>W534/P534</f>
        <v>1.5001184871228843</v>
      </c>
      <c r="AB534" s="599">
        <f>(Z534/Z527-1)*100</f>
        <v>8.5099337748344439</v>
      </c>
      <c r="AC534" s="563" t="s">
        <v>208</v>
      </c>
      <c r="AE534" s="600">
        <f>AE530+(K534-K530)*yrSales!$X$59/1000000</f>
        <v>2.2064946666666656</v>
      </c>
      <c r="AG534" s="582">
        <f>AVERAGE(AE534,AE530)</f>
        <v>2.1989946666666658</v>
      </c>
      <c r="AI534" s="539">
        <f>(AG534/AG527-1)*100</f>
        <v>1.0337723470951188</v>
      </c>
      <c r="AJ534" s="563" t="s">
        <v>208</v>
      </c>
      <c r="AK534" s="595">
        <f>+I534/AI534*100</f>
        <v>70.937603950616307</v>
      </c>
      <c r="AL534" s="416" t="s">
        <v>208</v>
      </c>
      <c r="AN534" s="579">
        <f>W534</f>
        <v>339.77683733333328</v>
      </c>
      <c r="AP534" s="583">
        <f>W534/AG534</f>
        <v>154.51462547127599</v>
      </c>
      <c r="AR534" s="583">
        <f>AN534/AG534</f>
        <v>154.51462547127599</v>
      </c>
      <c r="AT534" s="599">
        <f>(AP534/AP527-1)*100</f>
        <v>8.1156635011797142</v>
      </c>
      <c r="AU534" s="563" t="s">
        <v>208</v>
      </c>
      <c r="AV534" s="579">
        <f>W534-X534</f>
        <v>122.79494555746936</v>
      </c>
      <c r="AW534" s="458">
        <f>AV534/AV527-1</f>
        <v>0.28374452406730954</v>
      </c>
      <c r="BJ534" s="623"/>
      <c r="BK534" s="623"/>
      <c r="BL534" s="623"/>
      <c r="BM534" s="623"/>
    </row>
    <row r="535" spans="1:65" ht="12.75" customHeight="1">
      <c r="A535" s="410" t="str">
        <f>$A$13</f>
        <v>2Q</v>
      </c>
      <c r="B535" s="562" t="str">
        <f>$B$13</f>
        <v>Jul</v>
      </c>
      <c r="D535" s="645">
        <f t="shared" si="79"/>
        <v>5.1111111111111072</v>
      </c>
      <c r="F535" s="1457">
        <f>segSales!N166</f>
        <v>4</v>
      </c>
      <c r="G535" s="682"/>
      <c r="I535" s="645">
        <f t="shared" si="80"/>
        <v>1.1111111111111072</v>
      </c>
      <c r="K535" s="454">
        <v>228</v>
      </c>
      <c r="L535" s="454"/>
      <c r="M535" s="454"/>
      <c r="N535" s="454"/>
      <c r="P535" s="587">
        <f>AVERAGE(K535,K534)</f>
        <v>227.5</v>
      </c>
      <c r="R535" s="645">
        <f>+(P535/P528-1)*100</f>
        <v>1.1111111111111072</v>
      </c>
      <c r="S535" s="563"/>
      <c r="T535" s="1725">
        <v>100</v>
      </c>
      <c r="U535" s="416"/>
      <c r="W535" s="539">
        <f t="shared" si="81"/>
        <v>380.9741711111111</v>
      </c>
      <c r="X535" s="539">
        <f>+X528*(1+(G535+I535)/100)</f>
        <v>257.91779658607601</v>
      </c>
      <c r="Z535" s="585">
        <f t="shared" ref="Z535:Z538" si="82">W535/P535</f>
        <v>1.674611741147741</v>
      </c>
      <c r="AB535" s="599">
        <f>(Z535/Z528-1)*100</f>
        <v>3.956043956043942</v>
      </c>
      <c r="AC535" s="563"/>
      <c r="AE535" s="600">
        <f>AE534+(K535-K534)*yrSales!$X$59/1000000</f>
        <v>2.2214946666666657</v>
      </c>
      <c r="AG535" s="582">
        <f>AVERAGE(AE535,AE534)</f>
        <v>2.2139946666666654</v>
      </c>
      <c r="AI535" s="539">
        <f>(AG535/AG528-1)*100</f>
        <v>1.7229539118251758</v>
      </c>
      <c r="AJ535" s="563"/>
      <c r="AK535" s="595">
        <f>+I535/AI535*100</f>
        <v>64.48873086419789</v>
      </c>
      <c r="AL535" s="416"/>
      <c r="AN535" s="584">
        <f t="shared" ref="AN535:AN538" si="83">W535</f>
        <v>380.9741711111111</v>
      </c>
      <c r="AP535" s="586">
        <f>W535/AG535</f>
        <v>172.07546921722997</v>
      </c>
      <c r="AR535" s="586">
        <f>AN535/AG535</f>
        <v>172.07546921722997</v>
      </c>
      <c r="AT535" s="599">
        <f>(AP535/AP528-1)*100</f>
        <v>3.3307695746063626</v>
      </c>
      <c r="AU535" s="563"/>
      <c r="AV535" s="579">
        <f>W535-X535</f>
        <v>123.0563745250351</v>
      </c>
      <c r="AW535" s="458">
        <f>AV535/AV528-1</f>
        <v>0.14614484855634458</v>
      </c>
      <c r="BJ535" s="623"/>
      <c r="BK535" s="623"/>
      <c r="BL535" s="623"/>
      <c r="BM535" s="623"/>
    </row>
    <row r="536" spans="1:65" ht="12.75" customHeight="1">
      <c r="A536" s="410" t="str">
        <f>$A$14</f>
        <v>3Q</v>
      </c>
      <c r="B536" s="562" t="str">
        <f>$B$14</f>
        <v>Oct</v>
      </c>
      <c r="D536" s="645">
        <f>F536+I536</f>
        <v>1.0066371681415909</v>
      </c>
      <c r="F536" s="1457">
        <f>segSales!N167</f>
        <v>0</v>
      </c>
      <c r="G536" s="682"/>
      <c r="I536" s="645">
        <f>R536*T536/100</f>
        <v>1.0066371681415909</v>
      </c>
      <c r="K536" s="454">
        <v>231</v>
      </c>
      <c r="L536" s="454"/>
      <c r="M536" s="454"/>
      <c r="N536" s="454"/>
      <c r="P536" s="587">
        <f>AVERAGE(K536,K535)</f>
        <v>229.5</v>
      </c>
      <c r="R536" s="645">
        <f>+(P536/P529-1)*100</f>
        <v>1.5486725663716783</v>
      </c>
      <c r="S536" s="563"/>
      <c r="T536" s="1456">
        <v>65</v>
      </c>
      <c r="U536" s="416"/>
      <c r="W536" s="539">
        <f>+W529*(1+D536/100)</f>
        <v>355.62416814159292</v>
      </c>
      <c r="X536" s="539">
        <f>+X529*(1+(G536+I536)/100)</f>
        <v>236.57314689744129</v>
      </c>
      <c r="Z536" s="585">
        <f t="shared" si="82"/>
        <v>1.5495606454971369</v>
      </c>
      <c r="AB536" s="599">
        <f>(Z536/Z529-1)*100</f>
        <v>-0.53376906318082229</v>
      </c>
      <c r="AC536" s="563"/>
      <c r="AE536" s="600">
        <f>AE535+(K536-K535)*yrSales!$X$59/1000000</f>
        <v>2.2664946666666657</v>
      </c>
      <c r="AG536" s="582">
        <f>AVERAGE(AE536,AE535)</f>
        <v>2.2439946666666657</v>
      </c>
      <c r="AI536" s="539">
        <f>(AG536/AG529-1)*100</f>
        <v>2.3956252688424051</v>
      </c>
      <c r="AJ536" s="563"/>
      <c r="AK536" s="595">
        <f>+I536/AI536*100</f>
        <v>42.019809242870856</v>
      </c>
      <c r="AL536" s="416"/>
      <c r="AN536" s="584">
        <f t="shared" si="83"/>
        <v>355.62416814159292</v>
      </c>
      <c r="AP536" s="586">
        <f>W536/AG536</f>
        <v>158.47816994585537</v>
      </c>
      <c r="AR536" s="586">
        <f>AN536/AG536</f>
        <v>158.47816994585537</v>
      </c>
      <c r="AT536" s="599">
        <f t="shared" ref="AT536:AT538" si="84">(AP536/AP529-1)*100</f>
        <v>-1.3564916441048958</v>
      </c>
      <c r="AU536" s="563"/>
      <c r="AV536" s="579">
        <f>W536-X536</f>
        <v>119.05102124415163</v>
      </c>
      <c r="AW536" s="458">
        <f>AV536/AV529-1</f>
        <v>1.0066371681415776E-2</v>
      </c>
      <c r="BJ536" s="623"/>
      <c r="BK536" s="623"/>
      <c r="BL536" s="623"/>
      <c r="BM536" s="623"/>
    </row>
    <row r="537" spans="1:65" ht="12.75" customHeight="1">
      <c r="A537" s="410" t="str">
        <f>$A$15</f>
        <v>4Q</v>
      </c>
      <c r="B537" s="562" t="str">
        <f>$B$15</f>
        <v>Jan</v>
      </c>
      <c r="D537" s="646">
        <f>F537+I537</f>
        <v>4.4150110375327234E-3</v>
      </c>
      <c r="F537" s="1726">
        <f>segSales!N168</f>
        <v>-1</v>
      </c>
      <c r="G537" s="683"/>
      <c r="I537" s="646">
        <f>R537*T537/100</f>
        <v>1.0044150110375327</v>
      </c>
      <c r="K537" s="13">
        <f>yrSales!$Z$28</f>
        <v>229</v>
      </c>
      <c r="P537" s="588">
        <f>AVERAGE(K537,K536)</f>
        <v>230</v>
      </c>
      <c r="R537" s="646">
        <f>+(P537/P530-1)*100</f>
        <v>1.5452538631346657</v>
      </c>
      <c r="S537" s="563"/>
      <c r="T537" s="1609">
        <v>65</v>
      </c>
      <c r="U537" s="416"/>
      <c r="W537" s="596">
        <f>+W530*(1+D537/100)</f>
        <v>447.20374322295811</v>
      </c>
      <c r="X537" s="596">
        <f>+X530*(1+(G537+I537)/100)</f>
        <v>306.05692125625484</v>
      </c>
      <c r="Z537" s="590">
        <f t="shared" si="82"/>
        <v>1.9443641009693831</v>
      </c>
      <c r="AB537" s="597">
        <f>(Z537/Z530-1)*100</f>
        <v>-1.5173913043478149</v>
      </c>
      <c r="AC537" s="563"/>
      <c r="AE537" s="600">
        <f>AE536+(K537-K536)*yrSales!$X$59/1000000</f>
        <v>2.2364946666666659</v>
      </c>
      <c r="AG537" s="591">
        <f>AVERAGE(AE537,AE536)</f>
        <v>2.251494666666666</v>
      </c>
      <c r="AI537" s="596">
        <f>(AG537/AG530-1)*100</f>
        <v>2.3874546307828037</v>
      </c>
      <c r="AJ537" s="563"/>
      <c r="AK537" s="598">
        <f>+I537/AI537*100</f>
        <v>42.070538140789843</v>
      </c>
      <c r="AL537" s="416"/>
      <c r="AN537" s="589">
        <f t="shared" si="83"/>
        <v>447.20374322295811</v>
      </c>
      <c r="AP537" s="592">
        <f>W537/AG537</f>
        <v>198.62527317688142</v>
      </c>
      <c r="AR537" s="592">
        <f>AN537/AG537</f>
        <v>198.62527317688142</v>
      </c>
      <c r="AT537" s="597">
        <f t="shared" si="84"/>
        <v>-2.3274722751324362</v>
      </c>
      <c r="AU537" s="563"/>
      <c r="AV537" s="626">
        <f>W537-X537</f>
        <v>141.14682196670327</v>
      </c>
      <c r="AW537" s="625">
        <f>AV537/AV530-1</f>
        <v>-2.0973548934698827E-2</v>
      </c>
      <c r="BJ537" s="623"/>
      <c r="BK537" s="623"/>
      <c r="BL537" s="623"/>
      <c r="BM537" s="623"/>
    </row>
    <row r="538" spans="1:65" ht="12.75" customHeight="1">
      <c r="B538" s="562" t="str">
        <f>$B$16</f>
        <v>Year</v>
      </c>
      <c r="D538" s="618">
        <f>(W538/W531-1)*100</f>
        <v>3.4499585345016959</v>
      </c>
      <c r="F538" s="682">
        <f>F534*W534/W538+F535*W535/W538+F536*W536/W538+F537*W537/W538</f>
        <v>2.6022912282429509</v>
      </c>
      <c r="G538" s="661"/>
      <c r="I538" s="618">
        <f>D538-F538</f>
        <v>0.84766730625874498</v>
      </c>
      <c r="P538" s="587">
        <f>AVERAGE(P534:P537)</f>
        <v>228.375</v>
      </c>
      <c r="R538" s="618">
        <f>+(P538/P531-1)*100</f>
        <v>1.218836565096959</v>
      </c>
      <c r="S538" s="563"/>
      <c r="T538" s="595">
        <f>I538/R538*100</f>
        <v>69.547249445319409</v>
      </c>
      <c r="U538" s="416"/>
      <c r="W538" s="579">
        <f>SUM(W534:W537)</f>
        <v>1523.5789198089954</v>
      </c>
      <c r="X538" s="579">
        <f>SUM(X534:X537)</f>
        <v>1017.5297565156361</v>
      </c>
      <c r="Z538" s="580">
        <f t="shared" si="82"/>
        <v>6.6713910008056718</v>
      </c>
      <c r="AB538" s="599">
        <f>(Z538/Z531-1)*100</f>
        <v>2.2042556950057746</v>
      </c>
      <c r="AC538" s="563"/>
      <c r="AG538" s="582">
        <f>AVERAGE(AG534:AG537)</f>
        <v>2.2271196666666659</v>
      </c>
      <c r="AI538" s="539">
        <f>(AG538/AG531-1)*100</f>
        <v>1.8871207478213581</v>
      </c>
      <c r="AJ538" s="563"/>
      <c r="AK538" s="595">
        <f>+I538/AI538*100</f>
        <v>44.918551567903606</v>
      </c>
      <c r="AL538" s="416"/>
      <c r="AN538" s="579">
        <f t="shared" si="83"/>
        <v>1523.5789198089954</v>
      </c>
      <c r="AP538" s="583">
        <f>SUM(AP534:AP537)</f>
        <v>683.69353781124278</v>
      </c>
      <c r="AR538" s="583">
        <f>SUM(AR534:AR537)</f>
        <v>683.69353781124278</v>
      </c>
      <c r="AT538" s="599">
        <f t="shared" si="84"/>
        <v>1.5194442631674798</v>
      </c>
      <c r="AU538" s="563"/>
      <c r="AV538" s="579">
        <f>SUM(AV534:AV537)</f>
        <v>506.04916329335936</v>
      </c>
      <c r="AW538" s="458">
        <f>AV538/AV531-1</f>
        <v>8.8150624030350677E-2</v>
      </c>
      <c r="BJ538" s="623"/>
      <c r="BK538" s="623"/>
      <c r="BL538" s="623"/>
      <c r="BM538" s="623"/>
    </row>
    <row r="539" spans="1:65" ht="12.75" customHeight="1">
      <c r="B539" s="562"/>
      <c r="D539" s="618"/>
      <c r="F539" s="682"/>
      <c r="G539" s="661"/>
      <c r="I539" s="618"/>
      <c r="P539" s="587"/>
      <c r="R539" s="618"/>
      <c r="S539" s="563"/>
      <c r="T539" s="595"/>
      <c r="U539" s="416"/>
      <c r="W539" s="579"/>
      <c r="X539" s="579"/>
      <c r="Z539" s="580"/>
      <c r="AB539" s="599"/>
      <c r="AC539" s="563"/>
      <c r="AG539" s="582"/>
      <c r="AI539" s="539"/>
      <c r="AJ539" s="563"/>
      <c r="AK539" s="595"/>
      <c r="AL539" s="416"/>
      <c r="AN539" s="579"/>
      <c r="AP539" s="583"/>
      <c r="AR539" s="583"/>
      <c r="AT539" s="599"/>
      <c r="AU539" s="563"/>
      <c r="AV539" s="579"/>
      <c r="AW539" s="458"/>
      <c r="BJ539" s="623"/>
      <c r="BK539" s="623"/>
      <c r="BL539" s="623"/>
      <c r="BM539" s="623"/>
    </row>
    <row r="540" spans="1:65" ht="12.75" customHeight="1">
      <c r="A540" s="574" t="s">
        <v>498</v>
      </c>
      <c r="B540" s="562"/>
      <c r="F540" s="563"/>
      <c r="G540" s="677"/>
      <c r="X540" s="482"/>
      <c r="BJ540" s="623"/>
      <c r="BK540" s="623"/>
      <c r="BL540" s="623"/>
      <c r="BM540" s="623"/>
    </row>
    <row r="541" spans="1:65" ht="12.75" customHeight="1">
      <c r="B541" s="562"/>
      <c r="F541" s="563"/>
      <c r="G541" s="677"/>
      <c r="X541" s="482"/>
      <c r="BJ541" s="623"/>
      <c r="BK541" s="623"/>
      <c r="BL541" s="623"/>
      <c r="BM541" s="623"/>
    </row>
    <row r="542" spans="1:65" ht="12.75" hidden="1" customHeight="1" outlineLevel="1">
      <c r="A542" s="593"/>
      <c r="B542" s="431">
        <f>+B435</f>
        <v>2004</v>
      </c>
      <c r="E542" s="563"/>
      <c r="F542" s="563"/>
      <c r="G542" s="563"/>
      <c r="H542" s="563"/>
      <c r="J542" s="563"/>
      <c r="S542" s="563"/>
      <c r="U542" s="416"/>
      <c r="X542" s="482"/>
      <c r="AC542" s="563"/>
      <c r="AJ542" s="563"/>
      <c r="AK542" s="416"/>
      <c r="AL542" s="416"/>
      <c r="AU542" s="563"/>
      <c r="BJ542" s="623"/>
      <c r="BK542" s="623"/>
      <c r="BL542" s="623"/>
      <c r="BM542" s="623"/>
    </row>
    <row r="543" spans="1:65" ht="12.75" hidden="1" customHeight="1" outlineLevel="1">
      <c r="A543" s="410" t="str">
        <f>$A$12</f>
        <v>1Q</v>
      </c>
      <c r="B543" s="562" t="str">
        <f>$B$12</f>
        <v>Apr</v>
      </c>
      <c r="D543" s="645"/>
      <c r="E543" s="563"/>
      <c r="F543" s="563"/>
      <c r="G543" s="679">
        <v>54</v>
      </c>
      <c r="H543" s="563"/>
      <c r="I543" s="645"/>
      <c r="J543" s="563"/>
      <c r="K543" s="454"/>
      <c r="L543" s="454"/>
      <c r="M543" s="454"/>
      <c r="N543" s="454"/>
      <c r="P543" s="587"/>
      <c r="R543" s="645"/>
      <c r="S543" s="563"/>
      <c r="U543" s="416"/>
      <c r="X543" s="579"/>
      <c r="Z543" s="580"/>
      <c r="AB543" s="599"/>
      <c r="AC543" s="563"/>
      <c r="AE543" s="600"/>
      <c r="AG543" s="582"/>
      <c r="AI543" s="539"/>
      <c r="AJ543" s="563"/>
      <c r="AK543" s="595"/>
      <c r="AL543" s="416"/>
      <c r="AN543" s="579"/>
      <c r="AP543" s="583"/>
      <c r="AR543" s="583"/>
      <c r="AT543" s="599"/>
      <c r="AU543" s="563"/>
      <c r="BJ543" s="623"/>
      <c r="BK543" s="623"/>
      <c r="BL543" s="623"/>
      <c r="BM543" s="623"/>
    </row>
    <row r="544" spans="1:65" ht="12.75" hidden="1" customHeight="1" outlineLevel="1">
      <c r="A544" s="410" t="str">
        <f>$A$13</f>
        <v>2Q</v>
      </c>
      <c r="B544" s="562" t="str">
        <f>$B$13</f>
        <v>Jul</v>
      </c>
      <c r="D544" s="645"/>
      <c r="F544" s="563"/>
      <c r="G544" s="679">
        <v>41</v>
      </c>
      <c r="I544" s="645"/>
      <c r="K544" s="454"/>
      <c r="L544" s="454"/>
      <c r="M544" s="454"/>
      <c r="N544" s="454"/>
      <c r="O544" s="454"/>
      <c r="P544" s="587"/>
      <c r="R544" s="645"/>
      <c r="S544" s="563"/>
      <c r="T544" s="640"/>
      <c r="U544" s="416"/>
      <c r="X544" s="539"/>
      <c r="Z544" s="585"/>
      <c r="AB544" s="599"/>
      <c r="AC544" s="563"/>
      <c r="AE544" s="600"/>
      <c r="AF544" s="454"/>
      <c r="AG544" s="582"/>
      <c r="AI544" s="539"/>
      <c r="AJ544" s="563"/>
      <c r="AK544" s="595"/>
      <c r="AL544" s="416"/>
      <c r="AN544" s="584"/>
      <c r="AP544" s="586"/>
      <c r="AR544" s="586"/>
      <c r="AT544" s="599"/>
      <c r="AU544" s="563"/>
      <c r="BJ544" s="623"/>
      <c r="BK544" s="623"/>
      <c r="BL544" s="623"/>
      <c r="BM544" s="623"/>
    </row>
    <row r="545" spans="1:65" ht="12.75" hidden="1" customHeight="1" outlineLevel="1">
      <c r="A545" s="410" t="str">
        <f>$A$14</f>
        <v>3Q</v>
      </c>
      <c r="B545" s="562" t="str">
        <f>$B$14</f>
        <v>Oct</v>
      </c>
      <c r="D545" s="645"/>
      <c r="F545" s="563"/>
      <c r="G545" s="679">
        <v>49</v>
      </c>
      <c r="I545" s="645"/>
      <c r="K545" s="454"/>
      <c r="L545" s="454"/>
      <c r="M545" s="454"/>
      <c r="N545" s="454"/>
      <c r="O545" s="454"/>
      <c r="P545" s="587"/>
      <c r="R545" s="645"/>
      <c r="S545" s="563"/>
      <c r="T545" s="640"/>
      <c r="U545" s="416"/>
      <c r="X545" s="539"/>
      <c r="Z545" s="585"/>
      <c r="AB545" s="599"/>
      <c r="AC545" s="563"/>
      <c r="AE545" s="600"/>
      <c r="AF545" s="454"/>
      <c r="AG545" s="582"/>
      <c r="AI545" s="539"/>
      <c r="AJ545" s="563"/>
      <c r="AK545" s="595"/>
      <c r="AL545" s="416"/>
      <c r="AN545" s="584"/>
      <c r="AP545" s="586"/>
      <c r="AR545" s="586"/>
      <c r="AT545" s="599"/>
      <c r="AU545" s="563"/>
      <c r="BJ545" s="623"/>
      <c r="BK545" s="623"/>
      <c r="BL545" s="623"/>
      <c r="BM545" s="623"/>
    </row>
    <row r="546" spans="1:65" ht="12.75" hidden="1" customHeight="1" outlineLevel="1">
      <c r="A546" s="410" t="str">
        <f>$A$15</f>
        <v>4Q</v>
      </c>
      <c r="B546" s="562" t="str">
        <f>$B$15</f>
        <v>Jan</v>
      </c>
      <c r="D546" s="646"/>
      <c r="F546" s="563"/>
      <c r="G546" s="680">
        <v>58</v>
      </c>
      <c r="I546" s="646"/>
      <c r="K546" s="454"/>
      <c r="L546" s="454"/>
      <c r="M546" s="454"/>
      <c r="N546" s="454"/>
      <c r="O546" s="454"/>
      <c r="P546" s="588"/>
      <c r="R546" s="646"/>
      <c r="S546" s="563"/>
      <c r="T546" s="648"/>
      <c r="U546" s="416"/>
      <c r="X546" s="596"/>
      <c r="Z546" s="590"/>
      <c r="AB546" s="597"/>
      <c r="AC546" s="563"/>
      <c r="AE546" s="600"/>
      <c r="AF546" s="454"/>
      <c r="AG546" s="591"/>
      <c r="AI546" s="596"/>
      <c r="AJ546" s="563"/>
      <c r="AK546" s="598"/>
      <c r="AL546" s="416"/>
      <c r="AN546" s="589"/>
      <c r="AP546" s="592"/>
      <c r="AR546" s="592"/>
      <c r="AT546" s="597"/>
      <c r="AU546" s="563"/>
      <c r="BJ546" s="623"/>
      <c r="BK546" s="623"/>
      <c r="BL546" s="623"/>
      <c r="BM546" s="623"/>
    </row>
    <row r="547" spans="1:65" ht="12.75" hidden="1" customHeight="1" outlineLevel="1">
      <c r="B547" s="562" t="str">
        <f>$B$16</f>
        <v>Year</v>
      </c>
      <c r="D547" s="618"/>
      <c r="F547" s="563"/>
      <c r="G547" s="678">
        <v>51</v>
      </c>
      <c r="I547" s="618"/>
      <c r="P547" s="587"/>
      <c r="R547" s="618"/>
      <c r="S547" s="563"/>
      <c r="T547" s="595"/>
      <c r="U547" s="416"/>
      <c r="X547" s="579"/>
      <c r="Z547" s="580"/>
      <c r="AB547" s="599"/>
      <c r="AC547" s="563"/>
      <c r="AG547" s="582"/>
      <c r="AI547" s="539"/>
      <c r="AJ547" s="563"/>
      <c r="AK547" s="595"/>
      <c r="AL547" s="416"/>
      <c r="AN547" s="579"/>
      <c r="AP547" s="583"/>
      <c r="AR547" s="583"/>
      <c r="AT547" s="599"/>
      <c r="AU547" s="563"/>
      <c r="BJ547" s="623"/>
      <c r="BK547" s="623"/>
      <c r="BL547" s="623"/>
      <c r="BM547" s="623"/>
    </row>
    <row r="548" spans="1:65" ht="12.75" hidden="1" customHeight="1" outlineLevel="1">
      <c r="B548" s="562"/>
      <c r="F548" s="563"/>
      <c r="G548" s="563"/>
      <c r="BJ548" s="623"/>
      <c r="BK548" s="623"/>
      <c r="BL548" s="623"/>
      <c r="BM548" s="623"/>
    </row>
    <row r="549" spans="1:65" ht="12.75" hidden="1" customHeight="1" outlineLevel="1">
      <c r="A549" s="593"/>
      <c r="B549" s="431">
        <f>+B442</f>
        <v>2005</v>
      </c>
      <c r="E549" s="563"/>
      <c r="F549" s="563"/>
      <c r="G549" s="563"/>
      <c r="H549" s="563"/>
      <c r="J549" s="563"/>
      <c r="S549" s="563"/>
      <c r="T549" s="416"/>
      <c r="U549" s="416"/>
      <c r="AC549" s="563"/>
      <c r="AJ549" s="563"/>
      <c r="AK549" s="416"/>
      <c r="AL549" s="416"/>
      <c r="AU549" s="563"/>
      <c r="BJ549" s="623"/>
      <c r="BK549" s="623"/>
      <c r="BL549" s="623"/>
      <c r="BM549" s="623"/>
    </row>
    <row r="550" spans="1:65" ht="12.75" hidden="1" customHeight="1" outlineLevel="1">
      <c r="A550" s="410" t="str">
        <f>$A$12</f>
        <v>1Q</v>
      </c>
      <c r="B550" s="562" t="str">
        <f>$B$12</f>
        <v>Apr</v>
      </c>
      <c r="D550" s="645"/>
      <c r="E550" s="563"/>
      <c r="F550" s="563"/>
      <c r="G550" s="679">
        <v>45</v>
      </c>
      <c r="H550" s="563"/>
      <c r="I550" s="645"/>
      <c r="J550" s="563"/>
      <c r="K550" s="454"/>
      <c r="L550" s="454"/>
      <c r="M550" s="454"/>
      <c r="N550" s="454"/>
      <c r="P550" s="587"/>
      <c r="R550" s="645"/>
      <c r="S550" s="563"/>
      <c r="T550" s="640"/>
      <c r="U550" s="416"/>
      <c r="X550" s="579"/>
      <c r="Z550" s="580"/>
      <c r="AB550" s="599"/>
      <c r="AC550" s="563"/>
      <c r="AE550" s="600"/>
      <c r="AG550" s="582"/>
      <c r="AI550" s="539"/>
      <c r="AJ550" s="563"/>
      <c r="AK550" s="595"/>
      <c r="AL550" s="416"/>
      <c r="AN550" s="579"/>
      <c r="AP550" s="583"/>
      <c r="AR550" s="583"/>
      <c r="AT550" s="599"/>
      <c r="AU550" s="563"/>
      <c r="BJ550" s="623"/>
      <c r="BK550" s="623"/>
      <c r="BL550" s="623"/>
      <c r="BM550" s="623"/>
    </row>
    <row r="551" spans="1:65" ht="12.75" hidden="1" customHeight="1" outlineLevel="1">
      <c r="A551" s="410" t="str">
        <f>$A$13</f>
        <v>2Q</v>
      </c>
      <c r="B551" s="562" t="str">
        <f>$B$13</f>
        <v>Jul</v>
      </c>
      <c r="D551" s="645"/>
      <c r="F551" s="563"/>
      <c r="G551" s="679">
        <v>36</v>
      </c>
      <c r="I551" s="645"/>
      <c r="K551" s="454"/>
      <c r="L551" s="454"/>
      <c r="M551" s="454"/>
      <c r="N551" s="454"/>
      <c r="O551" s="454"/>
      <c r="P551" s="587"/>
      <c r="R551" s="645"/>
      <c r="S551" s="563"/>
      <c r="T551" s="640"/>
      <c r="U551" s="416"/>
      <c r="X551" s="539"/>
      <c r="Z551" s="585"/>
      <c r="AB551" s="599"/>
      <c r="AC551" s="563"/>
      <c r="AE551" s="600"/>
      <c r="AF551" s="454"/>
      <c r="AG551" s="582"/>
      <c r="AI551" s="539"/>
      <c r="AJ551" s="563"/>
      <c r="AK551" s="595"/>
      <c r="AL551" s="416"/>
      <c r="AN551" s="584"/>
      <c r="AP551" s="586"/>
      <c r="AR551" s="586"/>
      <c r="AT551" s="599"/>
      <c r="AU551" s="563"/>
      <c r="BJ551" s="623"/>
      <c r="BK551" s="623"/>
      <c r="BL551" s="623"/>
      <c r="BM551" s="623"/>
    </row>
    <row r="552" spans="1:65" ht="12.75" hidden="1" customHeight="1" outlineLevel="1">
      <c r="A552" s="410" t="str">
        <f>$A$14</f>
        <v>3Q</v>
      </c>
      <c r="B552" s="562" t="str">
        <f>$B$14</f>
        <v>Oct</v>
      </c>
      <c r="D552" s="645"/>
      <c r="F552" s="563"/>
      <c r="G552" s="679">
        <v>21</v>
      </c>
      <c r="I552" s="645"/>
      <c r="K552" s="454"/>
      <c r="L552" s="454"/>
      <c r="M552" s="454"/>
      <c r="N552" s="454"/>
      <c r="O552" s="454"/>
      <c r="P552" s="587"/>
      <c r="R552" s="645"/>
      <c r="S552" s="563"/>
      <c r="T552" s="640"/>
      <c r="U552" s="416"/>
      <c r="X552" s="539"/>
      <c r="Z552" s="585"/>
      <c r="AB552" s="599"/>
      <c r="AC552" s="563"/>
      <c r="AE552" s="600"/>
      <c r="AF552" s="454"/>
      <c r="AG552" s="582"/>
      <c r="AI552" s="539"/>
      <c r="AJ552" s="563"/>
      <c r="AK552" s="595"/>
      <c r="AL552" s="416"/>
      <c r="AN552" s="584"/>
      <c r="AP552" s="586"/>
      <c r="AR552" s="586"/>
      <c r="AT552" s="599"/>
      <c r="AU552" s="563"/>
      <c r="BJ552" s="623"/>
      <c r="BK552" s="623"/>
      <c r="BL552" s="623"/>
      <c r="BM552" s="623"/>
    </row>
    <row r="553" spans="1:65" ht="12.75" hidden="1" customHeight="1" outlineLevel="1">
      <c r="A553" s="410" t="str">
        <f>$A$15</f>
        <v>4Q</v>
      </c>
      <c r="B553" s="562" t="str">
        <f>$B$15</f>
        <v>Jan</v>
      </c>
      <c r="D553" s="646"/>
      <c r="F553" s="563"/>
      <c r="G553" s="680">
        <v>21</v>
      </c>
      <c r="I553" s="646"/>
      <c r="K553" s="454"/>
      <c r="L553" s="454"/>
      <c r="M553" s="454"/>
      <c r="N553" s="454"/>
      <c r="O553" s="454"/>
      <c r="P553" s="588"/>
      <c r="R553" s="646"/>
      <c r="S553" s="563"/>
      <c r="T553" s="648"/>
      <c r="U553" s="416"/>
      <c r="X553" s="596"/>
      <c r="Z553" s="590"/>
      <c r="AB553" s="597"/>
      <c r="AC553" s="563"/>
      <c r="AE553" s="581">
        <f>0.00914/0.75</f>
        <v>1.2186666666666667E-2</v>
      </c>
      <c r="AF553" s="454"/>
      <c r="AG553" s="591"/>
      <c r="AI553" s="596"/>
      <c r="AJ553" s="563"/>
      <c r="AK553" s="598"/>
      <c r="AL553" s="416"/>
      <c r="AN553" s="589"/>
      <c r="AP553" s="592"/>
      <c r="AR553" s="592"/>
      <c r="AT553" s="597"/>
      <c r="AU553" s="563"/>
      <c r="BJ553" s="623"/>
      <c r="BK553" s="623"/>
      <c r="BL553" s="623"/>
      <c r="BM553" s="623"/>
    </row>
    <row r="554" spans="1:65" ht="12.75" hidden="1" customHeight="1" outlineLevel="1">
      <c r="B554" s="562" t="str">
        <f>$B$16</f>
        <v>Year</v>
      </c>
      <c r="D554" s="618"/>
      <c r="F554" s="563"/>
      <c r="G554" s="678">
        <v>28</v>
      </c>
      <c r="I554" s="618"/>
      <c r="P554" s="587"/>
      <c r="R554" s="618"/>
      <c r="S554" s="563"/>
      <c r="T554" s="595"/>
      <c r="U554" s="416"/>
      <c r="X554" s="579"/>
      <c r="Z554" s="580"/>
      <c r="AB554" s="599"/>
      <c r="AC554" s="563"/>
      <c r="AG554" s="582"/>
      <c r="AI554" s="539"/>
      <c r="AJ554" s="563"/>
      <c r="AK554" s="595"/>
      <c r="AL554" s="416"/>
      <c r="AN554" s="579"/>
      <c r="AP554" s="583"/>
      <c r="AR554" s="583"/>
      <c r="AT554" s="599"/>
      <c r="AU554" s="563"/>
      <c r="BJ554" s="623"/>
      <c r="BK554" s="623"/>
      <c r="BL554" s="623"/>
      <c r="BM554" s="623"/>
    </row>
    <row r="555" spans="1:65" ht="12.75" hidden="1" customHeight="1" outlineLevel="1" collapsed="1">
      <c r="B555" s="562"/>
      <c r="F555" s="563"/>
      <c r="G555" s="563"/>
      <c r="BJ555" s="623"/>
      <c r="BK555" s="623"/>
      <c r="BL555" s="623"/>
      <c r="BM555" s="623"/>
    </row>
    <row r="556" spans="1:65" ht="12.75" hidden="1" customHeight="1" outlineLevel="1" collapsed="1">
      <c r="A556" s="593"/>
      <c r="B556" s="431">
        <f>B449</f>
        <v>2006</v>
      </c>
      <c r="E556" s="563"/>
      <c r="F556" s="563"/>
      <c r="G556" s="677"/>
      <c r="H556" s="563"/>
      <c r="J556" s="563"/>
      <c r="S556" s="563"/>
      <c r="T556" s="416"/>
      <c r="U556" s="416"/>
      <c r="AC556" s="563"/>
      <c r="AJ556" s="563"/>
      <c r="AK556" s="416"/>
      <c r="AL556" s="416"/>
      <c r="AU556" s="563"/>
      <c r="BJ556" s="623"/>
      <c r="BK556" s="623"/>
      <c r="BL556" s="623"/>
      <c r="BM556" s="623"/>
    </row>
    <row r="557" spans="1:65" ht="12.75" hidden="1" customHeight="1" outlineLevel="1">
      <c r="A557" s="410" t="str">
        <f>$A$12</f>
        <v>1Q</v>
      </c>
      <c r="B557" s="562" t="str">
        <f>$B$12</f>
        <v>Apr</v>
      </c>
      <c r="D557" s="645"/>
      <c r="E557" s="563"/>
      <c r="F557" s="563"/>
      <c r="G557" s="679">
        <v>13.8</v>
      </c>
      <c r="H557" s="563"/>
      <c r="I557" s="645"/>
      <c r="J557" s="563"/>
      <c r="K557" s="454"/>
      <c r="L557" s="454"/>
      <c r="M557" s="454"/>
      <c r="N557" s="454"/>
      <c r="P557" s="587"/>
      <c r="R557" s="645"/>
      <c r="S557" s="563"/>
      <c r="T557" s="640"/>
      <c r="U557" s="416"/>
      <c r="X557" s="579"/>
      <c r="Z557" s="580"/>
      <c r="AB557" s="599"/>
      <c r="AC557" s="563"/>
      <c r="AE557" s="581">
        <f>0.00914/0.75</f>
        <v>1.2186666666666667E-2</v>
      </c>
      <c r="AG557" s="582"/>
      <c r="AI557" s="539"/>
      <c r="AJ557" s="563"/>
      <c r="AK557" s="595"/>
      <c r="AL557" s="416"/>
      <c r="AN557" s="579"/>
      <c r="AP557" s="583"/>
      <c r="AR557" s="583"/>
      <c r="AT557" s="599"/>
      <c r="AU557" s="563"/>
      <c r="BJ557" s="623"/>
      <c r="BK557" s="623"/>
      <c r="BL557" s="623"/>
      <c r="BM557" s="623"/>
    </row>
    <row r="558" spans="1:65" ht="12.75" hidden="1" customHeight="1" outlineLevel="1">
      <c r="A558" s="410" t="str">
        <f>$A$13</f>
        <v>2Q</v>
      </c>
      <c r="B558" s="562" t="str">
        <f>$B$13</f>
        <v>Jul</v>
      </c>
      <c r="D558" s="645"/>
      <c r="F558" s="563"/>
      <c r="G558" s="679">
        <v>8</v>
      </c>
      <c r="I558" s="645"/>
      <c r="K558" s="454"/>
      <c r="L558" s="454">
        <v>7</v>
      </c>
      <c r="M558" s="454">
        <v>0</v>
      </c>
      <c r="N558" s="454">
        <v>0</v>
      </c>
      <c r="O558" s="454"/>
      <c r="P558" s="587"/>
      <c r="R558" s="645"/>
      <c r="S558" s="563"/>
      <c r="T558" s="640"/>
      <c r="U558" s="416"/>
      <c r="X558" s="539"/>
      <c r="Z558" s="585"/>
      <c r="AB558" s="599"/>
      <c r="AC558" s="563"/>
      <c r="AE558" s="581">
        <f>0.00914/0.75</f>
        <v>1.2186666666666667E-2</v>
      </c>
      <c r="AF558" s="454"/>
      <c r="AG558" s="582"/>
      <c r="AI558" s="539"/>
      <c r="AJ558" s="563"/>
      <c r="AK558" s="595"/>
      <c r="AL558" s="416"/>
      <c r="AN558" s="584"/>
      <c r="AP558" s="586"/>
      <c r="AR558" s="586"/>
      <c r="AT558" s="599"/>
      <c r="AU558" s="563"/>
      <c r="BJ558" s="623"/>
      <c r="BK558" s="623"/>
      <c r="BL558" s="623"/>
      <c r="BM558" s="623"/>
    </row>
    <row r="559" spans="1:65" ht="12.75" hidden="1" customHeight="1" outlineLevel="1">
      <c r="A559" s="410" t="str">
        <f>$A$14</f>
        <v>3Q</v>
      </c>
      <c r="B559" s="562" t="str">
        <f>$B$14</f>
        <v>Oct</v>
      </c>
      <c r="D559" s="645"/>
      <c r="F559" s="563"/>
      <c r="G559" s="679">
        <v>9</v>
      </c>
      <c r="I559" s="645"/>
      <c r="K559" s="454">
        <v>8</v>
      </c>
      <c r="L559" s="454">
        <v>8</v>
      </c>
      <c r="M559" s="454">
        <v>0</v>
      </c>
      <c r="N559" s="454">
        <v>0</v>
      </c>
      <c r="O559" s="454"/>
      <c r="P559" s="587"/>
      <c r="R559" s="645"/>
      <c r="S559" s="563"/>
      <c r="T559" s="640"/>
      <c r="U559" s="416"/>
      <c r="X559" s="539"/>
      <c r="Z559" s="585"/>
      <c r="AB559" s="599"/>
      <c r="AC559" s="563"/>
      <c r="AE559" s="581">
        <f>0.012869/0.75</f>
        <v>1.7158666666666666E-2</v>
      </c>
      <c r="AF559" s="454"/>
      <c r="AG559" s="582"/>
      <c r="AI559" s="539"/>
      <c r="AJ559" s="563"/>
      <c r="AK559" s="595"/>
      <c r="AL559" s="416"/>
      <c r="AN559" s="584"/>
      <c r="AP559" s="586"/>
      <c r="AR559" s="586"/>
      <c r="AT559" s="599"/>
      <c r="AU559" s="563"/>
      <c r="BJ559" s="623"/>
      <c r="BK559" s="623"/>
      <c r="BL559" s="623"/>
      <c r="BM559" s="623"/>
    </row>
    <row r="560" spans="1:65" ht="12.75" hidden="1" customHeight="1" outlineLevel="1">
      <c r="A560" s="410" t="str">
        <f>$A$15</f>
        <v>4Q</v>
      </c>
      <c r="B560" s="562" t="str">
        <f>$B$15</f>
        <v>Jan</v>
      </c>
      <c r="D560" s="646"/>
      <c r="F560" s="563"/>
      <c r="G560" s="680">
        <v>4</v>
      </c>
      <c r="I560" s="646"/>
      <c r="K560" s="410">
        <f>+yrSales!N29</f>
        <v>8</v>
      </c>
      <c r="O560" s="454"/>
      <c r="P560" s="588"/>
      <c r="R560" s="646"/>
      <c r="S560" s="563"/>
      <c r="T560" s="648"/>
      <c r="U560" s="416"/>
      <c r="X560" s="596"/>
      <c r="Z560" s="590"/>
      <c r="AB560" s="597"/>
      <c r="AC560" s="563"/>
      <c r="AE560" s="581">
        <f>0.011638/0.75</f>
        <v>1.5517333333333334E-2</v>
      </c>
      <c r="AF560" s="454"/>
      <c r="AG560" s="591"/>
      <c r="AI560" s="596"/>
      <c r="AJ560" s="563"/>
      <c r="AK560" s="598"/>
      <c r="AL560" s="416"/>
      <c r="AN560" s="589"/>
      <c r="AP560" s="592"/>
      <c r="AR560" s="592"/>
      <c r="AT560" s="597"/>
      <c r="AU560" s="563"/>
      <c r="BJ560" s="623"/>
      <c r="BK560" s="623"/>
      <c r="BL560" s="623"/>
      <c r="BM560" s="623"/>
    </row>
    <row r="561" spans="1:65" ht="12.75" hidden="1" customHeight="1" outlineLevel="1">
      <c r="B561" s="562" t="str">
        <f>$B$16</f>
        <v>Year</v>
      </c>
      <c r="D561" s="618"/>
      <c r="F561" s="563"/>
      <c r="G561" s="678">
        <v>11.5</v>
      </c>
      <c r="I561" s="618"/>
      <c r="P561" s="587"/>
      <c r="R561" s="618"/>
      <c r="S561" s="563"/>
      <c r="T561" s="595"/>
      <c r="U561" s="416"/>
      <c r="X561" s="579"/>
      <c r="Z561" s="580"/>
      <c r="AB561" s="599"/>
      <c r="AC561" s="563"/>
      <c r="AG561" s="582"/>
      <c r="AI561" s="539"/>
      <c r="AJ561" s="563"/>
      <c r="AK561" s="595"/>
      <c r="AL561" s="416"/>
      <c r="AN561" s="579"/>
      <c r="AP561" s="583"/>
      <c r="AR561" s="583"/>
      <c r="AT561" s="599"/>
      <c r="AU561" s="563"/>
      <c r="BJ561" s="623"/>
      <c r="BK561" s="623"/>
      <c r="BL561" s="623"/>
      <c r="BM561" s="623"/>
    </row>
    <row r="562" spans="1:65" ht="12.75" hidden="1" customHeight="1" outlineLevel="1">
      <c r="B562" s="562"/>
      <c r="D562" s="618"/>
      <c r="F562" s="563"/>
      <c r="G562" s="661"/>
      <c r="I562" s="618"/>
      <c r="P562" s="587"/>
      <c r="R562" s="618"/>
      <c r="S562" s="563"/>
      <c r="T562" s="595"/>
      <c r="U562" s="416"/>
      <c r="X562" s="579"/>
      <c r="Z562" s="580"/>
      <c r="AB562" s="599"/>
      <c r="AC562" s="563"/>
      <c r="AG562" s="582"/>
      <c r="AI562" s="539"/>
      <c r="AJ562" s="563"/>
      <c r="AK562" s="595"/>
      <c r="AL562" s="416"/>
      <c r="AN562" s="579"/>
      <c r="AP562" s="583"/>
      <c r="AR562" s="583"/>
      <c r="AT562" s="599"/>
      <c r="AU562" s="563"/>
      <c r="BJ562" s="623"/>
      <c r="BK562" s="623"/>
      <c r="BL562" s="623"/>
      <c r="BM562" s="623"/>
    </row>
    <row r="563" spans="1:65" ht="12.75" hidden="1" customHeight="1" outlineLevel="1">
      <c r="A563" s="593"/>
      <c r="B563" s="431">
        <f>B456</f>
        <v>2007</v>
      </c>
      <c r="E563" s="563"/>
      <c r="F563" s="563"/>
      <c r="G563" s="563"/>
      <c r="H563" s="563"/>
      <c r="J563" s="563"/>
      <c r="S563" s="563"/>
      <c r="T563" s="416"/>
      <c r="U563" s="416"/>
      <c r="AC563" s="563"/>
      <c r="AJ563" s="563"/>
      <c r="AK563" s="416"/>
      <c r="AL563" s="416"/>
      <c r="AU563" s="563"/>
      <c r="BJ563" s="623"/>
      <c r="BK563" s="623"/>
      <c r="BL563" s="623"/>
      <c r="BM563" s="623"/>
    </row>
    <row r="564" spans="1:65" ht="12.75" hidden="1" customHeight="1" outlineLevel="1">
      <c r="A564" s="410" t="str">
        <f>$A$12</f>
        <v>1Q</v>
      </c>
      <c r="B564" s="562" t="str">
        <f>$B$12</f>
        <v>Apr</v>
      </c>
      <c r="D564" s="645"/>
      <c r="E564" s="563"/>
      <c r="F564" s="563"/>
      <c r="G564" s="679">
        <v>8</v>
      </c>
      <c r="H564" s="563"/>
      <c r="I564" s="645"/>
      <c r="J564" s="563"/>
      <c r="K564" s="454">
        <f>+K560+0</f>
        <v>8</v>
      </c>
      <c r="L564" s="454">
        <v>8</v>
      </c>
      <c r="M564" s="454">
        <v>0</v>
      </c>
      <c r="N564" s="454">
        <v>0</v>
      </c>
      <c r="P564" s="587">
        <f>+AVERAGE(K560,K564)</f>
        <v>8</v>
      </c>
      <c r="R564" s="645"/>
      <c r="S564" s="563"/>
      <c r="T564" s="640"/>
      <c r="U564" s="416"/>
      <c r="X564" s="579">
        <f>segSales!P86</f>
        <v>2.69</v>
      </c>
      <c r="Z564" s="580">
        <f>X564/P564</f>
        <v>0.33624999999999999</v>
      </c>
      <c r="AB564" s="599"/>
      <c r="AC564" s="563"/>
      <c r="AE564" s="581">
        <f>0.011638/0.75</f>
        <v>1.5517333333333334E-2</v>
      </c>
      <c r="AG564" s="582">
        <f>AVERAGE(AE564,AE557)</f>
        <v>1.3852E-2</v>
      </c>
      <c r="AI564" s="539"/>
      <c r="AJ564" s="563"/>
      <c r="AK564" s="595"/>
      <c r="AL564" s="416" t="s">
        <v>208</v>
      </c>
      <c r="AN564" s="579">
        <f>+X564</f>
        <v>2.69</v>
      </c>
      <c r="AP564" s="583" t="e">
        <f>AL564/AE564</f>
        <v>#VALUE!</v>
      </c>
      <c r="AR564" s="583">
        <f>AN564/AG564</f>
        <v>194.19578400231015</v>
      </c>
      <c r="AT564" s="599"/>
      <c r="AU564" s="563"/>
      <c r="BJ564" s="623"/>
      <c r="BK564" s="623"/>
      <c r="BL564" s="623"/>
      <c r="BM564" s="623"/>
    </row>
    <row r="565" spans="1:65" ht="12.75" hidden="1" customHeight="1" outlineLevel="1">
      <c r="A565" s="410" t="str">
        <f>$A$13</f>
        <v>2Q</v>
      </c>
      <c r="B565" s="562" t="str">
        <f>$B$13</f>
        <v>Jul</v>
      </c>
      <c r="D565" s="645"/>
      <c r="F565" s="563"/>
      <c r="G565" s="679">
        <v>28</v>
      </c>
      <c r="I565" s="645"/>
      <c r="K565" s="454">
        <v>11</v>
      </c>
      <c r="L565" s="454">
        <v>11</v>
      </c>
      <c r="M565" s="454">
        <v>0</v>
      </c>
      <c r="N565" s="454">
        <v>0</v>
      </c>
      <c r="O565" s="454"/>
      <c r="P565" s="587">
        <f>AVERAGE(K565,K564)</f>
        <v>9.5</v>
      </c>
      <c r="R565" s="645"/>
      <c r="S565" s="563"/>
      <c r="T565" s="640"/>
      <c r="U565" s="416"/>
      <c r="X565" s="539">
        <f>segSales!$P$87</f>
        <v>3.3</v>
      </c>
      <c r="Z565" s="585">
        <f>X565/P565</f>
        <v>0.34736842105263155</v>
      </c>
      <c r="AB565" s="599"/>
      <c r="AC565" s="563"/>
      <c r="AE565" s="581">
        <f>0.015727/0.75</f>
        <v>2.0969333333333336E-2</v>
      </c>
      <c r="AF565" s="454"/>
      <c r="AG565" s="582">
        <f>AVERAGE(AE565,AE564)</f>
        <v>1.8243333333333334E-2</v>
      </c>
      <c r="AI565" s="539"/>
      <c r="AJ565" s="563"/>
      <c r="AK565" s="595"/>
      <c r="AL565" s="416"/>
      <c r="AN565" s="584">
        <f>+X565</f>
        <v>3.3</v>
      </c>
      <c r="AP565" s="586">
        <f>AL565/AE565</f>
        <v>0</v>
      </c>
      <c r="AR565" s="586">
        <f>AN565/AG565</f>
        <v>180.88799561483646</v>
      </c>
      <c r="AT565" s="599"/>
      <c r="AU565" s="563"/>
      <c r="BJ565" s="623"/>
      <c r="BK565" s="623"/>
      <c r="BL565" s="623"/>
      <c r="BM565" s="623"/>
    </row>
    <row r="566" spans="1:65" ht="12.75" hidden="1" customHeight="1" outlineLevel="1">
      <c r="A566" s="410" t="str">
        <f>$A$14</f>
        <v>3Q</v>
      </c>
      <c r="B566" s="562" t="str">
        <f>$B$14</f>
        <v>Oct</v>
      </c>
      <c r="D566" s="645"/>
      <c r="F566" s="563"/>
      <c r="G566" s="679">
        <v>16</v>
      </c>
      <c r="I566" s="645"/>
      <c r="K566" s="454">
        <f>+K565+2</f>
        <v>13</v>
      </c>
      <c r="L566" s="454">
        <v>13</v>
      </c>
      <c r="M566" s="454">
        <v>0</v>
      </c>
      <c r="N566" s="454">
        <v>0</v>
      </c>
      <c r="O566" s="454"/>
      <c r="P566" s="587">
        <f>AVERAGE(K566,K565)</f>
        <v>12</v>
      </c>
      <c r="R566" s="645"/>
      <c r="S566" s="563"/>
      <c r="T566" s="640"/>
      <c r="U566" s="416"/>
      <c r="X566" s="539">
        <f>segSales!$P$87</f>
        <v>3.3</v>
      </c>
      <c r="Y566" s="454"/>
      <c r="Z566" s="585">
        <f>X566/P566</f>
        <v>0.27499999999999997</v>
      </c>
      <c r="AB566" s="599"/>
      <c r="AC566" s="563"/>
      <c r="AE566" s="581">
        <f>0.018962/0.75</f>
        <v>2.5282666666666665E-2</v>
      </c>
      <c r="AF566" s="454"/>
      <c r="AG566" s="582">
        <f>AVERAGE(AE566,AE565)</f>
        <v>2.3126000000000001E-2</v>
      </c>
      <c r="AI566" s="539"/>
      <c r="AJ566" s="563"/>
      <c r="AK566" s="595"/>
      <c r="AL566" s="416"/>
      <c r="AN566" s="584">
        <f>+X566</f>
        <v>3.3</v>
      </c>
      <c r="AP566" s="586">
        <f>AL566/AE566</f>
        <v>0</v>
      </c>
      <c r="AR566" s="586">
        <f>AN566/AG566</f>
        <v>142.69653204185764</v>
      </c>
      <c r="AT566" s="599"/>
      <c r="AU566" s="563"/>
      <c r="BJ566" s="623"/>
      <c r="BK566" s="623"/>
      <c r="BL566" s="623"/>
      <c r="BM566" s="623"/>
    </row>
    <row r="567" spans="1:65" ht="12.75" hidden="1" customHeight="1" outlineLevel="1">
      <c r="A567" s="410" t="str">
        <f>$A$15</f>
        <v>4Q</v>
      </c>
      <c r="B567" s="562" t="str">
        <f>$B$15</f>
        <v>Jan</v>
      </c>
      <c r="D567" s="646"/>
      <c r="F567" s="563"/>
      <c r="G567" s="680">
        <v>19</v>
      </c>
      <c r="I567" s="646"/>
      <c r="K567" s="410">
        <f>+yrSales!O29</f>
        <v>15</v>
      </c>
      <c r="L567" s="454">
        <v>15</v>
      </c>
      <c r="M567" s="454">
        <v>0</v>
      </c>
      <c r="N567" s="454">
        <v>0</v>
      </c>
      <c r="O567" s="454"/>
      <c r="P567" s="588">
        <f>AVERAGE(K567,K566)</f>
        <v>14</v>
      </c>
      <c r="R567" s="646"/>
      <c r="S567" s="563"/>
      <c r="T567" s="648"/>
      <c r="U567" s="416"/>
      <c r="X567" s="649">
        <v>4</v>
      </c>
      <c r="Y567" s="454" t="s">
        <v>538</v>
      </c>
      <c r="Z567" s="590">
        <f>X567/P567</f>
        <v>0.2857142857142857</v>
      </c>
      <c r="AB567" s="597"/>
      <c r="AC567" s="563"/>
      <c r="AE567" s="581">
        <f>0.023636/0.75</f>
        <v>3.151466666666667E-2</v>
      </c>
      <c r="AF567" s="454"/>
      <c r="AG567" s="591">
        <f>AVERAGE(AE567,AE566)</f>
        <v>2.8398666666666669E-2</v>
      </c>
      <c r="AI567" s="596"/>
      <c r="AJ567" s="563"/>
      <c r="AK567" s="598"/>
      <c r="AL567" s="416"/>
      <c r="AN567" s="589">
        <f>+X567</f>
        <v>4</v>
      </c>
      <c r="AP567" s="592">
        <f>AL567/AE567</f>
        <v>0</v>
      </c>
      <c r="AR567" s="592">
        <f>AN567/AG567</f>
        <v>140.85168317761395</v>
      </c>
      <c r="AT567" s="597"/>
      <c r="AU567" s="563"/>
      <c r="BJ567" s="623"/>
      <c r="BK567" s="623"/>
      <c r="BL567" s="623"/>
      <c r="BM567" s="623"/>
    </row>
    <row r="568" spans="1:65" ht="12.75" hidden="1" customHeight="1" outlineLevel="1">
      <c r="B568" s="562" t="str">
        <f>$B$16</f>
        <v>Year</v>
      </c>
      <c r="D568" s="618"/>
      <c r="F568" s="563"/>
      <c r="G568" s="678">
        <v>18.399999999999999</v>
      </c>
      <c r="I568" s="618"/>
      <c r="P568" s="587">
        <f>AVERAGE(P564:P567)</f>
        <v>10.875</v>
      </c>
      <c r="R568" s="618"/>
      <c r="S568" s="563"/>
      <c r="T568" s="595"/>
      <c r="U568" s="416"/>
      <c r="X568" s="579">
        <f>SUM(X564:X567)</f>
        <v>13.29</v>
      </c>
      <c r="Z568" s="580">
        <f>SUM(Z564:Z567)</f>
        <v>1.244332706766917</v>
      </c>
      <c r="AB568" s="599"/>
      <c r="AC568" s="563"/>
      <c r="AG568" s="582">
        <f>AVERAGE(AG564:AG567)</f>
        <v>2.0905E-2</v>
      </c>
      <c r="AI568" s="539"/>
      <c r="AJ568" s="563"/>
      <c r="AK568" s="595"/>
      <c r="AL568" s="416"/>
      <c r="AN568" s="579">
        <f>SUM(AN564:AN567)</f>
        <v>13.29</v>
      </c>
      <c r="AP568" s="583" t="e">
        <f>SUM(AP564:AP567)</f>
        <v>#VALUE!</v>
      </c>
      <c r="AR568" s="583">
        <f>SUM(AR564:AR567)</f>
        <v>658.63199483661822</v>
      </c>
      <c r="AT568" s="599"/>
      <c r="AU568" s="563"/>
      <c r="BJ568" s="623"/>
      <c r="BK568" s="623"/>
      <c r="BL568" s="623"/>
      <c r="BM568" s="623"/>
    </row>
    <row r="569" spans="1:65" ht="12.75" hidden="1" customHeight="1" outlineLevel="1">
      <c r="B569" s="562"/>
      <c r="D569" s="618"/>
      <c r="F569" s="563"/>
      <c r="G569" s="661"/>
      <c r="I569" s="618"/>
      <c r="P569" s="587"/>
      <c r="R569" s="618"/>
      <c r="S569" s="563"/>
      <c r="T569" s="595"/>
      <c r="U569" s="416"/>
      <c r="X569" s="579"/>
      <c r="Z569" s="580"/>
      <c r="AB569" s="599"/>
      <c r="AC569" s="563"/>
      <c r="AG569" s="582"/>
      <c r="AI569" s="539"/>
      <c r="AJ569" s="563"/>
      <c r="AK569" s="595"/>
      <c r="AL569" s="416"/>
      <c r="AN569" s="579"/>
      <c r="AP569" s="583"/>
      <c r="AR569" s="583"/>
      <c r="AT569" s="599"/>
      <c r="AU569" s="563"/>
      <c r="BJ569" s="623"/>
      <c r="BK569" s="623"/>
      <c r="BL569" s="623"/>
      <c r="BM569" s="623"/>
    </row>
    <row r="570" spans="1:65" ht="12.75" hidden="1" customHeight="1" outlineLevel="1">
      <c r="A570" s="593"/>
      <c r="B570" s="431">
        <f>B463</f>
        <v>2008</v>
      </c>
      <c r="E570" s="563"/>
      <c r="F570" s="563"/>
      <c r="G570" s="563"/>
      <c r="H570" s="563"/>
      <c r="J570" s="563"/>
      <c r="S570" s="563"/>
      <c r="T570" s="416"/>
      <c r="U570" s="416"/>
      <c r="AC570" s="563"/>
      <c r="AJ570" s="563"/>
      <c r="AK570" s="416"/>
      <c r="AL570" s="416"/>
      <c r="AU570" s="563"/>
      <c r="BJ570" s="623"/>
      <c r="BK570" s="623"/>
      <c r="BL570" s="623"/>
      <c r="BM570" s="623"/>
    </row>
    <row r="571" spans="1:65" ht="12.75" hidden="1" customHeight="1" outlineLevel="1">
      <c r="A571" s="410" t="str">
        <f>$A$12</f>
        <v>1Q</v>
      </c>
      <c r="B571" s="562" t="str">
        <f>$B$12</f>
        <v>Apr</v>
      </c>
      <c r="D571" s="645">
        <f>(X571/X564-1)*100</f>
        <v>117.80669144981415</v>
      </c>
      <c r="E571" s="563"/>
      <c r="F571" s="563"/>
      <c r="G571" s="679">
        <v>18.600000000000001</v>
      </c>
      <c r="H571" s="563"/>
      <c r="I571" s="645">
        <f>D571-G571</f>
        <v>99.206691449814144</v>
      </c>
      <c r="J571" s="563"/>
      <c r="K571" s="454">
        <f>+K567+3</f>
        <v>18</v>
      </c>
      <c r="L571" s="454">
        <v>18</v>
      </c>
      <c r="M571" s="454">
        <v>0</v>
      </c>
      <c r="N571" s="454">
        <v>0</v>
      </c>
      <c r="P571" s="587">
        <f>+AVERAGE(K567,K571)</f>
        <v>16.5</v>
      </c>
      <c r="R571" s="645">
        <f>+(P571/P564-1)*100</f>
        <v>106.25</v>
      </c>
      <c r="S571" s="563"/>
      <c r="T571" s="595">
        <f>I571/R571*100</f>
        <v>93.371003717472135</v>
      </c>
      <c r="U571" s="416"/>
      <c r="X571" s="579">
        <f>segSales!P93</f>
        <v>5.859</v>
      </c>
      <c r="Z571" s="580">
        <f>X571/P571</f>
        <v>0.35509090909090907</v>
      </c>
      <c r="AB571" s="599">
        <f>(Z571/Z564-1)*100</f>
        <v>5.6032443393038145</v>
      </c>
      <c r="AC571" s="563"/>
      <c r="AE571" s="581">
        <f>0.028161/0.75</f>
        <v>3.7547999999999998E-2</v>
      </c>
      <c r="AG571" s="582">
        <f>AVERAGE(AE571,AE564)</f>
        <v>2.6532666666666666E-2</v>
      </c>
      <c r="AI571" s="539">
        <f>(AG571/AG564-1)*100</f>
        <v>91.543940706516508</v>
      </c>
      <c r="AJ571" s="563" t="s">
        <v>208</v>
      </c>
      <c r="AK571" s="595">
        <f>+I571/AI571*100</f>
        <v>108.37057120783547</v>
      </c>
      <c r="AL571" s="416" t="s">
        <v>208</v>
      </c>
      <c r="AN571" s="579">
        <f>+X571</f>
        <v>5.859</v>
      </c>
      <c r="AP571" s="583" t="e">
        <f>AL571/AE571</f>
        <v>#VALUE!</v>
      </c>
      <c r="AR571" s="583">
        <f>AN571/AG571</f>
        <v>220.82213120932687</v>
      </c>
      <c r="AT571" s="599">
        <f>(AR571/AR564-1)*100</f>
        <v>13.711084071063029</v>
      </c>
      <c r="AU571" s="563"/>
      <c r="BJ571" s="623"/>
      <c r="BK571" s="623"/>
      <c r="BL571" s="623"/>
      <c r="BM571" s="623"/>
    </row>
    <row r="572" spans="1:65" ht="12.75" hidden="1" customHeight="1" outlineLevel="1">
      <c r="A572" s="410" t="str">
        <f>$A$13</f>
        <v>2Q</v>
      </c>
      <c r="B572" s="562" t="str">
        <f>$B$13</f>
        <v>Jul</v>
      </c>
      <c r="D572" s="645">
        <f>(X572/X565-1)*100</f>
        <v>135.12121212121215</v>
      </c>
      <c r="F572" s="563"/>
      <c r="G572" s="679">
        <v>10.199999999999999</v>
      </c>
      <c r="I572" s="645">
        <f>D572-G572</f>
        <v>124.92121212121215</v>
      </c>
      <c r="K572" s="454">
        <f>+K571+3</f>
        <v>21</v>
      </c>
      <c r="L572" s="454">
        <v>21</v>
      </c>
      <c r="M572" s="454">
        <v>0</v>
      </c>
      <c r="N572" s="454">
        <v>0</v>
      </c>
      <c r="O572" s="454"/>
      <c r="P572" s="587">
        <f>AVERAGE(K572,K571)</f>
        <v>19.5</v>
      </c>
      <c r="R572" s="645">
        <f>+(P572/P565-1)*100</f>
        <v>105.26315789473686</v>
      </c>
      <c r="S572" s="563"/>
      <c r="T572" s="595">
        <f>I572/R572*100</f>
        <v>118.67515151515151</v>
      </c>
      <c r="U572" s="416"/>
      <c r="X572" s="539">
        <f>segSales!P94</f>
        <v>7.7590000000000003</v>
      </c>
      <c r="Z572" s="585">
        <f>X572/P572</f>
        <v>0.39789743589743592</v>
      </c>
      <c r="AB572" s="599">
        <f>(Z572/Z565-1)*100</f>
        <v>14.546231546231558</v>
      </c>
      <c r="AC572" s="563"/>
      <c r="AE572" s="581">
        <f>0.032658/0.75</f>
        <v>4.3543999999999999E-2</v>
      </c>
      <c r="AF572" s="454"/>
      <c r="AG572" s="582">
        <f>AVERAGE(AE572,AE571)</f>
        <v>4.0545999999999999E-2</v>
      </c>
      <c r="AI572" s="539">
        <f>(AG572/AG565-1)*100</f>
        <v>122.25105061209574</v>
      </c>
      <c r="AJ572" s="563"/>
      <c r="AK572" s="595">
        <f>+I572/AI572*100</f>
        <v>102.18416242293809</v>
      </c>
      <c r="AL572" s="416"/>
      <c r="AN572" s="584">
        <f>+X572</f>
        <v>7.7590000000000003</v>
      </c>
      <c r="AP572" s="586">
        <f>AL572/AE572</f>
        <v>0</v>
      </c>
      <c r="AR572" s="586">
        <f>AN572/AG572</f>
        <v>191.36289646327629</v>
      </c>
      <c r="AT572" s="599">
        <f>(AR572/AR565-1)*100</f>
        <v>5.7908214488395116</v>
      </c>
      <c r="AU572" s="563"/>
      <c r="BJ572" s="623"/>
      <c r="BK572" s="623"/>
      <c r="BL572" s="623"/>
      <c r="BM572" s="623"/>
    </row>
    <row r="573" spans="1:65" ht="12.75" hidden="1" customHeight="1" outlineLevel="1">
      <c r="A573" s="410" t="str">
        <f>$A$14</f>
        <v>3Q</v>
      </c>
      <c r="B573" s="562" t="str">
        <f>$B$14</f>
        <v>Oct</v>
      </c>
      <c r="D573" s="645">
        <f>(X573/X566-1)*100</f>
        <v>193.969696969697</v>
      </c>
      <c r="F573" s="563"/>
      <c r="G573" s="679">
        <v>4</v>
      </c>
      <c r="I573" s="645">
        <f>D573-G573</f>
        <v>189.969696969697</v>
      </c>
      <c r="K573" s="454">
        <f>+K572+6</f>
        <v>27</v>
      </c>
      <c r="L573" s="454">
        <v>27</v>
      </c>
      <c r="M573" s="454">
        <v>0</v>
      </c>
      <c r="N573" s="454">
        <v>0</v>
      </c>
      <c r="O573" s="454"/>
      <c r="P573" s="587">
        <f>AVERAGE(K573,K572)</f>
        <v>24</v>
      </c>
      <c r="R573" s="645">
        <f>+(P573/P566-1)*100</f>
        <v>100</v>
      </c>
      <c r="S573" s="563"/>
      <c r="T573" s="595">
        <f>I573/R573*100</f>
        <v>189.969696969697</v>
      </c>
      <c r="U573" s="416"/>
      <c r="X573" s="539">
        <f>segSales!P95</f>
        <v>9.7010000000000005</v>
      </c>
      <c r="Z573" s="585">
        <f>X573/P573</f>
        <v>0.40420833333333334</v>
      </c>
      <c r="AB573" s="599">
        <f>(Z573/Z566-1)*100</f>
        <v>46.984848484848499</v>
      </c>
      <c r="AC573" s="563"/>
      <c r="AE573" s="581">
        <f>0.039017/0.75</f>
        <v>5.2022666666666668E-2</v>
      </c>
      <c r="AF573" s="454"/>
      <c r="AG573" s="582">
        <f>AVERAGE(AE573,AE572)</f>
        <v>4.778333333333333E-2</v>
      </c>
      <c r="AI573" s="539">
        <f>(AG573/AG566-1)*100</f>
        <v>106.6216956383868</v>
      </c>
      <c r="AJ573" s="563"/>
      <c r="AK573" s="595">
        <f>+I573/AI573*100</f>
        <v>178.17170870550532</v>
      </c>
      <c r="AL573" s="416"/>
      <c r="AN573" s="584">
        <f>+X573</f>
        <v>9.7010000000000005</v>
      </c>
      <c r="AP573" s="586">
        <f>AL573/AE573</f>
        <v>0</v>
      </c>
      <c r="AR573" s="586">
        <f>AN573/AG573</f>
        <v>203.02057900244159</v>
      </c>
      <c r="AT573" s="599">
        <f>(AR573/AR566-1)*100</f>
        <v>42.274360909408017</v>
      </c>
      <c r="AU573" s="563"/>
      <c r="BJ573" s="623"/>
      <c r="BK573" s="623"/>
      <c r="BL573" s="623"/>
      <c r="BM573" s="623"/>
    </row>
    <row r="574" spans="1:65" ht="12.75" hidden="1" customHeight="1" outlineLevel="1">
      <c r="A574" s="410" t="str">
        <f>$A$15</f>
        <v>4Q</v>
      </c>
      <c r="B574" s="562" t="str">
        <f>$B$15</f>
        <v>Jan</v>
      </c>
      <c r="D574" s="646">
        <f>(X574/X567-1)*100</f>
        <v>139.69999999999999</v>
      </c>
      <c r="F574" s="563"/>
      <c r="G574" s="680">
        <v>-13</v>
      </c>
      <c r="I574" s="646">
        <f>D574-G574</f>
        <v>152.69999999999999</v>
      </c>
      <c r="K574" s="410">
        <f>+yrSales!P29</f>
        <v>30</v>
      </c>
      <c r="L574" s="454">
        <v>30</v>
      </c>
      <c r="M574" s="454">
        <v>0</v>
      </c>
      <c r="N574" s="454">
        <v>0</v>
      </c>
      <c r="O574" s="454"/>
      <c r="P574" s="588">
        <f>AVERAGE(K574,K573)</f>
        <v>28.5</v>
      </c>
      <c r="R574" s="646">
        <f>+(P574/P567-1)*100</f>
        <v>103.57142857142856</v>
      </c>
      <c r="S574" s="563"/>
      <c r="T574" s="598">
        <f>I574/R574*100</f>
        <v>147.4344827586207</v>
      </c>
      <c r="U574" s="416"/>
      <c r="X574" s="596">
        <f>segSales!P96</f>
        <v>9.5879999999999992</v>
      </c>
      <c r="Z574" s="590">
        <f>X574/P574</f>
        <v>0.3364210526315789</v>
      </c>
      <c r="AB574" s="597">
        <f>(Z574/Z567-1)*100</f>
        <v>17.747368421052624</v>
      </c>
      <c r="AC574" s="563"/>
      <c r="AE574" s="600">
        <f>0.0418/0.75</f>
        <v>5.5733333333333329E-2</v>
      </c>
      <c r="AF574" s="454"/>
      <c r="AG574" s="591">
        <f>AVERAGE(AE574,AE573)</f>
        <v>5.3877999999999995E-2</v>
      </c>
      <c r="AI574" s="596">
        <f>(AG574/AG567-1)*100</f>
        <v>89.72017465608711</v>
      </c>
      <c r="AJ574" s="563"/>
      <c r="AK574" s="598">
        <f>+I574/AI574*100</f>
        <v>170.19583453256237</v>
      </c>
      <c r="AL574" s="416"/>
      <c r="AN574" s="589">
        <f>+X574</f>
        <v>9.5879999999999992</v>
      </c>
      <c r="AP574" s="592">
        <f>AL574/AE574</f>
        <v>0</v>
      </c>
      <c r="AR574" s="592">
        <f>AN574/AG574</f>
        <v>177.95760792902485</v>
      </c>
      <c r="AT574" s="597">
        <f>(AR574/AR567-1)*100</f>
        <v>26.343969709343362</v>
      </c>
      <c r="AU574" s="563"/>
      <c r="BJ574" s="623"/>
      <c r="BK574" s="623"/>
      <c r="BL574" s="623"/>
      <c r="BM574" s="623"/>
    </row>
    <row r="575" spans="1:65" ht="12.75" hidden="1" customHeight="1" outlineLevel="1">
      <c r="B575" s="562" t="str">
        <f>$B$16</f>
        <v>Year</v>
      </c>
      <c r="D575" s="618">
        <f>(X575/X568-1)*100</f>
        <v>147.607223476298</v>
      </c>
      <c r="F575" s="563"/>
      <c r="G575" s="678">
        <v>4.0999999999999996</v>
      </c>
      <c r="I575" s="618">
        <f>D575-G575</f>
        <v>143.50722347629801</v>
      </c>
      <c r="K575" s="600"/>
      <c r="L575" s="600"/>
      <c r="M575" s="600"/>
      <c r="N575" s="600"/>
      <c r="P575" s="587">
        <f>AVERAGE(P571:P574)</f>
        <v>22.125</v>
      </c>
      <c r="R575" s="618">
        <f>+(P575/P568-1)*100</f>
        <v>103.44827586206895</v>
      </c>
      <c r="S575" s="563"/>
      <c r="T575" s="595">
        <f>I575/R575*100</f>
        <v>138.72364936042143</v>
      </c>
      <c r="U575" s="416"/>
      <c r="X575" s="579">
        <f>SUM(X571:X574)</f>
        <v>32.907000000000004</v>
      </c>
      <c r="Z575" s="580">
        <f>SUM(Z571:Z574)</f>
        <v>1.4936177309532572</v>
      </c>
      <c r="AB575" s="599">
        <f>(Z575/Z568-1)*100</f>
        <v>20.033631104501314</v>
      </c>
      <c r="AC575" s="563"/>
      <c r="AG575" s="582">
        <f>AVERAGE(AG571:AG574)</f>
        <v>4.2185E-2</v>
      </c>
      <c r="AI575" s="539">
        <f>(AG575/AG568-1)*100</f>
        <v>101.79382922745756</v>
      </c>
      <c r="AJ575" s="563"/>
      <c r="AK575" s="595">
        <f>+I575/AI575*100</f>
        <v>140.97831328815832</v>
      </c>
      <c r="AL575" s="416"/>
      <c r="AN575" s="579">
        <f>SUM(AN571:AN574)</f>
        <v>32.907000000000004</v>
      </c>
      <c r="AP575" s="583" t="e">
        <f>SUM(AP571:AP574)</f>
        <v>#VALUE!</v>
      </c>
      <c r="AR575" s="583">
        <f>SUM(AR571:AR574)</f>
        <v>793.16321460406948</v>
      </c>
      <c r="AT575" s="599">
        <f>(AR575/AR568-1)*100</f>
        <v>20.425855534215785</v>
      </c>
      <c r="AU575" s="563"/>
      <c r="BJ575" s="623"/>
      <c r="BK575" s="623"/>
      <c r="BL575" s="623"/>
      <c r="BM575" s="623"/>
    </row>
    <row r="576" spans="1:65" ht="12.75" hidden="1" customHeight="1" outlineLevel="1">
      <c r="B576" s="562"/>
      <c r="D576" s="618"/>
      <c r="F576" s="563"/>
      <c r="G576" s="661"/>
      <c r="I576" s="618"/>
      <c r="K576" s="600"/>
      <c r="L576" s="600"/>
      <c r="M576" s="600"/>
      <c r="N576" s="600"/>
      <c r="P576" s="587"/>
      <c r="R576" s="618"/>
      <c r="S576" s="563"/>
      <c r="T576" s="595"/>
      <c r="U576" s="416"/>
      <c r="X576" s="579"/>
      <c r="Z576" s="580"/>
      <c r="AB576" s="599"/>
      <c r="AC576" s="563"/>
      <c r="AG576" s="582"/>
      <c r="AI576" s="539"/>
      <c r="AJ576" s="563"/>
      <c r="AK576" s="595"/>
      <c r="AL576" s="416"/>
      <c r="AN576" s="579"/>
      <c r="AP576" s="583"/>
      <c r="AR576" s="583"/>
      <c r="AT576" s="599"/>
      <c r="AU576" s="563"/>
      <c r="BJ576" s="623"/>
      <c r="BK576" s="623"/>
      <c r="BL576" s="623"/>
      <c r="BM576" s="623"/>
    </row>
    <row r="577" spans="1:65" ht="12.75" hidden="1" customHeight="1" outlineLevel="1">
      <c r="A577" s="593"/>
      <c r="B577" s="431">
        <f>B470</f>
        <v>2009</v>
      </c>
      <c r="E577" s="563"/>
      <c r="F577" s="563"/>
      <c r="G577" s="563"/>
      <c r="H577" s="563"/>
      <c r="J577" s="563"/>
      <c r="S577" s="563"/>
      <c r="T577" s="416"/>
      <c r="U577" s="416"/>
      <c r="AC577" s="563"/>
      <c r="AJ577" s="563"/>
      <c r="AK577" s="416"/>
      <c r="AL577" s="416"/>
      <c r="AU577" s="563"/>
      <c r="BJ577" s="623"/>
      <c r="BK577" s="623"/>
      <c r="BL577" s="623"/>
      <c r="BM577" s="623"/>
    </row>
    <row r="578" spans="1:65" ht="12.75" hidden="1" customHeight="1" outlineLevel="1">
      <c r="A578" s="410" t="str">
        <f>$A$12</f>
        <v>1Q</v>
      </c>
      <c r="B578" s="562" t="str">
        <f>$B$12</f>
        <v>Apr</v>
      </c>
      <c r="D578" s="645">
        <f>(X578/X571-1)*100</f>
        <v>24.816521590715123</v>
      </c>
      <c r="E578" s="563"/>
      <c r="F578" s="563"/>
      <c r="G578" s="679">
        <v>-23</v>
      </c>
      <c r="H578" s="563"/>
      <c r="I578" s="645">
        <f>D578-G578</f>
        <v>47.816521590715126</v>
      </c>
      <c r="J578" s="563"/>
      <c r="K578" s="454">
        <v>32</v>
      </c>
      <c r="L578" s="454">
        <v>32</v>
      </c>
      <c r="M578" s="454">
        <v>0</v>
      </c>
      <c r="N578" s="454">
        <v>0</v>
      </c>
      <c r="P578" s="587">
        <f>+AVERAGE(K574,K578)</f>
        <v>31</v>
      </c>
      <c r="R578" s="645">
        <f>+(P578/P571-1)*100</f>
        <v>87.87878787878789</v>
      </c>
      <c r="S578" s="563"/>
      <c r="T578" s="595">
        <f>I578/R578*100</f>
        <v>54.411903879089621</v>
      </c>
      <c r="U578" s="416"/>
      <c r="X578" s="579">
        <f>segSales!P100</f>
        <v>7.3129999999999997</v>
      </c>
      <c r="Z578" s="580">
        <f>X578/P578</f>
        <v>0.23590322580645159</v>
      </c>
      <c r="AB578" s="599">
        <f>(Z578/Z571-1)*100</f>
        <v>-33.565399798490326</v>
      </c>
      <c r="AC578" s="563"/>
      <c r="AE578" s="581">
        <f>0.044173/0.75</f>
        <v>5.8897333333333329E-2</v>
      </c>
      <c r="AG578" s="582">
        <f>AVERAGE(AE578,AE571)</f>
        <v>4.8222666666666664E-2</v>
      </c>
      <c r="AI578" s="539">
        <f>(AG578/AG571-1)*100</f>
        <v>81.748285132792262</v>
      </c>
      <c r="AJ578" s="563" t="s">
        <v>208</v>
      </c>
      <c r="AK578" s="595">
        <f>+I578/AI578*100</f>
        <v>58.492384902070746</v>
      </c>
      <c r="AL578" s="416" t="s">
        <v>208</v>
      </c>
      <c r="AN578" s="579">
        <f>+X578</f>
        <v>7.3129999999999997</v>
      </c>
      <c r="AP578" s="583" t="e">
        <f>AL578/AE578</f>
        <v>#VALUE!</v>
      </c>
      <c r="AR578" s="583">
        <f>AN578/AG578</f>
        <v>151.65067603063568</v>
      </c>
      <c r="AT578" s="599">
        <f>(AR578/AR571-1)*100</f>
        <v>-31.324512085756741</v>
      </c>
      <c r="AU578" s="563"/>
      <c r="BJ578" s="623"/>
      <c r="BK578" s="623"/>
      <c r="BL578" s="623"/>
      <c r="BM578" s="623"/>
    </row>
    <row r="579" spans="1:65" ht="12.75" hidden="1" customHeight="1" outlineLevel="1">
      <c r="A579" s="410" t="str">
        <f>$A$13</f>
        <v>2Q</v>
      </c>
      <c r="B579" s="562" t="str">
        <f>$B$13</f>
        <v>Jul</v>
      </c>
      <c r="D579" s="645">
        <f>(X579/X572-1)*100</f>
        <v>18.765304807320526</v>
      </c>
      <c r="F579" s="563"/>
      <c r="G579" s="679">
        <v>-15.9</v>
      </c>
      <c r="I579" s="645">
        <f>D579-G579</f>
        <v>34.665304807320524</v>
      </c>
      <c r="K579" s="454">
        <v>33</v>
      </c>
      <c r="L579" s="454">
        <v>33</v>
      </c>
      <c r="M579" s="454">
        <v>0</v>
      </c>
      <c r="N579" s="454">
        <v>0</v>
      </c>
      <c r="O579" s="454"/>
      <c r="P579" s="587">
        <f>AVERAGE(K579,K578)</f>
        <v>32.5</v>
      </c>
      <c r="R579" s="645">
        <f>+(P579/P572-1)*100</f>
        <v>66.666666666666671</v>
      </c>
      <c r="S579" s="563"/>
      <c r="T579" s="595">
        <f>I579/R579*100</f>
        <v>51.997957210980786</v>
      </c>
      <c r="U579" s="416"/>
      <c r="X579" s="539">
        <f>segSales!P101</f>
        <v>9.2149999999999999</v>
      </c>
      <c r="Z579" s="585">
        <f>X579/P579</f>
        <v>0.28353846153846152</v>
      </c>
      <c r="AB579" s="599">
        <f>(Z579/Z572-1)*100</f>
        <v>-28.740817115607687</v>
      </c>
      <c r="AC579" s="563"/>
      <c r="AE579" s="581">
        <f>0.045197/0.75</f>
        <v>6.0262666666666666E-2</v>
      </c>
      <c r="AF579" s="454"/>
      <c r="AG579" s="582">
        <f>AVERAGE(AE579,AE578)</f>
        <v>5.9579999999999994E-2</v>
      </c>
      <c r="AI579" s="539">
        <f>(AG579/AG572-1)*100</f>
        <v>46.944211512849598</v>
      </c>
      <c r="AJ579" s="563"/>
      <c r="AK579" s="595">
        <f>+I579/AI579*100</f>
        <v>73.843619245435434</v>
      </c>
      <c r="AL579" s="416"/>
      <c r="AN579" s="584">
        <f>+X579</f>
        <v>9.2149999999999999</v>
      </c>
      <c r="AP579" s="586">
        <f>AL579/AE579</f>
        <v>0</v>
      </c>
      <c r="AR579" s="586">
        <f>AN579/AG579</f>
        <v>154.66599530043641</v>
      </c>
      <c r="AT579" s="599">
        <f>(AR579/AR572-1)*100</f>
        <v>-19.176602069190697</v>
      </c>
      <c r="AU579" s="563"/>
      <c r="BJ579" s="623"/>
      <c r="BK579" s="623"/>
      <c r="BL579" s="623"/>
      <c r="BM579" s="623"/>
    </row>
    <row r="580" spans="1:65" ht="12.75" hidden="1" customHeight="1" outlineLevel="1">
      <c r="A580" s="410" t="str">
        <f>$A$14</f>
        <v>3Q</v>
      </c>
      <c r="B580" s="562" t="str">
        <f>$B$14</f>
        <v>Oct</v>
      </c>
      <c r="D580" s="645">
        <f>(X580/X573-1)*100</f>
        <v>8.0919492835790141</v>
      </c>
      <c r="F580" s="563"/>
      <c r="G580" s="679">
        <v>-12.6</v>
      </c>
      <c r="I580" s="645">
        <f>D580-G580</f>
        <v>20.691949283579014</v>
      </c>
      <c r="K580" s="454">
        <f>+K579+1</f>
        <v>34</v>
      </c>
      <c r="L580" s="454">
        <v>34</v>
      </c>
      <c r="M580" s="454">
        <v>0</v>
      </c>
      <c r="N580" s="454">
        <v>0</v>
      </c>
      <c r="O580" s="454"/>
      <c r="P580" s="587">
        <f>AVERAGE(K580,K579)</f>
        <v>33.5</v>
      </c>
      <c r="R580" s="645">
        <f>+(P580/P573-1)*100</f>
        <v>39.583333333333329</v>
      </c>
      <c r="S580" s="563"/>
      <c r="T580" s="595">
        <f>I580/R580*100</f>
        <v>52.27439819009436</v>
      </c>
      <c r="U580" s="416"/>
      <c r="X580" s="539">
        <f>segSales!P102</f>
        <v>10.486000000000001</v>
      </c>
      <c r="Z580" s="585">
        <f>X580/P580</f>
        <v>0.31301492537313436</v>
      </c>
      <c r="AB580" s="599">
        <f>(Z580/Z573-1)*100</f>
        <v>-22.560991558032939</v>
      </c>
      <c r="AC580" s="563"/>
      <c r="AE580" s="581">
        <f>0.046652/0.75</f>
        <v>6.2202666666666663E-2</v>
      </c>
      <c r="AF580" s="454"/>
      <c r="AG580" s="582">
        <f>AVERAGE(AE580,AE579)</f>
        <v>6.1232666666666664E-2</v>
      </c>
      <c r="AI580" s="539">
        <f>(AG580/AG573-1)*100</f>
        <v>28.146494593651905</v>
      </c>
      <c r="AJ580" s="563"/>
      <c r="AK580" s="595">
        <f>+I580/AI580*100</f>
        <v>73.515191082607586</v>
      </c>
      <c r="AL580" s="416"/>
      <c r="AN580" s="584">
        <f>+X580</f>
        <v>10.486000000000001</v>
      </c>
      <c r="AP580" s="586">
        <f>AL580/AE580</f>
        <v>0</v>
      </c>
      <c r="AR580" s="586">
        <f>AN580/AG580</f>
        <v>171.2484621498329</v>
      </c>
      <c r="AT580" s="599">
        <f>(AR580/AR573-1)*100</f>
        <v>-15.649702610801143</v>
      </c>
      <c r="AU580" s="563"/>
      <c r="BJ580" s="623"/>
      <c r="BK580" s="623"/>
      <c r="BL580" s="623"/>
      <c r="BM580" s="623"/>
    </row>
    <row r="581" spans="1:65" ht="12.75" hidden="1" customHeight="1" outlineLevel="1">
      <c r="A581" s="410" t="str">
        <f>$A$15</f>
        <v>4Q</v>
      </c>
      <c r="B581" s="562" t="str">
        <f>$B$15</f>
        <v>Jan</v>
      </c>
      <c r="D581" s="646">
        <f>(X581/X574-1)*100</f>
        <v>22.423863162286196</v>
      </c>
      <c r="F581" s="563"/>
      <c r="G581" s="680">
        <v>11</v>
      </c>
      <c r="I581" s="646">
        <f>D581-G581</f>
        <v>11.423863162286196</v>
      </c>
      <c r="K581" s="410">
        <f>yrSales!$Q$29</f>
        <v>34</v>
      </c>
      <c r="L581" s="454">
        <v>34</v>
      </c>
      <c r="M581" s="454">
        <v>0</v>
      </c>
      <c r="N581" s="454">
        <v>0</v>
      </c>
      <c r="O581" s="454"/>
      <c r="P581" s="588">
        <f>AVERAGE(K581,K580)</f>
        <v>34</v>
      </c>
      <c r="R581" s="646">
        <f>+(P581/P574-1)*100</f>
        <v>19.298245614035082</v>
      </c>
      <c r="S581" s="563"/>
      <c r="T581" s="598">
        <f>I581/R581*100</f>
        <v>59.196381840937576</v>
      </c>
      <c r="U581" s="416"/>
      <c r="X581" s="596">
        <f>segSales!P103</f>
        <v>11.738</v>
      </c>
      <c r="Z581" s="590">
        <f>X581/P581</f>
        <v>0.34523529411764703</v>
      </c>
      <c r="AB581" s="597">
        <f>(Z581/Z574-1)*100</f>
        <v>2.6200029448575579</v>
      </c>
      <c r="AC581" s="563"/>
      <c r="AE581" s="581">
        <f>0.047157/0.75</f>
        <v>6.2876000000000001E-2</v>
      </c>
      <c r="AF581" s="454"/>
      <c r="AG581" s="591">
        <f>AVERAGE(AE581,AE580)</f>
        <v>6.2539333333333336E-2</v>
      </c>
      <c r="AI581" s="596">
        <f>(AG581/AG574-1)*100</f>
        <v>16.07582563074601</v>
      </c>
      <c r="AJ581" s="563"/>
      <c r="AK581" s="598">
        <f>+I581/AI581*100</f>
        <v>71.062372936151732</v>
      </c>
      <c r="AL581" s="416"/>
      <c r="AN581" s="589">
        <f>+X581</f>
        <v>11.738</v>
      </c>
      <c r="AP581" s="592">
        <f>AL581/AE581</f>
        <v>0</v>
      </c>
      <c r="AR581" s="592">
        <f>AN581/AG581</f>
        <v>187.68988050187082</v>
      </c>
      <c r="AT581" s="597">
        <f>(AR581/AR574-1)*100</f>
        <v>5.4688713149749102</v>
      </c>
      <c r="AU581" s="563"/>
      <c r="BJ581" s="623"/>
      <c r="BK581" s="623"/>
      <c r="BL581" s="623"/>
      <c r="BM581" s="623"/>
    </row>
    <row r="582" spans="1:65" ht="12.75" hidden="1" customHeight="1" outlineLevel="1">
      <c r="B582" s="562" t="str">
        <f>$B$16</f>
        <v>Year</v>
      </c>
      <c r="D582" s="618">
        <f>(X582/X575-1)*100</f>
        <v>17.762178259944662</v>
      </c>
      <c r="F582" s="563"/>
      <c r="G582" s="678">
        <v>-11</v>
      </c>
      <c r="I582" s="618">
        <f>D582-G582</f>
        <v>28.762178259944662</v>
      </c>
      <c r="K582" s="600"/>
      <c r="L582" s="600"/>
      <c r="M582" s="600"/>
      <c r="N582" s="600"/>
      <c r="P582" s="587">
        <f>AVERAGE(P578:P581)</f>
        <v>32.75</v>
      </c>
      <c r="R582" s="618">
        <f>+(P582/P575-1)*100</f>
        <v>48.022598870056484</v>
      </c>
      <c r="S582" s="563"/>
      <c r="T582" s="595">
        <f>I582/R582*100</f>
        <v>59.893006494237724</v>
      </c>
      <c r="U582" s="416"/>
      <c r="X582" s="579">
        <f>SUM(X578:X581)</f>
        <v>38.751999999999995</v>
      </c>
      <c r="Z582" s="580">
        <f>SUM(Z578:Z581)</f>
        <v>1.1776919068356946</v>
      </c>
      <c r="AB582" s="599">
        <f>(Z582/Z575-1)*100</f>
        <v>-21.151718915115737</v>
      </c>
      <c r="AC582" s="563"/>
      <c r="AG582" s="582">
        <f>AVERAGE(AG578:AG581)</f>
        <v>5.7893666666666663E-2</v>
      </c>
      <c r="AI582" s="539">
        <f>(AG582/AG575-1)*100</f>
        <v>37.237564695191793</v>
      </c>
      <c r="AJ582" s="563"/>
      <c r="AK582" s="595">
        <f>+I582/AI582*100</f>
        <v>77.239686578264624</v>
      </c>
      <c r="AL582" s="416"/>
      <c r="AN582" s="579">
        <f>SUM(AN578:AN581)</f>
        <v>38.751999999999995</v>
      </c>
      <c r="AP582" s="583" t="e">
        <f>SUM(AP578:AP581)</f>
        <v>#VALUE!</v>
      </c>
      <c r="AR582" s="583">
        <f>SUM(AR578:AR581)</f>
        <v>665.25501398277584</v>
      </c>
      <c r="AT582" s="599">
        <f>(AR582/AR575-1)*100</f>
        <v>-16.12634048909376</v>
      </c>
      <c r="AU582" s="563"/>
      <c r="BJ582" s="623"/>
      <c r="BK582" s="623"/>
      <c r="BL582" s="623"/>
      <c r="BM582" s="623"/>
    </row>
    <row r="583" spans="1:65" ht="12.75" hidden="1" customHeight="1" outlineLevel="1">
      <c r="B583" s="562"/>
      <c r="D583" s="618"/>
      <c r="F583" s="563"/>
      <c r="G583" s="661"/>
      <c r="I583" s="618"/>
      <c r="K583" s="600"/>
      <c r="L583" s="600"/>
      <c r="M583" s="600"/>
      <c r="N583" s="600"/>
      <c r="P583" s="587"/>
      <c r="R583" s="618"/>
      <c r="S583" s="563"/>
      <c r="T583" s="595"/>
      <c r="U583" s="416"/>
      <c r="X583" s="579"/>
      <c r="Z583" s="580"/>
      <c r="AB583" s="599"/>
      <c r="AC583" s="563"/>
      <c r="AG583" s="582"/>
      <c r="AI583" s="539"/>
      <c r="AJ583" s="563"/>
      <c r="AK583" s="595"/>
      <c r="AL583" s="416"/>
      <c r="AN583" s="579"/>
      <c r="AP583" s="583"/>
      <c r="AR583" s="583"/>
      <c r="AT583" s="599"/>
      <c r="AU583" s="563"/>
      <c r="BJ583" s="623"/>
      <c r="BK583" s="623"/>
      <c r="BL583" s="623"/>
      <c r="BM583" s="623"/>
    </row>
    <row r="584" spans="1:65" ht="12.75" hidden="1" customHeight="1" outlineLevel="1">
      <c r="A584" s="593"/>
      <c r="B584" s="431">
        <f>B477</f>
        <v>2010</v>
      </c>
      <c r="E584" s="563"/>
      <c r="F584" s="563"/>
      <c r="G584" s="563"/>
      <c r="H584" s="563"/>
      <c r="J584" s="563"/>
      <c r="S584" s="563"/>
      <c r="T584" s="416"/>
      <c r="U584" s="416"/>
      <c r="AC584" s="563"/>
      <c r="AJ584" s="563"/>
      <c r="AK584" s="416"/>
      <c r="AL584" s="416"/>
      <c r="AU584" s="563"/>
      <c r="BJ584" s="623"/>
      <c r="BK584" s="623"/>
      <c r="BL584" s="623"/>
      <c r="BM584" s="623"/>
    </row>
    <row r="585" spans="1:65" ht="12.75" hidden="1" customHeight="1" outlineLevel="1">
      <c r="A585" s="410" t="str">
        <f>$A$12</f>
        <v>1Q</v>
      </c>
      <c r="B585" s="562" t="str">
        <f>$B$12</f>
        <v>Apr</v>
      </c>
      <c r="D585" s="645">
        <f>(X585/X578-1)*100</f>
        <v>36.565021195131962</v>
      </c>
      <c r="E585" s="563"/>
      <c r="F585" s="656">
        <f>segSales!S220</f>
        <v>0</v>
      </c>
      <c r="G585" s="679">
        <v>21</v>
      </c>
      <c r="H585" s="563"/>
      <c r="I585" s="645">
        <f>D585-G585</f>
        <v>15.565021195131962</v>
      </c>
      <c r="J585" s="563"/>
      <c r="K585" s="454">
        <v>35</v>
      </c>
      <c r="L585" s="454">
        <v>35</v>
      </c>
      <c r="M585" s="454">
        <v>0</v>
      </c>
      <c r="N585" s="454">
        <v>0</v>
      </c>
      <c r="P585" s="587">
        <f>+AVERAGE(K581,K585)</f>
        <v>34.5</v>
      </c>
      <c r="R585" s="645">
        <f>+(P585/P578-1)*100</f>
        <v>11.290322580645151</v>
      </c>
      <c r="S585" s="563"/>
      <c r="T585" s="595">
        <f>I585/R585*100</f>
        <v>137.86161629974038</v>
      </c>
      <c r="U585" s="416"/>
      <c r="X585" s="579">
        <f>segSales!P108</f>
        <v>9.9870000000000001</v>
      </c>
      <c r="Z585" s="580">
        <f>X585/P585</f>
        <v>0.28947826086956524</v>
      </c>
      <c r="AB585" s="599">
        <f>(Z585/Z578-1)*100</f>
        <v>22.710598755046128</v>
      </c>
      <c r="AC585" s="563"/>
      <c r="AE585" s="581">
        <f>0.049149/0.75</f>
        <v>6.5531999999999993E-2</v>
      </c>
      <c r="AG585" s="582">
        <f>AVERAGE(AE585,AE578)</f>
        <v>6.2214666666666661E-2</v>
      </c>
      <c r="AI585" s="539">
        <f>(AG585/AG578-1)*100</f>
        <v>29.015400779716316</v>
      </c>
      <c r="AJ585" s="563" t="s">
        <v>208</v>
      </c>
      <c r="AK585" s="595">
        <f>+I585/AI585*100</f>
        <v>53.643998624388956</v>
      </c>
      <c r="AL585" s="416" t="s">
        <v>208</v>
      </c>
      <c r="AN585" s="579">
        <f>+X585</f>
        <v>9.9870000000000001</v>
      </c>
      <c r="AP585" s="583" t="e">
        <f>AL585/AE585</f>
        <v>#VALUE!</v>
      </c>
      <c r="AR585" s="583">
        <f>AN585/AG585</f>
        <v>160.52484944600417</v>
      </c>
      <c r="AT585" s="599">
        <f>(AR585/AR578-1)*100</f>
        <v>5.8517203138453322</v>
      </c>
      <c r="AU585" s="563"/>
      <c r="AV585" s="539"/>
      <c r="BJ585" s="623"/>
      <c r="BK585" s="623"/>
      <c r="BL585" s="623"/>
      <c r="BM585" s="623"/>
    </row>
    <row r="586" spans="1:65" ht="12.75" hidden="1" customHeight="1" outlineLevel="1">
      <c r="A586" s="410" t="str">
        <f>$A$13</f>
        <v>2Q</v>
      </c>
      <c r="B586" s="562" t="str">
        <f>$B$13</f>
        <v>Jul</v>
      </c>
      <c r="D586" s="645">
        <f>(X586/X579-1)*100</f>
        <v>26.831470428648906</v>
      </c>
      <c r="F586" s="656">
        <f>segSales!S221</f>
        <v>0</v>
      </c>
      <c r="G586" s="679">
        <v>23</v>
      </c>
      <c r="I586" s="645">
        <f>D586-G586</f>
        <v>3.8314704286489061</v>
      </c>
      <c r="K586" s="454">
        <v>36</v>
      </c>
      <c r="L586" s="454">
        <v>36</v>
      </c>
      <c r="M586" s="454">
        <v>0</v>
      </c>
      <c r="N586" s="454">
        <v>0</v>
      </c>
      <c r="O586" s="454"/>
      <c r="P586" s="587">
        <f>AVERAGE(K586,K585)</f>
        <v>35.5</v>
      </c>
      <c r="R586" s="645">
        <f>+(P586/P579-1)*100</f>
        <v>9.2307692307692193</v>
      </c>
      <c r="S586" s="563"/>
      <c r="T586" s="595">
        <f>I586/R586*100</f>
        <v>41.507596310363198</v>
      </c>
      <c r="U586" s="416"/>
      <c r="X586" s="539">
        <f>segSales!P109</f>
        <v>11.687519999999997</v>
      </c>
      <c r="Z586" s="585">
        <f>X586/P586</f>
        <v>0.32922591549295765</v>
      </c>
      <c r="AB586" s="599">
        <f>(Z586/Z579-1)*100</f>
        <v>16.113317998058861</v>
      </c>
      <c r="AC586" s="563"/>
      <c r="AE586" s="581">
        <f>0.050119/0.75</f>
        <v>6.6825333333333334E-2</v>
      </c>
      <c r="AF586" s="454"/>
      <c r="AG586" s="582">
        <f>AVERAGE(AE586,AE585)</f>
        <v>6.6178666666666663E-2</v>
      </c>
      <c r="AI586" s="539">
        <f>(AG586/AG579-1)*100</f>
        <v>11.075304912162931</v>
      </c>
      <c r="AJ586" s="563"/>
      <c r="AK586" s="595">
        <f>+I586/AI586*100</f>
        <v>34.594717337679562</v>
      </c>
      <c r="AL586" s="416"/>
      <c r="AN586" s="584">
        <f>+X586</f>
        <v>11.687519999999997</v>
      </c>
      <c r="AP586" s="586">
        <f>AL586/AE586</f>
        <v>0</v>
      </c>
      <c r="AR586" s="586">
        <f>AN586/AG586</f>
        <v>176.60555264536404</v>
      </c>
      <c r="AT586" s="599">
        <f>(AR586/AR579-1)*100</f>
        <v>14.185120201961897</v>
      </c>
      <c r="AU586" s="563"/>
      <c r="AV586" s="539"/>
      <c r="BJ586" s="623"/>
      <c r="BK586" s="623"/>
      <c r="BL586" s="623"/>
      <c r="BM586" s="623"/>
    </row>
    <row r="587" spans="1:65" ht="12.75" hidden="1" customHeight="1" outlineLevel="1">
      <c r="A587" s="410" t="str">
        <f>$A$14</f>
        <v>3Q</v>
      </c>
      <c r="B587" s="562" t="str">
        <f>$B$14</f>
        <v>Oct</v>
      </c>
      <c r="D587" s="645">
        <f>(X587/X580-1)*100</f>
        <v>30.184474537478501</v>
      </c>
      <c r="F587" s="656">
        <f>segSales!S222</f>
        <v>0</v>
      </c>
      <c r="G587" s="679">
        <v>20</v>
      </c>
      <c r="I587" s="645">
        <f>D587-G587</f>
        <v>10.184474537478501</v>
      </c>
      <c r="K587" s="454">
        <v>38</v>
      </c>
      <c r="L587" s="454">
        <v>38</v>
      </c>
      <c r="M587" s="454">
        <v>0</v>
      </c>
      <c r="N587" s="454">
        <v>0</v>
      </c>
      <c r="O587" s="454"/>
      <c r="P587" s="587">
        <f>AVERAGE(K587,K586)</f>
        <v>37</v>
      </c>
      <c r="R587" s="645">
        <f>+(P587/P580-1)*100</f>
        <v>10.447761194029859</v>
      </c>
      <c r="S587" s="563"/>
      <c r="T587" s="595">
        <f>I587/R587*100</f>
        <v>97.47997057300843</v>
      </c>
      <c r="U587" s="416"/>
      <c r="X587" s="539">
        <f>segSales!P110</f>
        <v>13.651143999999997</v>
      </c>
      <c r="Z587" s="585">
        <f>X587/P587</f>
        <v>0.36894983783783775</v>
      </c>
      <c r="AB587" s="599">
        <f>(Z587/Z580-1)*100</f>
        <v>17.869726946095387</v>
      </c>
      <c r="AC587" s="563"/>
      <c r="AE587" s="581">
        <f>0.053904/0.75</f>
        <v>7.1872000000000005E-2</v>
      </c>
      <c r="AF587" s="454"/>
      <c r="AG587" s="582">
        <f>AVERAGE(AE587,AE586)</f>
        <v>6.934866666666667E-2</v>
      </c>
      <c r="AI587" s="539">
        <f>(AG587/AG580-1)*100</f>
        <v>13.254363139500702</v>
      </c>
      <c r="AJ587" s="563"/>
      <c r="AK587" s="595">
        <f>+I587/AI587*100</f>
        <v>76.838656299725869</v>
      </c>
      <c r="AL587" s="416"/>
      <c r="AN587" s="584">
        <f>+X587</f>
        <v>13.651143999999997</v>
      </c>
      <c r="AP587" s="586">
        <f>AL587/AE587</f>
        <v>0</v>
      </c>
      <c r="AR587" s="586">
        <f>AN587/AG587</f>
        <v>196.8479663151418</v>
      </c>
      <c r="AT587" s="599">
        <f>(AR587/AR580-1)*100</f>
        <v>14.94874981295351</v>
      </c>
      <c r="AU587" s="563"/>
      <c r="AV587" s="539"/>
      <c r="BJ587" s="623"/>
      <c r="BK587" s="623"/>
      <c r="BL587" s="623"/>
      <c r="BM587" s="623"/>
    </row>
    <row r="588" spans="1:65" ht="12.75" hidden="1" customHeight="1" outlineLevel="1">
      <c r="A588" s="410" t="str">
        <f>$A$15</f>
        <v>4Q</v>
      </c>
      <c r="B588" s="562" t="str">
        <f>$B$15</f>
        <v>Jan</v>
      </c>
      <c r="D588" s="646">
        <f>(X588/X581-1)*100</f>
        <v>44.647146021468728</v>
      </c>
      <c r="F588" s="658">
        <f>segSales!S223</f>
        <v>0</v>
      </c>
      <c r="G588" s="680">
        <v>18</v>
      </c>
      <c r="I588" s="646">
        <f>D588-G588</f>
        <v>26.647146021468728</v>
      </c>
      <c r="K588" s="410">
        <f>yrSales!$R$29</f>
        <v>42</v>
      </c>
      <c r="L588" s="454">
        <v>42</v>
      </c>
      <c r="M588" s="454">
        <v>0</v>
      </c>
      <c r="N588" s="454">
        <v>0</v>
      </c>
      <c r="O588" s="454"/>
      <c r="P588" s="588">
        <f>AVERAGE(K588,K587)</f>
        <v>40</v>
      </c>
      <c r="R588" s="646">
        <f>+(P588/P581-1)*100</f>
        <v>17.647058823529417</v>
      </c>
      <c r="S588" s="563"/>
      <c r="T588" s="654">
        <f>I588/R588*100</f>
        <v>151.00049412165609</v>
      </c>
      <c r="U588" s="416"/>
      <c r="X588" s="685">
        <f>segSales!P111</f>
        <v>16.978681999999999</v>
      </c>
      <c r="Z588" s="590">
        <f>X588/P588</f>
        <v>0.42446704999999996</v>
      </c>
      <c r="AB588" s="597">
        <f>(Z588/Z581-1)*100</f>
        <v>22.95007411824843</v>
      </c>
      <c r="AC588" s="563"/>
      <c r="AE588" s="581">
        <f>0.058427/0.75</f>
        <v>7.7902666666666662E-2</v>
      </c>
      <c r="AF588" s="454"/>
      <c r="AG588" s="591">
        <f>AVERAGE(AE588,AE587)</f>
        <v>7.4887333333333334E-2</v>
      </c>
      <c r="AI588" s="596">
        <f>(AG588/AG581-1)*100</f>
        <v>19.744374207165617</v>
      </c>
      <c r="AJ588" s="563"/>
      <c r="AK588" s="598">
        <f>+I588/AI588*100</f>
        <v>134.96070192894726</v>
      </c>
      <c r="AL588" s="416"/>
      <c r="AN588" s="589">
        <f>+X588</f>
        <v>16.978681999999999</v>
      </c>
      <c r="AP588" s="592">
        <f>AL588/AE588</f>
        <v>0</v>
      </c>
      <c r="AR588" s="592">
        <f>AN588/AG588</f>
        <v>226.72301501811609</v>
      </c>
      <c r="AT588" s="597">
        <f>(AR588/AR581-1)*100</f>
        <v>20.796611096918571</v>
      </c>
      <c r="AU588" s="563"/>
      <c r="AV588" s="596"/>
      <c r="BJ588" s="623"/>
      <c r="BK588" s="623"/>
      <c r="BL588" s="623"/>
      <c r="BM588" s="623"/>
    </row>
    <row r="589" spans="1:65" ht="12.75" hidden="1" customHeight="1" outlineLevel="1">
      <c r="B589" s="562" t="str">
        <f>$B$16</f>
        <v>Year</v>
      </c>
      <c r="D589" s="618">
        <f>(X589/X582-1)*100</f>
        <v>34.971991123038812</v>
      </c>
      <c r="F589" s="656">
        <f>segSales!S224</f>
        <v>0</v>
      </c>
      <c r="G589" s="661">
        <f>G585*X585/X589+G586*X586/X589+G587*X587/X589+G588*X588/X589</f>
        <v>20.212070255118</v>
      </c>
      <c r="I589" s="618">
        <f>D589-G589</f>
        <v>14.759920867920812</v>
      </c>
      <c r="K589" s="600"/>
      <c r="L589" s="600"/>
      <c r="M589" s="600"/>
      <c r="N589" s="600"/>
      <c r="P589" s="587">
        <f>AVERAGE(P585:P588)</f>
        <v>36.75</v>
      </c>
      <c r="R589" s="618">
        <f>+(P589/P582-1)*100</f>
        <v>12.213740458015266</v>
      </c>
      <c r="S589" s="563"/>
      <c r="T589" s="595">
        <f>I589/R589*100</f>
        <v>120.84685210610166</v>
      </c>
      <c r="U589" s="416"/>
      <c r="X589" s="579">
        <f>SUM(X585:X588)</f>
        <v>52.304345999999995</v>
      </c>
      <c r="Z589" s="580">
        <f>SUM(Z585:Z588)</f>
        <v>1.4121210642003605</v>
      </c>
      <c r="AB589" s="599">
        <f>(Z589/Z582-1)*100</f>
        <v>19.90581373650997</v>
      </c>
      <c r="AC589" s="563"/>
      <c r="AG589" s="582">
        <f>AVERAGE(AG585:AG588)</f>
        <v>6.8157333333333334E-2</v>
      </c>
      <c r="AI589" s="539">
        <f>(AG589/AG582-1)*100</f>
        <v>17.728479223403838</v>
      </c>
      <c r="AJ589" s="563"/>
      <c r="AK589" s="595">
        <f>+I589/AI589*100</f>
        <v>83.255425814730046</v>
      </c>
      <c r="AL589" s="416"/>
      <c r="AN589" s="579">
        <f>SUM(AN585:AN588)</f>
        <v>52.304345999999995</v>
      </c>
      <c r="AP589" s="583" t="e">
        <f>SUM(AP585:AP588)</f>
        <v>#VALUE!</v>
      </c>
      <c r="AR589" s="583">
        <f>SUM(AR585:AR588)</f>
        <v>760.7013834246261</v>
      </c>
      <c r="AT589" s="599">
        <f>(AR589/AR582-1)*100</f>
        <v>14.347335598483957</v>
      </c>
      <c r="AU589" s="563"/>
      <c r="AV589" s="579"/>
      <c r="BJ589" s="623"/>
      <c r="BK589" s="623"/>
      <c r="BL589" s="623"/>
      <c r="BM589" s="623"/>
    </row>
    <row r="590" spans="1:65" ht="12.75" hidden="1" customHeight="1" outlineLevel="1" collapsed="1">
      <c r="B590" s="562"/>
      <c r="D590" s="618"/>
      <c r="F590" s="656"/>
      <c r="G590" s="661"/>
      <c r="I590" s="618"/>
      <c r="K590" s="600"/>
      <c r="L590" s="600"/>
      <c r="M590" s="600"/>
      <c r="N590" s="600"/>
      <c r="P590" s="587"/>
      <c r="R590" s="618"/>
      <c r="S590" s="563"/>
      <c r="T590" s="595"/>
      <c r="U590" s="416"/>
      <c r="X590" s="655"/>
      <c r="Z590" s="580"/>
      <c r="AB590" s="599"/>
      <c r="AC590" s="563"/>
      <c r="AG590" s="582"/>
      <c r="AI590" s="539"/>
      <c r="AJ590" s="563"/>
      <c r="AK590" s="595"/>
      <c r="AL590" s="416"/>
      <c r="AN590" s="579"/>
      <c r="AP590" s="583"/>
      <c r="AR590" s="583"/>
      <c r="AT590" s="599"/>
      <c r="AU590" s="563"/>
      <c r="BJ590" s="623"/>
      <c r="BK590" s="623"/>
      <c r="BL590" s="623"/>
      <c r="BM590" s="623"/>
    </row>
    <row r="591" spans="1:65" ht="12.75" hidden="1" customHeight="1" outlineLevel="1">
      <c r="A591" s="593"/>
      <c r="B591" s="431">
        <f>B584+1</f>
        <v>2011</v>
      </c>
      <c r="E591" s="563"/>
      <c r="F591" s="656"/>
      <c r="G591" s="563"/>
      <c r="H591" s="563"/>
      <c r="J591" s="563"/>
      <c r="S591" s="563"/>
      <c r="T591" s="416"/>
      <c r="U591" s="416"/>
      <c r="X591" s="584"/>
      <c r="Z591" s="619" t="s">
        <v>639</v>
      </c>
      <c r="AA591" s="620"/>
      <c r="AB591" s="621"/>
      <c r="AC591" s="622"/>
      <c r="AJ591" s="563"/>
      <c r="AK591" s="416"/>
      <c r="AL591" s="416"/>
      <c r="AN591" s="619" t="s">
        <v>639</v>
      </c>
      <c r="AP591" s="619"/>
      <c r="AR591" s="619"/>
      <c r="AU591" s="563"/>
      <c r="BJ591" s="623"/>
      <c r="BK591" s="623"/>
      <c r="BL591" s="623"/>
      <c r="BM591" s="623"/>
    </row>
    <row r="592" spans="1:65" ht="12.75" hidden="1" customHeight="1" outlineLevel="1">
      <c r="A592" s="410" t="str">
        <f>$A$12</f>
        <v>1Q</v>
      </c>
      <c r="B592" s="562" t="str">
        <f>$B$12</f>
        <v>Apr</v>
      </c>
      <c r="D592" s="645">
        <f>(X592/X585-1)*100</f>
        <v>31.175277861219584</v>
      </c>
      <c r="E592" s="563"/>
      <c r="F592" s="656">
        <f>segSales!S227</f>
        <v>0</v>
      </c>
      <c r="G592" s="679">
        <v>9</v>
      </c>
      <c r="H592" s="563"/>
      <c r="I592" s="645">
        <f>D592-G592</f>
        <v>22.175277861219584</v>
      </c>
      <c r="J592" s="563"/>
      <c r="K592" s="454">
        <v>47</v>
      </c>
      <c r="L592" s="454">
        <v>47</v>
      </c>
      <c r="M592" s="454">
        <v>0</v>
      </c>
      <c r="N592" s="454">
        <v>0</v>
      </c>
      <c r="P592" s="587">
        <f>+AVERAGE(K588,K592)</f>
        <v>44.5</v>
      </c>
      <c r="R592" s="645">
        <f>+(P592/P585-1)*100</f>
        <v>28.985507246376805</v>
      </c>
      <c r="S592" s="563"/>
      <c r="T592" s="595">
        <f>I592/R592*100</f>
        <v>76.504708621207584</v>
      </c>
      <c r="U592" s="416"/>
      <c r="W592" s="647">
        <f>51.751-30.557</f>
        <v>21.193999999999999</v>
      </c>
      <c r="X592" s="602">
        <v>13.100475000000001</v>
      </c>
      <c r="Z592" s="580">
        <f>X592/P592</f>
        <v>0.29439269662921352</v>
      </c>
      <c r="AB592" s="599">
        <f>(Z592/Z585-1)*100</f>
        <v>1.6976873306084439</v>
      </c>
      <c r="AC592" s="563"/>
      <c r="AE592" s="581">
        <f>0.066322/0.75</f>
        <v>8.8429333333333346E-2</v>
      </c>
      <c r="AG592" s="582">
        <f>AVERAGE(AE592,AE585)</f>
        <v>7.6980666666666669E-2</v>
      </c>
      <c r="AI592" s="539">
        <f>(AG592/AG585-1)*100</f>
        <v>23.733953408628206</v>
      </c>
      <c r="AJ592" s="563" t="s">
        <v>208</v>
      </c>
      <c r="AK592" s="595">
        <f>+I592/AI592*100</f>
        <v>93.432718432648542</v>
      </c>
      <c r="AL592" s="416" t="s">
        <v>208</v>
      </c>
      <c r="AN592" s="579">
        <f>+X592</f>
        <v>13.100475000000001</v>
      </c>
      <c r="AP592" s="583">
        <f>W592/AG592</f>
        <v>275.31588017770696</v>
      </c>
      <c r="AR592" s="583">
        <f>AN592/AG592</f>
        <v>170.17876782915192</v>
      </c>
      <c r="AT592" s="599">
        <f>(AR592/AR585-1)*100</f>
        <v>6.0139713050439969</v>
      </c>
      <c r="AU592" s="563"/>
      <c r="AV592" s="579">
        <f>W592-X592</f>
        <v>8.0935249999999979</v>
      </c>
      <c r="AW592" s="458"/>
      <c r="BJ592" s="623"/>
      <c r="BK592" s="623"/>
      <c r="BL592" s="623"/>
      <c r="BM592" s="623"/>
    </row>
    <row r="593" spans="1:65" ht="12.75" hidden="1" customHeight="1" outlineLevel="1">
      <c r="A593" s="410" t="str">
        <f>$A$13</f>
        <v>2Q</v>
      </c>
      <c r="B593" s="562" t="str">
        <f>$B$13</f>
        <v>Jul</v>
      </c>
      <c r="D593" s="645">
        <f>(X593/X586-1)*100</f>
        <v>40.001685558612962</v>
      </c>
      <c r="F593" s="656">
        <f>segSales!S228</f>
        <v>0</v>
      </c>
      <c r="G593" s="679">
        <v>3</v>
      </c>
      <c r="I593" s="645">
        <f>D593-G593</f>
        <v>37.001685558612962</v>
      </c>
      <c r="K593" s="454">
        <v>51</v>
      </c>
      <c r="L593" s="454">
        <v>55</v>
      </c>
      <c r="M593" s="454">
        <v>0</v>
      </c>
      <c r="N593" s="454">
        <v>0</v>
      </c>
      <c r="O593" s="454"/>
      <c r="P593" s="587">
        <f>AVERAGE(K593,K592)</f>
        <v>49</v>
      </c>
      <c r="R593" s="645">
        <f>+(P593/P586-1)*100</f>
        <v>38.028169014084497</v>
      </c>
      <c r="S593" s="563"/>
      <c r="T593" s="595">
        <f>I593/R593*100</f>
        <v>97.30072869116745</v>
      </c>
      <c r="U593" s="416"/>
      <c r="W593" s="647">
        <f>58.707-31.899</f>
        <v>26.808</v>
      </c>
      <c r="X593" s="647">
        <v>16.362724999999998</v>
      </c>
      <c r="Z593" s="585">
        <f>X593/P593</f>
        <v>0.33393316326530609</v>
      </c>
      <c r="AB593" s="599">
        <f>(Z593/Z586-1)*100</f>
        <v>1.4297925985869542</v>
      </c>
      <c r="AC593" s="563"/>
      <c r="AE593" s="581">
        <f>0.0704/0.75</f>
        <v>9.3866666666666668E-2</v>
      </c>
      <c r="AF593" s="454"/>
      <c r="AG593" s="582">
        <f>AVERAGE(AE593,AE592)</f>
        <v>9.1148000000000007E-2</v>
      </c>
      <c r="AI593" s="539">
        <f>(AG593/AG586-1)*100</f>
        <v>37.730184953862292</v>
      </c>
      <c r="AJ593" s="563"/>
      <c r="AK593" s="595">
        <f>+I593/AI593*100</f>
        <v>98.069186789992784</v>
      </c>
      <c r="AL593" s="416"/>
      <c r="AN593" s="584">
        <f>+X593</f>
        <v>16.362724999999998</v>
      </c>
      <c r="AP593" s="586">
        <f>W593/AG593</f>
        <v>294.11506560758323</v>
      </c>
      <c r="AR593" s="586">
        <f>AN593/AG593</f>
        <v>179.51820116733222</v>
      </c>
      <c r="AT593" s="599">
        <f>(AR593/AR586-1)*100</f>
        <v>1.649239493515231</v>
      </c>
      <c r="AU593" s="563"/>
      <c r="AV593" s="579">
        <f>W593-X593</f>
        <v>10.445275000000002</v>
      </c>
      <c r="AW593" s="458"/>
      <c r="BJ593" s="623"/>
      <c r="BK593" s="623"/>
      <c r="BL593" s="623"/>
      <c r="BM593" s="623"/>
    </row>
    <row r="594" spans="1:65" ht="12.75" hidden="1" customHeight="1" outlineLevel="1">
      <c r="A594" s="410" t="str">
        <f>$A$14</f>
        <v>3Q</v>
      </c>
      <c r="B594" s="562" t="str">
        <f>$B$14</f>
        <v>Oct</v>
      </c>
      <c r="D594" s="645">
        <f>(X594/X587-1)*100</f>
        <v>28.941068968285766</v>
      </c>
      <c r="F594" s="656">
        <f>segSales!S229</f>
        <v>0</v>
      </c>
      <c r="G594" s="679">
        <v>-1</v>
      </c>
      <c r="I594" s="645">
        <f>D594-G594</f>
        <v>29.941068968285766</v>
      </c>
      <c r="K594" s="454">
        <f>+K593+4</f>
        <v>55</v>
      </c>
      <c r="L594" s="454">
        <v>55</v>
      </c>
      <c r="M594" s="454">
        <v>0</v>
      </c>
      <c r="N594" s="454">
        <v>0</v>
      </c>
      <c r="O594" s="454"/>
      <c r="P594" s="587">
        <f>AVERAGE(K594,K593)</f>
        <v>53</v>
      </c>
      <c r="R594" s="645">
        <f>+(P594/P587-1)*100</f>
        <v>43.243243243243242</v>
      </c>
      <c r="S594" s="563"/>
      <c r="T594" s="595">
        <f>I594/R594*100</f>
        <v>69.238721989160837</v>
      </c>
      <c r="U594" s="416"/>
      <c r="W594" s="647">
        <f>70.09-38.881</f>
        <v>31.209000000000003</v>
      </c>
      <c r="X594" s="647">
        <v>17.601931</v>
      </c>
      <c r="Z594" s="585">
        <f>X594/P594</f>
        <v>0.33211190566037735</v>
      </c>
      <c r="AB594" s="599">
        <f>(Z594/Z587-1)*100</f>
        <v>-9.9845367579891828</v>
      </c>
      <c r="AC594" s="563"/>
      <c r="AE594" s="581">
        <f>0.075807/0.75</f>
        <v>0.101076</v>
      </c>
      <c r="AF594" s="454"/>
      <c r="AG594" s="582">
        <f>AVERAGE(AE594,AE593)</f>
        <v>9.7471333333333326E-2</v>
      </c>
      <c r="AI594" s="539">
        <f>(AG594/AG587-1)*100</f>
        <v>40.552570104688378</v>
      </c>
      <c r="AJ594" s="563"/>
      <c r="AK594" s="595">
        <f>+I594/AI594*100</f>
        <v>73.832728458372614</v>
      </c>
      <c r="AL594" s="416"/>
      <c r="AN594" s="584">
        <f>+X594</f>
        <v>17.601931</v>
      </c>
      <c r="AP594" s="586">
        <f>W594/AG594</f>
        <v>320.18644798128685</v>
      </c>
      <c r="AR594" s="586">
        <f>AN594/AG594</f>
        <v>180.58572092991446</v>
      </c>
      <c r="AT594" s="599">
        <f>(AR594/AR587-1)*100</f>
        <v>-8.2613225270473318</v>
      </c>
      <c r="AU594" s="563"/>
      <c r="AV594" s="579">
        <f>W594-X594</f>
        <v>13.607069000000003</v>
      </c>
      <c r="AW594" s="458"/>
      <c r="BJ594" s="623"/>
      <c r="BK594" s="623"/>
      <c r="BL594" s="623"/>
      <c r="BM594" s="623"/>
    </row>
    <row r="595" spans="1:65" ht="12.75" hidden="1" customHeight="1" outlineLevel="1">
      <c r="A595" s="410" t="str">
        <f>$A$15</f>
        <v>4Q</v>
      </c>
      <c r="B595" s="562" t="str">
        <f>$B$15</f>
        <v>Jan</v>
      </c>
      <c r="D595" s="646">
        <f>(X595/X588-1)*100</f>
        <v>16.189796121984013</v>
      </c>
      <c r="F595" s="658">
        <f>segSales!S230</f>
        <v>0</v>
      </c>
      <c r="G595" s="680">
        <v>-2</v>
      </c>
      <c r="I595" s="646">
        <f>D595-G595</f>
        <v>18.189796121984013</v>
      </c>
      <c r="K595" s="410">
        <f>yrSales!$S$29</f>
        <v>62</v>
      </c>
      <c r="L595" s="454">
        <v>62</v>
      </c>
      <c r="M595" s="454">
        <v>0</v>
      </c>
      <c r="N595" s="454">
        <v>0</v>
      </c>
      <c r="O595" s="454"/>
      <c r="P595" s="588">
        <f>AVERAGE(K595,K594)</f>
        <v>58.5</v>
      </c>
      <c r="R595" s="646">
        <f>+(P595/P588-1)*100</f>
        <v>46.249999999999993</v>
      </c>
      <c r="S595" s="563"/>
      <c r="T595" s="598">
        <f>I595/R595*100</f>
        <v>39.329288912397878</v>
      </c>
      <c r="U595" s="416"/>
      <c r="W595" s="649">
        <f>69.864-31.67</f>
        <v>38.194000000000003</v>
      </c>
      <c r="X595" s="649">
        <v>19.727495999999995</v>
      </c>
      <c r="Z595" s="590">
        <f>X595/P595</f>
        <v>0.33722215384615378</v>
      </c>
      <c r="AB595" s="597">
        <f>(Z595/Z588-1)*100</f>
        <v>-20.553985557617771</v>
      </c>
      <c r="AC595" s="563"/>
      <c r="AE595" s="581">
        <f>0.084922/0.75</f>
        <v>0.11322933333333333</v>
      </c>
      <c r="AF595" s="454"/>
      <c r="AG595" s="591">
        <f>AVERAGE(AE595,AE594)</f>
        <v>0.10715266666666667</v>
      </c>
      <c r="AI595" s="596">
        <f>(AG595/AG588-1)*100</f>
        <v>43.08516794117385</v>
      </c>
      <c r="AJ595" s="563"/>
      <c r="AK595" s="598">
        <f>+I595/AI595*100</f>
        <v>42.218231914099476</v>
      </c>
      <c r="AL595" s="416"/>
      <c r="AN595" s="589">
        <f>+X595</f>
        <v>19.727495999999995</v>
      </c>
      <c r="AP595" s="592">
        <f>W595/AG595</f>
        <v>356.44469884090614</v>
      </c>
      <c r="AR595" s="592">
        <f>AN595/AG595</f>
        <v>184.1064400326014</v>
      </c>
      <c r="AT595" s="597">
        <f>(AR595/AR588-1)*100</f>
        <v>-18.79675734821604</v>
      </c>
      <c r="AU595" s="563"/>
      <c r="AV595" s="626">
        <f>W595-X595</f>
        <v>18.466504000000008</v>
      </c>
      <c r="AW595" s="625"/>
      <c r="BJ595" s="623"/>
      <c r="BK595" s="623"/>
      <c r="BL595" s="623"/>
      <c r="BM595" s="623"/>
    </row>
    <row r="596" spans="1:65" ht="12.75" hidden="1" customHeight="1" outlineLevel="1">
      <c r="B596" s="562" t="str">
        <f>$B$16</f>
        <v>Year</v>
      </c>
      <c r="D596" s="618">
        <f>(X596/X589-1)*100</f>
        <v>27.699956328676791</v>
      </c>
      <c r="F596" s="656">
        <f>segSales!S231</f>
        <v>0</v>
      </c>
      <c r="G596" s="661">
        <f>G592*X592/X596+G593*X593/X596+G594*X594/X596+G595*X595/X596</f>
        <v>1.645923089684735</v>
      </c>
      <c r="I596" s="618">
        <f>D596-G596</f>
        <v>26.054033238992055</v>
      </c>
      <c r="K596" s="600"/>
      <c r="L596" s="600"/>
      <c r="M596" s="600"/>
      <c r="N596" s="600"/>
      <c r="P596" s="587">
        <f>AVERAGE(P592:P595)</f>
        <v>51.25</v>
      </c>
      <c r="R596" s="618">
        <f>+(P596/P589-1)*100</f>
        <v>39.455782312925166</v>
      </c>
      <c r="S596" s="563"/>
      <c r="T596" s="595">
        <f>I596/R596*100</f>
        <v>66.033498036755731</v>
      </c>
      <c r="U596" s="416"/>
      <c r="W596" s="579">
        <f>SUM(W592:W595)</f>
        <v>117.405</v>
      </c>
      <c r="X596" s="579">
        <f>SUM(X592:X595)</f>
        <v>66.792626999999996</v>
      </c>
      <c r="Z596" s="580">
        <f>SUM(Z592:Z595)</f>
        <v>1.2976599194010507</v>
      </c>
      <c r="AB596" s="599">
        <f>(Z596/Z589-1)*100</f>
        <v>-8.105618399235869</v>
      </c>
      <c r="AC596" s="563"/>
      <c r="AG596" s="582">
        <f>AVERAGE(AG592:AG595)</f>
        <v>9.3188166666666669E-2</v>
      </c>
      <c r="AI596" s="539">
        <f>(AG596/AG589-1)*100</f>
        <v>36.725077272193744</v>
      </c>
      <c r="AJ596" s="563"/>
      <c r="AK596" s="595">
        <f>+I596/AI596*100</f>
        <v>70.943440216309</v>
      </c>
      <c r="AL596" s="416"/>
      <c r="AN596" s="579">
        <f>SUM(AN592:AN595)</f>
        <v>66.792626999999996</v>
      </c>
      <c r="AP596" s="583">
        <f>SUM(AP592:AP595)</f>
        <v>1246.0620926074832</v>
      </c>
      <c r="AR596" s="583">
        <f>SUM(AR592:AR595)</f>
        <v>714.389129959</v>
      </c>
      <c r="AT596" s="599">
        <f>(AR596/AR589-1)*100</f>
        <v>-6.0880990195037459</v>
      </c>
      <c r="AU596" s="563"/>
      <c r="AV596" s="579">
        <f>SUM(AV592:AV595)</f>
        <v>50.612373000000012</v>
      </c>
      <c r="AW596" s="458"/>
      <c r="BJ596" s="623"/>
      <c r="BK596" s="623"/>
      <c r="BL596" s="623"/>
      <c r="BM596" s="623"/>
    </row>
    <row r="597" spans="1:65" ht="12.75" customHeight="1" collapsed="1">
      <c r="B597" s="562"/>
      <c r="D597" s="618"/>
      <c r="F597" s="563"/>
      <c r="G597" s="661"/>
      <c r="I597" s="618"/>
      <c r="K597" s="600"/>
      <c r="L597" s="600"/>
      <c r="M597" s="600"/>
      <c r="N597" s="600"/>
      <c r="P597" s="587"/>
      <c r="R597" s="618"/>
      <c r="S597" s="563"/>
      <c r="T597" s="595"/>
      <c r="U597" s="416"/>
      <c r="W597" s="539"/>
      <c r="X597" s="655"/>
      <c r="Z597" s="580"/>
      <c r="AB597" s="599"/>
      <c r="AC597" s="563"/>
      <c r="AG597" s="582"/>
      <c r="AI597" s="539"/>
      <c r="AJ597" s="563"/>
      <c r="AK597" s="595"/>
      <c r="AL597" s="416"/>
      <c r="AN597" s="579"/>
      <c r="AP597" s="583"/>
      <c r="AR597" s="583"/>
      <c r="AT597" s="599"/>
      <c r="AU597" s="563"/>
      <c r="AW597" s="602"/>
      <c r="BJ597" s="623"/>
      <c r="BK597" s="623"/>
      <c r="BL597" s="623"/>
      <c r="BM597" s="623"/>
    </row>
    <row r="598" spans="1:65" ht="12.75" customHeight="1">
      <c r="A598" s="593"/>
      <c r="B598" s="431">
        <f>B491</f>
        <v>2012</v>
      </c>
      <c r="E598" s="563"/>
      <c r="F598" s="563"/>
      <c r="G598" s="563"/>
      <c r="H598" s="563"/>
      <c r="J598" s="563"/>
      <c r="S598" s="563"/>
      <c r="T598" s="416"/>
      <c r="U598" s="416"/>
      <c r="W598" s="539"/>
      <c r="AC598" s="563"/>
      <c r="AJ598" s="563"/>
      <c r="AK598" s="416"/>
      <c r="AL598" s="416"/>
      <c r="AU598" s="563"/>
      <c r="AW598" s="602"/>
      <c r="BJ598" s="623"/>
      <c r="BK598" s="623"/>
      <c r="BL598" s="623"/>
      <c r="BM598" s="623"/>
    </row>
    <row r="599" spans="1:65" ht="12.75" customHeight="1">
      <c r="A599" s="410" t="str">
        <f>$A$12</f>
        <v>1Q</v>
      </c>
      <c r="B599" s="562" t="str">
        <f>$B$12</f>
        <v>Apr</v>
      </c>
      <c r="D599" s="645">
        <f>(W599/W592-1)*100</f>
        <v>43.852033594413498</v>
      </c>
      <c r="E599" s="563"/>
      <c r="F599" s="656">
        <f>segSales!S234</f>
        <v>0</v>
      </c>
      <c r="G599" s="679">
        <v>-13</v>
      </c>
      <c r="H599" s="563"/>
      <c r="I599" s="645">
        <f>D599-F599</f>
        <v>43.852033594413498</v>
      </c>
      <c r="J599" s="563"/>
      <c r="K599" s="454">
        <v>69</v>
      </c>
      <c r="L599" s="454">
        <v>69</v>
      </c>
      <c r="M599" s="454">
        <v>0</v>
      </c>
      <c r="N599" s="454">
        <v>0</v>
      </c>
      <c r="P599" s="587">
        <f>+AVERAGE(K595,K599)</f>
        <v>65.5</v>
      </c>
      <c r="R599" s="645">
        <f>+(P599/P592-1)*100</f>
        <v>47.19101123595506</v>
      </c>
      <c r="S599" s="563"/>
      <c r="T599" s="595">
        <f>I599/R599*100</f>
        <v>92.924547378638124</v>
      </c>
      <c r="U599" s="416"/>
      <c r="W599" s="647">
        <f>61.672-31.184</f>
        <v>30.487999999999996</v>
      </c>
      <c r="X599" s="602">
        <v>15.930039999999998</v>
      </c>
      <c r="Z599" s="580">
        <f>W599/P599</f>
        <v>0.46546564885496178</v>
      </c>
      <c r="AB599" s="599">
        <f>(Z599/Z592-1)*100</f>
        <v>58.110460682118756</v>
      </c>
      <c r="AC599" s="563"/>
      <c r="AE599" s="581">
        <f>0.09562/0.75</f>
        <v>0.12749333333333332</v>
      </c>
      <c r="AG599" s="582">
        <f>AVERAGE(AE599,AE592)</f>
        <v>0.10796133333333333</v>
      </c>
      <c r="AI599" s="539">
        <f>(AG599/AG592-1)*100</f>
        <v>40.24473677373539</v>
      </c>
      <c r="AJ599" s="563" t="s">
        <v>208</v>
      </c>
      <c r="AK599" s="595">
        <f>+I599/AI599*100</f>
        <v>108.96340021046507</v>
      </c>
      <c r="AL599" s="416" t="s">
        <v>208</v>
      </c>
      <c r="AN599" s="579">
        <f>W599</f>
        <v>30.487999999999996</v>
      </c>
      <c r="AP599" s="583">
        <f>W599/AG599</f>
        <v>282.39740153882252</v>
      </c>
      <c r="AR599" s="583">
        <f>AN599/AG599</f>
        <v>282.39740153882252</v>
      </c>
      <c r="AT599" s="599">
        <f>(AP599/AP592-1)*100</f>
        <v>2.5721441700147007</v>
      </c>
      <c r="AU599" s="563"/>
      <c r="AV599" s="579">
        <f>W599-X599</f>
        <v>14.557959999999998</v>
      </c>
      <c r="AW599" s="458">
        <f>AV599/AV592-1</f>
        <v>0.79871687552704196</v>
      </c>
      <c r="BJ599" s="623"/>
      <c r="BK599" s="623"/>
      <c r="BL599" s="623"/>
      <c r="BM599" s="623"/>
    </row>
    <row r="600" spans="1:65" ht="12.75" customHeight="1">
      <c r="A600" s="410" t="str">
        <f>$A$13</f>
        <v>2Q</v>
      </c>
      <c r="B600" s="562" t="str">
        <f>$B$13</f>
        <v>Jul</v>
      </c>
      <c r="D600" s="645">
        <f>(W600/W593-1)*100</f>
        <v>36.339898537749924</v>
      </c>
      <c r="F600" s="656">
        <f>segSales!S235</f>
        <v>0</v>
      </c>
      <c r="G600" s="682">
        <v>-8</v>
      </c>
      <c r="I600" s="645">
        <f>D600-F600</f>
        <v>36.339898537749924</v>
      </c>
      <c r="K600" s="454">
        <v>72</v>
      </c>
      <c r="L600" s="454">
        <v>72</v>
      </c>
      <c r="M600" s="454">
        <v>0</v>
      </c>
      <c r="N600" s="454">
        <v>0</v>
      </c>
      <c r="O600" s="454"/>
      <c r="P600" s="587">
        <f>AVERAGE(K600,K599)</f>
        <v>70.5</v>
      </c>
      <c r="R600" s="645">
        <f>+(P600/P593-1)*100</f>
        <v>43.877551020408156</v>
      </c>
      <c r="S600" s="563"/>
      <c r="T600" s="595">
        <f>I600/R600*100</f>
        <v>82.821164109290535</v>
      </c>
      <c r="U600" s="416"/>
      <c r="W600" s="647">
        <f>73.788-37.238</f>
        <v>36.549999999999997</v>
      </c>
      <c r="X600" s="602">
        <v>18.935532000000002</v>
      </c>
      <c r="Z600" s="585">
        <f t="shared" ref="Z600:Z603" si="85">W600/P600</f>
        <v>0.51843971631205665</v>
      </c>
      <c r="AB600" s="599">
        <f>(Z600/Z593-1)*100</f>
        <v>55.252539532937071</v>
      </c>
      <c r="AC600" s="563"/>
      <c r="AE600" s="581">
        <f>0.098957/0.75</f>
        <v>0.13194266666666668</v>
      </c>
      <c r="AF600" s="454"/>
      <c r="AG600" s="582">
        <f>AVERAGE(AE600,AE599)</f>
        <v>0.129718</v>
      </c>
      <c r="AI600" s="539">
        <f>(AG600/AG593-1)*100</f>
        <v>42.315794093123273</v>
      </c>
      <c r="AJ600" s="563"/>
      <c r="AK600" s="595">
        <f>+I600/AI600*100</f>
        <v>85.877860303832776</v>
      </c>
      <c r="AL600" s="416"/>
      <c r="AN600" s="584">
        <f t="shared" ref="AN600:AN603" si="86">W600</f>
        <v>36.549999999999997</v>
      </c>
      <c r="AP600" s="586">
        <f>W600/AG600</f>
        <v>281.76505959080464</v>
      </c>
      <c r="AR600" s="586">
        <f>AN600/AG600</f>
        <v>281.76505959080464</v>
      </c>
      <c r="AT600" s="599">
        <f t="shared" ref="AT600:AT603" si="87">(AP600/AP593-1)*100</f>
        <v>-4.1990389003929263</v>
      </c>
      <c r="AU600" s="563"/>
      <c r="AV600" s="579">
        <f>W600-X600</f>
        <v>17.614467999999995</v>
      </c>
      <c r="AW600" s="458">
        <f>AV600/AV593-1</f>
        <v>0.68635751571882886</v>
      </c>
      <c r="BJ600" s="623"/>
      <c r="BK600" s="623"/>
      <c r="BL600" s="623"/>
      <c r="BM600" s="623"/>
    </row>
    <row r="601" spans="1:65" ht="12.75" customHeight="1">
      <c r="A601" s="410" t="str">
        <f>$A$14</f>
        <v>3Q</v>
      </c>
      <c r="B601" s="562" t="str">
        <f>$B$14</f>
        <v>Oct</v>
      </c>
      <c r="D601" s="645">
        <f>(W601/W594-1)*100</f>
        <v>47.393380114710503</v>
      </c>
      <c r="F601" s="656">
        <f>segSales!S236</f>
        <v>0</v>
      </c>
      <c r="G601" s="682">
        <v>6</v>
      </c>
      <c r="I601" s="645">
        <f>D601-F601</f>
        <v>47.393380114710503</v>
      </c>
      <c r="K601" s="454">
        <v>77</v>
      </c>
      <c r="L601" s="454">
        <v>75</v>
      </c>
      <c r="M601" s="454">
        <v>2</v>
      </c>
      <c r="N601" s="454">
        <v>0</v>
      </c>
      <c r="O601" s="454"/>
      <c r="P601" s="587">
        <f>AVERAGE(K601,K600)</f>
        <v>74.5</v>
      </c>
      <c r="R601" s="645">
        <f>+(P601/P594-1)*100</f>
        <v>40.566037735849058</v>
      </c>
      <c r="S601" s="563"/>
      <c r="T601" s="595">
        <f>I601/R601*100</f>
        <v>116.83019284091425</v>
      </c>
      <c r="U601" s="416"/>
      <c r="W601" s="647">
        <f>87.486-41.486</f>
        <v>46.000000000000007</v>
      </c>
      <c r="X601" s="539">
        <f>+X594*(1+(G601+(R601*T601/100))/100)</f>
        <v>27.000196926359063</v>
      </c>
      <c r="Z601" s="585">
        <f t="shared" si="85"/>
        <v>0.61744966442953031</v>
      </c>
      <c r="AB601" s="599">
        <f>(Z601/Z594-1)*100</f>
        <v>85.916148715530753</v>
      </c>
      <c r="AC601" s="563"/>
      <c r="AE601" s="600">
        <f>0.10547/0.75</f>
        <v>0.14062666666666665</v>
      </c>
      <c r="AF601" s="454"/>
      <c r="AG601" s="582">
        <f>AVERAGE(AE601,AE600)</f>
        <v>0.13628466666666667</v>
      </c>
      <c r="AI601" s="539">
        <f>(AG601/AG594-1)*100</f>
        <v>39.820254844159322</v>
      </c>
      <c r="AJ601" s="563"/>
      <c r="AK601" s="595">
        <f>+I601/AI601*100</f>
        <v>119.01827424306899</v>
      </c>
      <c r="AL601" s="416"/>
      <c r="AN601" s="584">
        <f t="shared" si="86"/>
        <v>46.000000000000007</v>
      </c>
      <c r="AP601" s="586">
        <f>W601/AG601</f>
        <v>337.5288000117402</v>
      </c>
      <c r="AR601" s="586">
        <f>AN601/AG601</f>
        <v>337.5288000117402</v>
      </c>
      <c r="AT601" s="599">
        <f t="shared" si="87"/>
        <v>5.416329185633395</v>
      </c>
      <c r="AU601" s="563"/>
      <c r="AV601" s="579">
        <f>W601-X601</f>
        <v>18.999803073640944</v>
      </c>
      <c r="AW601" s="458">
        <f>AV601/AV594-1</f>
        <v>0.39631856600719373</v>
      </c>
      <c r="BJ601" s="623"/>
      <c r="BK601" s="623"/>
      <c r="BL601" s="623"/>
      <c r="BM601" s="623"/>
    </row>
    <row r="602" spans="1:65" ht="12.75" customHeight="1">
      <c r="A602" s="410" t="str">
        <f>$A$15</f>
        <v>4Q</v>
      </c>
      <c r="B602" s="562" t="str">
        <f>$B$15</f>
        <v>Jan</v>
      </c>
      <c r="D602" s="646">
        <f>(W602/W595-1)*100</f>
        <v>54.482379431324304</v>
      </c>
      <c r="F602" s="658">
        <f>segSales!S237</f>
        <v>0</v>
      </c>
      <c r="G602" s="683">
        <v>14</v>
      </c>
      <c r="I602" s="646">
        <f>D602-F602</f>
        <v>54.482379431324304</v>
      </c>
      <c r="K602" s="454">
        <f>yrSales!$T$29</f>
        <v>77</v>
      </c>
      <c r="L602" s="454">
        <v>75</v>
      </c>
      <c r="M602" s="454">
        <v>2</v>
      </c>
      <c r="N602" s="454">
        <v>0</v>
      </c>
      <c r="O602" s="454"/>
      <c r="P602" s="588">
        <f>AVERAGE(K602,K601)</f>
        <v>77</v>
      </c>
      <c r="R602" s="646">
        <f>+(P602/P595-1)*100</f>
        <v>31.623931623931622</v>
      </c>
      <c r="S602" s="563"/>
      <c r="T602" s="598">
        <f>I602/R602*100</f>
        <v>172.28211874229578</v>
      </c>
      <c r="U602" s="416"/>
      <c r="W602" s="649">
        <f>97.736-38.733</f>
        <v>59.003000000000007</v>
      </c>
      <c r="X602" s="596">
        <f>+X595*(1+(G602+(R602*T602/100))/100)</f>
        <v>33.237354663019318</v>
      </c>
      <c r="Z602" s="590">
        <f t="shared" si="85"/>
        <v>0.76627272727272733</v>
      </c>
      <c r="AB602" s="597">
        <f>(Z602/Z595-1)*100</f>
        <v>127.23083834590341</v>
      </c>
      <c r="AC602" s="563"/>
      <c r="AE602" s="600">
        <f>0.10547/0.75</f>
        <v>0.14062666666666665</v>
      </c>
      <c r="AF602" s="454"/>
      <c r="AG602" s="591">
        <f>AVERAGE(AE602,AE601)</f>
        <v>0.14062666666666665</v>
      </c>
      <c r="AI602" s="596">
        <f>(AG602/AG595-1)*100</f>
        <v>31.239539846574015</v>
      </c>
      <c r="AJ602" s="563"/>
      <c r="AK602" s="598">
        <f>+I602/AI602*100</f>
        <v>174.40199087087157</v>
      </c>
      <c r="AL602" s="416"/>
      <c r="AN602" s="589">
        <f t="shared" si="86"/>
        <v>59.003000000000007</v>
      </c>
      <c r="AP602" s="592">
        <f>W602/AG602</f>
        <v>419.57191618469716</v>
      </c>
      <c r="AR602" s="592">
        <f>AN602/AG602</f>
        <v>419.57191618469716</v>
      </c>
      <c r="AT602" s="597">
        <f t="shared" si="87"/>
        <v>17.710241602433506</v>
      </c>
      <c r="AU602" s="563"/>
      <c r="AV602" s="626">
        <f>W602-X602</f>
        <v>25.76564533698069</v>
      </c>
      <c r="AW602" s="625">
        <f>AV602/AV595-1</f>
        <v>0.39526384295482675</v>
      </c>
      <c r="BJ602" s="623"/>
      <c r="BK602" s="623"/>
      <c r="BL602" s="623"/>
      <c r="BM602" s="623"/>
    </row>
    <row r="603" spans="1:65" ht="12.75" customHeight="1">
      <c r="B603" s="562" t="str">
        <f>$B$16</f>
        <v>Year</v>
      </c>
      <c r="D603" s="618">
        <f>(W603/W596-1)*100</f>
        <v>46.536348537115124</v>
      </c>
      <c r="F603" s="656">
        <f>F599*W599/W603+F600*W600/W603+F601*W601/W603+F602*W602/W603</f>
        <v>0</v>
      </c>
      <c r="G603" s="661">
        <f>G599*X599/X603+G600*X600/X603+G601*X601/X603+G602*X602/X603</f>
        <v>2.8258732278951157</v>
      </c>
      <c r="I603" s="618">
        <f>D603-F603</f>
        <v>46.536348537115124</v>
      </c>
      <c r="K603" s="600"/>
      <c r="L603" s="600"/>
      <c r="M603" s="600"/>
      <c r="N603" s="600"/>
      <c r="P603" s="587">
        <f>AVERAGE(P599:P602)</f>
        <v>71.875</v>
      </c>
      <c r="R603" s="618">
        <f>+(P603/P596-1)*100</f>
        <v>40.243902439024382</v>
      </c>
      <c r="S603" s="563"/>
      <c r="T603" s="595">
        <f>I603/R603*100</f>
        <v>115.63577515283154</v>
      </c>
      <c r="U603" s="416"/>
      <c r="W603" s="579">
        <f>SUM(W599:W602)</f>
        <v>172.04100000000003</v>
      </c>
      <c r="X603" s="579">
        <f>SUM(X599:X602)</f>
        <v>95.103123589378384</v>
      </c>
      <c r="Z603" s="580">
        <f t="shared" si="85"/>
        <v>2.3936139130434788</v>
      </c>
      <c r="AB603" s="599">
        <f>(Z603/Z596-1)*100</f>
        <v>84.456179716815001</v>
      </c>
      <c r="AC603" s="563"/>
      <c r="AG603" s="582">
        <f>AVERAGE(AG599:AG602)</f>
        <v>0.12864766666666666</v>
      </c>
      <c r="AI603" s="539">
        <f>(AG603/AG596-1)*100</f>
        <v>38.051505108838924</v>
      </c>
      <c r="AJ603" s="563"/>
      <c r="AK603" s="595">
        <f>+I603/AI603*100</f>
        <v>122.29831225862671</v>
      </c>
      <c r="AL603" s="416"/>
      <c r="AN603" s="579">
        <f t="shared" si="86"/>
        <v>172.04100000000003</v>
      </c>
      <c r="AP603" s="583">
        <f>SUM(AP599:AP602)</f>
        <v>1321.2631773260646</v>
      </c>
      <c r="AR603" s="583">
        <f>SUM(AR599:AR602)</f>
        <v>1321.2631773260646</v>
      </c>
      <c r="AT603" s="599">
        <f t="shared" si="87"/>
        <v>6.0350993072277204</v>
      </c>
      <c r="AU603" s="563"/>
      <c r="AV603" s="579">
        <f>SUM(AV599:AV602)</f>
        <v>76.937876410621641</v>
      </c>
      <c r="AW603" s="458">
        <f>AV603/AV596-1</f>
        <v>0.52013967830794305</v>
      </c>
      <c r="BJ603" s="623"/>
      <c r="BK603" s="623"/>
      <c r="BL603" s="623"/>
      <c r="BM603" s="623"/>
    </row>
    <row r="604" spans="1:65" ht="12.75" customHeight="1">
      <c r="B604" s="562"/>
      <c r="D604" s="618"/>
      <c r="F604" s="563"/>
      <c r="G604" s="661"/>
      <c r="I604" s="618"/>
      <c r="K604" s="600"/>
      <c r="L604" s="600"/>
      <c r="M604" s="600"/>
      <c r="N604" s="600"/>
      <c r="P604" s="587"/>
      <c r="R604" s="618"/>
      <c r="S604" s="563"/>
      <c r="T604" s="595"/>
      <c r="U604" s="416"/>
      <c r="X604" s="579"/>
      <c r="Z604" s="580"/>
      <c r="AB604" s="599"/>
      <c r="AC604" s="563"/>
      <c r="AG604" s="582"/>
      <c r="AI604" s="539"/>
      <c r="AJ604" s="563"/>
      <c r="AK604" s="595"/>
      <c r="AL604" s="416"/>
      <c r="AN604" s="579"/>
      <c r="AP604" s="583"/>
      <c r="AR604" s="583"/>
      <c r="AT604" s="599"/>
      <c r="AU604" s="563"/>
      <c r="AV604" s="579"/>
      <c r="AW604" s="631"/>
      <c r="BJ604" s="623"/>
      <c r="BK604" s="623"/>
      <c r="BL604" s="623"/>
      <c r="BM604" s="623"/>
    </row>
    <row r="605" spans="1:65" ht="12.75" customHeight="1">
      <c r="A605" s="593"/>
      <c r="B605" s="431">
        <f>B498</f>
        <v>2013</v>
      </c>
      <c r="D605" s="618"/>
      <c r="F605" s="563"/>
      <c r="G605" s="661"/>
      <c r="I605" s="618"/>
      <c r="K605" s="600"/>
      <c r="L605" s="600"/>
      <c r="M605" s="600"/>
      <c r="N605" s="600"/>
      <c r="P605" s="587"/>
      <c r="R605" s="618"/>
      <c r="S605" s="563"/>
      <c r="T605" s="595"/>
      <c r="U605" s="416"/>
      <c r="X605" s="579"/>
      <c r="Z605" s="580"/>
      <c r="AB605" s="599"/>
      <c r="AC605" s="563"/>
      <c r="AG605" s="582"/>
      <c r="AI605" s="539"/>
      <c r="AJ605" s="563"/>
      <c r="AK605" s="595"/>
      <c r="AL605" s="416"/>
      <c r="AN605" s="579"/>
      <c r="AP605" s="583"/>
      <c r="AR605" s="583"/>
      <c r="AT605" s="599"/>
      <c r="AU605" s="563"/>
      <c r="AV605" s="579"/>
      <c r="AW605" s="631"/>
      <c r="BJ605" s="623"/>
      <c r="BK605" s="623"/>
      <c r="BL605" s="623"/>
      <c r="BM605" s="623"/>
    </row>
    <row r="606" spans="1:65" ht="12.75" customHeight="1">
      <c r="A606" s="410" t="str">
        <f>$A$12</f>
        <v>1Q</v>
      </c>
      <c r="B606" s="562" t="str">
        <f>$B$12</f>
        <v>Apr</v>
      </c>
      <c r="D606" s="645">
        <f>(W606/W599-1)*100</f>
        <v>54.549330884282355</v>
      </c>
      <c r="F606" s="656">
        <f>segSales!T130</f>
        <v>44</v>
      </c>
      <c r="G606" s="682">
        <v>-1</v>
      </c>
      <c r="I606" s="645">
        <f>D606-F606</f>
        <v>10.549330884282355</v>
      </c>
      <c r="K606" s="454">
        <v>80</v>
      </c>
      <c r="L606" s="454">
        <v>78</v>
      </c>
      <c r="M606" s="454">
        <v>2</v>
      </c>
      <c r="N606" s="454">
        <v>0</v>
      </c>
      <c r="P606" s="587">
        <f>+AVERAGE(K602,K606)</f>
        <v>78.5</v>
      </c>
      <c r="R606" s="645">
        <f>+(P606/P599-1)*100</f>
        <v>19.84732824427482</v>
      </c>
      <c r="S606" s="563"/>
      <c r="T606" s="595">
        <f>I606/R606*100</f>
        <v>53.152397916961071</v>
      </c>
      <c r="U606" s="416"/>
      <c r="W606" s="647">
        <f>83.325-36.206</f>
        <v>47.119</v>
      </c>
      <c r="X606" s="539">
        <f>+X599*(1+(G606+I606)/100)</f>
        <v>17.451252229598531</v>
      </c>
      <c r="Z606" s="580">
        <f>W606/P606</f>
        <v>0.60024203821656053</v>
      </c>
      <c r="AB606" s="599">
        <f>(Z606/Z599-1)*100</f>
        <v>28.955174177331134</v>
      </c>
      <c r="AC606" s="563"/>
      <c r="AE606" s="581">
        <f>0.109406/0.75</f>
        <v>0.14587466666666668</v>
      </c>
      <c r="AG606" s="582">
        <f>AVERAGE(AE606,AE599)</f>
        <v>0.136684</v>
      </c>
      <c r="AI606" s="539">
        <f>(AG606/AG599-1)*100</f>
        <v>26.604586827382647</v>
      </c>
      <c r="AJ606" s="563" t="s">
        <v>208</v>
      </c>
      <c r="AK606" s="595">
        <f>+I606/AI606*100</f>
        <v>39.65230113412062</v>
      </c>
      <c r="AL606" s="416" t="s">
        <v>208</v>
      </c>
      <c r="AN606" s="579">
        <f>+X606</f>
        <v>17.451252229598531</v>
      </c>
      <c r="AP606" s="583">
        <f>W606/AG606</f>
        <v>344.72944894793829</v>
      </c>
      <c r="AR606" s="583">
        <f>AN606/AG606</f>
        <v>127.67589644434265</v>
      </c>
      <c r="AT606" s="599">
        <f>(AP606/AP599-1)*100</f>
        <v>22.072457844675554</v>
      </c>
      <c r="AU606" s="563"/>
      <c r="AV606" s="579">
        <f>W606-X606</f>
        <v>29.667747770401469</v>
      </c>
      <c r="AW606" s="458">
        <f>AV606/AV599-1</f>
        <v>1.0379055699013784</v>
      </c>
      <c r="BJ606" s="623"/>
      <c r="BK606" s="623"/>
      <c r="BL606" s="623"/>
      <c r="BM606" s="623"/>
    </row>
    <row r="607" spans="1:65" ht="12.75" customHeight="1">
      <c r="A607" s="410" t="str">
        <f>$A$13</f>
        <v>2Q</v>
      </c>
      <c r="B607" s="562" t="str">
        <f>$B$13</f>
        <v>Jul</v>
      </c>
      <c r="D607" s="645">
        <f>(W607/W600-1)*100</f>
        <v>46.875512995896031</v>
      </c>
      <c r="F607" s="656">
        <f>segSales!T131</f>
        <v>38</v>
      </c>
      <c r="G607" s="682">
        <v>-1</v>
      </c>
      <c r="I607" s="645">
        <f>D607-F607</f>
        <v>8.875512995896031</v>
      </c>
      <c r="K607" s="454">
        <v>83</v>
      </c>
      <c r="L607" s="454">
        <v>81</v>
      </c>
      <c r="M607" s="454">
        <v>2</v>
      </c>
      <c r="N607" s="454">
        <v>0</v>
      </c>
      <c r="P607" s="587">
        <f>AVERAGE(K607,K606)</f>
        <v>81.5</v>
      </c>
      <c r="R607" s="645">
        <f>+(P607/P600-1)*100</f>
        <v>15.602836879432624</v>
      </c>
      <c r="S607" s="563"/>
      <c r="T607" s="595">
        <f>I607/R607*100</f>
        <v>56.883969655515465</v>
      </c>
      <c r="U607" s="416"/>
      <c r="W607" s="647">
        <f>97.216-43.533</f>
        <v>53.682999999999993</v>
      </c>
      <c r="X607" s="539">
        <f>+X600*(1+(G607+I607)/100)</f>
        <v>20.426802283502056</v>
      </c>
      <c r="Z607" s="585">
        <f t="shared" ref="Z607:Z610" si="88">W607/P607</f>
        <v>0.65868711656441714</v>
      </c>
      <c r="AB607" s="599">
        <f>(Z607/Z600-1)*100</f>
        <v>27.051824125284305</v>
      </c>
      <c r="AC607" s="563"/>
      <c r="AE607" s="581">
        <f>0.114497/0.75</f>
        <v>0.15266266666666667</v>
      </c>
      <c r="AG607" s="582">
        <f>AVERAGE(AE607,AE606)</f>
        <v>0.14926866666666666</v>
      </c>
      <c r="AI607" s="539">
        <f>(AG607/AG600-1)*100</f>
        <v>15.071668285563034</v>
      </c>
      <c r="AJ607" s="563"/>
      <c r="AK607" s="595">
        <f>+I607/AI607*100</f>
        <v>58.888723051301341</v>
      </c>
      <c r="AL607" s="416"/>
      <c r="AN607" s="584">
        <f>+X607</f>
        <v>20.426802283502056</v>
      </c>
      <c r="AP607" s="586">
        <f>W607/AG607</f>
        <v>359.64011201279123</v>
      </c>
      <c r="AR607" s="586">
        <f>AN607/AG607</f>
        <v>136.84588158824619</v>
      </c>
      <c r="AT607" s="599">
        <f t="shared" ref="AT607:AT610" si="89">(AP607/AP600-1)*100</f>
        <v>27.638292886662818</v>
      </c>
      <c r="AU607" s="563"/>
      <c r="AV607" s="579">
        <f>W607-X607</f>
        <v>33.256197716497937</v>
      </c>
      <c r="AW607" s="458">
        <f>AV607/AV600-1</f>
        <v>0.88800466278617929</v>
      </c>
      <c r="BJ607" s="623"/>
      <c r="BK607" s="623"/>
      <c r="BL607" s="623"/>
      <c r="BM607" s="623"/>
    </row>
    <row r="608" spans="1:65" ht="12.75" customHeight="1">
      <c r="A608" s="410" t="str">
        <f>$A$14</f>
        <v>3Q</v>
      </c>
      <c r="B608" s="562" t="str">
        <f>$B$14</f>
        <v>Oct</v>
      </c>
      <c r="D608" s="645">
        <f>(W608/W601-1)*100</f>
        <v>36.923913043478265</v>
      </c>
      <c r="F608" s="656">
        <f>segSales!T132</f>
        <v>30</v>
      </c>
      <c r="G608" s="682">
        <v>-1</v>
      </c>
      <c r="I608" s="645">
        <f>D608-F608</f>
        <v>6.9239130434782652</v>
      </c>
      <c r="K608" s="454">
        <v>86</v>
      </c>
      <c r="L608" s="454">
        <v>84</v>
      </c>
      <c r="M608" s="454">
        <v>2</v>
      </c>
      <c r="N608" s="454">
        <v>0</v>
      </c>
      <c r="P608" s="587">
        <f>AVERAGE(K608,K607)</f>
        <v>84.5</v>
      </c>
      <c r="R608" s="645">
        <f>+(P608/P601-1)*100</f>
        <v>13.422818791946312</v>
      </c>
      <c r="S608" s="563"/>
      <c r="T608" s="595">
        <f>I608/R608*100</f>
        <v>51.583152173913064</v>
      </c>
      <c r="U608" s="416"/>
      <c r="W608" s="647">
        <f>112.968-49.983</f>
        <v>62.985000000000007</v>
      </c>
      <c r="X608" s="539">
        <f>+X601*(1+(G608+I608)/100)</f>
        <v>28.599665113844463</v>
      </c>
      <c r="Z608" s="585">
        <f t="shared" si="88"/>
        <v>0.74538461538461542</v>
      </c>
      <c r="AB608" s="599">
        <f>(Z608/Z601-1)*100</f>
        <v>20.719899665551832</v>
      </c>
      <c r="AC608" s="563"/>
      <c r="AE608" s="581">
        <f>0.12/0.75</f>
        <v>0.16</v>
      </c>
      <c r="AG608" s="582">
        <f>AVERAGE(AE608,AE607)</f>
        <v>0.15633133333333332</v>
      </c>
      <c r="AI608" s="539">
        <f>(AG608/AG601-1)*100</f>
        <v>14.709407270076834</v>
      </c>
      <c r="AJ608" s="563"/>
      <c r="AK608" s="595">
        <f>+I608/AI608*100</f>
        <v>47.071325964054964</v>
      </c>
      <c r="AL608" s="416"/>
      <c r="AN608" s="584">
        <f>+X608</f>
        <v>28.599665113844463</v>
      </c>
      <c r="AP608" s="586">
        <f>W608/AG608</f>
        <v>402.89428009740004</v>
      </c>
      <c r="AR608" s="586">
        <f>AN608/AG608</f>
        <v>182.94262899212654</v>
      </c>
      <c r="AT608" s="599">
        <f t="shared" si="89"/>
        <v>19.365897097784313</v>
      </c>
      <c r="AU608" s="563"/>
      <c r="AV608" s="579">
        <f>W608-X608</f>
        <v>34.385334886155547</v>
      </c>
      <c r="AW608" s="458">
        <f>AV608/AV601-1</f>
        <v>0.80977322516881567</v>
      </c>
      <c r="BJ608" s="623"/>
      <c r="BK608" s="623"/>
      <c r="BL608" s="623"/>
      <c r="BM608" s="623"/>
    </row>
    <row r="609" spans="1:65" ht="12.75" customHeight="1">
      <c r="A609" s="410" t="str">
        <f>$A$15</f>
        <v>4Q</v>
      </c>
      <c r="B609" s="562" t="str">
        <f>$B$15</f>
        <v>Jan</v>
      </c>
      <c r="D609" s="646">
        <f>(W609/W602-1)*100</f>
        <v>27.037608257207246</v>
      </c>
      <c r="F609" s="658">
        <f>segSales!T133</f>
        <v>20</v>
      </c>
      <c r="G609" s="683">
        <v>-1</v>
      </c>
      <c r="I609" s="646">
        <f>D609-F609</f>
        <v>7.0376082572072463</v>
      </c>
      <c r="K609" s="454">
        <f>yrSales!$U$29</f>
        <v>90</v>
      </c>
      <c r="L609" s="454">
        <v>88</v>
      </c>
      <c r="M609" s="454">
        <v>2</v>
      </c>
      <c r="N609" s="454">
        <v>0</v>
      </c>
      <c r="P609" s="588">
        <f>AVERAGE(K609,K608)</f>
        <v>88</v>
      </c>
      <c r="R609" s="646">
        <f>+(P609/P602-1)*100</f>
        <v>14.285714285714279</v>
      </c>
      <c r="S609" s="563"/>
      <c r="T609" s="598">
        <f>I609/R609*100</f>
        <v>49.263257800450745</v>
      </c>
      <c r="U609" s="416"/>
      <c r="W609" s="649">
        <f>122.861-47.905</f>
        <v>74.956000000000003</v>
      </c>
      <c r="X609" s="596">
        <f>+X602*(1+(G609+I609)/100)</f>
        <v>35.244095932631033</v>
      </c>
      <c r="Z609" s="590">
        <f t="shared" si="88"/>
        <v>0.85177272727272735</v>
      </c>
      <c r="AB609" s="597">
        <f>(Z609/Z602-1)*100</f>
        <v>11.157907225056363</v>
      </c>
      <c r="AC609" s="563"/>
      <c r="AE609" s="664">
        <f>0.130805/0.75</f>
        <v>0.17440666666666668</v>
      </c>
      <c r="AG609" s="591">
        <f>AVERAGE(AE609,AE608)</f>
        <v>0.16720333333333334</v>
      </c>
      <c r="AI609" s="596">
        <f>(AG609/AG602-1)*100</f>
        <v>18.898738977908437</v>
      </c>
      <c r="AJ609" s="563"/>
      <c r="AK609" s="598">
        <f>+I609/AI609*100</f>
        <v>37.238507105864656</v>
      </c>
      <c r="AL609" s="416"/>
      <c r="AN609" s="589">
        <f>+X609</f>
        <v>35.244095932631033</v>
      </c>
      <c r="AP609" s="592">
        <f>W609/AG609</f>
        <v>448.29249815593789</v>
      </c>
      <c r="AR609" s="592">
        <f>AN609/AG609</f>
        <v>210.78584517432486</v>
      </c>
      <c r="AT609" s="597">
        <f t="shared" si="89"/>
        <v>6.8452107644396909</v>
      </c>
      <c r="AU609" s="563"/>
      <c r="AV609" s="626">
        <f>W609-X609</f>
        <v>39.71190406736897</v>
      </c>
      <c r="AW609" s="625">
        <f>AV609/AV602-1</f>
        <v>0.54127341069822199</v>
      </c>
      <c r="BJ609" s="623"/>
      <c r="BK609" s="623"/>
      <c r="BL609" s="623"/>
      <c r="BM609" s="623"/>
    </row>
    <row r="610" spans="1:65" ht="12.75" customHeight="1">
      <c r="B610" s="562" t="str">
        <f>$B$16</f>
        <v>Year</v>
      </c>
      <c r="D610" s="618">
        <f>(W610/W603-1)*100</f>
        <v>38.770990635953041</v>
      </c>
      <c r="F610" s="661">
        <f>F606*W606/W610+F607*W607/W610+F608*W608/W610+F609*W609/W610</f>
        <v>31.422324424171599</v>
      </c>
      <c r="G610" s="661">
        <f>G606*X606/X610+G607*X607/X610+G608*X608/X610+G609*X609/X610</f>
        <v>-1</v>
      </c>
      <c r="I610" s="618">
        <f>D610-F610</f>
        <v>7.3486662117814419</v>
      </c>
      <c r="K610" s="600"/>
      <c r="L610" s="600"/>
      <c r="M610" s="600"/>
      <c r="N610" s="600"/>
      <c r="P610" s="587">
        <f>AVERAGE(P606:P609)</f>
        <v>83.125</v>
      </c>
      <c r="R610" s="618">
        <f>+(P610/P603-1)*100</f>
        <v>15.652173913043477</v>
      </c>
      <c r="S610" s="563"/>
      <c r="T610" s="595">
        <f>I610/R610*100</f>
        <v>46.949811908603664</v>
      </c>
      <c r="U610" s="416"/>
      <c r="W610" s="579">
        <f>SUM(W606:W609)</f>
        <v>238.74299999999999</v>
      </c>
      <c r="X610" s="579">
        <f>SUM(X606:X609)</f>
        <v>101.72181555957607</v>
      </c>
      <c r="Z610" s="580">
        <f t="shared" si="88"/>
        <v>2.8720962406015036</v>
      </c>
      <c r="AB610" s="599">
        <f>(Z610/Z603-1)*100</f>
        <v>19.989954309282677</v>
      </c>
      <c r="AC610" s="563"/>
      <c r="AG610" s="582">
        <f>AVERAGE(AG606:AG609)</f>
        <v>0.15237183333333332</v>
      </c>
      <c r="AI610" s="539">
        <f>(AG610/AG603-1)*100</f>
        <v>18.441194684189099</v>
      </c>
      <c r="AJ610" s="563"/>
      <c r="AK610" s="595">
        <f>+I610/AI610*100</f>
        <v>39.849187309333907</v>
      </c>
      <c r="AL610" s="416"/>
      <c r="AN610" s="579">
        <f>SUM(AN606:AN609)</f>
        <v>101.72181555957607</v>
      </c>
      <c r="AP610" s="583">
        <f>SUM(AP606:AP609)</f>
        <v>1555.5563392140675</v>
      </c>
      <c r="AR610" s="583">
        <f>SUM(AR606:AR609)</f>
        <v>658.25025219904023</v>
      </c>
      <c r="AT610" s="599">
        <f t="shared" si="89"/>
        <v>17.732512788418031</v>
      </c>
      <c r="AU610" s="563"/>
      <c r="AV610" s="579">
        <f>SUM(AV606:AV609)</f>
        <v>137.02118444042392</v>
      </c>
      <c r="AW610" s="458">
        <f>AV610/AV603-1</f>
        <v>0.78093275812727647</v>
      </c>
      <c r="BJ610" s="623"/>
      <c r="BK610" s="623"/>
      <c r="BL610" s="623"/>
      <c r="BM610" s="623"/>
    </row>
    <row r="611" spans="1:65" ht="12.75" customHeight="1">
      <c r="B611" s="562"/>
      <c r="F611" s="563"/>
      <c r="G611" s="661"/>
      <c r="W611" s="482"/>
      <c r="BJ611" s="623"/>
      <c r="BK611" s="623"/>
      <c r="BL611" s="623"/>
      <c r="BM611" s="623"/>
    </row>
    <row r="612" spans="1:65" ht="12.75" customHeight="1">
      <c r="A612" s="593"/>
      <c r="B612" s="431">
        <f>B505</f>
        <v>2014</v>
      </c>
      <c r="D612" s="618"/>
      <c r="F612" s="563"/>
      <c r="G612" s="661"/>
      <c r="I612" s="618"/>
      <c r="K612" s="600"/>
      <c r="L612" s="600"/>
      <c r="M612" s="600"/>
      <c r="N612" s="600"/>
      <c r="P612" s="587"/>
      <c r="R612" s="618"/>
      <c r="S612" s="563"/>
      <c r="T612" s="595"/>
      <c r="U612" s="416"/>
      <c r="X612" s="579"/>
      <c r="Z612" s="580"/>
      <c r="AB612" s="599"/>
      <c r="AC612" s="563"/>
      <c r="AG612" s="582"/>
      <c r="AI612" s="539"/>
      <c r="AJ612" s="563"/>
      <c r="AK612" s="595"/>
      <c r="AL612" s="416"/>
      <c r="AN612" s="579"/>
      <c r="AP612" s="583"/>
      <c r="AR612" s="583"/>
      <c r="AT612" s="599"/>
      <c r="AU612" s="563"/>
      <c r="AV612" s="579"/>
      <c r="AW612" s="631"/>
      <c r="BJ612" s="623"/>
      <c r="BK612" s="623"/>
      <c r="BL612" s="623"/>
      <c r="BM612" s="623"/>
    </row>
    <row r="613" spans="1:65" ht="12.75" customHeight="1">
      <c r="A613" s="410" t="str">
        <f>$A$12</f>
        <v>1Q</v>
      </c>
      <c r="B613" s="562" t="str">
        <f>$B$12</f>
        <v>Apr</v>
      </c>
      <c r="D613" s="645">
        <f>(W613/W606-1)*100</f>
        <v>33.260468176319534</v>
      </c>
      <c r="F613" s="686">
        <f>segSales!T137</f>
        <v>25</v>
      </c>
      <c r="G613" s="682"/>
      <c r="I613" s="645">
        <f>D613-F613</f>
        <v>8.2604681763195345</v>
      </c>
      <c r="K613" s="454">
        <v>92</v>
      </c>
      <c r="L613" s="454">
        <v>90</v>
      </c>
      <c r="M613" s="454">
        <v>2</v>
      </c>
      <c r="N613" s="454">
        <v>0</v>
      </c>
      <c r="P613" s="587">
        <f>+AVERAGE(K609,K613)</f>
        <v>91</v>
      </c>
      <c r="R613" s="645">
        <f>+(P613/P606-1)*100</f>
        <v>15.923566878980889</v>
      </c>
      <c r="S613" s="563"/>
      <c r="T613" s="595">
        <f>I613/R613*100</f>
        <v>51.875740147286685</v>
      </c>
      <c r="U613" s="416"/>
      <c r="W613" s="647">
        <f>108.671-45.88</f>
        <v>62.791000000000004</v>
      </c>
      <c r="X613" s="539">
        <f>+X606*(1+(G613+I613)/100)</f>
        <v>18.892807366393772</v>
      </c>
      <c r="Z613" s="580">
        <f>W613/P613</f>
        <v>0.69001098901098901</v>
      </c>
      <c r="AB613" s="599">
        <f>(Z613/Z606-1)*100</f>
        <v>14.955458811440469</v>
      </c>
      <c r="AC613" s="563"/>
      <c r="AE613" s="581">
        <f>0.13437/0.75</f>
        <v>0.17915999999999999</v>
      </c>
      <c r="AG613" s="582">
        <f>AVERAGE(AE613,AE606)</f>
        <v>0.16251733333333335</v>
      </c>
      <c r="AI613" s="539">
        <f>(AG613/AG606-1)*100</f>
        <v>18.900041945899559</v>
      </c>
      <c r="AJ613" s="563" t="s">
        <v>208</v>
      </c>
      <c r="AK613" s="595">
        <f>+I613/AI613*100</f>
        <v>43.706083827563546</v>
      </c>
      <c r="AL613" s="416" t="s">
        <v>208</v>
      </c>
      <c r="AN613" s="579">
        <f>+X613</f>
        <v>18.892807366393772</v>
      </c>
      <c r="AP613" s="583">
        <f>W613/AG613</f>
        <v>386.36494158571804</v>
      </c>
      <c r="AR613" s="583">
        <f>AN613/AG613</f>
        <v>116.25102983718928</v>
      </c>
      <c r="AT613" s="599">
        <f>(AP613/AP606-1)*100</f>
        <v>12.077730163420885</v>
      </c>
      <c r="AU613" s="563"/>
      <c r="AV613" s="579">
        <f>W613-X613</f>
        <v>43.898192633606229</v>
      </c>
      <c r="AW613" s="458">
        <f>AV613/AV606-1</f>
        <v>0.47966043709600381</v>
      </c>
    </row>
    <row r="614" spans="1:65" ht="12.75" customHeight="1">
      <c r="A614" s="410" t="str">
        <f>$A$13</f>
        <v>2Q</v>
      </c>
      <c r="B614" s="562" t="str">
        <f>$B$13</f>
        <v>Jul</v>
      </c>
      <c r="D614" s="645">
        <f>(W614/W607-1)*100</f>
        <v>28.845258275431739</v>
      </c>
      <c r="F614" s="656">
        <f>segSales!T138</f>
        <v>21</v>
      </c>
      <c r="G614" s="682"/>
      <c r="I614" s="645">
        <f>D614-F614</f>
        <v>7.845258275431739</v>
      </c>
      <c r="K614" s="454">
        <v>97</v>
      </c>
      <c r="L614" s="454">
        <v>95</v>
      </c>
      <c r="M614" s="454">
        <v>2</v>
      </c>
      <c r="N614" s="454">
        <v>0</v>
      </c>
      <c r="P614" s="587">
        <f>AVERAGE(K614,K613)</f>
        <v>94.5</v>
      </c>
      <c r="R614" s="645">
        <f>+(P614/P607-1)*100</f>
        <v>15.95092024539877</v>
      </c>
      <c r="S614" s="563"/>
      <c r="T614" s="595">
        <f>I614/R614*100</f>
        <v>49.183734572898992</v>
      </c>
      <c r="U614" s="416"/>
      <c r="W614" s="647">
        <f>128.305-59.137</f>
        <v>69.168000000000006</v>
      </c>
      <c r="X614" s="539">
        <f>+X607*(1+(G614+I614)/100)</f>
        <v>22.029337680054581</v>
      </c>
      <c r="Z614" s="585">
        <f t="shared" ref="Z614:Z617" si="90">W614/P614</f>
        <v>0.731936507936508</v>
      </c>
      <c r="AB614" s="599">
        <f>(Z614/Z607-1)*100</f>
        <v>11.120513750769145</v>
      </c>
      <c r="AC614" s="563"/>
      <c r="AE614" s="581">
        <f>0.146407/0.75</f>
        <v>0.19520933333333335</v>
      </c>
      <c r="AG614" s="582">
        <f>AVERAGE(AE614,AE613)</f>
        <v>0.18718466666666667</v>
      </c>
      <c r="AI614" s="539">
        <f>(AG614/AG607-1)*100</f>
        <v>25.401178188769258</v>
      </c>
      <c r="AJ614" s="563"/>
      <c r="AK614" s="595">
        <f>+I614/AI614*100</f>
        <v>30.885410972394972</v>
      </c>
      <c r="AL614" s="416"/>
      <c r="AN614" s="584">
        <f>+X614</f>
        <v>22.029337680054581</v>
      </c>
      <c r="AP614" s="586">
        <f>W614/AG614</f>
        <v>369.51744622957011</v>
      </c>
      <c r="AR614" s="586">
        <f>AN614/AG614</f>
        <v>117.68772556185824</v>
      </c>
      <c r="AT614" s="599">
        <f t="shared" ref="AT614:AT617" si="91">(AP614/AP607-1)*100</f>
        <v>2.746449544100793</v>
      </c>
      <c r="AU614" s="563"/>
      <c r="AV614" s="579">
        <f>W614-X614</f>
        <v>47.138662319945425</v>
      </c>
      <c r="AW614" s="458">
        <f>AV614/AV607-1</f>
        <v>0.41743992268125685</v>
      </c>
    </row>
    <row r="615" spans="1:65" ht="12.75" customHeight="1">
      <c r="A615" s="410" t="str">
        <f>$A$14</f>
        <v>3Q</v>
      </c>
      <c r="B615" s="562" t="str">
        <f>$B$14</f>
        <v>Oct</v>
      </c>
      <c r="D615" s="645">
        <f>(W615/W608-1)*100</f>
        <v>24.102564102564084</v>
      </c>
      <c r="F615" s="656">
        <f>segSales!T139</f>
        <v>15</v>
      </c>
      <c r="G615" s="682"/>
      <c r="I615" s="645">
        <f>D615-F615</f>
        <v>9.1025641025640844</v>
      </c>
      <c r="K615" s="454">
        <v>102</v>
      </c>
      <c r="L615" s="454">
        <v>98</v>
      </c>
      <c r="M615" s="454">
        <v>4</v>
      </c>
      <c r="N615" s="454">
        <v>0</v>
      </c>
      <c r="P615" s="587">
        <f>AVERAGE(K615,K614)</f>
        <v>99.5</v>
      </c>
      <c r="R615" s="645">
        <f>+(P615/P608-1)*100</f>
        <v>17.751479289940832</v>
      </c>
      <c r="S615" s="563"/>
      <c r="T615" s="595">
        <f>I615/R615*100</f>
        <v>51.277777777777665</v>
      </c>
      <c r="U615" s="416"/>
      <c r="W615" s="666">
        <f>141.185-63.019</f>
        <v>78.165999999999997</v>
      </c>
      <c r="X615" s="539">
        <f>+X608*(1+(G615+I615)/100)</f>
        <v>31.202967963950815</v>
      </c>
      <c r="Z615" s="585">
        <f t="shared" si="90"/>
        <v>0.78558793969849239</v>
      </c>
      <c r="AB615" s="599">
        <f>(Z615/Z608-1)*100</f>
        <v>5.3936348408710089</v>
      </c>
      <c r="AC615" s="563"/>
      <c r="AE615" s="667">
        <f>0.158745/0.75</f>
        <v>0.21165999999999999</v>
      </c>
      <c r="AG615" s="582">
        <f>AVERAGE(AE615,AE614)</f>
        <v>0.20343466666666665</v>
      </c>
      <c r="AI615" s="539">
        <f>(AG615/AG608-1)*100</f>
        <v>30.130449430056672</v>
      </c>
      <c r="AJ615" s="563"/>
      <c r="AK615" s="595">
        <f>+I615/AI615*100</f>
        <v>30.210515524152154</v>
      </c>
      <c r="AL615" s="416"/>
      <c r="AN615" s="584">
        <f>+X615</f>
        <v>31.202967963950815</v>
      </c>
      <c r="AP615" s="586">
        <f>W615/AG615</f>
        <v>384.23146497483225</v>
      </c>
      <c r="AR615" s="586">
        <f>AN615/AG615</f>
        <v>153.38078054846838</v>
      </c>
      <c r="AT615" s="599">
        <f t="shared" si="91"/>
        <v>-4.632186666451565</v>
      </c>
      <c r="AU615" s="563"/>
      <c r="AV615" s="579">
        <f>W615-X615</f>
        <v>46.963032036049185</v>
      </c>
      <c r="AW615" s="458">
        <f>AV615/AV608-1</f>
        <v>0.36578667014692234</v>
      </c>
    </row>
    <row r="616" spans="1:65" ht="12.75" customHeight="1">
      <c r="A616" s="410" t="str">
        <f>$A$15</f>
        <v>4Q</v>
      </c>
      <c r="B616" s="562" t="str">
        <f>$B$15</f>
        <v>Jan</v>
      </c>
      <c r="D616" s="646">
        <f>(W616/W609-1)*100</f>
        <v>26.558247505203035</v>
      </c>
      <c r="F616" s="684">
        <f>segSales!T140</f>
        <v>18</v>
      </c>
      <c r="G616" s="683"/>
      <c r="I616" s="646">
        <f>D616-F616</f>
        <v>8.5582475052030347</v>
      </c>
      <c r="K616" s="454">
        <f>yrSales!$V$29</f>
        <v>102</v>
      </c>
      <c r="L616" s="454">
        <v>98</v>
      </c>
      <c r="M616" s="454">
        <v>4</v>
      </c>
      <c r="N616" s="454">
        <v>0</v>
      </c>
      <c r="P616" s="588">
        <f>AVERAGE(K616,K615)</f>
        <v>102</v>
      </c>
      <c r="R616" s="646">
        <f>+(P616/P609-1)*100</f>
        <v>15.909090909090917</v>
      </c>
      <c r="S616" s="563"/>
      <c r="T616" s="598">
        <f>I616/R616*100</f>
        <v>53.79469860413333</v>
      </c>
      <c r="U616" s="416"/>
      <c r="W616" s="670">
        <f>152.63-57.767</f>
        <v>94.863</v>
      </c>
      <c r="X616" s="596">
        <f>+X609*(1+(G616+I616)/100)</f>
        <v>38.260372893516795</v>
      </c>
      <c r="Z616" s="590">
        <f t="shared" si="90"/>
        <v>0.93002941176470588</v>
      </c>
      <c r="AB616" s="597">
        <f>(Z616/Z609-1)*100</f>
        <v>9.1875076515477225</v>
      </c>
      <c r="AC616" s="563"/>
      <c r="AE616" s="667">
        <f>0.158745/0.75</f>
        <v>0.21165999999999999</v>
      </c>
      <c r="AG616" s="591">
        <f>AVERAGE(AE616,AE615)</f>
        <v>0.21165999999999999</v>
      </c>
      <c r="AI616" s="596">
        <f>(AG616/AG609-1)*100</f>
        <v>26.588385399015159</v>
      </c>
      <c r="AJ616" s="563"/>
      <c r="AK616" s="598">
        <f>+I616/AI616*100</f>
        <v>32.187917305877605</v>
      </c>
      <c r="AL616" s="416"/>
      <c r="AN616" s="589">
        <f>+X616</f>
        <v>38.260372893516795</v>
      </c>
      <c r="AP616" s="592">
        <f>W616/AG616</f>
        <v>448.1857696305396</v>
      </c>
      <c r="AR616" s="592">
        <f>AN616/AG616</f>
        <v>180.76336054765565</v>
      </c>
      <c r="AT616" s="597">
        <f t="shared" si="91"/>
        <v>-2.3807787513141498E-2</v>
      </c>
      <c r="AU616" s="563"/>
      <c r="AV616" s="626">
        <f>W616-X616</f>
        <v>56.602627106483204</v>
      </c>
      <c r="AW616" s="625">
        <f>AV616/AV609-1</f>
        <v>0.42533148273273658</v>
      </c>
    </row>
    <row r="617" spans="1:65" ht="12.75" customHeight="1">
      <c r="B617" s="562" t="str">
        <f>$B$16</f>
        <v>Year</v>
      </c>
      <c r="D617" s="618">
        <f>(W617/W610-1)*100</f>
        <v>27.747410395278614</v>
      </c>
      <c r="F617" s="661">
        <f>F613*W613/W617+F614*W614/W617+F615*W615/W617+F616*W616/W617</f>
        <v>19.35265321914305</v>
      </c>
      <c r="G617" s="661"/>
      <c r="I617" s="618">
        <f>D617-F617</f>
        <v>8.3947571761355633</v>
      </c>
      <c r="K617" s="600"/>
      <c r="L617" s="600"/>
      <c r="M617" s="600"/>
      <c r="N617" s="600"/>
      <c r="P617" s="587">
        <f>AVERAGE(P613:P616)</f>
        <v>96.75</v>
      </c>
      <c r="R617" s="618">
        <f>+(P617/P610-1)*100</f>
        <v>16.390977443609025</v>
      </c>
      <c r="S617" s="563"/>
      <c r="T617" s="595">
        <f>I617/R617*100</f>
        <v>51.21572038651513</v>
      </c>
      <c r="U617" s="416"/>
      <c r="W617" s="579">
        <f>SUM(W613:W616)</f>
        <v>304.988</v>
      </c>
      <c r="X617" s="579">
        <f>SUM(X613:X616)</f>
        <v>110.38548590391596</v>
      </c>
      <c r="Z617" s="580">
        <f t="shared" si="90"/>
        <v>3.1523307493540051</v>
      </c>
      <c r="AB617" s="599">
        <f>(Z617/Z610-1)*100</f>
        <v>9.7571420062794179</v>
      </c>
      <c r="AC617" s="563"/>
      <c r="AG617" s="582">
        <f>AVERAGE(AG613:AG616)</f>
        <v>0.19119916666666664</v>
      </c>
      <c r="AI617" s="539">
        <f>(AG617/AG610-1)*100</f>
        <v>25.481962436189541</v>
      </c>
      <c r="AJ617" s="563"/>
      <c r="AK617" s="595">
        <f>+I617/AI617*100</f>
        <v>32.943919437748285</v>
      </c>
      <c r="AL617" s="416"/>
      <c r="AN617" s="579">
        <f>SUM(AN613:AN616)</f>
        <v>110.38548590391596</v>
      </c>
      <c r="AP617" s="583">
        <f>SUM(AP613:AP616)</f>
        <v>1588.2996224206602</v>
      </c>
      <c r="AR617" s="583">
        <f>SUM(AR613:AR616)</f>
        <v>568.08289649517155</v>
      </c>
      <c r="AT617" s="599">
        <f t="shared" si="91"/>
        <v>2.1049242885754937</v>
      </c>
      <c r="AU617" s="563"/>
      <c r="AV617" s="579">
        <f>SUM(AV613:AV616)</f>
        <v>194.60251409608404</v>
      </c>
      <c r="AW617" s="458">
        <f>AV617/AV610-1</f>
        <v>0.42023669471851743</v>
      </c>
    </row>
    <row r="618" spans="1:65" ht="12.75" customHeight="1">
      <c r="B618" s="562"/>
      <c r="F618" s="563"/>
      <c r="G618" s="661"/>
      <c r="W618" s="539"/>
    </row>
    <row r="619" spans="1:65" ht="12.75" customHeight="1">
      <c r="A619" s="593"/>
      <c r="B619" s="431">
        <f>B512</f>
        <v>2015</v>
      </c>
      <c r="D619" s="618"/>
      <c r="F619" s="563"/>
      <c r="G619" s="661"/>
      <c r="I619" s="618"/>
      <c r="K619" s="600"/>
      <c r="L619" s="600"/>
      <c r="M619" s="600"/>
      <c r="N619" s="600"/>
      <c r="P619" s="587"/>
      <c r="R619" s="618"/>
      <c r="S619" s="563"/>
      <c r="T619" s="595"/>
      <c r="U619" s="416"/>
      <c r="X619" s="579"/>
      <c r="Z619" s="580"/>
      <c r="AB619" s="599"/>
      <c r="AC619" s="563"/>
      <c r="AG619" s="582"/>
      <c r="AI619" s="539"/>
      <c r="AJ619" s="563"/>
      <c r="AK619" s="595"/>
      <c r="AL619" s="416"/>
      <c r="AN619" s="579"/>
      <c r="AP619" s="583"/>
      <c r="AR619" s="583"/>
      <c r="AT619" s="599"/>
      <c r="AU619" s="563"/>
      <c r="AV619" s="579"/>
      <c r="AW619" s="631"/>
    </row>
    <row r="620" spans="1:65" ht="12.75" customHeight="1">
      <c r="A620" s="410" t="str">
        <f>$A$12</f>
        <v>1Q</v>
      </c>
      <c r="B620" s="562" t="str">
        <f>$B$12</f>
        <v>Apr</v>
      </c>
      <c r="D620" s="645">
        <f>(W620/W613-1)*100</f>
        <v>24.154735551273255</v>
      </c>
      <c r="F620" s="686">
        <f>segSales!T144</f>
        <v>17</v>
      </c>
      <c r="G620" s="682"/>
      <c r="I620" s="645">
        <f>D620-F620</f>
        <v>7.1547355512732551</v>
      </c>
      <c r="K620" s="454">
        <v>106</v>
      </c>
      <c r="L620" s="454">
        <v>102</v>
      </c>
      <c r="M620" s="454">
        <v>4</v>
      </c>
      <c r="N620" s="454">
        <v>0</v>
      </c>
      <c r="P620" s="587">
        <f>+AVERAGE(K616,K620)</f>
        <v>104</v>
      </c>
      <c r="R620" s="645">
        <f>+(P620/P613-1)*100</f>
        <v>14.285714285714279</v>
      </c>
      <c r="S620" s="563"/>
      <c r="T620" s="595">
        <f>I620/R620*100</f>
        <v>50.083148858912807</v>
      </c>
      <c r="U620" s="416"/>
      <c r="W620" s="647">
        <f>131.959-54.001</f>
        <v>77.957999999999998</v>
      </c>
      <c r="X620" s="539">
        <f>+X613*(1+(G620+I620)/100)</f>
        <v>20.244537771670721</v>
      </c>
      <c r="Z620" s="580">
        <f>W620/P620</f>
        <v>0.74959615384615386</v>
      </c>
      <c r="AB620" s="599">
        <f>(Z620/Z613-1)*100</f>
        <v>8.6353936073641169</v>
      </c>
      <c r="AC620" s="563"/>
      <c r="AE620" s="600">
        <f>AE616+(K620-K616)*yrSales!$W$60/1000000</f>
        <v>0.23405999999999999</v>
      </c>
      <c r="AG620" s="582">
        <f>AVERAGE(AE620,AE613)</f>
        <v>0.20660999999999999</v>
      </c>
      <c r="AI620" s="539">
        <f>(AG620/AG613-1)*100</f>
        <v>27.131054738776573</v>
      </c>
      <c r="AJ620" s="563" t="s">
        <v>208</v>
      </c>
      <c r="AK620" s="595">
        <f>+I620/AI620*100</f>
        <v>26.371018820169486</v>
      </c>
      <c r="AL620" s="416" t="s">
        <v>208</v>
      </c>
      <c r="AN620" s="579">
        <f>+X620</f>
        <v>20.244537771670721</v>
      </c>
      <c r="AP620" s="583">
        <f>W620/AG620</f>
        <v>377.31958762886597</v>
      </c>
      <c r="AR620" s="583">
        <f>AN620/AG620</f>
        <v>97.98430749562327</v>
      </c>
      <c r="AT620" s="599">
        <f>(AP620/AP613-1)*100</f>
        <v>-2.3411425269922681</v>
      </c>
      <c r="AU620" s="563"/>
      <c r="AV620" s="579">
        <f>W620-X620</f>
        <v>57.713462228329277</v>
      </c>
      <c r="AW620" s="458">
        <f>AV620/AV613-1</f>
        <v>0.31471158072568972</v>
      </c>
    </row>
    <row r="621" spans="1:65" ht="12.75" customHeight="1">
      <c r="A621" s="410" t="str">
        <f>$A$13</f>
        <v>2Q</v>
      </c>
      <c r="B621" s="562" t="str">
        <f>$B$13</f>
        <v>Jul</v>
      </c>
      <c r="D621" s="645">
        <f>(W621/W614-1)*100</f>
        <v>19.796726810085573</v>
      </c>
      <c r="F621" s="656">
        <f>segSales!T145</f>
        <v>14</v>
      </c>
      <c r="G621" s="682"/>
      <c r="I621" s="645">
        <f>D621-F621</f>
        <v>5.7967268100855733</v>
      </c>
      <c r="K621" s="454">
        <v>108</v>
      </c>
      <c r="L621" s="454"/>
      <c r="M621" s="454"/>
      <c r="N621" s="454"/>
      <c r="P621" s="587">
        <f>AVERAGE(K621,K620)</f>
        <v>107</v>
      </c>
      <c r="R621" s="645">
        <f>+(P621/P614-1)*100</f>
        <v>13.227513227513231</v>
      </c>
      <c r="S621" s="563"/>
      <c r="T621" s="595">
        <f>I621/R621*100</f>
        <v>43.823254684246919</v>
      </c>
      <c r="U621" s="416"/>
      <c r="W621" s="647">
        <f>154.581-71.72</f>
        <v>82.86099999999999</v>
      </c>
      <c r="X621" s="539">
        <f>+X614*(1+(G621+I621)/100)</f>
        <v>23.30631820343859</v>
      </c>
      <c r="Z621" s="585">
        <f t="shared" ref="Z621:Z624" si="92">W621/P621</f>
        <v>0.77440186915887843</v>
      </c>
      <c r="AB621" s="599">
        <f>(Z621/Z614-1)*100</f>
        <v>5.8017820892811711</v>
      </c>
      <c r="AC621" s="563"/>
      <c r="AE621" s="600">
        <f>AE620+(K621-K620)*yrSales!$W$60/1000000</f>
        <v>0.24525999999999998</v>
      </c>
      <c r="AG621" s="582">
        <f>AVERAGE(AE621,AE620)</f>
        <v>0.23965999999999998</v>
      </c>
      <c r="AI621" s="539">
        <f>(AG621/AG614-1)*100</f>
        <v>28.033991388183498</v>
      </c>
      <c r="AJ621" s="563"/>
      <c r="AK621" s="595">
        <f>+I621/AI621*100</f>
        <v>20.677493724739211</v>
      </c>
      <c r="AL621" s="416"/>
      <c r="AN621" s="584">
        <f>+X621</f>
        <v>23.30631820343859</v>
      </c>
      <c r="AP621" s="586">
        <f>W621/AG621</f>
        <v>345.74397062505216</v>
      </c>
      <c r="AR621" s="586">
        <f>AN621/AG621</f>
        <v>97.247426368349295</v>
      </c>
      <c r="AT621" s="599">
        <f t="shared" ref="AT621:AT624" si="93">(AP621/AP614-1)*100</f>
        <v>-6.4336544450321327</v>
      </c>
      <c r="AU621" s="563"/>
      <c r="AV621" s="579">
        <f>W621-X621</f>
        <v>59.554681796561397</v>
      </c>
      <c r="AW621" s="458">
        <f>AV621/AV614-1</f>
        <v>0.26339354715550489</v>
      </c>
    </row>
    <row r="622" spans="1:65" ht="12.75" customHeight="1">
      <c r="A622" s="410" t="str">
        <f>$A$14</f>
        <v>3Q</v>
      </c>
      <c r="B622" s="562" t="str">
        <f>$B$14</f>
        <v>Oct</v>
      </c>
      <c r="D622" s="645">
        <f>(W622/W615-1)*100</f>
        <v>8.4832280019445871</v>
      </c>
      <c r="F622" s="656">
        <f>segSales!T146</f>
        <v>3</v>
      </c>
      <c r="G622" s="682"/>
      <c r="I622" s="645">
        <f>D622-F622</f>
        <v>5.4832280019445871</v>
      </c>
      <c r="K622" s="454">
        <v>112</v>
      </c>
      <c r="L622" s="454"/>
      <c r="M622" s="454"/>
      <c r="N622" s="454"/>
      <c r="P622" s="587">
        <f>AVERAGE(K622,K621)</f>
        <v>110</v>
      </c>
      <c r="R622" s="645">
        <f>+(P622/P615-1)*100</f>
        <v>10.552763819095468</v>
      </c>
      <c r="S622" s="563"/>
      <c r="T622" s="595">
        <f>I622/R622*100</f>
        <v>51.960112970808282</v>
      </c>
      <c r="U622" s="416"/>
      <c r="W622" s="647">
        <f>144.53-59.733</f>
        <v>84.796999999999997</v>
      </c>
      <c r="X622" s="539">
        <f>+X615*(1+(G622+I622)/100)</f>
        <v>32.913897840787968</v>
      </c>
      <c r="Z622" s="585">
        <f t="shared" si="92"/>
        <v>0.77088181818181811</v>
      </c>
      <c r="AB622" s="599">
        <f>(Z622/Z615-1)*100</f>
        <v>-1.8719892164228535</v>
      </c>
      <c r="AC622" s="563"/>
      <c r="AE622" s="600">
        <f>AE621+(K622-K621)*yrSales!$W$60/1000000</f>
        <v>0.26765999999999995</v>
      </c>
      <c r="AG622" s="582">
        <f>AVERAGE(AE622,AE621)</f>
        <v>0.25645999999999997</v>
      </c>
      <c r="AI622" s="539">
        <f>(AG622/AG615-1)*100</f>
        <v>26.065042994966436</v>
      </c>
      <c r="AJ622" s="563"/>
      <c r="AK622" s="595">
        <f>+I622/AI622*100</f>
        <v>21.036711901850627</v>
      </c>
      <c r="AL622" s="416"/>
      <c r="AN622" s="584">
        <f>+X622</f>
        <v>32.913897840787968</v>
      </c>
      <c r="AP622" s="586">
        <f>W622/AG622</f>
        <v>330.64415503392343</v>
      </c>
      <c r="AR622" s="586">
        <f>AN622/AG622</f>
        <v>128.33930375414479</v>
      </c>
      <c r="AT622" s="599">
        <f t="shared" si="93"/>
        <v>-13.946621978087837</v>
      </c>
      <c r="AU622" s="563"/>
      <c r="AV622" s="579">
        <f>W622-X622</f>
        <v>51.883102159212029</v>
      </c>
      <c r="AW622" s="458">
        <f>AV622/AV615-1</f>
        <v>0.1047647460109935</v>
      </c>
    </row>
    <row r="623" spans="1:65" ht="12.75" customHeight="1">
      <c r="A623" s="410" t="str">
        <f>$A$15</f>
        <v>4Q</v>
      </c>
      <c r="B623" s="562" t="str">
        <f>$B$15</f>
        <v>Jan</v>
      </c>
      <c r="D623" s="646">
        <f>(W623/W616-1)*100</f>
        <v>9.3756259026174682</v>
      </c>
      <c r="F623" s="684">
        <f>segSales!T147</f>
        <v>2</v>
      </c>
      <c r="G623" s="683"/>
      <c r="I623" s="646">
        <f>D623-F623</f>
        <v>7.3756259026174682</v>
      </c>
      <c r="K623" s="454">
        <v>114</v>
      </c>
      <c r="P623" s="588">
        <f>AVERAGE(K623,K622)</f>
        <v>113</v>
      </c>
      <c r="R623" s="646">
        <f>+(P623/P616-1)*100</f>
        <v>10.784313725490202</v>
      </c>
      <c r="S623" s="563"/>
      <c r="T623" s="598">
        <f>I623/R623*100</f>
        <v>68.392167460634667</v>
      </c>
      <c r="U623" s="416"/>
      <c r="W623" s="670">
        <f>178.482-74.725</f>
        <v>103.75700000000001</v>
      </c>
      <c r="X623" s="596">
        <f>+X616*(1+(G623+I623)/100)</f>
        <v>41.082314867089053</v>
      </c>
      <c r="Z623" s="590">
        <f t="shared" si="92"/>
        <v>0.91820353982300884</v>
      </c>
      <c r="AB623" s="597">
        <f>(Z623/Z616-1)*100</f>
        <v>-1.2715589197612287</v>
      </c>
      <c r="AC623" s="563"/>
      <c r="AE623" s="600">
        <f>AE622+(K623-K622)*yrSales!$W$60/1000000</f>
        <v>0.27885999999999994</v>
      </c>
      <c r="AG623" s="591">
        <f>AVERAGE(AE623,AE622)</f>
        <v>0.27325999999999995</v>
      </c>
      <c r="AI623" s="596">
        <f>(AG623/AG616-1)*100</f>
        <v>29.103278843428114</v>
      </c>
      <c r="AJ623" s="563"/>
      <c r="AK623" s="598">
        <f>+I623/AI623*100</f>
        <v>25.342937963441798</v>
      </c>
      <c r="AL623" s="416"/>
      <c r="AN623" s="589">
        <f>+X623</f>
        <v>41.082314867089053</v>
      </c>
      <c r="AP623" s="592">
        <f>W623/AG623</f>
        <v>379.70065139427658</v>
      </c>
      <c r="AR623" s="592">
        <f>AN623/AG623</f>
        <v>150.34148747379442</v>
      </c>
      <c r="AT623" s="597">
        <f t="shared" si="93"/>
        <v>-15.280520462021475</v>
      </c>
      <c r="AU623" s="563"/>
      <c r="AV623" s="626">
        <f>W623-X623</f>
        <v>62.674685132910952</v>
      </c>
      <c r="AW623" s="625">
        <f>AV623/AV616-1</f>
        <v>0.10727519793391815</v>
      </c>
    </row>
    <row r="624" spans="1:65" ht="12.75" customHeight="1">
      <c r="B624" s="562" t="str">
        <f>$B$16</f>
        <v>Year</v>
      </c>
      <c r="D624" s="618">
        <f>(W624/W617-1)*100</f>
        <v>14.553031594685685</v>
      </c>
      <c r="F624" s="661">
        <f>F620*W620/W624+F621*W621/W624+F622*W622/W624+F623*W623/W624</f>
        <v>8.4358121549175227</v>
      </c>
      <c r="G624" s="661"/>
      <c r="I624" s="618">
        <f>D624-F624</f>
        <v>6.1172194397681618</v>
      </c>
      <c r="K624" s="600"/>
      <c r="L624" s="600"/>
      <c r="M624" s="600"/>
      <c r="N624" s="600"/>
      <c r="P624" s="587">
        <f>AVERAGE(P620:P623)</f>
        <v>108.5</v>
      </c>
      <c r="R624" s="618">
        <f>+(P624/P617-1)*100</f>
        <v>12.144702842377253</v>
      </c>
      <c r="S624" s="563"/>
      <c r="T624" s="595">
        <f>I624/R624*100</f>
        <v>50.369445174261287</v>
      </c>
      <c r="U624" s="416"/>
      <c r="W624" s="579">
        <f>SUM(W620:W623)</f>
        <v>349.37299999999999</v>
      </c>
      <c r="X624" s="579">
        <f>SUM(X620:X623)</f>
        <v>117.54706868298634</v>
      </c>
      <c r="Z624" s="580">
        <f t="shared" si="92"/>
        <v>3.2200276497695852</v>
      </c>
      <c r="AB624" s="599">
        <f>(Z624/Z617-1)*100</f>
        <v>2.1475189565515196</v>
      </c>
      <c r="AC624" s="563"/>
      <c r="AG624" s="582">
        <f>AVERAGE(AG620:AG623)</f>
        <v>0.24399749999999995</v>
      </c>
      <c r="AI624" s="539">
        <f>(AG624/AG617-1)*100</f>
        <v>27.614311429181605</v>
      </c>
      <c r="AJ624" s="563"/>
      <c r="AK624" s="595">
        <f>+I624/AI624*100</f>
        <v>22.152351889910786</v>
      </c>
      <c r="AL624" s="416"/>
      <c r="AN624" s="579">
        <f>SUM(AN620:AN623)</f>
        <v>117.54706868298634</v>
      </c>
      <c r="AP624" s="583">
        <f>SUM(AP620:AP623)</f>
        <v>1433.4083646821182</v>
      </c>
      <c r="AR624" s="583">
        <f>SUM(AR620:AR623)</f>
        <v>473.91252509191179</v>
      </c>
      <c r="AT624" s="599">
        <f t="shared" si="93"/>
        <v>-9.7520175382575953</v>
      </c>
      <c r="AU624" s="563"/>
      <c r="AV624" s="579">
        <f>SUM(AV620:AV623)</f>
        <v>231.82593131701367</v>
      </c>
      <c r="AW624" s="458">
        <f>AV624/AV617-1</f>
        <v>0.19127922058884983</v>
      </c>
    </row>
    <row r="625" spans="1:49" ht="12.75" customHeight="1">
      <c r="B625" s="562"/>
      <c r="F625" s="563"/>
      <c r="G625" s="661"/>
      <c r="W625" s="539"/>
    </row>
    <row r="626" spans="1:49" ht="12.75" customHeight="1">
      <c r="A626" s="593"/>
      <c r="B626" s="431">
        <f>B519</f>
        <v>2016</v>
      </c>
      <c r="D626" s="618"/>
      <c r="F626" s="563"/>
      <c r="G626" s="661"/>
      <c r="I626" s="618"/>
      <c r="K626" s="600"/>
      <c r="L626" s="600"/>
      <c r="M626" s="600"/>
      <c r="N626" s="600"/>
      <c r="P626" s="587"/>
      <c r="R626" s="618"/>
      <c r="S626" s="563"/>
      <c r="T626" s="595"/>
      <c r="U626" s="416"/>
      <c r="X626" s="579"/>
      <c r="Z626" s="580"/>
      <c r="AB626" s="599"/>
      <c r="AC626" s="563"/>
      <c r="AG626" s="582"/>
      <c r="AI626" s="539"/>
      <c r="AJ626" s="563"/>
      <c r="AK626" s="595"/>
      <c r="AL626" s="416"/>
      <c r="AN626" s="579"/>
      <c r="AP626" s="583"/>
      <c r="AR626" s="583"/>
      <c r="AT626" s="599"/>
      <c r="AU626" s="563"/>
      <c r="AV626" s="579"/>
      <c r="AW626" s="631"/>
    </row>
    <row r="627" spans="1:49" ht="12.75" customHeight="1">
      <c r="A627" s="410" t="str">
        <f>$A$12</f>
        <v>1Q</v>
      </c>
      <c r="B627" s="562" t="str">
        <f>$B$12</f>
        <v>Apr</v>
      </c>
      <c r="D627" s="645">
        <f>(W627/W620-1)*100</f>
        <v>5.3515995792606352</v>
      </c>
      <c r="F627" s="686">
        <f>segSales!T151</f>
        <v>-2</v>
      </c>
      <c r="G627" s="682"/>
      <c r="I627" s="645">
        <f>D627-F627</f>
        <v>7.3515995792606352</v>
      </c>
      <c r="K627" s="454">
        <v>117</v>
      </c>
      <c r="L627" s="454">
        <v>102</v>
      </c>
      <c r="M627" s="454">
        <v>4</v>
      </c>
      <c r="N627" s="454">
        <v>0</v>
      </c>
      <c r="P627" s="587">
        <f>+AVERAGE(K623,K627)</f>
        <v>115.5</v>
      </c>
      <c r="R627" s="645">
        <f>+(P627/P620-1)*100</f>
        <v>11.057692307692314</v>
      </c>
      <c r="S627" s="563"/>
      <c r="T627" s="595">
        <f>I627/R627*100</f>
        <v>66.484030977661362</v>
      </c>
      <c r="U627" s="416"/>
      <c r="W627" s="647">
        <f>144.514-62.384</f>
        <v>82.13000000000001</v>
      </c>
      <c r="X627" s="539">
        <f>+X620*(1+(G627+I627)/100)</f>
        <v>21.732835125316125</v>
      </c>
      <c r="Z627" s="580">
        <f>W627/P627</f>
        <v>0.7110822510822512</v>
      </c>
      <c r="AB627" s="599">
        <f>(Z627/Z620-1)*100</f>
        <v>-5.1379536256008107</v>
      </c>
      <c r="AC627" s="563"/>
      <c r="AE627" s="600">
        <f>AE623+(K627-K623)*yrSales!$X$60/1000000</f>
        <v>0.29565999999999992</v>
      </c>
      <c r="AG627" s="582">
        <f>AVERAGE(AE627,AE623)</f>
        <v>0.28725999999999996</v>
      </c>
      <c r="AI627" s="539">
        <f>(AG627/AG620-1)*100</f>
        <v>39.034896665214646</v>
      </c>
      <c r="AJ627" s="563" t="s">
        <v>208</v>
      </c>
      <c r="AK627" s="595">
        <f>+I627/AI627*100</f>
        <v>18.833403460273281</v>
      </c>
      <c r="AL627" s="416" t="s">
        <v>208</v>
      </c>
      <c r="AN627" s="579">
        <f>+X627</f>
        <v>21.732835125316125</v>
      </c>
      <c r="AP627" s="583">
        <f>W627/AG627</f>
        <v>285.90823644085503</v>
      </c>
      <c r="AR627" s="583">
        <f>AN627/AG627</f>
        <v>75.655626001935971</v>
      </c>
      <c r="AT627" s="599">
        <f>(AP627/AP620-1)*100</f>
        <v>-24.226505642724216</v>
      </c>
      <c r="AU627" s="563"/>
      <c r="AV627" s="579">
        <f>W627-X627</f>
        <v>60.397164874683881</v>
      </c>
      <c r="AW627" s="458">
        <f>AV627/AV620-1</f>
        <v>4.6500461811443294E-2</v>
      </c>
    </row>
    <row r="628" spans="1:49" ht="12.75" customHeight="1">
      <c r="A628" s="410" t="str">
        <f>$A$13</f>
        <v>2Q</v>
      </c>
      <c r="B628" s="562" t="str">
        <f>$B$13</f>
        <v>Jul</v>
      </c>
      <c r="D628" s="645">
        <f>(W628/W621-1)*100</f>
        <v>8.1509998672475668</v>
      </c>
      <c r="F628" s="656">
        <f>segSales!T152</f>
        <v>0</v>
      </c>
      <c r="G628" s="682"/>
      <c r="I628" s="645">
        <f>D628-F628</f>
        <v>8.1509998672475668</v>
      </c>
      <c r="K628" s="454">
        <v>121</v>
      </c>
      <c r="L628" s="454"/>
      <c r="M628" s="454"/>
      <c r="N628" s="454"/>
      <c r="P628" s="587">
        <f>AVERAGE(K628,K627)</f>
        <v>119</v>
      </c>
      <c r="R628" s="645">
        <f>+(P628/P621-1)*100</f>
        <v>11.214953271028039</v>
      </c>
      <c r="S628" s="563"/>
      <c r="T628" s="595">
        <f>I628/R628*100</f>
        <v>72.679748816290797</v>
      </c>
      <c r="U628" s="416"/>
      <c r="W628" s="647">
        <f>164.421-74.806</f>
        <v>89.614999999999995</v>
      </c>
      <c r="X628" s="539">
        <f>+X621*(1+(G628+I628)/100)</f>
        <v>25.206016169261165</v>
      </c>
      <c r="Z628" s="585">
        <f t="shared" ref="Z628:Z631" si="94">W628/P628</f>
        <v>0.75306722689075623</v>
      </c>
      <c r="AB628" s="599">
        <f>(Z628/Z621-1)*100</f>
        <v>-2.7549833126429557</v>
      </c>
      <c r="AC628" s="563"/>
      <c r="AE628" s="600">
        <f>AE627+(K628-K627)*yrSales!$X$60/1000000</f>
        <v>0.3180599999999999</v>
      </c>
      <c r="AG628" s="582">
        <f>AVERAGE(AE628,AE627)</f>
        <v>0.30685999999999991</v>
      </c>
      <c r="AI628" s="539">
        <f>(AG628/AG621-1)*100</f>
        <v>28.03972294083281</v>
      </c>
      <c r="AJ628" s="563"/>
      <c r="AK628" s="595">
        <f>+I628/AI628*100</f>
        <v>29.069473633698728</v>
      </c>
      <c r="AL628" s="416"/>
      <c r="AN628" s="584">
        <f>+X628</f>
        <v>25.206016169261165</v>
      </c>
      <c r="AP628" s="586">
        <f>W628/AG628</f>
        <v>292.03871472332668</v>
      </c>
      <c r="AR628" s="586">
        <f>AN628/AG628</f>
        <v>82.141745972955661</v>
      </c>
      <c r="AT628" s="599">
        <f t="shared" ref="AT628:AT631" si="95">(AP628/AP621-1)*100</f>
        <v>-15.533244384460154</v>
      </c>
      <c r="AU628" s="563"/>
      <c r="AV628" s="579">
        <f>W628-X628</f>
        <v>64.408983830738833</v>
      </c>
      <c r="AW628" s="458">
        <f>AV628/AV621-1</f>
        <v>8.1509998672475881E-2</v>
      </c>
    </row>
    <row r="629" spans="1:49" ht="12.75" customHeight="1">
      <c r="A629" s="410" t="str">
        <f>$A$14</f>
        <v>3Q</v>
      </c>
      <c r="B629" s="562" t="str">
        <f>$B$14</f>
        <v>Oct</v>
      </c>
      <c r="D629" s="645">
        <f>(W629/W622-1)*100</f>
        <v>6.1122445369529599</v>
      </c>
      <c r="F629" s="686">
        <f>segSales!T153</f>
        <v>-1.5</v>
      </c>
      <c r="G629" s="682"/>
      <c r="I629" s="645">
        <f>D629-F629</f>
        <v>7.6122445369529599</v>
      </c>
      <c r="K629" s="454">
        <v>124</v>
      </c>
      <c r="L629" s="454"/>
      <c r="M629" s="454"/>
      <c r="N629" s="454"/>
      <c r="P629" s="587">
        <f>AVERAGE(K629,K628)</f>
        <v>122.5</v>
      </c>
      <c r="R629" s="645">
        <f>+(P629/P622-1)*100</f>
        <v>11.363636363636353</v>
      </c>
      <c r="S629" s="563"/>
      <c r="T629" s="595">
        <f>I629/R629*100</f>
        <v>66.987751925186117</v>
      </c>
      <c r="U629" s="416"/>
      <c r="W629" s="647">
        <f>167.445-77.465</f>
        <v>89.97999999999999</v>
      </c>
      <c r="X629" s="539">
        <f>+X622*(1+(G629+I629)/100)</f>
        <v>35.419384231071625</v>
      </c>
      <c r="Z629" s="585">
        <f t="shared" si="94"/>
        <v>0.73453061224489791</v>
      </c>
      <c r="AB629" s="599">
        <f>(Z629/Z622-1)*100</f>
        <v>-4.7155355178381537</v>
      </c>
      <c r="AC629" s="563"/>
      <c r="AE629" s="600">
        <f>AE628+(K629-K628)*yrSales!$X$60/1000000</f>
        <v>0.33485999999999988</v>
      </c>
      <c r="AG629" s="582">
        <f>AVERAGE(AE629,AE628)</f>
        <v>0.32645999999999986</v>
      </c>
      <c r="AI629" s="539">
        <f>(AG629/AG622-1)*100</f>
        <v>27.294704827263484</v>
      </c>
      <c r="AJ629" s="563"/>
      <c r="AK629" s="595">
        <f>+I629/AI629*100</f>
        <v>27.889089056385114</v>
      </c>
      <c r="AL629" s="416"/>
      <c r="AN629" s="584">
        <f>+X629</f>
        <v>35.419384231071625</v>
      </c>
      <c r="AP629" s="586">
        <f>W629/AG629</f>
        <v>275.62335355020531</v>
      </c>
      <c r="AR629" s="586">
        <f>AN629/AG629</f>
        <v>108.49532632197402</v>
      </c>
      <c r="AT629" s="599">
        <f t="shared" si="95"/>
        <v>-16.640488164102919</v>
      </c>
      <c r="AU629" s="563"/>
      <c r="AV629" s="579">
        <f>W629-X629</f>
        <v>54.560615768928365</v>
      </c>
      <c r="AW629" s="458">
        <f>AV629/AV622-1</f>
        <v>5.1606659939105626E-2</v>
      </c>
    </row>
    <row r="630" spans="1:49" ht="12.75" customHeight="1">
      <c r="A630" s="410" t="str">
        <f>$A$15</f>
        <v>4Q</v>
      </c>
      <c r="B630" s="562" t="str">
        <f>$B$15</f>
        <v>Jan</v>
      </c>
      <c r="D630" s="646">
        <f>(W630/W623-1)*100</f>
        <v>8.0380118931734792</v>
      </c>
      <c r="F630" s="684">
        <f>segSales!T154</f>
        <v>1.2</v>
      </c>
      <c r="G630" s="683"/>
      <c r="I630" s="646">
        <f>D630-F630</f>
        <v>6.838011893173479</v>
      </c>
      <c r="K630" s="410">
        <f>yrSales!$X$29</f>
        <v>127</v>
      </c>
      <c r="P630" s="588">
        <f>AVERAGE(K630,K629)</f>
        <v>125.5</v>
      </c>
      <c r="R630" s="646">
        <f>+(P630/P623-1)*100</f>
        <v>11.061946902654874</v>
      </c>
      <c r="S630" s="563"/>
      <c r="T630" s="598">
        <f>I630/R630*100</f>
        <v>61.815627514288209</v>
      </c>
      <c r="U630" s="416"/>
      <c r="W630" s="649">
        <f>186.346-74.249</f>
        <v>112.09700000000001</v>
      </c>
      <c r="X630" s="596">
        <f>+X623*(1+(G630+I630)/100)</f>
        <v>43.891528443691577</v>
      </c>
      <c r="Z630" s="590">
        <f t="shared" si="94"/>
        <v>0.89320318725099612</v>
      </c>
      <c r="AB630" s="597">
        <f>(Z630/Z623-1)*100</f>
        <v>-2.7227462635170951</v>
      </c>
      <c r="AC630" s="563"/>
      <c r="AE630" s="600">
        <f>AE629+(K630-K629)*yrSales!$X$60/1000000</f>
        <v>0.35165999999999986</v>
      </c>
      <c r="AG630" s="591">
        <f>AVERAGE(AE630,AE629)</f>
        <v>0.3432599999999999</v>
      </c>
      <c r="AI630" s="596">
        <f>(AG630/AG623-1)*100</f>
        <v>25.616628851643107</v>
      </c>
      <c r="AJ630" s="563"/>
      <c r="AK630" s="598">
        <f>+I630/AI630*100</f>
        <v>26.69364471326552</v>
      </c>
      <c r="AL630" s="416"/>
      <c r="AN630" s="589">
        <f>+X630</f>
        <v>43.891528443691577</v>
      </c>
      <c r="AP630" s="592">
        <f>W630/AG630</f>
        <v>326.56586843791888</v>
      </c>
      <c r="AR630" s="592">
        <f>AN630/AG630</f>
        <v>127.86671457114603</v>
      </c>
      <c r="AT630" s="597">
        <f t="shared" si="95"/>
        <v>-13.993861417209729</v>
      </c>
      <c r="AU630" s="563"/>
      <c r="AV630" s="626">
        <f>W630-X630</f>
        <v>68.205471556308424</v>
      </c>
      <c r="AW630" s="625">
        <f>AV630/AV623-1</f>
        <v>8.8245938717819161E-2</v>
      </c>
    </row>
    <row r="631" spans="1:49" ht="12.75" customHeight="1">
      <c r="B631" s="562" t="str">
        <f>$B$16</f>
        <v>Year</v>
      </c>
      <c r="D631" s="618">
        <f>(W631/W624-1)*100</f>
        <v>6.9979649257383869</v>
      </c>
      <c r="F631" s="661">
        <f>F627*W627/W631+F628*W628/W631+F629*W629/W631+F630*W630/W631</f>
        <v>-0.44062040222351806</v>
      </c>
      <c r="G631" s="661"/>
      <c r="I631" s="618">
        <f>D631-F631</f>
        <v>7.4385853279619045</v>
      </c>
      <c r="K631" s="600"/>
      <c r="L631" s="600"/>
      <c r="M631" s="600"/>
      <c r="N631" s="600"/>
      <c r="P631" s="587">
        <f>AVERAGE(P627:P630)</f>
        <v>120.625</v>
      </c>
      <c r="R631" s="618">
        <f>+(P631/P624-1)*100</f>
        <v>11.175115207373265</v>
      </c>
      <c r="S631" s="563"/>
      <c r="T631" s="595">
        <f>I631/R631*100</f>
        <v>66.563835718257081</v>
      </c>
      <c r="U631" s="416"/>
      <c r="W631" s="579">
        <f>SUM(W627:W630)</f>
        <v>373.822</v>
      </c>
      <c r="X631" s="579">
        <f>SUM(X627:X630)</f>
        <v>126.24976396934051</v>
      </c>
      <c r="Z631" s="580">
        <f t="shared" si="94"/>
        <v>3.0990424870466322</v>
      </c>
      <c r="AB631" s="599">
        <f>(Z631/Z624-1)*100</f>
        <v>-3.7572709269005911</v>
      </c>
      <c r="AC631" s="563"/>
      <c r="AG631" s="582">
        <f>AVERAGE(AG627:AG630)</f>
        <v>0.31595999999999991</v>
      </c>
      <c r="AI631" s="539">
        <f>(AG631/AG624-1)*100</f>
        <v>29.493130052562002</v>
      </c>
      <c r="AJ631" s="563"/>
      <c r="AK631" s="595">
        <f>+I631/AI631*100</f>
        <v>25.221417037476261</v>
      </c>
      <c r="AL631" s="416"/>
      <c r="AN631" s="579">
        <f>SUM(AN627:AN630)</f>
        <v>126.24976396934051</v>
      </c>
      <c r="AP631" s="583">
        <f>SUM(AP627:AP630)</f>
        <v>1180.1361731523059</v>
      </c>
      <c r="AR631" s="583">
        <f>SUM(AR627:AR630)</f>
        <v>394.15941286801166</v>
      </c>
      <c r="AT631" s="599">
        <f t="shared" si="95"/>
        <v>-17.669227958355016</v>
      </c>
      <c r="AU631" s="563"/>
      <c r="AV631" s="579">
        <f>SUM(AV627:AV630)</f>
        <v>247.5722360306595</v>
      </c>
      <c r="AW631" s="458">
        <f>AV631/AV624-1</f>
        <v>6.7922965408530267E-2</v>
      </c>
    </row>
    <row r="632" spans="1:49" ht="12.75" customHeight="1">
      <c r="B632" s="562"/>
      <c r="D632" s="618"/>
      <c r="F632" s="661"/>
      <c r="G632" s="661"/>
      <c r="I632" s="618"/>
      <c r="K632" s="600"/>
      <c r="L632" s="600"/>
      <c r="M632" s="600"/>
      <c r="N632" s="600"/>
      <c r="P632" s="587"/>
      <c r="R632" s="618"/>
      <c r="S632" s="563"/>
      <c r="T632" s="595"/>
      <c r="U632" s="416"/>
      <c r="W632" s="579"/>
      <c r="X632" s="579"/>
      <c r="Z632" s="580"/>
      <c r="AB632" s="599"/>
      <c r="AC632" s="563"/>
      <c r="AG632" s="582"/>
      <c r="AI632" s="539"/>
      <c r="AJ632" s="563"/>
      <c r="AK632" s="595"/>
      <c r="AL632" s="416"/>
      <c r="AN632" s="579"/>
      <c r="AP632" s="583"/>
      <c r="AR632" s="583"/>
      <c r="AT632" s="599"/>
      <c r="AU632" s="563"/>
      <c r="AV632" s="579"/>
      <c r="AW632" s="458"/>
    </row>
    <row r="633" spans="1:49" ht="12.75" customHeight="1">
      <c r="A633" s="593"/>
      <c r="B633" s="431">
        <f>B526</f>
        <v>2017</v>
      </c>
      <c r="D633" s="618"/>
      <c r="F633" s="563"/>
      <c r="G633" s="661"/>
      <c r="I633" s="618"/>
      <c r="K633" s="600"/>
      <c r="L633" s="600"/>
      <c r="M633" s="600"/>
      <c r="N633" s="600"/>
      <c r="P633" s="587"/>
      <c r="R633" s="618"/>
      <c r="S633" s="563"/>
      <c r="T633" s="595"/>
      <c r="U633" s="416"/>
      <c r="X633" s="579"/>
      <c r="Z633" s="580"/>
      <c r="AB633" s="599"/>
      <c r="AC633" s="563"/>
      <c r="AG633" s="582"/>
      <c r="AI633" s="539"/>
      <c r="AJ633" s="563"/>
      <c r="AK633" s="595"/>
      <c r="AL633" s="416"/>
      <c r="AN633" s="579"/>
      <c r="AP633" s="583"/>
      <c r="AR633" s="583"/>
      <c r="AT633" s="599"/>
      <c r="AU633" s="563"/>
      <c r="AV633" s="579"/>
      <c r="AW633" s="631"/>
    </row>
    <row r="634" spans="1:49" ht="12.75" customHeight="1">
      <c r="A634" s="410" t="str">
        <f>$A$12</f>
        <v>1Q</v>
      </c>
      <c r="B634" s="562" t="str">
        <f>$B$12</f>
        <v>Apr</v>
      </c>
      <c r="D634" s="645">
        <f>(W634/W627-1)*100</f>
        <v>7.9617679288932264</v>
      </c>
      <c r="F634" s="686">
        <f>segSales!T158</f>
        <v>1.5</v>
      </c>
      <c r="G634" s="682"/>
      <c r="I634" s="645">
        <f>D634-F634</f>
        <v>6.4617679288932264</v>
      </c>
      <c r="K634" s="454">
        <v>130</v>
      </c>
      <c r="L634" s="454">
        <v>102</v>
      </c>
      <c r="M634" s="454">
        <v>4</v>
      </c>
      <c r="N634" s="454">
        <v>0</v>
      </c>
      <c r="P634" s="587">
        <f>+AVERAGE(K630,K634)</f>
        <v>128.5</v>
      </c>
      <c r="R634" s="645">
        <f>+(P634/P627-1)*100</f>
        <v>11.255411255411252</v>
      </c>
      <c r="S634" s="563"/>
      <c r="T634" s="595">
        <f>I634/R634*100</f>
        <v>57.410322752859066</v>
      </c>
      <c r="U634" s="416"/>
      <c r="W634" s="647">
        <f>159.507-70.838</f>
        <v>88.669000000000011</v>
      </c>
      <c r="X634" s="539">
        <f>+X627*(1+(G634+I634)/100)</f>
        <v>23.137160495483048</v>
      </c>
      <c r="Z634" s="580">
        <f>W634/P634</f>
        <v>0.6900311284046694</v>
      </c>
      <c r="AB634" s="599">
        <f>(Z634/Z627-1)*100</f>
        <v>-2.9604342740298328</v>
      </c>
      <c r="AC634" s="563"/>
      <c r="AE634" s="600">
        <f>AE630+(K634-K630)*yrSales!$Y$60/1000000</f>
        <v>0.36845999999999984</v>
      </c>
      <c r="AG634" s="582">
        <f>AVERAGE(AE634,AE630)</f>
        <v>0.36005999999999982</v>
      </c>
      <c r="AI634" s="539">
        <f>(AG634/AG627-1)*100</f>
        <v>25.34289493838331</v>
      </c>
      <c r="AJ634" s="563" t="s">
        <v>208</v>
      </c>
      <c r="AK634" s="595">
        <f>+I634/AI634*100</f>
        <v>25.497355154586138</v>
      </c>
      <c r="AL634" s="416" t="s">
        <v>208</v>
      </c>
      <c r="AN634" s="579">
        <f>+X634</f>
        <v>23.137160495483048</v>
      </c>
      <c r="AP634" s="583">
        <f>W634/AG634</f>
        <v>246.26173415541868</v>
      </c>
      <c r="AR634" s="583">
        <f>AN634/AG634</f>
        <v>64.25918040183042</v>
      </c>
      <c r="AT634" s="599">
        <f>(AP634/AP627-1)*100</f>
        <v>-13.866862591640627</v>
      </c>
      <c r="AU634" s="563"/>
      <c r="AV634" s="579">
        <f>W634-X634</f>
        <v>65.531839504516967</v>
      </c>
      <c r="AW634" s="458">
        <f>AV634/AV627-1</f>
        <v>8.5015159908364168E-2</v>
      </c>
    </row>
    <row r="635" spans="1:49" ht="12.75" customHeight="1">
      <c r="A635" s="410" t="str">
        <f>$A$13</f>
        <v>2Q</v>
      </c>
      <c r="B635" s="562" t="str">
        <f>$B$13</f>
        <v>Jul</v>
      </c>
      <c r="D635" s="645">
        <f>(W635/W628-1)*100</f>
        <v>9.2730011716788638</v>
      </c>
      <c r="F635" s="686">
        <f>segSales!T159</f>
        <v>2.9</v>
      </c>
      <c r="G635" s="682"/>
      <c r="I635" s="645">
        <f>D635-F635</f>
        <v>6.3730011716788635</v>
      </c>
      <c r="K635" s="454">
        <v>130</v>
      </c>
      <c r="L635" s="454"/>
      <c r="M635" s="454"/>
      <c r="N635" s="454"/>
      <c r="P635" s="587">
        <f>AVERAGE(K635,K634)</f>
        <v>130</v>
      </c>
      <c r="R635" s="645">
        <f>+(P635/P628-1)*100</f>
        <v>9.2436974789915851</v>
      </c>
      <c r="S635" s="563"/>
      <c r="T635" s="595">
        <f>I635/R635*100</f>
        <v>68.944285402707791</v>
      </c>
      <c r="U635" s="416"/>
      <c r="W635" s="647">
        <f>180.228-82.303</f>
        <v>97.925000000000011</v>
      </c>
      <c r="X635" s="539">
        <f>+X628*(1+(G635+I635)/100)</f>
        <v>26.812395875061746</v>
      </c>
      <c r="Z635" s="585">
        <f t="shared" ref="Z635:Z638" si="96">W635/P635</f>
        <v>0.7532692307692308</v>
      </c>
      <c r="AB635" s="599">
        <f>(Z635/Z628-1)*100</f>
        <v>2.6824149459891977E-2</v>
      </c>
      <c r="AC635" s="563"/>
      <c r="AE635" s="600">
        <f>AE634+(K635-K634)*yrSales!$Y$60/1000000</f>
        <v>0.36845999999999984</v>
      </c>
      <c r="AG635" s="582">
        <f>AVERAGE(AE635,AE634)</f>
        <v>0.36845999999999984</v>
      </c>
      <c r="AI635" s="539">
        <f>(AG635/AG628-1)*100</f>
        <v>20.074300984162143</v>
      </c>
      <c r="AJ635" s="563"/>
      <c r="AK635" s="595">
        <f>+I635/AI635*100</f>
        <v>31.747063953593791</v>
      </c>
      <c r="AL635" s="416"/>
      <c r="AN635" s="584">
        <f>+X635</f>
        <v>26.812395875061746</v>
      </c>
      <c r="AP635" s="586">
        <f>W635/AG635</f>
        <v>265.76833306193362</v>
      </c>
      <c r="AR635" s="586">
        <f>AN635/AG635</f>
        <v>72.768810386641036</v>
      </c>
      <c r="AT635" s="599">
        <f t="shared" ref="AT635:AT638" si="97">(AP635/AP628-1)*100</f>
        <v>-8.9955133812588013</v>
      </c>
      <c r="AU635" s="563"/>
      <c r="AV635" s="579">
        <f>W635-X635</f>
        <v>71.112604124938258</v>
      </c>
      <c r="AW635" s="458">
        <f>AV635/AV628-1</f>
        <v>0.10407896376406045</v>
      </c>
    </row>
    <row r="636" spans="1:49" ht="12.75" customHeight="1">
      <c r="A636" s="410" t="str">
        <f>$A$14</f>
        <v>3Q</v>
      </c>
      <c r="B636" s="562" t="str">
        <f>$B$14</f>
        <v>Oct</v>
      </c>
      <c r="D636" s="645">
        <f>(W636/W629-1)*100</f>
        <v>7.0726828184041191</v>
      </c>
      <c r="F636" s="1763">
        <f>segSales!T160</f>
        <v>5</v>
      </c>
      <c r="G636" s="682"/>
      <c r="I636" s="645">
        <f>D636-F636</f>
        <v>2.0726828184041191</v>
      </c>
      <c r="K636" s="454">
        <v>132</v>
      </c>
      <c r="L636" s="454"/>
      <c r="M636" s="454"/>
      <c r="N636" s="454"/>
      <c r="P636" s="587">
        <f>AVERAGE(K636,K635)</f>
        <v>131</v>
      </c>
      <c r="R636" s="645">
        <f>+(P636/P629-1)*100</f>
        <v>6.938775510204076</v>
      </c>
      <c r="S636" s="563"/>
      <c r="T636" s="595">
        <f>I636/R636*100</f>
        <v>29.871017088765267</v>
      </c>
      <c r="U636" s="416"/>
      <c r="W636" s="666">
        <f>180.572-84.228</f>
        <v>96.344000000000008</v>
      </c>
      <c r="X636" s="539">
        <f>+X629*(1+(G636+I636)/100)</f>
        <v>36.15351572241358</v>
      </c>
      <c r="Z636" s="585">
        <f t="shared" si="96"/>
        <v>0.73545038167938936</v>
      </c>
      <c r="AB636" s="599">
        <f>(Z636/Z629-1)*100</f>
        <v>0.12521866606489684</v>
      </c>
      <c r="AC636" s="563"/>
      <c r="AE636" s="600">
        <f>AE635+(K636-K635)*yrSales!$Y$60/1000000</f>
        <v>0.37965999999999983</v>
      </c>
      <c r="AG636" s="582">
        <f>AVERAGE(AE636,AE635)</f>
        <v>0.37405999999999984</v>
      </c>
      <c r="AI636" s="539">
        <f>(AG636/AG629-1)*100</f>
        <v>14.58065306622558</v>
      </c>
      <c r="AJ636" s="563"/>
      <c r="AK636" s="595">
        <f>+I636/AI636*100</f>
        <v>14.215294808743872</v>
      </c>
      <c r="AL636" s="416"/>
      <c r="AN636" s="584">
        <f>+X636</f>
        <v>36.15351572241358</v>
      </c>
      <c r="AP636" s="586">
        <f>W636/AG636</f>
        <v>257.56295781425456</v>
      </c>
      <c r="AR636" s="586">
        <f>AN636/AG636</f>
        <v>96.651648725909197</v>
      </c>
      <c r="AT636" s="599">
        <f t="shared" si="97"/>
        <v>-6.552563671880951</v>
      </c>
      <c r="AU636" s="563"/>
      <c r="AV636" s="579">
        <f>W636-X636</f>
        <v>60.190484277586428</v>
      </c>
      <c r="AW636" s="458">
        <f>AV636/AV629-1</f>
        <v>0.10318557496677316</v>
      </c>
    </row>
    <row r="637" spans="1:49" ht="12.75" customHeight="1">
      <c r="A637" s="410" t="str">
        <f>$A$15</f>
        <v>4Q</v>
      </c>
      <c r="B637" s="562" t="str">
        <f>$B$15</f>
        <v>Jan</v>
      </c>
      <c r="D637" s="646">
        <f>(W637/W630-1)*100</f>
        <v>9.4837506802144524</v>
      </c>
      <c r="F637" s="1781">
        <f>segSales!T161</f>
        <v>8</v>
      </c>
      <c r="G637" s="683"/>
      <c r="I637" s="646">
        <f>D637-F637</f>
        <v>1.4837506802144524</v>
      </c>
      <c r="K637" s="410">
        <f>yrSales!$Y$29</f>
        <v>132</v>
      </c>
      <c r="P637" s="588">
        <f>AVERAGE(K637,K636)</f>
        <v>132</v>
      </c>
      <c r="R637" s="646">
        <f>+(P637/P630-1)*100</f>
        <v>5.1792828685258918</v>
      </c>
      <c r="S637" s="563"/>
      <c r="T637" s="1782">
        <f>I637/R637*100</f>
        <v>28.64780159490984</v>
      </c>
      <c r="U637" s="416"/>
      <c r="W637" s="670">
        <f>201.659-78.931</f>
        <v>122.72799999999999</v>
      </c>
      <c r="X637" s="596">
        <f>+X630*(1+(G637+I637)/100)</f>
        <v>44.542769295531365</v>
      </c>
      <c r="Z637" s="590">
        <f t="shared" si="96"/>
        <v>0.92975757575757567</v>
      </c>
      <c r="AB637" s="597">
        <f>(Z637/Z630-1)*100</f>
        <v>4.0925053815675128</v>
      </c>
      <c r="AC637" s="563"/>
      <c r="AE637" s="600">
        <f>AE636+(K637-K636)*yrSales!$Y$60/1000000</f>
        <v>0.37965999999999983</v>
      </c>
      <c r="AG637" s="591">
        <f>AVERAGE(AE637,AE636)</f>
        <v>0.37965999999999983</v>
      </c>
      <c r="AI637" s="596">
        <f>(AG637/AG630-1)*100</f>
        <v>10.604206723766229</v>
      </c>
      <c r="AJ637" s="563"/>
      <c r="AK637" s="598">
        <f>+I637/AI637*100</f>
        <v>13.9920950134729</v>
      </c>
      <c r="AL637" s="416"/>
      <c r="AN637" s="589">
        <f>+X637</f>
        <v>44.542769295531365</v>
      </c>
      <c r="AP637" s="592">
        <f>W637/AG637</f>
        <v>323.25765158299544</v>
      </c>
      <c r="AR637" s="592">
        <f>AN637/AG637</f>
        <v>117.32278695551648</v>
      </c>
      <c r="AT637" s="597">
        <f t="shared" si="97"/>
        <v>-1.0130320326333653</v>
      </c>
      <c r="AU637" s="563"/>
      <c r="AV637" s="626">
        <f>W637-X637</f>
        <v>78.185230704468637</v>
      </c>
      <c r="AW637" s="625">
        <f>AV637/AV630-1</f>
        <v>0.14631904040017107</v>
      </c>
    </row>
    <row r="638" spans="1:49" ht="12.75" customHeight="1">
      <c r="B638" s="562" t="str">
        <f>$B$16</f>
        <v>Year</v>
      </c>
      <c r="D638" s="618">
        <f>(W638/W631-1)*100</f>
        <v>8.5184927585856496</v>
      </c>
      <c r="F638" s="661">
        <f>F634*W634/W638+F635*W635/W638+F636*W636/W638+F637*W637/W638</f>
        <v>4.6356608638633752</v>
      </c>
      <c r="G638" s="661"/>
      <c r="I638" s="618">
        <f>D638-F638</f>
        <v>3.8828318947222744</v>
      </c>
      <c r="K638" s="600"/>
      <c r="L638" s="600"/>
      <c r="M638" s="600"/>
      <c r="N638" s="600"/>
      <c r="P638" s="587">
        <f>AVERAGE(P634:P637)</f>
        <v>130.375</v>
      </c>
      <c r="R638" s="618">
        <f>+(P638/P631-1)*100</f>
        <v>8.0829015544041418</v>
      </c>
      <c r="S638" s="563"/>
      <c r="T638" s="595">
        <f>I638/R638*100</f>
        <v>48.037599723166622</v>
      </c>
      <c r="U638" s="416"/>
      <c r="W638" s="579">
        <f>SUM(W634:W637)</f>
        <v>405.66600000000005</v>
      </c>
      <c r="X638" s="579">
        <f>SUM(X634:X637)</f>
        <v>130.64584138848974</v>
      </c>
      <c r="Z638" s="580">
        <f t="shared" si="96"/>
        <v>3.111532118887824</v>
      </c>
      <c r="AB638" s="599">
        <f>(Z638/Z631-1)*100</f>
        <v>0.4030158312896992</v>
      </c>
      <c r="AC638" s="563"/>
      <c r="AG638" s="582">
        <f>AVERAGE(AG634:AG637)</f>
        <v>0.37055999999999983</v>
      </c>
      <c r="AI638" s="539">
        <f>(AG638/AG631-1)*100</f>
        <v>17.280668439042902</v>
      </c>
      <c r="AJ638" s="563"/>
      <c r="AK638" s="595">
        <f>+I638/AI638*100</f>
        <v>22.46922281055771</v>
      </c>
      <c r="AL638" s="416"/>
      <c r="AN638" s="579">
        <f>SUM(AN634:AN637)</f>
        <v>130.64584138848974</v>
      </c>
      <c r="AP638" s="583">
        <f>SUM(AP634:AP637)</f>
        <v>1092.8506766146024</v>
      </c>
      <c r="AR638" s="583">
        <f>SUM(AR634:AR637)</f>
        <v>351.00242646989716</v>
      </c>
      <c r="AT638" s="599">
        <f t="shared" si="97"/>
        <v>-7.396222446478518</v>
      </c>
      <c r="AU638" s="563"/>
      <c r="AV638" s="579">
        <f>SUM(AV634:AV637)</f>
        <v>275.02015861151028</v>
      </c>
      <c r="AW638" s="458">
        <f>AV638/AV631-1</f>
        <v>0.11086833895805515</v>
      </c>
    </row>
    <row r="639" spans="1:49" ht="12.75" customHeight="1">
      <c r="B639" s="562"/>
      <c r="D639" s="618"/>
      <c r="F639" s="661"/>
      <c r="G639" s="661"/>
      <c r="I639" s="618"/>
      <c r="K639" s="600"/>
      <c r="L639" s="600"/>
      <c r="M639" s="600"/>
      <c r="N639" s="600"/>
      <c r="P639" s="587"/>
      <c r="R639" s="618"/>
      <c r="S639" s="563"/>
      <c r="T639" s="595"/>
      <c r="U639" s="416"/>
      <c r="W639" s="579"/>
      <c r="X639" s="579"/>
      <c r="Z639" s="580"/>
      <c r="AB639" s="599"/>
      <c r="AC639" s="563"/>
      <c r="AG639" s="582"/>
      <c r="AI639" s="539"/>
      <c r="AJ639" s="563"/>
      <c r="AK639" s="595"/>
      <c r="AL639" s="416"/>
      <c r="AN639" s="579"/>
      <c r="AP639" s="583"/>
      <c r="AR639" s="583"/>
      <c r="AT639" s="599"/>
      <c r="AU639" s="563"/>
      <c r="AV639" s="579"/>
      <c r="AW639" s="458"/>
    </row>
    <row r="640" spans="1:49" ht="12.75" customHeight="1">
      <c r="A640" s="593"/>
      <c r="B640" s="518">
        <f>B533</f>
        <v>2018</v>
      </c>
      <c r="D640" s="618"/>
      <c r="F640" s="563"/>
      <c r="G640" s="661"/>
      <c r="I640" s="618"/>
      <c r="K640" s="600"/>
      <c r="L640" s="600"/>
      <c r="M640" s="600"/>
      <c r="N640" s="600"/>
      <c r="P640" s="587"/>
      <c r="R640" s="618"/>
      <c r="S640" s="563"/>
      <c r="T640" s="595"/>
      <c r="U640" s="416"/>
      <c r="X640" s="579"/>
      <c r="Z640" s="580"/>
      <c r="AB640" s="599"/>
      <c r="AC640" s="563"/>
      <c r="AG640" s="582"/>
      <c r="AI640" s="539"/>
      <c r="AJ640" s="563"/>
      <c r="AK640" s="595"/>
      <c r="AL640" s="416"/>
      <c r="AN640" s="579"/>
      <c r="AP640" s="583"/>
      <c r="AR640" s="583"/>
      <c r="AT640" s="599"/>
      <c r="AU640" s="563"/>
      <c r="AV640" s="579"/>
      <c r="AW640" s="631"/>
    </row>
    <row r="641" spans="1:49" ht="12.75" customHeight="1">
      <c r="A641" s="410" t="str">
        <f>$A$12</f>
        <v>1Q</v>
      </c>
      <c r="B641" s="562" t="str">
        <f>$B$12</f>
        <v>Apr</v>
      </c>
      <c r="D641" s="645">
        <f t="shared" ref="D641:D642" si="98">F641+I641</f>
        <v>14.62645914396888</v>
      </c>
      <c r="F641" s="1458">
        <f>segSales!T165</f>
        <v>12</v>
      </c>
      <c r="G641" s="682"/>
      <c r="I641" s="645">
        <f t="shared" ref="I641:I642" si="99">R641*T641/100</f>
        <v>2.6264591439688791</v>
      </c>
      <c r="K641" s="454">
        <v>134</v>
      </c>
      <c r="L641" s="454">
        <v>102</v>
      </c>
      <c r="M641" s="454">
        <v>4</v>
      </c>
      <c r="N641" s="454">
        <v>0</v>
      </c>
      <c r="P641" s="587">
        <f>+AVERAGE(K637,K641)</f>
        <v>133</v>
      </c>
      <c r="R641" s="645">
        <f>+(P641/P634-1)*100</f>
        <v>3.5019455252918386</v>
      </c>
      <c r="S641" s="563"/>
      <c r="T641" s="1456">
        <v>75</v>
      </c>
      <c r="U641" s="416"/>
      <c r="W641" s="539">
        <f t="shared" ref="W641:W642" si="100">+W634*(1+D641/100)</f>
        <v>101.63813505836578</v>
      </c>
      <c r="X641" s="539">
        <f>+X634*(1+(G641+I641)/100)</f>
        <v>23.74484856297142</v>
      </c>
      <c r="Z641" s="580">
        <f>W641/P641</f>
        <v>0.76419650419823892</v>
      </c>
      <c r="AB641" s="599">
        <f>(Z641/Z634-1)*100</f>
        <v>10.748120300751873</v>
      </c>
      <c r="AC641" s="563"/>
      <c r="AE641" s="600">
        <f>AE637+(K641-K637)*yrSales!$Y$60/1000000</f>
        <v>0.39085999999999982</v>
      </c>
      <c r="AG641" s="582">
        <f>AVERAGE(AE641,AE637)</f>
        <v>0.38525999999999982</v>
      </c>
      <c r="AI641" s="539">
        <f>(AG641/AG634-1)*100</f>
        <v>6.9988335277453739</v>
      </c>
      <c r="AJ641" s="563" t="s">
        <v>208</v>
      </c>
      <c r="AK641" s="595">
        <f>+I641/AI641*100</f>
        <v>37.527098387993448</v>
      </c>
      <c r="AL641" s="416" t="s">
        <v>208</v>
      </c>
      <c r="AN641" s="579">
        <f>+X641</f>
        <v>23.74484856297142</v>
      </c>
      <c r="AP641" s="583">
        <f>W641/AG641</f>
        <v>263.81699387002499</v>
      </c>
      <c r="AR641" s="583">
        <f>AN641/AG641</f>
        <v>61.633308838113045</v>
      </c>
      <c r="AT641" s="599">
        <f>(AP641/AP634-1)*100</f>
        <v>7.1286997855407597</v>
      </c>
      <c r="AU641" s="563"/>
      <c r="AV641" s="579">
        <f>W641-X641</f>
        <v>77.893286495394364</v>
      </c>
      <c r="AW641" s="458">
        <f>AV641/AV634-1</f>
        <v>0.18863268732179184</v>
      </c>
    </row>
    <row r="642" spans="1:49" ht="12.75" customHeight="1">
      <c r="A642" s="410" t="str">
        <f>$A$13</f>
        <v>2Q</v>
      </c>
      <c r="B642" s="562" t="str">
        <f>$B$13</f>
        <v>Jul</v>
      </c>
      <c r="D642" s="645">
        <f t="shared" si="98"/>
        <v>9.076923076923066</v>
      </c>
      <c r="F642" s="1458">
        <f>segSales!T166</f>
        <v>6</v>
      </c>
      <c r="G642" s="682"/>
      <c r="I642" s="645">
        <f t="shared" si="99"/>
        <v>3.076923076923066</v>
      </c>
      <c r="K642" s="454">
        <v>134</v>
      </c>
      <c r="L642" s="454"/>
      <c r="M642" s="454"/>
      <c r="N642" s="454"/>
      <c r="P642" s="587">
        <f>AVERAGE(K642,K641)</f>
        <v>134</v>
      </c>
      <c r="R642" s="645">
        <f>+(P642/P635-1)*100</f>
        <v>3.076923076923066</v>
      </c>
      <c r="S642" s="563"/>
      <c r="T642" s="1456">
        <v>100</v>
      </c>
      <c r="U642" s="416"/>
      <c r="W642" s="539">
        <f t="shared" si="100"/>
        <v>106.81357692307694</v>
      </c>
      <c r="X642" s="539">
        <f>+X635*(1+(G642+I642)/100)</f>
        <v>27.637392671217491</v>
      </c>
      <c r="Z642" s="585">
        <f t="shared" ref="Z642:Z645" si="101">W642/P642</f>
        <v>0.79711624569460404</v>
      </c>
      <c r="AB642" s="599">
        <f>(Z642/Z635-1)*100</f>
        <v>5.8208955223880698</v>
      </c>
      <c r="AC642" s="563"/>
      <c r="AE642" s="600">
        <f>AE641+(K642-K641)*yrSales!$Y$60/1000000</f>
        <v>0.39085999999999982</v>
      </c>
      <c r="AG642" s="582">
        <f>AVERAGE(AE642,AE641)</f>
        <v>0.39085999999999982</v>
      </c>
      <c r="AI642" s="539">
        <f>(AG642/AG635-1)*100</f>
        <v>6.0793573250827793</v>
      </c>
      <c r="AJ642" s="563"/>
      <c r="AK642" s="595">
        <f>+I642/AI642*100</f>
        <v>50.612637362637159</v>
      </c>
      <c r="AL642" s="416"/>
      <c r="AN642" s="584">
        <f>+X642</f>
        <v>27.637392671217491</v>
      </c>
      <c r="AP642" s="586">
        <f>W642/AG642</f>
        <v>273.27835266611316</v>
      </c>
      <c r="AR642" s="586">
        <f>AN642/AG642</f>
        <v>70.709186591663268</v>
      </c>
      <c r="AT642" s="599">
        <f t="shared" ref="AT642:AT645" si="102">(AP642/AP635-1)*100</f>
        <v>2.8257766896665704</v>
      </c>
      <c r="AU642" s="563"/>
      <c r="AV642" s="579">
        <f>W642-X642</f>
        <v>79.176184251859439</v>
      </c>
      <c r="AW642" s="458">
        <f>AV642/AV635-1</f>
        <v>0.11339171481829324</v>
      </c>
    </row>
    <row r="643" spans="1:49" ht="12.75" customHeight="1">
      <c r="A643" s="410" t="str">
        <f>$A$14</f>
        <v>3Q</v>
      </c>
      <c r="B643" s="562" t="str">
        <f>$B$14</f>
        <v>Oct</v>
      </c>
      <c r="D643" s="645">
        <f>F643+I643</f>
        <v>4.0534351145038219</v>
      </c>
      <c r="F643" s="1458">
        <f>segSales!T167</f>
        <v>1</v>
      </c>
      <c r="G643" s="682"/>
      <c r="I643" s="645">
        <f>R643*T643/100</f>
        <v>3.0534351145038219</v>
      </c>
      <c r="K643" s="454">
        <v>136</v>
      </c>
      <c r="L643" s="454"/>
      <c r="M643" s="454"/>
      <c r="N643" s="454"/>
      <c r="P643" s="587">
        <f>AVERAGE(K643,K642)</f>
        <v>135</v>
      </c>
      <c r="R643" s="645">
        <f>+(P643/P636-1)*100</f>
        <v>3.0534351145038219</v>
      </c>
      <c r="S643" s="563"/>
      <c r="T643" s="1456">
        <v>100</v>
      </c>
      <c r="U643" s="416"/>
      <c r="W643" s="539">
        <f>+W636*(1+D643/100)</f>
        <v>100.24924152671757</v>
      </c>
      <c r="X643" s="539">
        <f>+X636*(1+(G643+I643)/100)</f>
        <v>37.257439866609417</v>
      </c>
      <c r="Z643" s="585">
        <f t="shared" si="101"/>
        <v>0.74258697427198195</v>
      </c>
      <c r="AB643" s="599">
        <f>(Z643/Z636-1)*100</f>
        <v>0.97037037037037699</v>
      </c>
      <c r="AC643" s="563"/>
      <c r="AE643" s="600">
        <f>AE642+(K643-K642)*yrSales!$Y$60/1000000</f>
        <v>0.40205999999999981</v>
      </c>
      <c r="AG643" s="582">
        <f>AVERAGE(AE643,AE642)</f>
        <v>0.39645999999999981</v>
      </c>
      <c r="AI643" s="539">
        <f>(AG643/AG636-1)*100</f>
        <v>5.9883441159172213</v>
      </c>
      <c r="AJ643" s="563"/>
      <c r="AK643" s="595">
        <f>+I643/AI643*100</f>
        <v>50.989640130861687</v>
      </c>
      <c r="AL643" s="416"/>
      <c r="AN643" s="584">
        <f>+X643</f>
        <v>37.257439866609417</v>
      </c>
      <c r="AP643" s="586">
        <f>W643/AG643</f>
        <v>252.86092298521316</v>
      </c>
      <c r="AR643" s="586">
        <f>AN643/AG643</f>
        <v>93.975280902510804</v>
      </c>
      <c r="AT643" s="599">
        <f t="shared" si="102"/>
        <v>-1.8255865940289162</v>
      </c>
      <c r="AU643" s="563"/>
      <c r="AV643" s="579">
        <f>W643-X643</f>
        <v>62.991801660108152</v>
      </c>
      <c r="AW643" s="458">
        <f>AV643/AV636-1</f>
        <v>4.6540867981766265E-2</v>
      </c>
    </row>
    <row r="644" spans="1:49" ht="12.75" customHeight="1">
      <c r="A644" s="410" t="str">
        <f>$A$15</f>
        <v>4Q</v>
      </c>
      <c r="B644" s="562" t="str">
        <f>$B$15</f>
        <v>Jan</v>
      </c>
      <c r="D644" s="646">
        <f>F644+I644</f>
        <v>2.5151515151515138</v>
      </c>
      <c r="F644" s="1459">
        <f>segSales!T168</f>
        <v>1</v>
      </c>
      <c r="G644" s="683"/>
      <c r="I644" s="646">
        <f>R644*T644/100</f>
        <v>1.5151515151515138</v>
      </c>
      <c r="K644" s="410">
        <f>yrSales!$Z$29</f>
        <v>132</v>
      </c>
      <c r="P644" s="588">
        <f>AVERAGE(K644,K643)</f>
        <v>134</v>
      </c>
      <c r="R644" s="646">
        <f>+(P644/P637-1)*100</f>
        <v>1.5151515151515138</v>
      </c>
      <c r="S644" s="563"/>
      <c r="T644" s="648">
        <v>100</v>
      </c>
      <c r="U644" s="416"/>
      <c r="W644" s="539">
        <f>+W637*(1+D644/100)</f>
        <v>125.81479515151514</v>
      </c>
      <c r="X644" s="596">
        <f>+X637*(1+(G644+I644)/100)</f>
        <v>45.217659739403054</v>
      </c>
      <c r="Z644" s="590">
        <f t="shared" si="101"/>
        <v>0.93891638172772496</v>
      </c>
      <c r="AB644" s="597">
        <f>(Z644/Z637-1)*100</f>
        <v>0.98507462686567848</v>
      </c>
      <c r="AC644" s="563"/>
      <c r="AE644" s="600">
        <f>AE643+(K644-K643)*yrSales!$Y$60/1000000</f>
        <v>0.37965999999999983</v>
      </c>
      <c r="AG644" s="591">
        <f>AVERAGE(AE644,AE643)</f>
        <v>0.39085999999999982</v>
      </c>
      <c r="AI644" s="596">
        <f>(AG644/AG637-1)*100</f>
        <v>2.9500079018068837</v>
      </c>
      <c r="AJ644" s="563"/>
      <c r="AK644" s="598">
        <f>+I644/AI644*100</f>
        <v>51.360930735930623</v>
      </c>
      <c r="AL644" s="416"/>
      <c r="AN644" s="589">
        <f>+X644</f>
        <v>45.217659739403054</v>
      </c>
      <c r="AP644" s="592">
        <f>W644/AG644</f>
        <v>321.89222522518344</v>
      </c>
      <c r="AR644" s="592">
        <f>AN644/AG644</f>
        <v>115.68761126593428</v>
      </c>
      <c r="AT644" s="597">
        <f t="shared" si="102"/>
        <v>-0.42239568069788458</v>
      </c>
      <c r="AU644" s="563"/>
      <c r="AV644" s="626">
        <f>W644-X644</f>
        <v>80.597135412112095</v>
      </c>
      <c r="AW644" s="625">
        <f>AV644/AV637-1</f>
        <v>3.0848597438564607E-2</v>
      </c>
    </row>
    <row r="645" spans="1:49" ht="12.75" customHeight="1">
      <c r="B645" s="562" t="str">
        <f>$B$16</f>
        <v>Year</v>
      </c>
      <c r="D645" s="618">
        <f>(W645/W638-1)*100</f>
        <v>7.1116999353348254</v>
      </c>
      <c r="F645" s="661">
        <f>F641*W641/W645+F642*W642/W645+F643*W643/W645+F644*W644/W645</f>
        <v>4.8021346184885187</v>
      </c>
      <c r="G645" s="661"/>
      <c r="I645" s="618">
        <f>D645-F645</f>
        <v>2.3095653168463066</v>
      </c>
      <c r="K645" s="600"/>
      <c r="L645" s="600"/>
      <c r="M645" s="600"/>
      <c r="N645" s="600"/>
      <c r="P645" s="587">
        <f>AVERAGE(P641:P644)</f>
        <v>134</v>
      </c>
      <c r="R645" s="618">
        <f>+(P645/P638-1)*100</f>
        <v>2.7804410354745901</v>
      </c>
      <c r="S645" s="563"/>
      <c r="T645" s="595">
        <f>I645/R645*100</f>
        <v>83.064711223127588</v>
      </c>
      <c r="U645" s="416"/>
      <c r="W645" s="579">
        <f>SUM(W641:W644)</f>
        <v>434.51574865967541</v>
      </c>
      <c r="X645" s="579">
        <f>SUM(X641:X644)</f>
        <v>133.85734084020137</v>
      </c>
      <c r="Z645" s="580">
        <f t="shared" si="101"/>
        <v>3.2426548407438465</v>
      </c>
      <c r="AB645" s="599">
        <f>(Z645/Z638-1)*100</f>
        <v>4.2140886497707308</v>
      </c>
      <c r="AC645" s="563"/>
      <c r="AG645" s="582">
        <f>AVERAGE(AG641:AG644)</f>
        <v>0.39085999999999982</v>
      </c>
      <c r="AI645" s="539">
        <f>(AG645/AG638-1)*100</f>
        <v>5.4781951640759941</v>
      </c>
      <c r="AJ645" s="563"/>
      <c r="AK645" s="595">
        <f>+I645/AI645*100</f>
        <v>42.159237626136317</v>
      </c>
      <c r="AL645" s="416"/>
      <c r="AN645" s="579">
        <f>SUM(AN641:AN644)</f>
        <v>133.85734084020137</v>
      </c>
      <c r="AP645" s="583">
        <f>SUM(AP641:AP644)</f>
        <v>1111.8484947465347</v>
      </c>
      <c r="AR645" s="583">
        <f>SUM(AR641:AR644)</f>
        <v>342.00538759822138</v>
      </c>
      <c r="AT645" s="599">
        <f t="shared" si="102"/>
        <v>1.7383727290889439</v>
      </c>
      <c r="AU645" s="563"/>
      <c r="AV645" s="579">
        <f>SUM(AV641:AV644)</f>
        <v>300.65840781947406</v>
      </c>
      <c r="AW645" s="458">
        <f>AV645/AV638-1</f>
        <v>9.322316348519033E-2</v>
      </c>
    </row>
    <row r="646" spans="1:49" ht="12.75" customHeight="1">
      <c r="B646" s="562"/>
      <c r="D646" s="618"/>
      <c r="F646" s="661"/>
      <c r="G646" s="661"/>
      <c r="I646" s="618"/>
      <c r="K646" s="600"/>
      <c r="L646" s="600"/>
      <c r="M646" s="600"/>
      <c r="N646" s="600"/>
      <c r="P646" s="587"/>
      <c r="R646" s="618"/>
      <c r="S646" s="563"/>
      <c r="T646" s="595"/>
      <c r="U646" s="416"/>
      <c r="W646" s="579"/>
      <c r="X646" s="579"/>
      <c r="Z646" s="580"/>
      <c r="AB646" s="599"/>
      <c r="AC646" s="563"/>
      <c r="AG646" s="582"/>
      <c r="AI646" s="539"/>
      <c r="AJ646" s="563"/>
      <c r="AK646" s="595"/>
      <c r="AL646" s="416"/>
      <c r="AN646" s="579"/>
      <c r="AP646" s="583"/>
      <c r="AR646" s="583"/>
      <c r="AT646" s="599"/>
      <c r="AU646" s="563"/>
      <c r="AV646" s="579"/>
      <c r="AW646" s="458"/>
    </row>
    <row r="647" spans="1:49" ht="12.75" customHeight="1">
      <c r="B647" s="574" t="s">
        <v>402</v>
      </c>
      <c r="C647" s="562"/>
      <c r="G647" s="563"/>
      <c r="H647" s="677"/>
      <c r="Y647" s="482"/>
      <c r="AV647" s="579"/>
      <c r="AW647" s="458"/>
    </row>
    <row r="648" spans="1:49" ht="12.75" customHeight="1">
      <c r="B648" s="562"/>
      <c r="D648" s="618"/>
      <c r="F648" s="661"/>
      <c r="G648" s="661"/>
      <c r="I648" s="618"/>
      <c r="K648" s="600"/>
      <c r="L648" s="600"/>
      <c r="M648" s="600"/>
      <c r="N648" s="600"/>
      <c r="P648" s="587"/>
      <c r="R648" s="618"/>
      <c r="S648" s="563"/>
      <c r="T648" s="595"/>
      <c r="U648" s="416"/>
      <c r="W648" s="579"/>
      <c r="X648" s="579"/>
      <c r="Z648" s="580"/>
      <c r="AB648" s="599"/>
      <c r="AC648" s="563"/>
      <c r="AG648" s="582"/>
      <c r="AI648" s="539"/>
      <c r="AJ648" s="563"/>
      <c r="AK648" s="595"/>
      <c r="AL648" s="416"/>
      <c r="AN648" s="579"/>
      <c r="AP648" s="583"/>
      <c r="AR648" s="583"/>
      <c r="AT648" s="599"/>
      <c r="AU648" s="563"/>
      <c r="AV648" s="579"/>
      <c r="AW648" s="458"/>
    </row>
    <row r="649" spans="1:49" ht="12.75" hidden="1" customHeight="1" outlineLevel="1">
      <c r="A649" s="593"/>
      <c r="B649" s="518" t="s">
        <v>127</v>
      </c>
      <c r="D649" s="618"/>
      <c r="F649" s="563"/>
      <c r="G649" s="661"/>
      <c r="I649" s="618"/>
      <c r="K649" s="600"/>
      <c r="L649" s="600"/>
      <c r="M649" s="600"/>
      <c r="N649" s="600"/>
      <c r="P649" s="587"/>
      <c r="R649" s="618"/>
      <c r="S649" s="563"/>
      <c r="T649" s="595"/>
      <c r="U649" s="416"/>
      <c r="X649" s="579"/>
      <c r="Z649" s="580"/>
      <c r="AB649" s="599"/>
      <c r="AC649" s="563"/>
      <c r="AG649" s="582"/>
      <c r="AI649" s="539"/>
      <c r="AJ649" s="563"/>
      <c r="AK649" s="595"/>
      <c r="AL649" s="416"/>
      <c r="AN649" s="579"/>
      <c r="AP649" s="583"/>
      <c r="AR649" s="583"/>
      <c r="AT649" s="599"/>
      <c r="AU649" s="563"/>
      <c r="AV649" s="579"/>
      <c r="AW649" s="458"/>
    </row>
    <row r="650" spans="1:49" ht="12.75" hidden="1" customHeight="1" outlineLevel="1">
      <c r="A650" s="410" t="str">
        <f>$A$12</f>
        <v>1Q</v>
      </c>
      <c r="B650" s="562" t="str">
        <f>$B$12</f>
        <v>Apr</v>
      </c>
      <c r="D650" s="645"/>
      <c r="F650" s="686"/>
      <c r="G650" s="682"/>
      <c r="I650" s="645"/>
      <c r="L650" s="454"/>
      <c r="M650" s="454"/>
      <c r="N650" s="454"/>
      <c r="P650" s="587"/>
      <c r="R650" s="645"/>
      <c r="S650" s="563"/>
      <c r="T650" s="595"/>
      <c r="U650" s="416"/>
      <c r="W650" s="647">
        <v>3.4289999999999998</v>
      </c>
      <c r="X650" s="539"/>
      <c r="Z650" s="580"/>
      <c r="AB650" s="599"/>
      <c r="AC650" s="563"/>
      <c r="AE650" s="600"/>
      <c r="AG650" s="582"/>
      <c r="AI650" s="539"/>
      <c r="AJ650" s="563"/>
      <c r="AK650" s="595"/>
      <c r="AL650" s="416"/>
      <c r="AN650" s="579"/>
      <c r="AP650" s="583"/>
      <c r="AR650" s="583"/>
      <c r="AT650" s="599"/>
      <c r="AU650" s="563"/>
      <c r="AV650" s="579"/>
      <c r="AW650" s="458"/>
    </row>
    <row r="651" spans="1:49" ht="12.75" hidden="1" customHeight="1" outlineLevel="1">
      <c r="A651" s="410" t="str">
        <f>$A$13</f>
        <v>2Q</v>
      </c>
      <c r="B651" s="562" t="str">
        <f>$B$13</f>
        <v>Jul</v>
      </c>
      <c r="D651" s="645"/>
      <c r="F651" s="682"/>
      <c r="G651" s="682"/>
      <c r="I651" s="645"/>
      <c r="L651" s="454"/>
      <c r="M651" s="454"/>
      <c r="N651" s="454"/>
      <c r="P651" s="587"/>
      <c r="R651" s="645"/>
      <c r="S651" s="563"/>
      <c r="T651" s="640"/>
      <c r="U651" s="416"/>
      <c r="W651" s="539"/>
      <c r="X651" s="539"/>
      <c r="Z651" s="585"/>
      <c r="AB651" s="599"/>
      <c r="AC651" s="563"/>
      <c r="AE651" s="600"/>
      <c r="AG651" s="582"/>
      <c r="AI651" s="539"/>
      <c r="AJ651" s="563"/>
      <c r="AK651" s="595"/>
      <c r="AL651" s="416"/>
      <c r="AN651" s="584"/>
      <c r="AP651" s="586"/>
      <c r="AR651" s="586"/>
      <c r="AT651" s="599"/>
      <c r="AU651" s="563"/>
      <c r="AV651" s="579"/>
      <c r="AW651" s="458"/>
    </row>
    <row r="652" spans="1:49" ht="12.75" hidden="1" customHeight="1" outlineLevel="1">
      <c r="A652" s="410" t="str">
        <f>$A$14</f>
        <v>3Q</v>
      </c>
      <c r="B652" s="562" t="str">
        <f>$B$14</f>
        <v>Oct</v>
      </c>
      <c r="D652" s="645"/>
      <c r="F652" s="682"/>
      <c r="G652" s="682"/>
      <c r="I652" s="645"/>
      <c r="L652" s="454"/>
      <c r="M652" s="454"/>
      <c r="N652" s="454"/>
      <c r="P652" s="587"/>
      <c r="R652" s="645"/>
      <c r="S652" s="563"/>
      <c r="T652" s="640"/>
      <c r="U652" s="416"/>
      <c r="W652" s="539"/>
      <c r="X652" s="539"/>
      <c r="Z652" s="585"/>
      <c r="AB652" s="599"/>
      <c r="AC652" s="563"/>
      <c r="AE652" s="600"/>
      <c r="AG652" s="582"/>
      <c r="AI652" s="539"/>
      <c r="AJ652" s="563"/>
      <c r="AK652" s="595"/>
      <c r="AL652" s="416"/>
      <c r="AN652" s="584"/>
      <c r="AP652" s="586"/>
      <c r="AR652" s="586"/>
      <c r="AT652" s="599"/>
      <c r="AU652" s="563"/>
      <c r="AV652" s="579"/>
      <c r="AW652" s="458"/>
    </row>
    <row r="653" spans="1:49" ht="12.75" hidden="1" customHeight="1" outlineLevel="1">
      <c r="A653" s="410" t="str">
        <f>$A$15</f>
        <v>4Q</v>
      </c>
      <c r="B653" s="562" t="str">
        <f>$B$15</f>
        <v>Jan</v>
      </c>
      <c r="D653" s="646"/>
      <c r="F653" s="683"/>
      <c r="G653" s="683"/>
      <c r="I653" s="646"/>
      <c r="P653" s="588"/>
      <c r="R653" s="646"/>
      <c r="S653" s="563"/>
      <c r="T653" s="648"/>
      <c r="U653" s="416"/>
      <c r="W653" s="539"/>
      <c r="X653" s="596"/>
      <c r="Z653" s="590"/>
      <c r="AB653" s="597"/>
      <c r="AC653" s="563"/>
      <c r="AE653" s="600"/>
      <c r="AG653" s="591"/>
      <c r="AI653" s="596"/>
      <c r="AJ653" s="563"/>
      <c r="AK653" s="598"/>
      <c r="AL653" s="416"/>
      <c r="AN653" s="589"/>
      <c r="AP653" s="592"/>
      <c r="AR653" s="592"/>
      <c r="AT653" s="597"/>
      <c r="AU653" s="563"/>
      <c r="AV653" s="579"/>
      <c r="AW653" s="458"/>
    </row>
    <row r="654" spans="1:49" ht="12.75" hidden="1" customHeight="1" outlineLevel="1">
      <c r="B654" s="562" t="str">
        <f>$B$16</f>
        <v>Year</v>
      </c>
      <c r="D654" s="618" t="e">
        <f>(W654/W647-1)*100</f>
        <v>#DIV/0!</v>
      </c>
      <c r="F654" s="661">
        <f>F650*W650/W654+F651*W651/W654+F652*W652/W654+F653*W653/W654</f>
        <v>0</v>
      </c>
      <c r="G654" s="661"/>
      <c r="I654" s="618" t="e">
        <f>D654-F654</f>
        <v>#DIV/0!</v>
      </c>
      <c r="K654" s="600"/>
      <c r="L654" s="600"/>
      <c r="M654" s="600"/>
      <c r="N654" s="600"/>
      <c r="P654" s="587" t="e">
        <f>AVERAGE(P650:P653)</f>
        <v>#DIV/0!</v>
      </c>
      <c r="R654" s="618" t="e">
        <f>+(P654/P647-1)*100</f>
        <v>#DIV/0!</v>
      </c>
      <c r="S654" s="563"/>
      <c r="T654" s="595" t="e">
        <f>I654/R654*100</f>
        <v>#DIV/0!</v>
      </c>
      <c r="U654" s="416"/>
      <c r="W654" s="579">
        <f>SUM(W650:W653)</f>
        <v>3.4289999999999998</v>
      </c>
      <c r="X654" s="579">
        <f>SUM(X650:X653)</f>
        <v>0</v>
      </c>
      <c r="Z654" s="580">
        <f>SUM(Z650:Z653)</f>
        <v>0</v>
      </c>
      <c r="AB654" s="599" t="e">
        <f>(Z654/Z647-1)*100</f>
        <v>#DIV/0!</v>
      </c>
      <c r="AC654" s="563"/>
      <c r="AG654" s="582" t="e">
        <f>AVERAGE(AG650:AG653)</f>
        <v>#DIV/0!</v>
      </c>
      <c r="AI654" s="539" t="e">
        <f>(AG654/AG647-1)*100</f>
        <v>#DIV/0!</v>
      </c>
      <c r="AJ654" s="563"/>
      <c r="AK654" s="595" t="e">
        <f>+I654/AI654*100</f>
        <v>#DIV/0!</v>
      </c>
      <c r="AL654" s="416"/>
      <c r="AN654" s="579">
        <f>SUM(AN650:AN653)</f>
        <v>0</v>
      </c>
      <c r="AP654" s="583">
        <f>SUM(AP650:AP653)</f>
        <v>0</v>
      </c>
      <c r="AR654" s="583">
        <f>SUM(AR650:AR653)</f>
        <v>0</v>
      </c>
      <c r="AT654" s="599" t="e">
        <f>(AR654/AR647-1)*100</f>
        <v>#DIV/0!</v>
      </c>
      <c r="AU654" s="563"/>
      <c r="AV654" s="579"/>
      <c r="AW654" s="458"/>
    </row>
    <row r="655" spans="1:49" ht="12.75" hidden="1" customHeight="1" outlineLevel="1">
      <c r="B655" s="562"/>
      <c r="D655" s="618"/>
      <c r="F655" s="661"/>
      <c r="G655" s="661"/>
      <c r="I655" s="618"/>
      <c r="K655" s="600"/>
      <c r="L655" s="600"/>
      <c r="M655" s="600"/>
      <c r="N655" s="600"/>
      <c r="P655" s="587"/>
      <c r="R655" s="618"/>
      <c r="S655" s="563"/>
      <c r="T655" s="595"/>
      <c r="U655" s="416"/>
      <c r="W655" s="579"/>
      <c r="X655" s="579"/>
      <c r="Z655" s="580"/>
      <c r="AB655" s="599"/>
      <c r="AC655" s="563"/>
      <c r="AG655" s="582"/>
      <c r="AI655" s="539"/>
      <c r="AJ655" s="563"/>
      <c r="AK655" s="595"/>
      <c r="AL655" s="416"/>
      <c r="AN655" s="579"/>
      <c r="AP655" s="583"/>
      <c r="AR655" s="583"/>
      <c r="AT655" s="599"/>
      <c r="AU655" s="563"/>
      <c r="AV655" s="579"/>
      <c r="AW655" s="458"/>
    </row>
    <row r="656" spans="1:49" ht="12.75" customHeight="1" collapsed="1">
      <c r="B656" s="562"/>
      <c r="D656" s="618"/>
      <c r="F656" s="661"/>
      <c r="G656" s="661"/>
      <c r="I656" s="618"/>
      <c r="K656" s="600"/>
      <c r="L656" s="600"/>
      <c r="M656" s="600"/>
      <c r="N656" s="600"/>
      <c r="P656" s="587"/>
      <c r="R656" s="618"/>
      <c r="S656" s="563"/>
      <c r="T656" s="595"/>
      <c r="U656" s="416"/>
      <c r="W656" s="579"/>
      <c r="X656" s="579"/>
      <c r="Z656" s="580"/>
      <c r="AB656" s="599"/>
      <c r="AC656" s="563"/>
      <c r="AG656" s="582"/>
      <c r="AI656" s="539"/>
      <c r="AJ656" s="563"/>
      <c r="AK656" s="595"/>
      <c r="AL656" s="416"/>
      <c r="AN656" s="579"/>
      <c r="AP656" s="583"/>
      <c r="AR656" s="583"/>
      <c r="AT656" s="599"/>
      <c r="AU656" s="563"/>
      <c r="AV656" s="579"/>
      <c r="AW656" s="458"/>
    </row>
    <row r="657" spans="2:49" ht="12.75" customHeight="1">
      <c r="B657" s="562"/>
      <c r="D657" s="618"/>
      <c r="F657" s="661"/>
      <c r="G657" s="661"/>
      <c r="I657" s="618"/>
      <c r="K657" s="600"/>
      <c r="L657" s="600"/>
      <c r="M657" s="600"/>
      <c r="N657" s="600"/>
      <c r="P657" s="587"/>
      <c r="R657" s="618"/>
      <c r="S657" s="563"/>
      <c r="T657" s="595"/>
      <c r="U657" s="416"/>
      <c r="W657" s="579"/>
      <c r="X657" s="579"/>
      <c r="Z657" s="580"/>
      <c r="AB657" s="599"/>
      <c r="AC657" s="563"/>
      <c r="AG657" s="582"/>
      <c r="AI657" s="539"/>
      <c r="AJ657" s="563"/>
      <c r="AK657" s="595"/>
      <c r="AL657" s="416"/>
      <c r="AN657" s="579"/>
      <c r="AP657" s="583"/>
      <c r="AR657" s="583"/>
      <c r="AT657" s="599"/>
      <c r="AU657" s="563"/>
      <c r="AV657" s="579"/>
      <c r="AW657" s="458"/>
    </row>
    <row r="658" spans="2:49" ht="12.75" customHeight="1">
      <c r="B658" s="562"/>
      <c r="D658" s="618"/>
      <c r="F658" s="661"/>
      <c r="G658" s="661"/>
      <c r="I658" s="618"/>
      <c r="K658" s="600"/>
      <c r="L658" s="600"/>
      <c r="M658" s="600"/>
      <c r="N658" s="600"/>
      <c r="P658" s="587"/>
      <c r="R658" s="618"/>
      <c r="S658" s="563"/>
      <c r="T658" s="595"/>
      <c r="U658" s="416"/>
      <c r="W658" s="579"/>
      <c r="X658" s="579"/>
      <c r="Z658" s="580"/>
      <c r="AB658" s="599"/>
      <c r="AC658" s="563"/>
      <c r="AG658" s="582"/>
      <c r="AI658" s="539"/>
      <c r="AJ658" s="563"/>
      <c r="AK658" s="595"/>
      <c r="AL658" s="416"/>
      <c r="AN658" s="579"/>
      <c r="AP658" s="583"/>
      <c r="AR658" s="583"/>
      <c r="AT658" s="599"/>
      <c r="AU658" s="563"/>
      <c r="AV658" s="579"/>
      <c r="AW658" s="458"/>
    </row>
    <row r="659" spans="2:49" ht="12.75" customHeight="1">
      <c r="B659" s="562"/>
      <c r="D659" s="618"/>
      <c r="F659" s="661"/>
      <c r="G659" s="661"/>
      <c r="I659" s="618"/>
      <c r="K659" s="600"/>
      <c r="L659" s="600"/>
      <c r="M659" s="600"/>
      <c r="N659" s="600"/>
      <c r="P659" s="587"/>
      <c r="R659" s="618"/>
      <c r="S659" s="563"/>
      <c r="T659" s="595"/>
      <c r="U659" s="416"/>
      <c r="W659" s="579"/>
      <c r="X659" s="579"/>
      <c r="Z659" s="580"/>
      <c r="AB659" s="599"/>
      <c r="AC659" s="563"/>
      <c r="AG659" s="582"/>
      <c r="AI659" s="539"/>
      <c r="AJ659" s="563"/>
      <c r="AK659" s="595"/>
      <c r="AL659" s="416"/>
      <c r="AN659" s="579"/>
      <c r="AP659" s="583"/>
      <c r="AR659" s="583"/>
      <c r="AT659" s="599"/>
      <c r="AU659" s="563"/>
      <c r="AV659" s="579"/>
      <c r="AW659" s="458"/>
    </row>
    <row r="660" spans="2:49" ht="12.75" customHeight="1">
      <c r="B660" s="562"/>
      <c r="D660" s="618"/>
      <c r="F660" s="661"/>
      <c r="G660" s="661"/>
      <c r="I660" s="618"/>
      <c r="K660" s="600"/>
      <c r="L660" s="600"/>
      <c r="M660" s="600"/>
      <c r="N660" s="600"/>
      <c r="P660" s="587"/>
      <c r="R660" s="618"/>
      <c r="S660" s="563"/>
      <c r="T660" s="595"/>
      <c r="U660" s="416"/>
      <c r="W660" s="579"/>
      <c r="X660" s="579"/>
      <c r="Z660" s="580"/>
      <c r="AB660" s="599"/>
      <c r="AC660" s="563"/>
      <c r="AG660" s="582"/>
      <c r="AI660" s="539"/>
      <c r="AJ660" s="563"/>
      <c r="AK660" s="595"/>
      <c r="AL660" s="416"/>
      <c r="AN660" s="579"/>
      <c r="AP660" s="583"/>
      <c r="AR660" s="583"/>
      <c r="AT660" s="599"/>
      <c r="AU660" s="563"/>
      <c r="AV660" s="579"/>
      <c r="AW660" s="458"/>
    </row>
    <row r="661" spans="2:49" ht="12.75" customHeight="1">
      <c r="B661" s="562"/>
      <c r="D661" s="618"/>
      <c r="F661" s="661"/>
      <c r="G661" s="661"/>
      <c r="I661" s="618"/>
      <c r="K661" s="600"/>
      <c r="L661" s="600"/>
      <c r="M661" s="600"/>
      <c r="N661" s="600"/>
      <c r="P661" s="587"/>
      <c r="R661" s="618"/>
      <c r="S661" s="563"/>
      <c r="T661" s="595"/>
      <c r="U661" s="416"/>
      <c r="W661" s="579"/>
      <c r="X661" s="579"/>
      <c r="Z661" s="580"/>
      <c r="AB661" s="599"/>
      <c r="AC661" s="563"/>
      <c r="AG661" s="582"/>
      <c r="AI661" s="539"/>
      <c r="AJ661" s="563"/>
      <c r="AK661" s="595"/>
      <c r="AL661" s="416"/>
      <c r="AN661" s="579"/>
      <c r="AP661" s="583"/>
      <c r="AR661" s="583"/>
      <c r="AT661" s="599"/>
      <c r="AU661" s="563"/>
      <c r="AV661" s="579"/>
      <c r="AW661" s="458"/>
    </row>
    <row r="662" spans="2:49" ht="12.75" customHeight="1">
      <c r="B662" s="562"/>
      <c r="D662" s="618"/>
      <c r="F662" s="661"/>
      <c r="G662" s="661"/>
      <c r="I662" s="618"/>
      <c r="K662" s="600"/>
      <c r="L662" s="600"/>
      <c r="M662" s="600"/>
      <c r="N662" s="600"/>
      <c r="P662" s="587"/>
      <c r="R662" s="618"/>
      <c r="S662" s="563"/>
      <c r="T662" s="595"/>
      <c r="U662" s="416"/>
      <c r="W662" s="579"/>
      <c r="X662" s="579"/>
      <c r="Z662" s="580"/>
      <c r="AB662" s="599"/>
      <c r="AC662" s="563"/>
      <c r="AG662" s="582"/>
      <c r="AI662" s="539"/>
      <c r="AJ662" s="563"/>
      <c r="AK662" s="595"/>
      <c r="AL662" s="416"/>
      <c r="AN662" s="579"/>
      <c r="AP662" s="583"/>
      <c r="AR662" s="583"/>
      <c r="AT662" s="599"/>
      <c r="AU662" s="563"/>
      <c r="AV662" s="579"/>
      <c r="AW662" s="458"/>
    </row>
    <row r="663" spans="2:49" ht="12.75" customHeight="1">
      <c r="B663" s="562"/>
      <c r="D663" s="618"/>
      <c r="F663" s="661"/>
      <c r="G663" s="661"/>
      <c r="I663" s="618"/>
      <c r="K663" s="600"/>
      <c r="L663" s="600"/>
      <c r="M663" s="600"/>
      <c r="N663" s="600"/>
      <c r="P663" s="587"/>
      <c r="R663" s="618"/>
      <c r="S663" s="563"/>
      <c r="T663" s="595"/>
      <c r="U663" s="416"/>
      <c r="W663" s="579"/>
      <c r="X663" s="579"/>
      <c r="Z663" s="580"/>
      <c r="AB663" s="599"/>
      <c r="AC663" s="563"/>
      <c r="AG663" s="582"/>
      <c r="AI663" s="539"/>
      <c r="AJ663" s="563"/>
      <c r="AK663" s="595"/>
      <c r="AL663" s="416"/>
      <c r="AN663" s="579"/>
      <c r="AP663" s="583"/>
      <c r="AR663" s="583"/>
      <c r="AT663" s="599"/>
      <c r="AU663" s="563"/>
      <c r="AV663" s="579"/>
      <c r="AW663" s="458"/>
    </row>
    <row r="664" spans="2:49" ht="12.75" customHeight="1">
      <c r="B664" s="562"/>
      <c r="D664" s="618"/>
      <c r="F664" s="661"/>
      <c r="G664" s="661"/>
      <c r="I664" s="618"/>
      <c r="K664" s="600"/>
      <c r="L664" s="600"/>
      <c r="M664" s="600"/>
      <c r="N664" s="600"/>
      <c r="P664" s="587"/>
      <c r="R664" s="618"/>
      <c r="S664" s="563"/>
      <c r="T664" s="595"/>
      <c r="U664" s="416"/>
      <c r="W664" s="579"/>
      <c r="X664" s="579"/>
      <c r="Z664" s="580"/>
      <c r="AB664" s="599"/>
      <c r="AC664" s="563"/>
      <c r="AG664" s="582"/>
      <c r="AI664" s="539"/>
      <c r="AJ664" s="563"/>
      <c r="AK664" s="595"/>
      <c r="AL664" s="416"/>
      <c r="AN664" s="579"/>
      <c r="AP664" s="583"/>
      <c r="AR664" s="583"/>
      <c r="AT664" s="599"/>
      <c r="AU664" s="563"/>
      <c r="AV664" s="579"/>
      <c r="AW664" s="458"/>
    </row>
    <row r="665" spans="2:49" ht="12.75" customHeight="1">
      <c r="B665" s="562"/>
      <c r="D665" s="618"/>
      <c r="F665" s="661"/>
      <c r="G665" s="661"/>
      <c r="I665" s="618"/>
      <c r="K665" s="600"/>
      <c r="L665" s="600"/>
      <c r="M665" s="600"/>
      <c r="N665" s="600"/>
      <c r="P665" s="587"/>
      <c r="R665" s="618"/>
      <c r="S665" s="563"/>
      <c r="T665" s="595"/>
      <c r="U665" s="416"/>
      <c r="W665" s="579"/>
      <c r="X665" s="579"/>
      <c r="Z665" s="580"/>
      <c r="AB665" s="599"/>
      <c r="AC665" s="563"/>
      <c r="AG665" s="582"/>
      <c r="AI665" s="539"/>
      <c r="AJ665" s="563"/>
      <c r="AK665" s="595"/>
      <c r="AL665" s="416"/>
      <c r="AN665" s="579"/>
      <c r="AP665" s="583"/>
      <c r="AR665" s="583"/>
      <c r="AT665" s="599"/>
      <c r="AU665" s="563"/>
      <c r="AV665" s="579"/>
      <c r="AW665" s="458"/>
    </row>
    <row r="666" spans="2:49" ht="12.75" customHeight="1">
      <c r="B666" s="562"/>
      <c r="D666" s="618"/>
      <c r="F666" s="661"/>
      <c r="G666" s="661"/>
      <c r="I666" s="618"/>
      <c r="K666" s="600"/>
      <c r="L666" s="600"/>
      <c r="M666" s="600"/>
      <c r="N666" s="600"/>
      <c r="P666" s="587"/>
      <c r="R666" s="618"/>
      <c r="S666" s="563"/>
      <c r="T666" s="595"/>
      <c r="U666" s="416"/>
      <c r="W666" s="579"/>
      <c r="X666" s="579"/>
      <c r="Z666" s="580"/>
      <c r="AB666" s="599"/>
      <c r="AC666" s="563"/>
      <c r="AG666" s="582"/>
      <c r="AI666" s="539"/>
      <c r="AJ666" s="563"/>
      <c r="AK666" s="595"/>
      <c r="AL666" s="416"/>
      <c r="AN666" s="579"/>
      <c r="AP666" s="583"/>
      <c r="AR666" s="583"/>
      <c r="AT666" s="599"/>
      <c r="AU666" s="563"/>
      <c r="AV666" s="579"/>
      <c r="AW666" s="458"/>
    </row>
    <row r="667" spans="2:49" ht="12.75" customHeight="1">
      <c r="B667" s="562"/>
      <c r="D667" s="618"/>
      <c r="F667" s="661"/>
      <c r="G667" s="661"/>
      <c r="I667" s="618"/>
      <c r="K667" s="600"/>
      <c r="L667" s="600"/>
      <c r="M667" s="600"/>
      <c r="N667" s="600"/>
      <c r="P667" s="587"/>
      <c r="R667" s="618"/>
      <c r="S667" s="563"/>
      <c r="T667" s="595"/>
      <c r="U667" s="416"/>
      <c r="W667" s="579"/>
      <c r="X667" s="579"/>
      <c r="Z667" s="580"/>
      <c r="AB667" s="599"/>
      <c r="AC667" s="563"/>
      <c r="AG667" s="582"/>
      <c r="AI667" s="539"/>
      <c r="AJ667" s="563"/>
      <c r="AK667" s="595"/>
      <c r="AL667" s="416"/>
      <c r="AN667" s="579"/>
      <c r="AP667" s="583"/>
      <c r="AR667" s="583"/>
      <c r="AT667" s="599"/>
      <c r="AU667" s="563"/>
      <c r="AV667" s="579"/>
      <c r="AW667" s="458"/>
    </row>
    <row r="668" spans="2:49" ht="12.75" customHeight="1">
      <c r="B668" s="562"/>
      <c r="D668" s="618"/>
      <c r="F668" s="661"/>
      <c r="G668" s="661"/>
      <c r="I668" s="618"/>
      <c r="K668" s="600"/>
      <c r="L668" s="600"/>
      <c r="M668" s="600"/>
      <c r="N668" s="600"/>
      <c r="P668" s="587"/>
      <c r="R668" s="618"/>
      <c r="S668" s="563"/>
      <c r="T668" s="595"/>
      <c r="U668" s="416"/>
      <c r="W668" s="579"/>
      <c r="X668" s="579"/>
      <c r="Z668" s="580"/>
      <c r="AB668" s="599"/>
      <c r="AC668" s="563"/>
      <c r="AG668" s="582"/>
      <c r="AI668" s="539"/>
      <c r="AJ668" s="563"/>
      <c r="AK668" s="595"/>
      <c r="AL668" s="416"/>
      <c r="AN668" s="579"/>
      <c r="AP668" s="583"/>
      <c r="AR668" s="583"/>
      <c r="AT668" s="599"/>
      <c r="AU668" s="563"/>
      <c r="AV668" s="579"/>
      <c r="AW668" s="458"/>
    </row>
    <row r="669" spans="2:49" ht="12.75" customHeight="1">
      <c r="B669" s="562"/>
      <c r="D669" s="618"/>
      <c r="F669" s="661"/>
      <c r="G669" s="661"/>
      <c r="I669" s="618"/>
      <c r="K669" s="600"/>
      <c r="L669" s="600"/>
      <c r="M669" s="600"/>
      <c r="N669" s="600"/>
      <c r="P669" s="587"/>
      <c r="R669" s="618"/>
      <c r="S669" s="563"/>
      <c r="T669" s="595"/>
      <c r="U669" s="416"/>
      <c r="W669" s="579"/>
      <c r="X669" s="579"/>
      <c r="Z669" s="580"/>
      <c r="AB669" s="599"/>
      <c r="AC669" s="563"/>
      <c r="AG669" s="582"/>
      <c r="AI669" s="539"/>
      <c r="AJ669" s="563"/>
      <c r="AK669" s="595"/>
      <c r="AL669" s="416"/>
      <c r="AN669" s="579"/>
      <c r="AP669" s="583"/>
      <c r="AR669" s="583"/>
      <c r="AT669" s="599"/>
      <c r="AU669" s="563"/>
      <c r="AV669" s="579"/>
      <c r="AW669" s="458"/>
    </row>
    <row r="670" spans="2:49" ht="12.75" customHeight="1">
      <c r="B670" s="562"/>
      <c r="D670" s="618"/>
      <c r="F670" s="661"/>
      <c r="G670" s="661"/>
      <c r="I670" s="618"/>
      <c r="K670" s="600"/>
      <c r="L670" s="600"/>
      <c r="M670" s="600"/>
      <c r="N670" s="600"/>
      <c r="P670" s="587"/>
      <c r="R670" s="618"/>
      <c r="S670" s="563"/>
      <c r="T670" s="595"/>
      <c r="U670" s="416"/>
      <c r="W670" s="579"/>
      <c r="X670" s="579"/>
      <c r="Z670" s="580"/>
      <c r="AB670" s="599"/>
      <c r="AC670" s="563"/>
      <c r="AG670" s="582"/>
      <c r="AI670" s="539"/>
      <c r="AJ670" s="563"/>
      <c r="AK670" s="595"/>
      <c r="AL670" s="416"/>
      <c r="AN670" s="579"/>
      <c r="AP670" s="583"/>
      <c r="AR670" s="583"/>
      <c r="AT670" s="599"/>
      <c r="AU670" s="563"/>
      <c r="AV670" s="579"/>
      <c r="AW670" s="458"/>
    </row>
    <row r="671" spans="2:49" ht="12.75" customHeight="1">
      <c r="B671" s="562"/>
      <c r="D671" s="618"/>
      <c r="F671" s="661"/>
      <c r="G671" s="661"/>
      <c r="I671" s="618"/>
      <c r="K671" s="600"/>
      <c r="L671" s="600"/>
      <c r="M671" s="600"/>
      <c r="N671" s="600"/>
      <c r="P671" s="587"/>
      <c r="R671" s="618"/>
      <c r="S671" s="563"/>
      <c r="T671" s="595"/>
      <c r="U671" s="416"/>
      <c r="W671" s="579"/>
      <c r="X671" s="579"/>
      <c r="Z671" s="580"/>
      <c r="AB671" s="599"/>
      <c r="AC671" s="563"/>
      <c r="AG671" s="582"/>
      <c r="AI671" s="539"/>
      <c r="AJ671" s="563"/>
      <c r="AK671" s="595"/>
      <c r="AL671" s="416"/>
      <c r="AN671" s="579"/>
      <c r="AP671" s="583"/>
      <c r="AR671" s="583"/>
      <c r="AT671" s="599"/>
      <c r="AU671" s="563"/>
      <c r="AV671" s="579"/>
      <c r="AW671" s="458"/>
    </row>
    <row r="672" spans="2:49" ht="12.75" customHeight="1">
      <c r="B672" s="562"/>
      <c r="D672" s="618"/>
      <c r="F672" s="661"/>
      <c r="G672" s="661"/>
      <c r="I672" s="618"/>
      <c r="K672" s="600"/>
      <c r="L672" s="600"/>
      <c r="M672" s="600"/>
      <c r="N672" s="600"/>
      <c r="P672" s="587"/>
      <c r="R672" s="618"/>
      <c r="S672" s="563"/>
      <c r="T672" s="595"/>
      <c r="U672" s="416"/>
      <c r="W672" s="579"/>
      <c r="X672" s="579"/>
      <c r="Z672" s="580"/>
      <c r="AB672" s="599"/>
      <c r="AC672" s="563"/>
      <c r="AG672" s="582"/>
      <c r="AI672" s="539"/>
      <c r="AJ672" s="563"/>
      <c r="AK672" s="595"/>
      <c r="AL672" s="416"/>
      <c r="AN672" s="579"/>
      <c r="AP672" s="583"/>
      <c r="AR672" s="583"/>
      <c r="AT672" s="599"/>
      <c r="AU672" s="563"/>
      <c r="AV672" s="579"/>
      <c r="AW672" s="458"/>
    </row>
    <row r="673" spans="2:49" ht="12.75" customHeight="1">
      <c r="B673" s="562"/>
      <c r="D673" s="618"/>
      <c r="F673" s="661"/>
      <c r="G673" s="661"/>
      <c r="I673" s="618"/>
      <c r="K673" s="600"/>
      <c r="L673" s="600"/>
      <c r="M673" s="600"/>
      <c r="N673" s="600"/>
      <c r="P673" s="587"/>
      <c r="R673" s="618"/>
      <c r="S673" s="563"/>
      <c r="T673" s="595"/>
      <c r="U673" s="416"/>
      <c r="W673" s="579"/>
      <c r="X673" s="579"/>
      <c r="Z673" s="580"/>
      <c r="AB673" s="599"/>
      <c r="AC673" s="563"/>
      <c r="AG673" s="582"/>
      <c r="AI673" s="539"/>
      <c r="AJ673" s="563"/>
      <c r="AK673" s="595"/>
      <c r="AL673" s="416"/>
      <c r="AN673" s="579"/>
      <c r="AP673" s="583"/>
      <c r="AR673" s="583"/>
      <c r="AT673" s="599"/>
      <c r="AU673" s="563"/>
      <c r="AV673" s="579"/>
      <c r="AW673" s="458"/>
    </row>
    <row r="674" spans="2:49" ht="12.75" customHeight="1">
      <c r="B674" s="562"/>
      <c r="D674" s="618"/>
      <c r="F674" s="661"/>
      <c r="G674" s="661"/>
      <c r="I674" s="618"/>
      <c r="K674" s="600"/>
      <c r="L674" s="600"/>
      <c r="M674" s="600"/>
      <c r="N674" s="600"/>
      <c r="P674" s="587"/>
      <c r="R674" s="618"/>
      <c r="S674" s="563"/>
      <c r="T674" s="595"/>
      <c r="U674" s="416"/>
      <c r="W674" s="579"/>
      <c r="X674" s="579"/>
      <c r="Z674" s="580"/>
      <c r="AB674" s="599"/>
      <c r="AC674" s="563"/>
      <c r="AG674" s="582"/>
      <c r="AI674" s="539"/>
      <c r="AJ674" s="563"/>
      <c r="AK674" s="595"/>
      <c r="AL674" s="416"/>
      <c r="AN674" s="579"/>
      <c r="AP674" s="583"/>
      <c r="AR674" s="583"/>
      <c r="AT674" s="599"/>
      <c r="AU674" s="563"/>
      <c r="AV674" s="579"/>
      <c r="AW674" s="458"/>
    </row>
    <row r="675" spans="2:49" ht="12.75" customHeight="1">
      <c r="B675" s="562"/>
      <c r="D675" s="618"/>
      <c r="F675" s="661"/>
      <c r="G675" s="661"/>
      <c r="I675" s="618"/>
      <c r="K675" s="600"/>
      <c r="L675" s="600"/>
      <c r="M675" s="600"/>
      <c r="N675" s="600"/>
      <c r="P675" s="587"/>
      <c r="R675" s="618"/>
      <c r="S675" s="563"/>
      <c r="T675" s="595"/>
      <c r="U675" s="416"/>
      <c r="W675" s="579"/>
      <c r="X675" s="579"/>
      <c r="Z675" s="580"/>
      <c r="AB675" s="599"/>
      <c r="AC675" s="563"/>
      <c r="AG675" s="582"/>
      <c r="AI675" s="539"/>
      <c r="AJ675" s="563"/>
      <c r="AK675" s="595"/>
      <c r="AL675" s="416"/>
      <c r="AN675" s="579"/>
      <c r="AP675" s="583"/>
      <c r="AR675" s="583"/>
      <c r="AT675" s="599"/>
      <c r="AU675" s="563"/>
      <c r="AV675" s="579"/>
      <c r="AW675" s="458"/>
    </row>
    <row r="676" spans="2:49" ht="12.75" customHeight="1">
      <c r="B676" s="562"/>
      <c r="D676" s="618"/>
      <c r="F676" s="661"/>
      <c r="G676" s="661"/>
      <c r="I676" s="618"/>
      <c r="K676" s="600"/>
      <c r="L676" s="600"/>
      <c r="M676" s="600"/>
      <c r="N676" s="600"/>
      <c r="P676" s="587"/>
      <c r="R676" s="618"/>
      <c r="S676" s="563"/>
      <c r="T676" s="595"/>
      <c r="U676" s="416"/>
      <c r="W676" s="579"/>
      <c r="X676" s="579"/>
      <c r="Z676" s="580"/>
      <c r="AB676" s="599"/>
      <c r="AC676" s="563"/>
      <c r="AG676" s="582"/>
      <c r="AI676" s="539"/>
      <c r="AJ676" s="563"/>
      <c r="AK676" s="595"/>
      <c r="AL676" s="416"/>
      <c r="AN676" s="579"/>
      <c r="AP676" s="583"/>
      <c r="AR676" s="583"/>
      <c r="AT676" s="599"/>
      <c r="AU676" s="563"/>
      <c r="AV676" s="579"/>
      <c r="AW676" s="458"/>
    </row>
    <row r="677" spans="2:49" ht="12.75" customHeight="1">
      <c r="B677" s="562"/>
      <c r="D677" s="618"/>
      <c r="F677" s="661"/>
      <c r="G677" s="661"/>
      <c r="I677" s="618"/>
      <c r="K677" s="600"/>
      <c r="L677" s="600"/>
      <c r="M677" s="600"/>
      <c r="N677" s="600"/>
      <c r="P677" s="587"/>
      <c r="R677" s="618"/>
      <c r="S677" s="563"/>
      <c r="T677" s="595"/>
      <c r="U677" s="416"/>
      <c r="W677" s="579"/>
      <c r="X677" s="579"/>
      <c r="Z677" s="580"/>
      <c r="AB677" s="599"/>
      <c r="AC677" s="563"/>
      <c r="AG677" s="582"/>
      <c r="AI677" s="539"/>
      <c r="AJ677" s="563"/>
      <c r="AK677" s="595"/>
      <c r="AL677" s="416"/>
      <c r="AN677" s="579"/>
      <c r="AP677" s="583"/>
      <c r="AR677" s="583"/>
      <c r="AT677" s="599"/>
      <c r="AU677" s="563"/>
      <c r="AV677" s="579"/>
      <c r="AW677" s="458"/>
    </row>
    <row r="678" spans="2:49" ht="12.75" customHeight="1">
      <c r="B678" s="562"/>
      <c r="D678" s="618"/>
      <c r="F678" s="661"/>
      <c r="G678" s="661"/>
      <c r="I678" s="618"/>
      <c r="K678" s="600"/>
      <c r="L678" s="600"/>
      <c r="M678" s="600"/>
      <c r="N678" s="600"/>
      <c r="P678" s="587"/>
      <c r="R678" s="618"/>
      <c r="S678" s="563"/>
      <c r="T678" s="595"/>
      <c r="U678" s="416"/>
      <c r="W678" s="579"/>
      <c r="X678" s="579"/>
      <c r="Z678" s="580"/>
      <c r="AB678" s="599"/>
      <c r="AC678" s="563"/>
      <c r="AG678" s="582"/>
      <c r="AI678" s="539"/>
      <c r="AJ678" s="563"/>
      <c r="AK678" s="595"/>
      <c r="AL678" s="416"/>
      <c r="AN678" s="579"/>
      <c r="AP678" s="583"/>
      <c r="AR678" s="583"/>
      <c r="AT678" s="599"/>
      <c r="AU678" s="563"/>
      <c r="AV678" s="579"/>
      <c r="AW678" s="458"/>
    </row>
    <row r="679" spans="2:49" ht="12.75" customHeight="1">
      <c r="B679" s="562"/>
      <c r="D679" s="618"/>
      <c r="F679" s="661"/>
      <c r="G679" s="661"/>
      <c r="I679" s="618"/>
      <c r="K679" s="600"/>
      <c r="L679" s="600"/>
      <c r="M679" s="600"/>
      <c r="N679" s="600"/>
      <c r="P679" s="587"/>
      <c r="R679" s="618"/>
      <c r="S679" s="563"/>
      <c r="T679" s="595"/>
      <c r="U679" s="416"/>
      <c r="W679" s="579"/>
      <c r="X679" s="579"/>
      <c r="Z679" s="580"/>
      <c r="AB679" s="599"/>
      <c r="AC679" s="563"/>
      <c r="AG679" s="582"/>
      <c r="AI679" s="539"/>
      <c r="AJ679" s="563"/>
      <c r="AK679" s="595"/>
      <c r="AL679" s="416"/>
      <c r="AN679" s="579"/>
      <c r="AP679" s="583"/>
      <c r="AR679" s="583"/>
      <c r="AT679" s="599"/>
      <c r="AU679" s="563"/>
      <c r="AV679" s="579"/>
      <c r="AW679" s="458"/>
    </row>
    <row r="680" spans="2:49" ht="12.75" customHeight="1">
      <c r="B680" s="562"/>
      <c r="D680" s="618"/>
      <c r="F680" s="661"/>
      <c r="G680" s="661"/>
      <c r="I680" s="618"/>
      <c r="K680" s="600"/>
      <c r="L680" s="600"/>
      <c r="M680" s="600"/>
      <c r="N680" s="600"/>
      <c r="P680" s="587"/>
      <c r="R680" s="618"/>
      <c r="S680" s="563"/>
      <c r="T680" s="595"/>
      <c r="U680" s="416"/>
      <c r="W680" s="579"/>
      <c r="X680" s="579"/>
      <c r="Z680" s="580"/>
      <c r="AB680" s="599"/>
      <c r="AC680" s="563"/>
      <c r="AG680" s="582"/>
      <c r="AI680" s="539"/>
      <c r="AJ680" s="563"/>
      <c r="AK680" s="595"/>
      <c r="AL680" s="416"/>
      <c r="AN680" s="579"/>
      <c r="AP680" s="583"/>
      <c r="AR680" s="583"/>
      <c r="AT680" s="599"/>
      <c r="AU680" s="563"/>
      <c r="AV680" s="579"/>
      <c r="AW680" s="458"/>
    </row>
    <row r="681" spans="2:49" ht="12.75" customHeight="1">
      <c r="B681" s="562"/>
      <c r="D681" s="618"/>
      <c r="F681" s="661"/>
      <c r="G681" s="661"/>
      <c r="I681" s="618"/>
      <c r="K681" s="600"/>
      <c r="L681" s="600"/>
      <c r="M681" s="600"/>
      <c r="N681" s="600"/>
      <c r="P681" s="587"/>
      <c r="R681" s="618"/>
      <c r="S681" s="563"/>
      <c r="T681" s="595"/>
      <c r="U681" s="416"/>
      <c r="W681" s="579"/>
      <c r="X681" s="579"/>
      <c r="Z681" s="580"/>
      <c r="AB681" s="599"/>
      <c r="AC681" s="563"/>
      <c r="AG681" s="582"/>
      <c r="AI681" s="539"/>
      <c r="AJ681" s="563"/>
      <c r="AK681" s="595"/>
      <c r="AL681" s="416"/>
      <c r="AN681" s="579"/>
      <c r="AP681" s="583"/>
      <c r="AR681" s="583"/>
      <c r="AT681" s="599"/>
      <c r="AU681" s="563"/>
      <c r="AV681" s="579"/>
      <c r="AW681" s="458"/>
    </row>
    <row r="682" spans="2:49" ht="12.75" customHeight="1">
      <c r="B682" s="562"/>
      <c r="D682" s="618"/>
      <c r="F682" s="661"/>
      <c r="G682" s="661"/>
      <c r="I682" s="618"/>
      <c r="K682" s="600"/>
      <c r="L682" s="600"/>
      <c r="M682" s="600"/>
      <c r="N682" s="600"/>
      <c r="P682" s="587"/>
      <c r="R682" s="618"/>
      <c r="S682" s="563"/>
      <c r="T682" s="595"/>
      <c r="U682" s="416"/>
      <c r="W682" s="579"/>
      <c r="X682" s="579"/>
      <c r="Z682" s="580"/>
      <c r="AB682" s="599"/>
      <c r="AC682" s="563"/>
      <c r="AG682" s="582"/>
      <c r="AI682" s="539"/>
      <c r="AJ682" s="563"/>
      <c r="AK682" s="595"/>
      <c r="AL682" s="416"/>
      <c r="AN682" s="579"/>
      <c r="AP682" s="583"/>
      <c r="AR682" s="583"/>
      <c r="AT682" s="599"/>
      <c r="AU682" s="563"/>
      <c r="AV682" s="579"/>
      <c r="AW682" s="458"/>
    </row>
    <row r="683" spans="2:49" ht="12.75" customHeight="1">
      <c r="B683" s="562"/>
      <c r="D683" s="618"/>
      <c r="F683" s="661"/>
      <c r="G683" s="661"/>
      <c r="I683" s="618"/>
      <c r="K683" s="600"/>
      <c r="L683" s="600"/>
      <c r="M683" s="600"/>
      <c r="N683" s="600"/>
      <c r="P683" s="587"/>
      <c r="R683" s="618"/>
      <c r="S683" s="563"/>
      <c r="T683" s="595"/>
      <c r="U683" s="416"/>
      <c r="W683" s="579"/>
      <c r="X683" s="579"/>
      <c r="Z683" s="580"/>
      <c r="AB683" s="599"/>
      <c r="AC683" s="563"/>
      <c r="AG683" s="582"/>
      <c r="AI683" s="539"/>
      <c r="AJ683" s="563"/>
      <c r="AK683" s="595"/>
      <c r="AL683" s="416"/>
      <c r="AN683" s="579"/>
      <c r="AP683" s="583"/>
      <c r="AR683" s="583"/>
      <c r="AT683" s="599"/>
      <c r="AU683" s="563"/>
      <c r="AV683" s="579"/>
      <c r="AW683" s="458"/>
    </row>
    <row r="684" spans="2:49" ht="12.75" customHeight="1">
      <c r="B684" s="562"/>
      <c r="D684" s="618"/>
      <c r="F684" s="661"/>
      <c r="G684" s="661"/>
      <c r="I684" s="618"/>
      <c r="K684" s="600"/>
      <c r="L684" s="600"/>
      <c r="M684" s="600"/>
      <c r="N684" s="600"/>
      <c r="P684" s="587"/>
      <c r="R684" s="618"/>
      <c r="S684" s="563"/>
      <c r="T684" s="595"/>
      <c r="U684" s="416"/>
      <c r="W684" s="579"/>
      <c r="X684" s="579"/>
      <c r="Z684" s="580"/>
      <c r="AB684" s="599"/>
      <c r="AC684" s="563"/>
      <c r="AG684" s="582"/>
      <c r="AI684" s="539"/>
      <c r="AJ684" s="563"/>
      <c r="AK684" s="595"/>
      <c r="AL684" s="416"/>
      <c r="AN684" s="579"/>
      <c r="AP684" s="583"/>
      <c r="AR684" s="583"/>
      <c r="AT684" s="599"/>
      <c r="AU684" s="563"/>
      <c r="AV684" s="579"/>
      <c r="AW684" s="458"/>
    </row>
    <row r="685" spans="2:49" ht="12.75" customHeight="1">
      <c r="B685" s="562"/>
      <c r="D685" s="618"/>
      <c r="F685" s="661"/>
      <c r="G685" s="661"/>
      <c r="I685" s="618"/>
      <c r="K685" s="600"/>
      <c r="L685" s="600"/>
      <c r="M685" s="600"/>
      <c r="N685" s="600"/>
      <c r="P685" s="587"/>
      <c r="R685" s="618"/>
      <c r="S685" s="563"/>
      <c r="T685" s="595"/>
      <c r="U685" s="416"/>
      <c r="W685" s="579"/>
      <c r="X685" s="579"/>
      <c r="Z685" s="580"/>
      <c r="AB685" s="599"/>
      <c r="AC685" s="563"/>
      <c r="AG685" s="582"/>
      <c r="AI685" s="539"/>
      <c r="AJ685" s="563"/>
      <c r="AK685" s="595"/>
      <c r="AL685" s="416"/>
      <c r="AN685" s="579"/>
      <c r="AP685" s="583"/>
      <c r="AR685" s="583"/>
      <c r="AT685" s="599"/>
      <c r="AU685" s="563"/>
      <c r="AV685" s="579"/>
      <c r="AW685" s="458"/>
    </row>
    <row r="686" spans="2:49" ht="12.75" customHeight="1">
      <c r="B686" s="562"/>
      <c r="D686" s="618"/>
      <c r="F686" s="661"/>
      <c r="G686" s="661"/>
      <c r="I686" s="618"/>
      <c r="K686" s="600"/>
      <c r="L686" s="600"/>
      <c r="M686" s="600"/>
      <c r="N686" s="600"/>
      <c r="P686" s="587"/>
      <c r="R686" s="618"/>
      <c r="S686" s="563"/>
      <c r="T686" s="595"/>
      <c r="U686" s="416"/>
      <c r="W686" s="579"/>
      <c r="X686" s="579"/>
      <c r="Z686" s="580"/>
      <c r="AB686" s="599"/>
      <c r="AC686" s="563"/>
      <c r="AG686" s="582"/>
      <c r="AI686" s="539"/>
      <c r="AJ686" s="563"/>
      <c r="AK686" s="595"/>
      <c r="AL686" s="416"/>
      <c r="AN686" s="579"/>
      <c r="AP686" s="583"/>
      <c r="AR686" s="583"/>
      <c r="AT686" s="599"/>
      <c r="AU686" s="563"/>
      <c r="AV686" s="579"/>
      <c r="AW686" s="458"/>
    </row>
    <row r="687" spans="2:49" ht="12.75" customHeight="1">
      <c r="B687" s="562"/>
      <c r="D687" s="618"/>
      <c r="F687" s="661"/>
      <c r="G687" s="661"/>
      <c r="I687" s="618"/>
      <c r="K687" s="600"/>
      <c r="L687" s="600"/>
      <c r="M687" s="600"/>
      <c r="N687" s="600"/>
      <c r="P687" s="587"/>
      <c r="R687" s="618"/>
      <c r="S687" s="563"/>
      <c r="T687" s="595"/>
      <c r="U687" s="416"/>
      <c r="W687" s="579"/>
      <c r="X687" s="579"/>
      <c r="Z687" s="580"/>
      <c r="AB687" s="599"/>
      <c r="AC687" s="563"/>
      <c r="AG687" s="582"/>
      <c r="AI687" s="539"/>
      <c r="AJ687" s="563"/>
      <c r="AK687" s="595"/>
      <c r="AL687" s="416"/>
      <c r="AN687" s="579"/>
      <c r="AP687" s="583"/>
      <c r="AR687" s="583"/>
      <c r="AT687" s="599"/>
      <c r="AU687" s="563"/>
      <c r="AV687" s="579"/>
      <c r="AW687" s="458"/>
    </row>
    <row r="688" spans="2:49" ht="12.75" customHeight="1">
      <c r="B688" s="562"/>
      <c r="D688" s="618"/>
      <c r="F688" s="661"/>
      <c r="G688" s="661"/>
      <c r="I688" s="618"/>
      <c r="K688" s="600"/>
      <c r="L688" s="600"/>
      <c r="M688" s="600"/>
      <c r="N688" s="600"/>
      <c r="P688" s="587"/>
      <c r="R688" s="618"/>
      <c r="S688" s="563"/>
      <c r="T688" s="595"/>
      <c r="U688" s="416"/>
      <c r="W688" s="579"/>
      <c r="X688" s="579"/>
      <c r="Z688" s="580"/>
      <c r="AB688" s="599"/>
      <c r="AC688" s="563"/>
      <c r="AG688" s="582"/>
      <c r="AI688" s="539"/>
      <c r="AJ688" s="563"/>
      <c r="AK688" s="595"/>
      <c r="AL688" s="416"/>
      <c r="AN688" s="579"/>
      <c r="AP688" s="583"/>
      <c r="AR688" s="583"/>
      <c r="AT688" s="599"/>
      <c r="AU688" s="563"/>
      <c r="AV688" s="579"/>
      <c r="AW688" s="458"/>
    </row>
    <row r="689" spans="2:49" ht="12.75" customHeight="1">
      <c r="B689" s="562"/>
      <c r="D689" s="618"/>
      <c r="F689" s="661"/>
      <c r="G689" s="661"/>
      <c r="I689" s="618"/>
      <c r="K689" s="600"/>
      <c r="L689" s="600"/>
      <c r="M689" s="600"/>
      <c r="N689" s="600"/>
      <c r="P689" s="587"/>
      <c r="R689" s="618"/>
      <c r="S689" s="563"/>
      <c r="T689" s="595"/>
      <c r="U689" s="416"/>
      <c r="W689" s="579"/>
      <c r="X689" s="579"/>
      <c r="Z689" s="580"/>
      <c r="AB689" s="599"/>
      <c r="AC689" s="563"/>
      <c r="AG689" s="582"/>
      <c r="AI689" s="539"/>
      <c r="AJ689" s="563"/>
      <c r="AK689" s="595"/>
      <c r="AL689" s="416"/>
      <c r="AN689" s="579"/>
      <c r="AP689" s="583"/>
      <c r="AR689" s="583"/>
      <c r="AT689" s="599"/>
      <c r="AU689" s="563"/>
      <c r="AV689" s="579"/>
      <c r="AW689" s="458"/>
    </row>
    <row r="690" spans="2:49" ht="12.75" customHeight="1">
      <c r="B690" s="562"/>
      <c r="D690" s="618"/>
      <c r="F690" s="661"/>
      <c r="G690" s="661"/>
      <c r="I690" s="618"/>
      <c r="K690" s="600"/>
      <c r="L690" s="600"/>
      <c r="M690" s="600"/>
      <c r="N690" s="600"/>
      <c r="P690" s="587"/>
      <c r="R690" s="618"/>
      <c r="S690" s="563"/>
      <c r="T690" s="595"/>
      <c r="U690" s="416"/>
      <c r="W690" s="579"/>
      <c r="X690" s="579"/>
      <c r="Z690" s="580"/>
      <c r="AB690" s="599"/>
      <c r="AC690" s="563"/>
      <c r="AG690" s="582"/>
      <c r="AI690" s="539"/>
      <c r="AJ690" s="563"/>
      <c r="AK690" s="595"/>
      <c r="AL690" s="416"/>
      <c r="AN690" s="579"/>
      <c r="AP690" s="583"/>
      <c r="AR690" s="583"/>
      <c r="AT690" s="599"/>
      <c r="AU690" s="563"/>
      <c r="AV690" s="579"/>
      <c r="AW690" s="458"/>
    </row>
    <row r="691" spans="2:49" ht="12.75" customHeight="1">
      <c r="B691" s="562"/>
      <c r="D691" s="618"/>
      <c r="F691" s="661"/>
      <c r="G691" s="661"/>
      <c r="I691" s="618"/>
      <c r="K691" s="600"/>
      <c r="L691" s="600"/>
      <c r="M691" s="600"/>
      <c r="N691" s="600"/>
      <c r="P691" s="587"/>
      <c r="R691" s="618"/>
      <c r="S691" s="563"/>
      <c r="T691" s="595"/>
      <c r="U691" s="416"/>
      <c r="W691" s="579"/>
      <c r="X691" s="579"/>
      <c r="Z691" s="580"/>
      <c r="AB691" s="599"/>
      <c r="AC691" s="563"/>
      <c r="AG691" s="582"/>
      <c r="AI691" s="539"/>
      <c r="AJ691" s="563"/>
      <c r="AK691" s="595"/>
      <c r="AL691" s="416"/>
      <c r="AN691" s="579"/>
      <c r="AP691" s="583"/>
      <c r="AR691" s="583"/>
      <c r="AT691" s="599"/>
      <c r="AU691" s="563"/>
      <c r="AV691" s="579"/>
      <c r="AW691" s="458"/>
    </row>
    <row r="692" spans="2:49" ht="12.75" customHeight="1">
      <c r="B692" s="562"/>
      <c r="D692" s="618"/>
      <c r="F692" s="661"/>
      <c r="G692" s="661"/>
      <c r="I692" s="618"/>
      <c r="K692" s="600"/>
      <c r="L692" s="600"/>
      <c r="M692" s="600"/>
      <c r="N692" s="600"/>
      <c r="P692" s="587"/>
      <c r="R692" s="618"/>
      <c r="S692" s="563"/>
      <c r="T692" s="595"/>
      <c r="U692" s="416"/>
      <c r="W692" s="579"/>
      <c r="X692" s="579"/>
      <c r="Z692" s="580"/>
      <c r="AB692" s="599"/>
      <c r="AC692" s="563"/>
      <c r="AG692" s="582"/>
      <c r="AI692" s="539"/>
      <c r="AJ692" s="563"/>
      <c r="AK692" s="595"/>
      <c r="AL692" s="416"/>
      <c r="AN692" s="579"/>
      <c r="AP692" s="583"/>
      <c r="AR692" s="583"/>
      <c r="AT692" s="599"/>
      <c r="AU692" s="563"/>
      <c r="AV692" s="579"/>
      <c r="AW692" s="458"/>
    </row>
    <row r="693" spans="2:49" ht="12.75" customHeight="1">
      <c r="B693" s="562"/>
      <c r="D693" s="618"/>
      <c r="F693" s="661"/>
      <c r="G693" s="661"/>
      <c r="I693" s="618"/>
      <c r="K693" s="600"/>
      <c r="L693" s="600"/>
      <c r="M693" s="600"/>
      <c r="N693" s="600"/>
      <c r="P693" s="587"/>
      <c r="R693" s="618"/>
      <c r="S693" s="563"/>
      <c r="T693" s="595"/>
      <c r="U693" s="416"/>
      <c r="W693" s="579"/>
      <c r="X693" s="579"/>
      <c r="Z693" s="580"/>
      <c r="AB693" s="599"/>
      <c r="AC693" s="563"/>
      <c r="AG693" s="582"/>
      <c r="AI693" s="539"/>
      <c r="AJ693" s="563"/>
      <c r="AK693" s="595"/>
      <c r="AL693" s="416"/>
      <c r="AN693" s="579"/>
      <c r="AP693" s="583"/>
      <c r="AR693" s="583"/>
      <c r="AT693" s="599"/>
      <c r="AU693" s="563"/>
      <c r="AV693" s="579"/>
      <c r="AW693" s="458"/>
    </row>
    <row r="694" spans="2:49" ht="12.75" customHeight="1">
      <c r="B694" s="562"/>
      <c r="D694" s="618"/>
      <c r="F694" s="661"/>
      <c r="G694" s="661"/>
      <c r="I694" s="618"/>
      <c r="K694" s="600"/>
      <c r="L694" s="600"/>
      <c r="M694" s="600"/>
      <c r="N694" s="600"/>
      <c r="P694" s="587"/>
      <c r="R694" s="618"/>
      <c r="S694" s="563"/>
      <c r="T694" s="595"/>
      <c r="U694" s="416"/>
      <c r="W694" s="579"/>
      <c r="X694" s="579"/>
      <c r="Z694" s="580"/>
      <c r="AB694" s="599"/>
      <c r="AC694" s="563"/>
      <c r="AG694" s="582"/>
      <c r="AI694" s="539"/>
      <c r="AJ694" s="563"/>
      <c r="AK694" s="595"/>
      <c r="AL694" s="416"/>
      <c r="AN694" s="579"/>
      <c r="AP694" s="583"/>
      <c r="AR694" s="583"/>
      <c r="AT694" s="599"/>
      <c r="AU694" s="563"/>
      <c r="AV694" s="579"/>
      <c r="AW694" s="458"/>
    </row>
    <row r="695" spans="2:49" ht="12.75" customHeight="1">
      <c r="B695" s="562"/>
      <c r="D695" s="618"/>
      <c r="F695" s="661"/>
      <c r="G695" s="661"/>
      <c r="I695" s="618"/>
      <c r="K695" s="600"/>
      <c r="L695" s="600"/>
      <c r="M695" s="600"/>
      <c r="N695" s="600"/>
      <c r="P695" s="587"/>
      <c r="R695" s="618"/>
      <c r="S695" s="563"/>
      <c r="T695" s="595"/>
      <c r="U695" s="416"/>
      <c r="W695" s="579"/>
      <c r="X695" s="579"/>
      <c r="Z695" s="580"/>
      <c r="AB695" s="599"/>
      <c r="AC695" s="563"/>
      <c r="AG695" s="582"/>
      <c r="AI695" s="539"/>
      <c r="AJ695" s="563"/>
      <c r="AK695" s="595"/>
      <c r="AL695" s="416"/>
      <c r="AN695" s="579"/>
      <c r="AP695" s="583"/>
      <c r="AR695" s="583"/>
      <c r="AT695" s="599"/>
      <c r="AU695" s="563"/>
      <c r="AV695" s="579"/>
      <c r="AW695" s="458"/>
    </row>
    <row r="696" spans="2:49" ht="12.75" customHeight="1">
      <c r="B696" s="562"/>
      <c r="D696" s="618"/>
      <c r="F696" s="661"/>
      <c r="G696" s="661"/>
      <c r="I696" s="618"/>
      <c r="K696" s="600"/>
      <c r="L696" s="600"/>
      <c r="M696" s="600"/>
      <c r="N696" s="600"/>
      <c r="P696" s="587"/>
      <c r="R696" s="618"/>
      <c r="S696" s="563"/>
      <c r="T696" s="595"/>
      <c r="U696" s="416"/>
      <c r="W696" s="579"/>
      <c r="X696" s="579"/>
      <c r="Z696" s="580"/>
      <c r="AB696" s="599"/>
      <c r="AC696" s="563"/>
      <c r="AG696" s="582"/>
      <c r="AI696" s="539"/>
      <c r="AJ696" s="563"/>
      <c r="AK696" s="595"/>
      <c r="AL696" s="416"/>
      <c r="AN696" s="579"/>
      <c r="AP696" s="583"/>
      <c r="AR696" s="583"/>
      <c r="AT696" s="599"/>
      <c r="AU696" s="563"/>
      <c r="AV696" s="579"/>
      <c r="AW696" s="458"/>
    </row>
    <row r="697" spans="2:49" ht="12.75" customHeight="1">
      <c r="B697" s="562"/>
      <c r="D697" s="618"/>
      <c r="F697" s="661"/>
      <c r="G697" s="661"/>
      <c r="I697" s="618"/>
      <c r="K697" s="600"/>
      <c r="L697" s="600"/>
      <c r="M697" s="600"/>
      <c r="N697" s="600"/>
      <c r="P697" s="587"/>
      <c r="R697" s="618"/>
      <c r="S697" s="563"/>
      <c r="T697" s="595"/>
      <c r="U697" s="416"/>
      <c r="W697" s="579"/>
      <c r="X697" s="579"/>
      <c r="Z697" s="580"/>
      <c r="AB697" s="599"/>
      <c r="AC697" s="563"/>
      <c r="AG697" s="582"/>
      <c r="AI697" s="539"/>
      <c r="AJ697" s="563"/>
      <c r="AK697" s="595"/>
      <c r="AL697" s="416"/>
      <c r="AN697" s="579"/>
      <c r="AP697" s="583"/>
      <c r="AR697" s="583"/>
      <c r="AT697" s="599"/>
      <c r="AU697" s="563"/>
      <c r="AV697" s="579"/>
      <c r="AW697" s="458"/>
    </row>
    <row r="698" spans="2:49" ht="12.75" customHeight="1">
      <c r="B698" s="562"/>
      <c r="D698" s="618"/>
      <c r="F698" s="661"/>
      <c r="G698" s="661"/>
      <c r="I698" s="618"/>
      <c r="K698" s="600"/>
      <c r="L698" s="600"/>
      <c r="M698" s="600"/>
      <c r="N698" s="600"/>
      <c r="P698" s="587"/>
      <c r="R698" s="618"/>
      <c r="S698" s="563"/>
      <c r="T698" s="595"/>
      <c r="U698" s="416"/>
      <c r="W698" s="579"/>
      <c r="X698" s="579"/>
      <c r="Z698" s="580"/>
      <c r="AB698" s="599"/>
      <c r="AC698" s="563"/>
      <c r="AG698" s="582"/>
      <c r="AI698" s="539"/>
      <c r="AJ698" s="563"/>
      <c r="AK698" s="595"/>
      <c r="AL698" s="416"/>
      <c r="AN698" s="579"/>
      <c r="AP698" s="583"/>
      <c r="AR698" s="583"/>
      <c r="AT698" s="599"/>
      <c r="AU698" s="563"/>
      <c r="AV698" s="579"/>
      <c r="AW698" s="458"/>
    </row>
    <row r="699" spans="2:49" ht="12.75" customHeight="1">
      <c r="B699" s="562"/>
      <c r="D699" s="618"/>
      <c r="F699" s="661"/>
      <c r="G699" s="661"/>
      <c r="I699" s="618"/>
      <c r="K699" s="600"/>
      <c r="L699" s="600"/>
      <c r="M699" s="600"/>
      <c r="N699" s="600"/>
      <c r="P699" s="587"/>
      <c r="R699" s="618"/>
      <c r="S699" s="563"/>
      <c r="T699" s="595"/>
      <c r="U699" s="416"/>
      <c r="W699" s="579"/>
      <c r="X699" s="579"/>
      <c r="Z699" s="580"/>
      <c r="AB699" s="599"/>
      <c r="AC699" s="563"/>
      <c r="AG699" s="582"/>
      <c r="AI699" s="539"/>
      <c r="AJ699" s="563"/>
      <c r="AK699" s="595"/>
      <c r="AL699" s="416"/>
      <c r="AN699" s="579"/>
      <c r="AP699" s="583"/>
      <c r="AR699" s="583"/>
      <c r="AT699" s="599"/>
      <c r="AU699" s="563"/>
      <c r="AV699" s="579"/>
      <c r="AW699" s="458"/>
    </row>
    <row r="700" spans="2:49" ht="12.75" customHeight="1">
      <c r="B700" s="562"/>
      <c r="D700" s="618"/>
      <c r="F700" s="661"/>
      <c r="G700" s="661"/>
      <c r="I700" s="618"/>
      <c r="K700" s="600"/>
      <c r="L700" s="600"/>
      <c r="M700" s="600"/>
      <c r="N700" s="600"/>
      <c r="P700" s="587"/>
      <c r="R700" s="618"/>
      <c r="S700" s="563"/>
      <c r="T700" s="595"/>
      <c r="U700" s="416"/>
      <c r="W700" s="579"/>
      <c r="X700" s="579"/>
      <c r="Z700" s="580"/>
      <c r="AB700" s="599"/>
      <c r="AC700" s="563"/>
      <c r="AG700" s="582"/>
      <c r="AI700" s="539"/>
      <c r="AJ700" s="563"/>
      <c r="AK700" s="595"/>
      <c r="AL700" s="416"/>
      <c r="AN700" s="579"/>
      <c r="AP700" s="583"/>
      <c r="AR700" s="583"/>
      <c r="AT700" s="599"/>
      <c r="AU700" s="563"/>
      <c r="AV700" s="579"/>
      <c r="AW700" s="458"/>
    </row>
    <row r="701" spans="2:49" ht="12.75" customHeight="1">
      <c r="B701" s="562"/>
      <c r="D701" s="618"/>
      <c r="F701" s="661"/>
      <c r="G701" s="661"/>
      <c r="I701" s="618"/>
      <c r="K701" s="600"/>
      <c r="L701" s="600"/>
      <c r="M701" s="600"/>
      <c r="N701" s="600"/>
      <c r="P701" s="587"/>
      <c r="R701" s="618"/>
      <c r="S701" s="563"/>
      <c r="T701" s="595"/>
      <c r="U701" s="416"/>
      <c r="W701" s="579"/>
      <c r="X701" s="579"/>
      <c r="Z701" s="580"/>
      <c r="AB701" s="599"/>
      <c r="AC701" s="563"/>
      <c r="AG701" s="582"/>
      <c r="AI701" s="539"/>
      <c r="AJ701" s="563"/>
      <c r="AK701" s="595"/>
      <c r="AL701" s="416"/>
      <c r="AN701" s="579"/>
      <c r="AP701" s="583"/>
      <c r="AR701" s="583"/>
      <c r="AT701" s="599"/>
      <c r="AU701" s="563"/>
      <c r="AV701" s="579"/>
      <c r="AW701" s="458"/>
    </row>
    <row r="702" spans="2:49" ht="12.75" customHeight="1">
      <c r="B702" s="562"/>
      <c r="D702" s="618"/>
      <c r="F702" s="661"/>
      <c r="G702" s="661"/>
      <c r="I702" s="618"/>
      <c r="K702" s="600"/>
      <c r="L702" s="600"/>
      <c r="M702" s="600"/>
      <c r="N702" s="600"/>
      <c r="P702" s="587"/>
      <c r="R702" s="618"/>
      <c r="S702" s="563"/>
      <c r="T702" s="595"/>
      <c r="U702" s="416"/>
      <c r="W702" s="579"/>
      <c r="X702" s="579"/>
      <c r="Z702" s="580"/>
      <c r="AB702" s="599"/>
      <c r="AC702" s="563"/>
      <c r="AG702" s="582"/>
      <c r="AI702" s="539"/>
      <c r="AJ702" s="563"/>
      <c r="AK702" s="595"/>
      <c r="AL702" s="416"/>
      <c r="AN702" s="579"/>
      <c r="AP702" s="583"/>
      <c r="AR702" s="583"/>
      <c r="AT702" s="599"/>
      <c r="AU702" s="563"/>
      <c r="AV702" s="579"/>
      <c r="AW702" s="458"/>
    </row>
    <row r="703" spans="2:49" ht="12.75" customHeight="1">
      <c r="B703" s="562"/>
      <c r="D703" s="618"/>
      <c r="F703" s="661"/>
      <c r="G703" s="661"/>
      <c r="I703" s="618"/>
      <c r="K703" s="600"/>
      <c r="L703" s="600"/>
      <c r="M703" s="600"/>
      <c r="N703" s="600"/>
      <c r="P703" s="587"/>
      <c r="R703" s="618"/>
      <c r="S703" s="563"/>
      <c r="T703" s="595"/>
      <c r="U703" s="416"/>
      <c r="W703" s="579"/>
      <c r="X703" s="579"/>
      <c r="Z703" s="580"/>
      <c r="AB703" s="599"/>
      <c r="AC703" s="563"/>
      <c r="AG703" s="582"/>
      <c r="AI703" s="539"/>
      <c r="AJ703" s="563"/>
      <c r="AK703" s="595"/>
      <c r="AL703" s="416"/>
      <c r="AN703" s="579"/>
      <c r="AP703" s="583"/>
      <c r="AR703" s="583"/>
      <c r="AT703" s="599"/>
      <c r="AU703" s="563"/>
      <c r="AV703" s="579"/>
      <c r="AW703" s="458"/>
    </row>
    <row r="704" spans="2:49" ht="12.75" customHeight="1">
      <c r="B704" s="562"/>
      <c r="D704" s="618"/>
      <c r="F704" s="661"/>
      <c r="G704" s="661"/>
      <c r="I704" s="618"/>
      <c r="K704" s="600"/>
      <c r="L704" s="600"/>
      <c r="M704" s="600"/>
      <c r="N704" s="600"/>
      <c r="P704" s="587"/>
      <c r="R704" s="618"/>
      <c r="S704" s="563"/>
      <c r="T704" s="595"/>
      <c r="U704" s="416"/>
      <c r="W704" s="579"/>
      <c r="X704" s="579"/>
      <c r="Z704" s="580"/>
      <c r="AB704" s="599"/>
      <c r="AC704" s="563"/>
      <c r="AG704" s="582"/>
      <c r="AI704" s="539"/>
      <c r="AJ704" s="563"/>
      <c r="AK704" s="595"/>
      <c r="AL704" s="416"/>
      <c r="AN704" s="579"/>
      <c r="AP704" s="583"/>
      <c r="AR704" s="583"/>
      <c r="AT704" s="599"/>
      <c r="AU704" s="563"/>
      <c r="AV704" s="579"/>
      <c r="AW704" s="458"/>
    </row>
    <row r="705" spans="1:49" ht="12.75" customHeight="1">
      <c r="B705" s="562"/>
      <c r="D705" s="618"/>
      <c r="F705" s="661"/>
      <c r="G705" s="661"/>
      <c r="I705" s="618"/>
      <c r="K705" s="600"/>
      <c r="L705" s="600"/>
      <c r="M705" s="600"/>
      <c r="N705" s="600"/>
      <c r="P705" s="587"/>
      <c r="R705" s="618"/>
      <c r="S705" s="563"/>
      <c r="T705" s="595"/>
      <c r="U705" s="416"/>
      <c r="W705" s="579"/>
      <c r="X705" s="579"/>
      <c r="Z705" s="580"/>
      <c r="AB705" s="599"/>
      <c r="AC705" s="563"/>
      <c r="AG705" s="582"/>
      <c r="AI705" s="539"/>
      <c r="AJ705" s="563"/>
      <c r="AK705" s="595"/>
      <c r="AL705" s="416"/>
      <c r="AN705" s="579"/>
      <c r="AP705" s="583"/>
      <c r="AR705" s="583"/>
      <c r="AT705" s="599"/>
      <c r="AU705" s="563"/>
      <c r="AV705" s="579"/>
      <c r="AW705" s="458"/>
    </row>
    <row r="706" spans="1:49" ht="12.75" customHeight="1">
      <c r="B706" s="562"/>
      <c r="D706" s="618"/>
      <c r="F706" s="661"/>
      <c r="G706" s="661"/>
      <c r="I706" s="618"/>
      <c r="K706" s="600"/>
      <c r="L706" s="600"/>
      <c r="M706" s="600"/>
      <c r="N706" s="600"/>
      <c r="P706" s="587"/>
      <c r="R706" s="618"/>
      <c r="S706" s="563"/>
      <c r="T706" s="595"/>
      <c r="U706" s="416"/>
      <c r="W706" s="579"/>
      <c r="X706" s="579"/>
      <c r="Z706" s="580"/>
      <c r="AB706" s="599"/>
      <c r="AC706" s="563"/>
      <c r="AG706" s="582"/>
      <c r="AI706" s="539"/>
      <c r="AJ706" s="563"/>
      <c r="AK706" s="595"/>
      <c r="AL706" s="416"/>
      <c r="AN706" s="579"/>
      <c r="AP706" s="583"/>
      <c r="AR706" s="583"/>
      <c r="AT706" s="599"/>
      <c r="AU706" s="563"/>
      <c r="AV706" s="579"/>
      <c r="AW706" s="458"/>
    </row>
    <row r="707" spans="1:49" ht="12.75" customHeight="1">
      <c r="B707" s="562"/>
      <c r="D707" s="618"/>
      <c r="F707" s="661"/>
      <c r="G707" s="661"/>
      <c r="I707" s="618"/>
      <c r="K707" s="600"/>
      <c r="L707" s="600"/>
      <c r="M707" s="600"/>
      <c r="N707" s="600"/>
      <c r="P707" s="587"/>
      <c r="R707" s="618"/>
      <c r="S707" s="563"/>
      <c r="T707" s="595"/>
      <c r="U707" s="416"/>
      <c r="W707" s="579"/>
      <c r="X707" s="579"/>
      <c r="Z707" s="580"/>
      <c r="AB707" s="599"/>
      <c r="AC707" s="563"/>
      <c r="AG707" s="582"/>
      <c r="AI707" s="539"/>
      <c r="AJ707" s="563"/>
      <c r="AK707" s="595"/>
      <c r="AL707" s="416"/>
      <c r="AN707" s="579"/>
      <c r="AP707" s="583"/>
      <c r="AR707" s="583"/>
      <c r="AT707" s="599"/>
      <c r="AU707" s="563"/>
      <c r="AV707" s="579"/>
      <c r="AW707" s="458"/>
    </row>
    <row r="708" spans="1:49" ht="12.75" customHeight="1">
      <c r="B708" s="562"/>
      <c r="D708" s="618"/>
      <c r="F708" s="661"/>
      <c r="G708" s="661"/>
      <c r="I708" s="618"/>
      <c r="K708" s="600"/>
      <c r="L708" s="600"/>
      <c r="M708" s="600"/>
      <c r="N708" s="600"/>
      <c r="P708" s="587"/>
      <c r="R708" s="618"/>
      <c r="S708" s="563"/>
      <c r="T708" s="595"/>
      <c r="U708" s="416"/>
      <c r="W708" s="579"/>
      <c r="X708" s="579"/>
      <c r="Z708" s="580"/>
      <c r="AB708" s="599"/>
      <c r="AC708" s="563"/>
      <c r="AG708" s="582"/>
      <c r="AI708" s="539"/>
      <c r="AJ708" s="563"/>
      <c r="AK708" s="595"/>
      <c r="AL708" s="416"/>
      <c r="AN708" s="579"/>
      <c r="AP708" s="583"/>
      <c r="AR708" s="583"/>
      <c r="AT708" s="599"/>
      <c r="AU708" s="563"/>
      <c r="AV708" s="579"/>
      <c r="AW708" s="458"/>
    </row>
    <row r="709" spans="1:49" ht="12.75" customHeight="1">
      <c r="B709" s="562"/>
      <c r="D709" s="618"/>
      <c r="F709" s="661"/>
      <c r="G709" s="661"/>
      <c r="I709" s="618"/>
      <c r="K709" s="600"/>
      <c r="L709" s="600"/>
      <c r="M709" s="600"/>
      <c r="N709" s="600"/>
      <c r="P709" s="587"/>
      <c r="R709" s="618"/>
      <c r="S709" s="563"/>
      <c r="T709" s="595"/>
      <c r="U709" s="416"/>
      <c r="W709" s="579"/>
      <c r="X709" s="579"/>
      <c r="Z709" s="580"/>
      <c r="AB709" s="599"/>
      <c r="AC709" s="563"/>
      <c r="AG709" s="582"/>
      <c r="AI709" s="539"/>
      <c r="AJ709" s="563"/>
      <c r="AK709" s="595"/>
      <c r="AL709" s="416"/>
      <c r="AN709" s="579"/>
      <c r="AP709" s="583"/>
      <c r="AR709" s="583"/>
      <c r="AT709" s="599"/>
      <c r="AU709" s="563"/>
      <c r="AV709" s="579"/>
      <c r="AW709" s="458"/>
    </row>
    <row r="710" spans="1:49" ht="12.75" customHeight="1">
      <c r="B710" s="562"/>
      <c r="D710" s="618"/>
      <c r="F710" s="661"/>
      <c r="G710" s="661"/>
      <c r="I710" s="618"/>
      <c r="K710" s="600"/>
      <c r="L710" s="600"/>
      <c r="M710" s="600"/>
      <c r="N710" s="600"/>
      <c r="P710" s="587"/>
      <c r="R710" s="618"/>
      <c r="S710" s="563"/>
      <c r="T710" s="595"/>
      <c r="U710" s="416"/>
      <c r="W710" s="579"/>
      <c r="X710" s="579"/>
      <c r="Z710" s="580"/>
      <c r="AB710" s="599"/>
      <c r="AC710" s="563"/>
      <c r="AG710" s="582"/>
      <c r="AI710" s="539"/>
      <c r="AJ710" s="563"/>
      <c r="AK710" s="595"/>
      <c r="AL710" s="416"/>
      <c r="AN710" s="579"/>
      <c r="AP710" s="583"/>
      <c r="AR710" s="583"/>
      <c r="AT710" s="599"/>
      <c r="AU710" s="563"/>
      <c r="AV710" s="579"/>
      <c r="AW710" s="458"/>
    </row>
    <row r="711" spans="1:49" ht="12.75" hidden="1" customHeight="1" outlineLevel="1">
      <c r="A711" s="574" t="s">
        <v>185</v>
      </c>
      <c r="B711" s="562"/>
      <c r="F711" s="563"/>
      <c r="G711" s="661"/>
    </row>
    <row r="712" spans="1:49" ht="12.75" hidden="1" customHeight="1" outlineLevel="1">
      <c r="B712" s="562"/>
      <c r="F712" s="563"/>
      <c r="G712" s="661"/>
    </row>
    <row r="713" spans="1:49" ht="12.75" hidden="1" customHeight="1" outlineLevel="2">
      <c r="A713" s="593"/>
      <c r="B713" s="431">
        <f>B570</f>
        <v>2008</v>
      </c>
      <c r="E713" s="563"/>
      <c r="F713" s="563"/>
      <c r="G713" s="563"/>
      <c r="H713" s="563"/>
      <c r="J713" s="563"/>
      <c r="S713" s="563"/>
      <c r="T713" s="416"/>
      <c r="U713" s="416"/>
      <c r="AC713" s="563"/>
      <c r="AJ713" s="563"/>
      <c r="AK713" s="416"/>
      <c r="AL713" s="416"/>
      <c r="AU713" s="563"/>
    </row>
    <row r="714" spans="1:49" ht="12.75" hidden="1" customHeight="1" outlineLevel="2">
      <c r="A714" s="410" t="str">
        <f>$A$12</f>
        <v>1Q</v>
      </c>
      <c r="B714" s="562" t="str">
        <f>$B$12</f>
        <v>Apr</v>
      </c>
      <c r="D714" s="645"/>
      <c r="E714" s="563"/>
      <c r="F714" s="563"/>
      <c r="G714" s="679"/>
      <c r="H714" s="563"/>
      <c r="I714" s="645"/>
      <c r="J714" s="563"/>
      <c r="K714" s="454">
        <v>1</v>
      </c>
      <c r="L714" s="454"/>
      <c r="M714" s="454"/>
      <c r="N714" s="454"/>
      <c r="P714" s="587">
        <f>+AVERAGE(K611,K714)</f>
        <v>1</v>
      </c>
      <c r="R714" s="645"/>
      <c r="S714" s="563"/>
      <c r="T714" s="640"/>
      <c r="U714" s="416"/>
      <c r="X714" s="579">
        <f>segSales!W93</f>
        <v>0.61699999999999999</v>
      </c>
      <c r="Z714" s="580"/>
      <c r="AB714" s="599"/>
      <c r="AC714" s="563"/>
      <c r="AE714" s="600"/>
      <c r="AG714" s="582"/>
      <c r="AI714" s="539"/>
      <c r="AJ714" s="563"/>
      <c r="AK714" s="595"/>
      <c r="AL714" s="416"/>
      <c r="AN714" s="579"/>
      <c r="AP714" s="583"/>
      <c r="AR714" s="583"/>
      <c r="AT714" s="599"/>
      <c r="AU714" s="563"/>
    </row>
    <row r="715" spans="1:49" ht="12.75" hidden="1" customHeight="1" outlineLevel="2">
      <c r="A715" s="410" t="str">
        <f>$A$13</f>
        <v>2Q</v>
      </c>
      <c r="B715" s="562" t="str">
        <f>$B$13</f>
        <v>Jul</v>
      </c>
      <c r="D715" s="645"/>
      <c r="F715" s="563"/>
      <c r="G715" s="679"/>
      <c r="I715" s="645"/>
      <c r="K715" s="454">
        <v>1</v>
      </c>
      <c r="L715" s="454"/>
      <c r="M715" s="454"/>
      <c r="N715" s="454"/>
      <c r="O715" s="454"/>
      <c r="P715" s="587">
        <f>AVERAGE(K715,K714)</f>
        <v>1</v>
      </c>
      <c r="R715" s="645"/>
      <c r="S715" s="563"/>
      <c r="T715" s="640"/>
      <c r="U715" s="416"/>
      <c r="X715" s="539">
        <f>segSales!W94</f>
        <v>2.6080000000000001</v>
      </c>
      <c r="Z715" s="585"/>
      <c r="AB715" s="599"/>
      <c r="AC715" s="563"/>
      <c r="AE715" s="600"/>
      <c r="AF715" s="454"/>
      <c r="AG715" s="582"/>
      <c r="AI715" s="539"/>
      <c r="AJ715" s="563"/>
      <c r="AK715" s="595"/>
      <c r="AL715" s="416"/>
      <c r="AN715" s="584"/>
      <c r="AP715" s="586"/>
      <c r="AR715" s="586"/>
      <c r="AT715" s="599"/>
      <c r="AU715" s="563"/>
    </row>
    <row r="716" spans="1:49" ht="12.75" hidden="1" customHeight="1" outlineLevel="2">
      <c r="A716" s="410" t="str">
        <f>$A$14</f>
        <v>3Q</v>
      </c>
      <c r="B716" s="562" t="str">
        <f>$B$14</f>
        <v>Oct</v>
      </c>
      <c r="D716" s="645"/>
      <c r="F716" s="563"/>
      <c r="G716" s="679"/>
      <c r="I716" s="645"/>
      <c r="K716" s="454">
        <f>K715</f>
        <v>1</v>
      </c>
      <c r="L716" s="454"/>
      <c r="M716" s="454"/>
      <c r="N716" s="454"/>
      <c r="O716" s="454"/>
      <c r="P716" s="587">
        <f>AVERAGE(K716,K715)</f>
        <v>1</v>
      </c>
      <c r="R716" s="645"/>
      <c r="S716" s="563"/>
      <c r="T716" s="640"/>
      <c r="U716" s="416"/>
      <c r="X716" s="539">
        <f>segSales!W95</f>
        <v>1.266</v>
      </c>
      <c r="Y716" s="617"/>
      <c r="Z716" s="585"/>
      <c r="AB716" s="599"/>
      <c r="AC716" s="563"/>
      <c r="AE716" s="600"/>
      <c r="AF716" s="454"/>
      <c r="AG716" s="582"/>
      <c r="AI716" s="539"/>
      <c r="AJ716" s="563"/>
      <c r="AK716" s="595"/>
      <c r="AL716" s="416"/>
      <c r="AN716" s="584"/>
      <c r="AP716" s="586"/>
      <c r="AR716" s="586"/>
      <c r="AT716" s="599"/>
      <c r="AU716" s="563"/>
    </row>
    <row r="717" spans="1:49" ht="12.75" hidden="1" customHeight="1" outlineLevel="2">
      <c r="A717" s="410" t="str">
        <f>$A$15</f>
        <v>4Q</v>
      </c>
      <c r="B717" s="562" t="str">
        <f>$B$15</f>
        <v>Jan</v>
      </c>
      <c r="D717" s="646"/>
      <c r="F717" s="563"/>
      <c r="G717" s="680"/>
      <c r="I717" s="646"/>
      <c r="K717" s="410">
        <f>yrSales!$P$30</f>
        <v>1</v>
      </c>
      <c r="O717" s="454"/>
      <c r="P717" s="588">
        <f>AVERAGE(K717,K716)</f>
        <v>1</v>
      </c>
      <c r="R717" s="646"/>
      <c r="S717" s="563"/>
      <c r="T717" s="648"/>
      <c r="U717" s="416"/>
      <c r="X717" s="596">
        <f>segSales!W96</f>
        <v>1.165</v>
      </c>
      <c r="Y717" s="617"/>
      <c r="Z717" s="590"/>
      <c r="AB717" s="597"/>
      <c r="AC717" s="563"/>
      <c r="AE717" s="600"/>
      <c r="AF717" s="454"/>
      <c r="AG717" s="591"/>
      <c r="AI717" s="596"/>
      <c r="AJ717" s="563"/>
      <c r="AK717" s="598"/>
      <c r="AL717" s="416"/>
      <c r="AN717" s="589"/>
      <c r="AP717" s="592"/>
      <c r="AR717" s="592"/>
      <c r="AT717" s="597"/>
      <c r="AU717" s="563"/>
    </row>
    <row r="718" spans="1:49" ht="12.75" hidden="1" customHeight="1" outlineLevel="2">
      <c r="B718" s="562" t="str">
        <f>$B$16</f>
        <v>Year</v>
      </c>
      <c r="D718" s="618"/>
      <c r="F718" s="563"/>
      <c r="G718" s="678"/>
      <c r="I718" s="618"/>
      <c r="P718" s="587">
        <f>AVERAGE(P714:P717)</f>
        <v>1</v>
      </c>
      <c r="R718" s="618"/>
      <c r="S718" s="563"/>
      <c r="T718" s="595"/>
      <c r="U718" s="416"/>
      <c r="X718" s="579">
        <f>SUM(X714:X717)</f>
        <v>5.6559999999999997</v>
      </c>
      <c r="Z718" s="580"/>
      <c r="AB718" s="599"/>
      <c r="AC718" s="563"/>
      <c r="AG718" s="582"/>
      <c r="AI718" s="539"/>
      <c r="AJ718" s="563"/>
      <c r="AK718" s="595"/>
      <c r="AL718" s="416"/>
      <c r="AN718" s="579"/>
      <c r="AP718" s="583"/>
      <c r="AR718" s="583"/>
      <c r="AT718" s="599"/>
      <c r="AU718" s="563"/>
    </row>
    <row r="719" spans="1:49" ht="12.75" hidden="1" customHeight="1" outlineLevel="2">
      <c r="B719" s="562"/>
      <c r="F719" s="563"/>
      <c r="G719" s="563"/>
      <c r="P719" s="587"/>
      <c r="R719" s="618"/>
    </row>
    <row r="720" spans="1:49" ht="12.75" hidden="1" customHeight="1" outlineLevel="2">
      <c r="A720" s="593"/>
      <c r="B720" s="431">
        <f>B577</f>
        <v>2009</v>
      </c>
      <c r="E720" s="563"/>
      <c r="F720" s="563"/>
      <c r="G720" s="563"/>
      <c r="H720" s="563"/>
      <c r="J720" s="563"/>
      <c r="S720" s="563"/>
      <c r="T720" s="416"/>
      <c r="U720" s="416"/>
      <c r="AC720" s="563"/>
      <c r="AJ720" s="563"/>
      <c r="AK720" s="416"/>
      <c r="AL720" s="416"/>
      <c r="AU720" s="563"/>
    </row>
    <row r="721" spans="1:48" ht="12.75" hidden="1" customHeight="1" outlineLevel="2">
      <c r="A721" s="410" t="str">
        <f>$A$12</f>
        <v>1Q</v>
      </c>
      <c r="B721" s="562" t="str">
        <f>$B$12</f>
        <v>Apr</v>
      </c>
      <c r="D721" s="645">
        <f>(X721/X714-1)*100</f>
        <v>111.18314424635329</v>
      </c>
      <c r="E721" s="563"/>
      <c r="F721" s="563"/>
      <c r="G721" s="682">
        <v>10</v>
      </c>
      <c r="H721" s="563"/>
      <c r="I721" s="687" t="s">
        <v>378</v>
      </c>
      <c r="J721" s="563"/>
      <c r="K721" s="454">
        <f>K717</f>
        <v>1</v>
      </c>
      <c r="L721" s="454"/>
      <c r="M721" s="454"/>
      <c r="N721" s="454"/>
      <c r="P721" s="587">
        <f>+AVERAGE(K717,K721)</f>
        <v>1</v>
      </c>
      <c r="R721" s="645">
        <f>+(P721/P714-1)*100</f>
        <v>0</v>
      </c>
      <c r="S721" s="563"/>
      <c r="T721" s="687" t="s">
        <v>378</v>
      </c>
      <c r="U721" s="416"/>
      <c r="X721" s="579">
        <f>segSales!W100</f>
        <v>1.3029999999999999</v>
      </c>
      <c r="Z721" s="580"/>
      <c r="AB721" s="599"/>
      <c r="AC721" s="563"/>
      <c r="AE721" s="600"/>
      <c r="AG721" s="582"/>
      <c r="AI721" s="539"/>
      <c r="AJ721" s="563"/>
      <c r="AK721" s="595"/>
      <c r="AL721" s="416"/>
      <c r="AN721" s="579"/>
      <c r="AP721" s="583"/>
      <c r="AR721" s="583"/>
      <c r="AT721" s="599"/>
      <c r="AU721" s="563"/>
    </row>
    <row r="722" spans="1:48" ht="12.75" hidden="1" customHeight="1" outlineLevel="2">
      <c r="A722" s="410" t="str">
        <f>$A$13</f>
        <v>2Q</v>
      </c>
      <c r="B722" s="562" t="str">
        <f>$B$13</f>
        <v>Jul</v>
      </c>
      <c r="D722" s="645">
        <f>(X722/X715-1)*100</f>
        <v>-11.349693251533754</v>
      </c>
      <c r="F722" s="563"/>
      <c r="G722" s="682">
        <v>10</v>
      </c>
      <c r="I722" s="688" t="s">
        <v>378</v>
      </c>
      <c r="K722" s="454">
        <f>+K721</f>
        <v>1</v>
      </c>
      <c r="L722" s="454"/>
      <c r="M722" s="454"/>
      <c r="N722" s="454"/>
      <c r="O722" s="454"/>
      <c r="P722" s="587">
        <f>AVERAGE(K722,K721)</f>
        <v>1</v>
      </c>
      <c r="R722" s="645">
        <f>+(P722/P715-1)*100</f>
        <v>0</v>
      </c>
      <c r="S722" s="563"/>
      <c r="T722" s="640">
        <v>60</v>
      </c>
      <c r="U722" s="416"/>
      <c r="X722" s="539">
        <f>segSales!W101</f>
        <v>2.3119999999999998</v>
      </c>
      <c r="Z722" s="585"/>
      <c r="AB722" s="599"/>
      <c r="AC722" s="563"/>
      <c r="AE722" s="600"/>
      <c r="AF722" s="454"/>
      <c r="AG722" s="582"/>
      <c r="AI722" s="539"/>
      <c r="AJ722" s="563"/>
      <c r="AK722" s="595"/>
      <c r="AL722" s="416"/>
      <c r="AN722" s="584"/>
      <c r="AP722" s="586"/>
      <c r="AR722" s="586"/>
      <c r="AT722" s="599"/>
      <c r="AU722" s="563"/>
    </row>
    <row r="723" spans="1:48" ht="12.75" hidden="1" customHeight="1" outlineLevel="2">
      <c r="A723" s="410" t="str">
        <f>$A$14</f>
        <v>3Q</v>
      </c>
      <c r="B723" s="562" t="str">
        <f>$B$14</f>
        <v>Oct</v>
      </c>
      <c r="D723" s="645">
        <f>(X723/X716-1)*100</f>
        <v>-4.6603475513428023</v>
      </c>
      <c r="F723" s="563"/>
      <c r="G723" s="682">
        <v>-5</v>
      </c>
      <c r="I723" s="688" t="s">
        <v>378</v>
      </c>
      <c r="K723" s="454">
        <f>K722</f>
        <v>1</v>
      </c>
      <c r="L723" s="454"/>
      <c r="M723" s="454"/>
      <c r="N723" s="454"/>
      <c r="O723" s="454"/>
      <c r="P723" s="587">
        <f>AVERAGE(K723,K722)</f>
        <v>1</v>
      </c>
      <c r="R723" s="645">
        <f>+(P723/P716-1)*100</f>
        <v>0</v>
      </c>
      <c r="S723" s="563"/>
      <c r="T723" s="640">
        <v>50</v>
      </c>
      <c r="U723" s="416"/>
      <c r="X723" s="539">
        <f>segSales!W102</f>
        <v>1.2070000000000001</v>
      </c>
      <c r="Z723" s="585"/>
      <c r="AB723" s="599"/>
      <c r="AC723" s="563"/>
      <c r="AE723" s="600"/>
      <c r="AF723" s="454"/>
      <c r="AG723" s="582"/>
      <c r="AI723" s="539"/>
      <c r="AJ723" s="563"/>
      <c r="AK723" s="595"/>
      <c r="AL723" s="416"/>
      <c r="AN723" s="584"/>
      <c r="AP723" s="586"/>
      <c r="AR723" s="586"/>
      <c r="AT723" s="599"/>
      <c r="AU723" s="563"/>
    </row>
    <row r="724" spans="1:48" ht="12.75" hidden="1" customHeight="1" outlineLevel="2">
      <c r="A724" s="410" t="str">
        <f>$A$15</f>
        <v>4Q</v>
      </c>
      <c r="B724" s="562" t="str">
        <f>$B$15</f>
        <v>Jan</v>
      </c>
      <c r="D724" s="646">
        <f>(X724/X717-1)*100</f>
        <v>23.433476394849784</v>
      </c>
      <c r="F724" s="563"/>
      <c r="G724" s="683">
        <v>23.4</v>
      </c>
      <c r="I724" s="689" t="s">
        <v>378</v>
      </c>
      <c r="K724" s="410">
        <f>yrSales!Q30</f>
        <v>1</v>
      </c>
      <c r="O724" s="454"/>
      <c r="P724" s="588">
        <f>AVERAGE(K724,K723)</f>
        <v>1</v>
      </c>
      <c r="R724" s="646">
        <f>+(P724/P717-1)*100</f>
        <v>0</v>
      </c>
      <c r="S724" s="563"/>
      <c r="T724" s="648">
        <v>65</v>
      </c>
      <c r="U724" s="416"/>
      <c r="X724" s="596">
        <f>segSales!W103</f>
        <v>1.4379999999999999</v>
      </c>
      <c r="Z724" s="590"/>
      <c r="AB724" s="597"/>
      <c r="AC724" s="563"/>
      <c r="AE724" s="600"/>
      <c r="AF724" s="454"/>
      <c r="AG724" s="591"/>
      <c r="AI724" s="596"/>
      <c r="AJ724" s="563"/>
      <c r="AK724" s="598"/>
      <c r="AL724" s="416"/>
      <c r="AN724" s="589"/>
      <c r="AP724" s="592"/>
      <c r="AR724" s="592"/>
      <c r="AT724" s="597"/>
      <c r="AU724" s="563"/>
    </row>
    <row r="725" spans="1:48" ht="12.75" hidden="1" customHeight="1" outlineLevel="2">
      <c r="B725" s="562" t="str">
        <f>$B$16</f>
        <v>Year</v>
      </c>
      <c r="D725" s="618">
        <f>(X725/X718-1)*100</f>
        <v>10.678925035360676</v>
      </c>
      <c r="F725" s="563"/>
      <c r="G725" s="661">
        <f>G721*X721/X725+G722*X722/X725+G723*X723/X725+G724*X724/X725</f>
        <v>10.185974440894567</v>
      </c>
      <c r="I725" s="690" t="s">
        <v>378</v>
      </c>
      <c r="P725" s="587">
        <f>AVERAGE(P721:P724)</f>
        <v>1</v>
      </c>
      <c r="R725" s="618">
        <f>+(P725/P718-1)*100</f>
        <v>0</v>
      </c>
      <c r="S725" s="563"/>
      <c r="T725" s="687" t="s">
        <v>378</v>
      </c>
      <c r="U725" s="416"/>
      <c r="X725" s="579">
        <f>SUM(X721:X724)</f>
        <v>6.26</v>
      </c>
      <c r="Z725" s="580"/>
      <c r="AB725" s="599"/>
      <c r="AC725" s="563"/>
      <c r="AG725" s="582"/>
      <c r="AI725" s="539"/>
      <c r="AJ725" s="563"/>
      <c r="AK725" s="595"/>
      <c r="AL725" s="416"/>
      <c r="AN725" s="579"/>
      <c r="AP725" s="583"/>
      <c r="AR725" s="583"/>
      <c r="AT725" s="599"/>
      <c r="AU725" s="563"/>
    </row>
    <row r="726" spans="1:48" ht="12.75" hidden="1" customHeight="1" outlineLevel="2">
      <c r="B726" s="562"/>
      <c r="D726" s="618"/>
      <c r="F726" s="563"/>
      <c r="G726" s="661"/>
      <c r="I726" s="618"/>
      <c r="P726" s="587"/>
      <c r="R726" s="618"/>
      <c r="S726" s="563"/>
      <c r="T726" s="595"/>
      <c r="U726" s="416"/>
      <c r="X726" s="579"/>
      <c r="Z726" s="580"/>
      <c r="AB726" s="599"/>
      <c r="AC726" s="563"/>
      <c r="AG726" s="582"/>
      <c r="AI726" s="539"/>
      <c r="AJ726" s="563"/>
      <c r="AK726" s="595"/>
      <c r="AL726" s="416"/>
      <c r="AN726" s="579"/>
      <c r="AP726" s="583"/>
      <c r="AR726" s="583"/>
      <c r="AT726" s="599"/>
      <c r="AU726" s="563"/>
    </row>
    <row r="727" spans="1:48" ht="12.75" hidden="1" customHeight="1" outlineLevel="2">
      <c r="A727" s="593"/>
      <c r="B727" s="431">
        <f>B584</f>
        <v>2010</v>
      </c>
      <c r="E727" s="563"/>
      <c r="F727" s="563"/>
      <c r="G727" s="563"/>
      <c r="H727" s="563"/>
      <c r="J727" s="563"/>
      <c r="S727" s="563"/>
      <c r="T727" s="416"/>
      <c r="U727" s="416"/>
      <c r="AC727" s="563"/>
      <c r="AJ727" s="563"/>
      <c r="AK727" s="416"/>
      <c r="AL727" s="416"/>
      <c r="AU727" s="563"/>
    </row>
    <row r="728" spans="1:48" ht="12.75" hidden="1" customHeight="1" outlineLevel="2">
      <c r="A728" s="410" t="str">
        <f>$A$12</f>
        <v>1Q</v>
      </c>
      <c r="B728" s="562" t="str">
        <f>$B$12</f>
        <v>Apr</v>
      </c>
      <c r="D728" s="645">
        <f>(X728/X721-1)*100</f>
        <v>223.02379125095931</v>
      </c>
      <c r="E728" s="563"/>
      <c r="F728" s="563"/>
      <c r="G728" s="682">
        <f>+D728</f>
        <v>223.02379125095931</v>
      </c>
      <c r="H728" s="563"/>
      <c r="I728" s="687" t="s">
        <v>378</v>
      </c>
      <c r="J728" s="563"/>
      <c r="K728" s="454">
        <v>1</v>
      </c>
      <c r="L728" s="454"/>
      <c r="M728" s="454"/>
      <c r="N728" s="454"/>
      <c r="P728" s="587">
        <f>+AVERAGE(K724,K728)</f>
        <v>1</v>
      </c>
      <c r="R728" s="645">
        <f>+(P728/P721-1)*100</f>
        <v>0</v>
      </c>
      <c r="S728" s="563"/>
      <c r="T728" s="691">
        <v>65</v>
      </c>
      <c r="U728" s="416"/>
      <c r="X728" s="579">
        <f>segSales!W108</f>
        <v>4.2089999999999996</v>
      </c>
      <c r="Z728" s="580"/>
      <c r="AB728" s="599"/>
      <c r="AC728" s="563"/>
      <c r="AE728" s="600"/>
      <c r="AG728" s="582"/>
      <c r="AI728" s="539"/>
      <c r="AJ728" s="563"/>
      <c r="AK728" s="595"/>
      <c r="AL728" s="416"/>
      <c r="AN728" s="579"/>
      <c r="AP728" s="583"/>
      <c r="AR728" s="583"/>
      <c r="AT728" s="599"/>
      <c r="AU728" s="563"/>
    </row>
    <row r="729" spans="1:48" ht="12.75" hidden="1" customHeight="1" outlineLevel="2">
      <c r="A729" s="410" t="str">
        <f>$A$13</f>
        <v>2Q</v>
      </c>
      <c r="B729" s="562" t="str">
        <f>$B$13</f>
        <v>Jul</v>
      </c>
      <c r="D729" s="645">
        <f>(X729/X722-1)*100</f>
        <v>146.45328719723184</v>
      </c>
      <c r="F729" s="563"/>
      <c r="G729" s="682">
        <f>+D729</f>
        <v>146.45328719723184</v>
      </c>
      <c r="I729" s="688" t="s">
        <v>378</v>
      </c>
      <c r="K729" s="454">
        <v>1</v>
      </c>
      <c r="L729" s="454"/>
      <c r="M729" s="454"/>
      <c r="N729" s="454"/>
      <c r="O729" s="454"/>
      <c r="P729" s="587">
        <f>AVERAGE(K729,K728)</f>
        <v>1</v>
      </c>
      <c r="R729" s="645">
        <f>+(P729/P722-1)*100</f>
        <v>0</v>
      </c>
      <c r="S729" s="563"/>
      <c r="T729" s="640">
        <v>65</v>
      </c>
      <c r="U729" s="416"/>
      <c r="X729" s="539">
        <f>segSales!W109</f>
        <v>5.6980000000000004</v>
      </c>
      <c r="Z729" s="585"/>
      <c r="AB729" s="599"/>
      <c r="AC729" s="563"/>
      <c r="AE729" s="600"/>
      <c r="AF729" s="454"/>
      <c r="AG729" s="582"/>
      <c r="AI729" s="539"/>
      <c r="AJ729" s="563"/>
      <c r="AK729" s="595"/>
      <c r="AL729" s="416"/>
      <c r="AN729" s="584"/>
      <c r="AP729" s="586"/>
      <c r="AR729" s="586"/>
      <c r="AT729" s="599"/>
      <c r="AU729" s="563"/>
    </row>
    <row r="730" spans="1:48" ht="12.75" hidden="1" customHeight="1" outlineLevel="2">
      <c r="A730" s="410" t="str">
        <f>$A$14</f>
        <v>3Q</v>
      </c>
      <c r="B730" s="562" t="str">
        <f>$B$14</f>
        <v>Oct</v>
      </c>
      <c r="D730" s="645">
        <f>(X730/X723-1)*100</f>
        <v>226.59486329743163</v>
      </c>
      <c r="F730" s="563"/>
      <c r="G730" s="682">
        <f>+D730</f>
        <v>226.59486329743163</v>
      </c>
      <c r="I730" s="688" t="s">
        <v>378</v>
      </c>
      <c r="K730" s="617">
        <f>+K729</f>
        <v>1</v>
      </c>
      <c r="L730" s="617"/>
      <c r="M730" s="617"/>
      <c r="N730" s="617"/>
      <c r="O730" s="454"/>
      <c r="P730" s="587">
        <f>AVERAGE(K730,K729)</f>
        <v>1</v>
      </c>
      <c r="R730" s="645">
        <f>+(P730/P723-1)*100</f>
        <v>0</v>
      </c>
      <c r="S730" s="563"/>
      <c r="T730" s="640">
        <v>65</v>
      </c>
      <c r="U730" s="416"/>
      <c r="X730" s="539">
        <f>segSales!W110</f>
        <v>3.9420000000000002</v>
      </c>
      <c r="Z730" s="585"/>
      <c r="AB730" s="599"/>
      <c r="AC730" s="563"/>
      <c r="AE730" s="600"/>
      <c r="AF730" s="454"/>
      <c r="AG730" s="582"/>
      <c r="AI730" s="539"/>
      <c r="AJ730" s="563"/>
      <c r="AK730" s="595"/>
      <c r="AL730" s="416"/>
      <c r="AN730" s="584"/>
      <c r="AP730" s="586"/>
      <c r="AR730" s="586"/>
      <c r="AT730" s="599"/>
      <c r="AU730" s="563"/>
    </row>
    <row r="731" spans="1:48" ht="12.75" hidden="1" customHeight="1" outlineLevel="2">
      <c r="A731" s="410" t="str">
        <f>$A$15</f>
        <v>4Q</v>
      </c>
      <c r="B731" s="562" t="str">
        <f>$B$15</f>
        <v>Jan</v>
      </c>
      <c r="D731" s="646">
        <f>(X731/X724-1)*100</f>
        <v>196.17524339360224</v>
      </c>
      <c r="F731" s="563"/>
      <c r="G731" s="683">
        <f>+D731</f>
        <v>196.17524339360224</v>
      </c>
      <c r="I731" s="689" t="s">
        <v>378</v>
      </c>
      <c r="K731" s="410">
        <f>yrSales!$R$30</f>
        <v>1</v>
      </c>
      <c r="O731" s="454"/>
      <c r="P731" s="588">
        <f>AVERAGE(K731,K730)</f>
        <v>1</v>
      </c>
      <c r="R731" s="646">
        <f>+(P731/P724-1)*100</f>
        <v>0</v>
      </c>
      <c r="S731" s="563"/>
      <c r="T731" s="648">
        <v>65</v>
      </c>
      <c r="U731" s="416"/>
      <c r="X731" s="596">
        <f>segSales!W111</f>
        <v>4.2590000000000003</v>
      </c>
      <c r="Z731" s="590"/>
      <c r="AB731" s="597"/>
      <c r="AC731" s="563"/>
      <c r="AE731" s="600"/>
      <c r="AF731" s="454"/>
      <c r="AG731" s="591"/>
      <c r="AI731" s="596"/>
      <c r="AJ731" s="563"/>
      <c r="AK731" s="598"/>
      <c r="AL731" s="416"/>
      <c r="AN731" s="589"/>
      <c r="AP731" s="592"/>
      <c r="AR731" s="592"/>
      <c r="AT731" s="597"/>
      <c r="AU731" s="563"/>
    </row>
    <row r="732" spans="1:48" ht="12.75" hidden="1" customHeight="1" outlineLevel="2">
      <c r="B732" s="562" t="str">
        <f>$B$16</f>
        <v>Year</v>
      </c>
      <c r="D732" s="618">
        <f>(X732/X725-1)*100</f>
        <v>189.26517571884983</v>
      </c>
      <c r="F732" s="563"/>
      <c r="G732" s="661">
        <f>+D732</f>
        <v>189.26517571884983</v>
      </c>
      <c r="I732" s="690" t="s">
        <v>378</v>
      </c>
      <c r="P732" s="587">
        <f>AVERAGE(P728:P731)</f>
        <v>1</v>
      </c>
      <c r="R732" s="618">
        <f>+(P732/P725-1)*100</f>
        <v>0</v>
      </c>
      <c r="S732" s="563"/>
      <c r="T732" s="687" t="s">
        <v>378</v>
      </c>
      <c r="U732" s="416"/>
      <c r="X732" s="579">
        <f>SUM(X728:X731)</f>
        <v>18.108000000000001</v>
      </c>
      <c r="Z732" s="580"/>
      <c r="AB732" s="599"/>
      <c r="AC732" s="563"/>
      <c r="AG732" s="582"/>
      <c r="AI732" s="539"/>
      <c r="AJ732" s="563"/>
      <c r="AK732" s="595"/>
      <c r="AL732" s="416"/>
      <c r="AN732" s="579"/>
      <c r="AP732" s="583"/>
      <c r="AR732" s="583"/>
      <c r="AT732" s="599"/>
      <c r="AU732" s="563"/>
    </row>
    <row r="733" spans="1:48" ht="12.75" hidden="1" customHeight="1" outlineLevel="1" collapsed="1">
      <c r="B733" s="562"/>
      <c r="D733" s="618"/>
      <c r="F733" s="563"/>
      <c r="G733" s="661"/>
      <c r="I733" s="618"/>
      <c r="P733" s="587"/>
      <c r="R733" s="618"/>
      <c r="S733" s="563"/>
      <c r="T733" s="595"/>
      <c r="U733" s="416"/>
      <c r="X733" s="579"/>
      <c r="Z733" s="580"/>
      <c r="AB733" s="599"/>
      <c r="AC733" s="563"/>
      <c r="AG733" s="582"/>
      <c r="AI733" s="539"/>
      <c r="AJ733" s="563"/>
      <c r="AK733" s="595"/>
      <c r="AL733" s="416"/>
      <c r="AN733" s="579"/>
      <c r="AP733" s="583"/>
      <c r="AR733" s="583"/>
      <c r="AT733" s="599"/>
      <c r="AU733" s="563"/>
    </row>
    <row r="734" spans="1:48" ht="12.75" hidden="1" customHeight="1" outlineLevel="1">
      <c r="A734" s="593"/>
      <c r="B734" s="431">
        <f>B727+1</f>
        <v>2011</v>
      </c>
      <c r="E734" s="563"/>
      <c r="F734" s="563"/>
      <c r="G734" s="563"/>
      <c r="H734" s="563"/>
      <c r="J734" s="563"/>
      <c r="S734" s="563"/>
      <c r="T734" s="416"/>
      <c r="U734" s="416"/>
      <c r="AC734" s="563"/>
      <c r="AJ734" s="563"/>
      <c r="AK734" s="416"/>
      <c r="AL734" s="416"/>
      <c r="AU734" s="563"/>
    </row>
    <row r="735" spans="1:48" ht="12.75" hidden="1" customHeight="1" outlineLevel="1">
      <c r="A735" s="410" t="str">
        <f>$A$12</f>
        <v>1Q</v>
      </c>
      <c r="B735" s="562" t="str">
        <f>$B$12</f>
        <v>Apr</v>
      </c>
      <c r="D735" s="645">
        <f>(X735/X728-1)*100</f>
        <v>34.521263958184846</v>
      </c>
      <c r="E735" s="563"/>
      <c r="F735" s="563"/>
      <c r="G735" s="682">
        <f>+D735</f>
        <v>34.521263958184846</v>
      </c>
      <c r="H735" s="563"/>
      <c r="I735" s="687" t="s">
        <v>378</v>
      </c>
      <c r="J735" s="563"/>
      <c r="K735" s="454">
        <v>1</v>
      </c>
      <c r="L735" s="454"/>
      <c r="M735" s="454"/>
      <c r="N735" s="454"/>
      <c r="P735" s="587">
        <f>+AVERAGE(K731,K735)</f>
        <v>1</v>
      </c>
      <c r="R735" s="645">
        <f>+(P735/P728-1)*100</f>
        <v>0</v>
      </c>
      <c r="S735" s="563"/>
      <c r="T735" s="640">
        <v>65</v>
      </c>
      <c r="U735" s="416"/>
      <c r="X735" s="579">
        <f>+segSales!W117</f>
        <v>5.6619999999999999</v>
      </c>
      <c r="Z735" s="637"/>
      <c r="AA735" s="416"/>
      <c r="AB735" s="599"/>
      <c r="AC735" s="632"/>
      <c r="AD735" s="416"/>
      <c r="AE735" s="692"/>
      <c r="AF735" s="416"/>
      <c r="AG735" s="693"/>
      <c r="AH735" s="416"/>
      <c r="AI735" s="635"/>
      <c r="AJ735" s="632"/>
      <c r="AK735" s="595"/>
      <c r="AL735" s="416"/>
      <c r="AM735" s="416"/>
      <c r="AN735" s="628"/>
      <c r="AO735" s="416"/>
      <c r="AP735" s="639"/>
      <c r="AQ735" s="416"/>
      <c r="AR735" s="639"/>
      <c r="AS735" s="416"/>
      <c r="AT735" s="599"/>
      <c r="AU735" s="632"/>
      <c r="AV735" s="416"/>
    </row>
    <row r="736" spans="1:48" ht="12.75" hidden="1" customHeight="1" outlineLevel="1">
      <c r="A736" s="410" t="str">
        <f>$A$13</f>
        <v>2Q</v>
      </c>
      <c r="B736" s="562" t="str">
        <f>$B$13</f>
        <v>Jul</v>
      </c>
      <c r="D736" s="645">
        <f>(X736/X729-1)*100</f>
        <v>-17.514917514917517</v>
      </c>
      <c r="F736" s="563"/>
      <c r="G736" s="682">
        <f>+D736</f>
        <v>-17.514917514917517</v>
      </c>
      <c r="I736" s="688" t="s">
        <v>378</v>
      </c>
      <c r="K736" s="454">
        <v>1</v>
      </c>
      <c r="L736" s="454"/>
      <c r="M736" s="454"/>
      <c r="N736" s="454"/>
      <c r="O736" s="454"/>
      <c r="P736" s="587">
        <f>AVERAGE(K736,K735)</f>
        <v>1</v>
      </c>
      <c r="R736" s="645">
        <f>+(P736/P729-1)*100</f>
        <v>0</v>
      </c>
      <c r="S736" s="563"/>
      <c r="T736" s="640">
        <v>65</v>
      </c>
      <c r="U736" s="416"/>
      <c r="X736" s="539">
        <f>+segSales!W118</f>
        <v>4.7</v>
      </c>
      <c r="Z736" s="642"/>
      <c r="AA736" s="416"/>
      <c r="AB736" s="599"/>
      <c r="AC736" s="632"/>
      <c r="AD736" s="416"/>
      <c r="AE736" s="692"/>
      <c r="AF736" s="459"/>
      <c r="AG736" s="693"/>
      <c r="AH736" s="416"/>
      <c r="AI736" s="635"/>
      <c r="AJ736" s="632"/>
      <c r="AK736" s="595"/>
      <c r="AL736" s="416"/>
      <c r="AM736" s="416"/>
      <c r="AN736" s="610"/>
      <c r="AO736" s="416"/>
      <c r="AP736" s="643"/>
      <c r="AQ736" s="416"/>
      <c r="AR736" s="643"/>
      <c r="AS736" s="416"/>
      <c r="AT736" s="599"/>
      <c r="AU736" s="632"/>
      <c r="AV736" s="416"/>
    </row>
    <row r="737" spans="1:48" ht="12.75" hidden="1" customHeight="1" outlineLevel="1">
      <c r="A737" s="410" t="str">
        <f>$A$14</f>
        <v>3Q</v>
      </c>
      <c r="B737" s="562" t="str">
        <f>$B$14</f>
        <v>Oct</v>
      </c>
      <c r="D737" s="645">
        <f>(X737/X730-1)*100</f>
        <v>3.1709791983764557</v>
      </c>
      <c r="F737" s="563"/>
      <c r="G737" s="682">
        <f>+D737</f>
        <v>3.1709791983764557</v>
      </c>
      <c r="I737" s="688" t="s">
        <v>378</v>
      </c>
      <c r="K737" s="454">
        <f>+K736</f>
        <v>1</v>
      </c>
      <c r="L737" s="454"/>
      <c r="M737" s="454"/>
      <c r="N737" s="454"/>
      <c r="O737" s="454"/>
      <c r="P737" s="587">
        <f>AVERAGE(K737,K736)</f>
        <v>1</v>
      </c>
      <c r="R737" s="645">
        <f>+(P737/P730-1)*100</f>
        <v>0</v>
      </c>
      <c r="S737" s="563"/>
      <c r="T737" s="640">
        <v>65</v>
      </c>
      <c r="U737" s="416"/>
      <c r="X737" s="539">
        <f>+segSales!W119-X781</f>
        <v>4.0670000000000002</v>
      </c>
      <c r="Z737" s="642"/>
      <c r="AA737" s="416"/>
      <c r="AB737" s="599"/>
      <c r="AC737" s="632"/>
      <c r="AD737" s="416"/>
      <c r="AE737" s="692"/>
      <c r="AF737" s="459"/>
      <c r="AG737" s="693"/>
      <c r="AH737" s="416"/>
      <c r="AI737" s="635"/>
      <c r="AJ737" s="632"/>
      <c r="AK737" s="595"/>
      <c r="AL737" s="416"/>
      <c r="AM737" s="416"/>
      <c r="AN737" s="610"/>
      <c r="AO737" s="416"/>
      <c r="AP737" s="643"/>
      <c r="AQ737" s="416"/>
      <c r="AR737" s="643"/>
      <c r="AS737" s="416"/>
      <c r="AT737" s="599"/>
      <c r="AU737" s="632"/>
      <c r="AV737" s="416"/>
    </row>
    <row r="738" spans="1:48" ht="12.75" hidden="1" customHeight="1" outlineLevel="1">
      <c r="A738" s="410" t="str">
        <f>$A$15</f>
        <v>4Q</v>
      </c>
      <c r="B738" s="562" t="str">
        <f>$B$15</f>
        <v>Jan</v>
      </c>
      <c r="D738" s="646">
        <f>(X738/X731-1)*100</f>
        <v>435.83000704390696</v>
      </c>
      <c r="F738" s="563"/>
      <c r="G738" s="683">
        <f>+D738</f>
        <v>435.83000704390696</v>
      </c>
      <c r="I738" s="689" t="s">
        <v>378</v>
      </c>
      <c r="K738" s="694">
        <f>yrSales!$S$30</f>
        <v>1</v>
      </c>
      <c r="L738" s="694"/>
      <c r="M738" s="694"/>
      <c r="N738" s="694"/>
      <c r="O738" s="454"/>
      <c r="P738" s="588">
        <f>AVERAGE(K738,K737)</f>
        <v>1</v>
      </c>
      <c r="R738" s="646">
        <f>+(P738/P731-1)*100</f>
        <v>0</v>
      </c>
      <c r="S738" s="563"/>
      <c r="T738" s="648">
        <v>65</v>
      </c>
      <c r="U738" s="416"/>
      <c r="X738" s="596">
        <f>+segSales!W120-X782</f>
        <v>22.820999999999998</v>
      </c>
      <c r="Z738" s="642"/>
      <c r="AA738" s="416"/>
      <c r="AB738" s="599"/>
      <c r="AC738" s="632"/>
      <c r="AD738" s="416"/>
      <c r="AE738" s="692"/>
      <c r="AF738" s="459"/>
      <c r="AG738" s="693"/>
      <c r="AH738" s="416"/>
      <c r="AI738" s="635"/>
      <c r="AJ738" s="632"/>
      <c r="AK738" s="595"/>
      <c r="AL738" s="416"/>
      <c r="AM738" s="416"/>
      <c r="AN738" s="610"/>
      <c r="AO738" s="416"/>
      <c r="AP738" s="643"/>
      <c r="AQ738" s="416"/>
      <c r="AR738" s="643"/>
      <c r="AS738" s="416"/>
      <c r="AT738" s="599"/>
      <c r="AU738" s="632"/>
      <c r="AV738" s="416"/>
    </row>
    <row r="739" spans="1:48" ht="12.75" hidden="1" customHeight="1" outlineLevel="1">
      <c r="B739" s="562" t="str">
        <f>$B$16</f>
        <v>Year</v>
      </c>
      <c r="D739" s="618">
        <f>(X739/X732-1)*100</f>
        <v>105.71018334437818</v>
      </c>
      <c r="F739" s="563"/>
      <c r="G739" s="661">
        <f>G735*X735/X739+G736*X736/X739+G737*X737/X739+G738*X738/X739</f>
        <v>270.39227509691079</v>
      </c>
      <c r="I739" s="690" t="s">
        <v>378</v>
      </c>
      <c r="P739" s="587">
        <f>AVERAGE(P735:P738)</f>
        <v>1</v>
      </c>
      <c r="R739" s="618">
        <f>+(P739/P732-1)*100</f>
        <v>0</v>
      </c>
      <c r="S739" s="563"/>
      <c r="T739" s="687" t="s">
        <v>378</v>
      </c>
      <c r="U739" s="416"/>
      <c r="X739" s="579">
        <f>SUM(X735:X738)</f>
        <v>37.25</v>
      </c>
      <c r="Z739" s="637"/>
      <c r="AA739" s="416"/>
      <c r="AB739" s="599"/>
      <c r="AC739" s="632"/>
      <c r="AD739" s="416"/>
      <c r="AE739" s="416"/>
      <c r="AF739" s="416"/>
      <c r="AG739" s="693"/>
      <c r="AH739" s="416"/>
      <c r="AI739" s="635"/>
      <c r="AJ739" s="632"/>
      <c r="AK739" s="595"/>
      <c r="AL739" s="416"/>
      <c r="AM739" s="416"/>
      <c r="AN739" s="628"/>
      <c r="AO739" s="416"/>
      <c r="AP739" s="639"/>
      <c r="AQ739" s="416"/>
      <c r="AR739" s="639"/>
      <c r="AS739" s="416"/>
      <c r="AT739" s="599"/>
      <c r="AU739" s="632"/>
      <c r="AV739" s="416"/>
    </row>
    <row r="740" spans="1:48" ht="12.75" hidden="1" customHeight="1" outlineLevel="1">
      <c r="B740" s="562"/>
      <c r="D740" s="618"/>
      <c r="F740" s="563"/>
      <c r="G740" s="661"/>
      <c r="I740" s="618"/>
      <c r="P740" s="587"/>
      <c r="R740" s="618"/>
      <c r="S740" s="563"/>
      <c r="T740" s="595"/>
      <c r="U740" s="416"/>
      <c r="X740" s="527">
        <f>+X739/segSales!Z120</f>
        <v>2.0290538726059206E-2</v>
      </c>
      <c r="Z740" s="637"/>
      <c r="AA740" s="416"/>
      <c r="AB740" s="599"/>
      <c r="AC740" s="632"/>
      <c r="AD740" s="416"/>
      <c r="AE740" s="416"/>
      <c r="AF740" s="416"/>
      <c r="AG740" s="693"/>
      <c r="AH740" s="416"/>
      <c r="AI740" s="635"/>
      <c r="AJ740" s="632"/>
      <c r="AK740" s="595"/>
      <c r="AL740" s="416"/>
      <c r="AM740" s="416"/>
      <c r="AN740" s="628"/>
      <c r="AO740" s="416"/>
      <c r="AP740" s="639"/>
      <c r="AQ740" s="416"/>
      <c r="AR740" s="639"/>
      <c r="AS740" s="416"/>
      <c r="AT740" s="599"/>
      <c r="AU740" s="632"/>
      <c r="AV740" s="416"/>
    </row>
    <row r="741" spans="1:48" ht="12.75" hidden="1" customHeight="1" outlineLevel="1">
      <c r="A741" s="593"/>
      <c r="B741" s="431">
        <f>B598</f>
        <v>2012</v>
      </c>
      <c r="E741" s="563"/>
      <c r="F741" s="563"/>
      <c r="G741" s="563"/>
      <c r="H741" s="563"/>
      <c r="J741" s="563"/>
      <c r="S741" s="563"/>
      <c r="T741" s="416"/>
      <c r="U741" s="416"/>
      <c r="Z741" s="416"/>
      <c r="AA741" s="416"/>
      <c r="AB741" s="416"/>
      <c r="AC741" s="632"/>
      <c r="AD741" s="416"/>
      <c r="AE741" s="416"/>
      <c r="AF741" s="416"/>
      <c r="AG741" s="416"/>
      <c r="AH741" s="416"/>
      <c r="AI741" s="416"/>
      <c r="AJ741" s="632"/>
      <c r="AK741" s="416"/>
      <c r="AL741" s="416"/>
      <c r="AM741" s="416"/>
      <c r="AN741" s="416"/>
      <c r="AO741" s="416"/>
      <c r="AP741" s="416"/>
      <c r="AQ741" s="416"/>
      <c r="AR741" s="416"/>
      <c r="AS741" s="416"/>
      <c r="AT741" s="416"/>
      <c r="AU741" s="632"/>
      <c r="AV741" s="416"/>
    </row>
    <row r="742" spans="1:48" ht="12.75" hidden="1" customHeight="1" outlineLevel="1">
      <c r="A742" s="410" t="str">
        <f>$A$12</f>
        <v>1Q</v>
      </c>
      <c r="B742" s="562" t="str">
        <f>$B$12</f>
        <v>Apr</v>
      </c>
      <c r="D742" s="645">
        <f>G742+I742</f>
        <v>25</v>
      </c>
      <c r="E742" s="563"/>
      <c r="F742" s="563"/>
      <c r="G742" s="682">
        <v>25</v>
      </c>
      <c r="H742" s="563"/>
      <c r="I742" s="645">
        <f>R742*T742/100</f>
        <v>0</v>
      </c>
      <c r="J742" s="563"/>
      <c r="K742" s="454">
        <v>1</v>
      </c>
      <c r="L742" s="454"/>
      <c r="M742" s="454"/>
      <c r="N742" s="454"/>
      <c r="P742" s="587">
        <f>+AVERAGE(K738,K742)</f>
        <v>1</v>
      </c>
      <c r="R742" s="645">
        <f>+(P742/P735-1)*100</f>
        <v>0</v>
      </c>
      <c r="S742" s="563"/>
      <c r="T742" s="640">
        <v>65</v>
      </c>
      <c r="U742" s="416"/>
      <c r="X742" s="579">
        <f>+segSales!W124-X786</f>
        <v>8.4090000000000007</v>
      </c>
      <c r="Z742" s="637"/>
      <c r="AA742" s="416"/>
      <c r="AB742" s="599"/>
      <c r="AC742" s="632"/>
      <c r="AD742" s="416"/>
      <c r="AE742" s="692"/>
      <c r="AF742" s="416"/>
      <c r="AG742" s="693"/>
      <c r="AH742" s="416"/>
      <c r="AI742" s="635"/>
      <c r="AJ742" s="632"/>
      <c r="AK742" s="595"/>
      <c r="AL742" s="416"/>
      <c r="AM742" s="416"/>
      <c r="AN742" s="628"/>
      <c r="AO742" s="416"/>
      <c r="AP742" s="639"/>
      <c r="AQ742" s="416"/>
      <c r="AR742" s="639"/>
      <c r="AS742" s="416"/>
      <c r="AT742" s="599"/>
      <c r="AU742" s="632"/>
      <c r="AV742" s="416"/>
    </row>
    <row r="743" spans="1:48" ht="12.75" hidden="1" customHeight="1" outlineLevel="1">
      <c r="A743" s="410" t="str">
        <f>$A$13</f>
        <v>2Q</v>
      </c>
      <c r="B743" s="562" t="str">
        <f>$B$13</f>
        <v>Jul</v>
      </c>
      <c r="D743" s="645">
        <f>G743+I743</f>
        <v>52.5</v>
      </c>
      <c r="F743" s="563"/>
      <c r="G743" s="682">
        <v>20</v>
      </c>
      <c r="I743" s="645">
        <f>R743*T743/100</f>
        <v>32.5</v>
      </c>
      <c r="K743" s="454">
        <v>2</v>
      </c>
      <c r="L743" s="454"/>
      <c r="M743" s="454"/>
      <c r="N743" s="454"/>
      <c r="O743" s="454"/>
      <c r="P743" s="587">
        <f>AVERAGE(K743,K742)</f>
        <v>1.5</v>
      </c>
      <c r="R743" s="645">
        <f>+(P743/P736-1)*100</f>
        <v>50</v>
      </c>
      <c r="S743" s="563"/>
      <c r="T743" s="640">
        <v>65</v>
      </c>
      <c r="U743" s="416"/>
      <c r="X743" s="539">
        <f>segSales!W124-qtrSales!X787</f>
        <v>8.4090000000000007</v>
      </c>
      <c r="Z743" s="642"/>
      <c r="AA743" s="416"/>
      <c r="AB743" s="599"/>
      <c r="AC743" s="632"/>
      <c r="AD743" s="416"/>
      <c r="AE743" s="692"/>
      <c r="AF743" s="459"/>
      <c r="AG743" s="693"/>
      <c r="AH743" s="416"/>
      <c r="AI743" s="635"/>
      <c r="AJ743" s="632"/>
      <c r="AK743" s="595"/>
      <c r="AL743" s="416"/>
      <c r="AM743" s="416"/>
      <c r="AN743" s="610"/>
      <c r="AO743" s="416"/>
      <c r="AP743" s="643"/>
      <c r="AQ743" s="416"/>
      <c r="AR743" s="643"/>
      <c r="AS743" s="416"/>
      <c r="AT743" s="599"/>
      <c r="AU743" s="632"/>
      <c r="AV743" s="416"/>
    </row>
    <row r="744" spans="1:48" ht="12.75" hidden="1" customHeight="1" outlineLevel="1">
      <c r="A744" s="410" t="str">
        <f>$A$14</f>
        <v>3Q</v>
      </c>
      <c r="B744" s="562" t="str">
        <f>$B$14</f>
        <v>Oct</v>
      </c>
      <c r="D744" s="645">
        <f>G744+I744</f>
        <v>85</v>
      </c>
      <c r="F744" s="563"/>
      <c r="G744" s="682">
        <v>20</v>
      </c>
      <c r="I744" s="645">
        <f>R744*T744/100</f>
        <v>65</v>
      </c>
      <c r="K744" s="454">
        <v>2</v>
      </c>
      <c r="L744" s="454"/>
      <c r="M744" s="454"/>
      <c r="N744" s="454"/>
      <c r="O744" s="454"/>
      <c r="P744" s="587">
        <f>AVERAGE(K744,K743)</f>
        <v>2</v>
      </c>
      <c r="R744" s="645">
        <f>+(P744/P737-1)*100</f>
        <v>100</v>
      </c>
      <c r="S744" s="563"/>
      <c r="T744" s="640">
        <v>65</v>
      </c>
      <c r="U744" s="416"/>
      <c r="X744" s="539">
        <f>segSales!W125-qtrSales!X788</f>
        <v>4.673</v>
      </c>
      <c r="Z744" s="642"/>
      <c r="AA744" s="416"/>
      <c r="AB744" s="599"/>
      <c r="AC744" s="632"/>
      <c r="AD744" s="416"/>
      <c r="AE744" s="692"/>
      <c r="AF744" s="459"/>
      <c r="AG744" s="693"/>
      <c r="AH744" s="416"/>
      <c r="AI744" s="635"/>
      <c r="AJ744" s="632"/>
      <c r="AK744" s="595"/>
      <c r="AL744" s="416"/>
      <c r="AM744" s="416"/>
      <c r="AN744" s="610"/>
      <c r="AO744" s="416"/>
      <c r="AP744" s="643"/>
      <c r="AQ744" s="416"/>
      <c r="AR744" s="643"/>
      <c r="AS744" s="416"/>
      <c r="AT744" s="599"/>
      <c r="AU744" s="632"/>
      <c r="AV744" s="416"/>
    </row>
    <row r="745" spans="1:48" ht="12.75" hidden="1" customHeight="1" outlineLevel="1">
      <c r="A745" s="410" t="str">
        <f>$A$15</f>
        <v>4Q</v>
      </c>
      <c r="B745" s="562" t="str">
        <f>$B$15</f>
        <v>Jan</v>
      </c>
      <c r="D745" s="646">
        <f>G745+I745</f>
        <v>85</v>
      </c>
      <c r="F745" s="563"/>
      <c r="G745" s="683">
        <v>20</v>
      </c>
      <c r="I745" s="646">
        <f>R745*T745/100</f>
        <v>65</v>
      </c>
      <c r="K745" s="454">
        <f>yrSales!$T$30</f>
        <v>2</v>
      </c>
      <c r="L745" s="454"/>
      <c r="M745" s="454"/>
      <c r="N745" s="454"/>
      <c r="O745" s="454"/>
      <c r="P745" s="588">
        <f>AVERAGE(K745,K744)</f>
        <v>2</v>
      </c>
      <c r="R745" s="646">
        <f>+(P745/P738-1)*100</f>
        <v>100</v>
      </c>
      <c r="S745" s="563"/>
      <c r="T745" s="648">
        <v>65</v>
      </c>
      <c r="U745" s="416"/>
      <c r="X745" s="596">
        <f>segSales!W126-qtrSales!X789</f>
        <v>6.4209999999999994</v>
      </c>
      <c r="Z745" s="642"/>
      <c r="AA745" s="416"/>
      <c r="AB745" s="599"/>
      <c r="AC745" s="632"/>
      <c r="AD745" s="416"/>
      <c r="AE745" s="692"/>
      <c r="AF745" s="459"/>
      <c r="AG745" s="693"/>
      <c r="AH745" s="416"/>
      <c r="AI745" s="635"/>
      <c r="AJ745" s="632"/>
      <c r="AK745" s="595"/>
      <c r="AL745" s="416"/>
      <c r="AM745" s="416"/>
      <c r="AN745" s="610"/>
      <c r="AO745" s="416"/>
      <c r="AP745" s="643"/>
      <c r="AQ745" s="416"/>
      <c r="AR745" s="643"/>
      <c r="AS745" s="416"/>
      <c r="AT745" s="599"/>
      <c r="AU745" s="632"/>
      <c r="AV745" s="416"/>
    </row>
    <row r="746" spans="1:48" ht="12.75" hidden="1" customHeight="1" outlineLevel="1">
      <c r="B746" s="562" t="str">
        <f>$B$16</f>
        <v>Year</v>
      </c>
      <c r="D746" s="618">
        <f>(X746/X739-1)*100</f>
        <v>-25.068456375838931</v>
      </c>
      <c r="F746" s="563"/>
      <c r="G746" s="661">
        <f>G742*X742/X746+G743*X743/X746+G744*X744/X746+G745*X745/X746</f>
        <v>21.506341358555463</v>
      </c>
      <c r="I746" s="618">
        <f>D746-G746</f>
        <v>-46.574797734394394</v>
      </c>
      <c r="P746" s="587">
        <f>AVERAGE(P742:P745)</f>
        <v>1.625</v>
      </c>
      <c r="R746" s="618">
        <f>+(P746/P739-1)*100</f>
        <v>62.5</v>
      </c>
      <c r="S746" s="563"/>
      <c r="T746" s="687" t="s">
        <v>378</v>
      </c>
      <c r="U746" s="416"/>
      <c r="X746" s="579">
        <f>SUM(X742:X745)</f>
        <v>27.911999999999999</v>
      </c>
      <c r="Z746" s="637"/>
      <c r="AA746" s="416"/>
      <c r="AB746" s="599"/>
      <c r="AC746" s="632"/>
      <c r="AD746" s="416"/>
      <c r="AE746" s="416"/>
      <c r="AF746" s="416"/>
      <c r="AG746" s="693"/>
      <c r="AH746" s="416"/>
      <c r="AI746" s="635"/>
      <c r="AJ746" s="632"/>
      <c r="AK746" s="595"/>
      <c r="AL746" s="416"/>
      <c r="AM746" s="416"/>
      <c r="AN746" s="628"/>
      <c r="AO746" s="416"/>
      <c r="AP746" s="639"/>
      <c r="AQ746" s="416"/>
      <c r="AR746" s="639"/>
      <c r="AS746" s="416"/>
      <c r="AT746" s="599"/>
      <c r="AU746" s="632"/>
      <c r="AV746" s="416"/>
    </row>
    <row r="747" spans="1:48" ht="12.75" hidden="1" customHeight="1" outlineLevel="1">
      <c r="B747" s="562"/>
      <c r="D747" s="618"/>
      <c r="F747" s="563"/>
      <c r="G747" s="661"/>
      <c r="I747" s="618"/>
      <c r="P747" s="587"/>
      <c r="R747" s="618"/>
      <c r="S747" s="563"/>
      <c r="T747" s="687"/>
      <c r="U747" s="416"/>
      <c r="X747" s="579"/>
      <c r="Z747" s="637"/>
      <c r="AA747" s="416"/>
      <c r="AB747" s="599"/>
      <c r="AC747" s="632"/>
      <c r="AD747" s="416"/>
      <c r="AE747" s="416"/>
      <c r="AF747" s="416"/>
      <c r="AG747" s="693"/>
      <c r="AH747" s="416"/>
      <c r="AI747" s="635"/>
      <c r="AJ747" s="632"/>
      <c r="AK747" s="595"/>
      <c r="AL747" s="416"/>
      <c r="AM747" s="416"/>
      <c r="AN747" s="628"/>
      <c r="AO747" s="416"/>
      <c r="AP747" s="639"/>
      <c r="AQ747" s="416"/>
      <c r="AR747" s="639"/>
      <c r="AS747" s="416"/>
      <c r="AT747" s="599"/>
      <c r="AU747" s="632"/>
      <c r="AV747" s="416"/>
    </row>
    <row r="748" spans="1:48" ht="12.75" hidden="1" customHeight="1" outlineLevel="1">
      <c r="A748" s="593"/>
      <c r="B748" s="431">
        <f>B605</f>
        <v>2013</v>
      </c>
      <c r="D748" s="618"/>
      <c r="F748" s="563"/>
      <c r="G748" s="661"/>
      <c r="I748" s="618"/>
      <c r="P748" s="587"/>
      <c r="R748" s="618"/>
      <c r="S748" s="563"/>
      <c r="T748" s="687"/>
      <c r="U748" s="416"/>
      <c r="X748" s="579"/>
      <c r="Z748" s="580"/>
      <c r="AB748" s="599"/>
      <c r="AC748" s="563"/>
      <c r="AG748" s="582"/>
      <c r="AI748" s="539"/>
      <c r="AJ748" s="563"/>
      <c r="AK748" s="595"/>
      <c r="AL748" s="416"/>
      <c r="AN748" s="579"/>
      <c r="AP748" s="583"/>
      <c r="AR748" s="583"/>
      <c r="AT748" s="599"/>
      <c r="AU748" s="563"/>
    </row>
    <row r="749" spans="1:48" ht="12.75" hidden="1" customHeight="1" outlineLevel="1">
      <c r="A749" s="410" t="str">
        <f>$A$12</f>
        <v>1Q</v>
      </c>
      <c r="B749" s="562" t="str">
        <f>$B$12</f>
        <v>Apr</v>
      </c>
      <c r="D749" s="645">
        <f>G749+I749</f>
        <v>85</v>
      </c>
      <c r="F749" s="563"/>
      <c r="G749" s="682">
        <v>20</v>
      </c>
      <c r="I749" s="645">
        <f>R749*T749/100</f>
        <v>65</v>
      </c>
      <c r="K749" s="454">
        <v>2</v>
      </c>
      <c r="L749" s="454"/>
      <c r="M749" s="454"/>
      <c r="N749" s="454"/>
      <c r="P749" s="587">
        <f>+AVERAGE(K745,K749)</f>
        <v>2</v>
      </c>
      <c r="R749" s="645">
        <f>+(P749/P742-1)*100</f>
        <v>100</v>
      </c>
      <c r="S749" s="563"/>
      <c r="T749" s="640">
        <v>65</v>
      </c>
      <c r="U749" s="416"/>
      <c r="X749" s="579">
        <f>segSales!W130-qtrSales!X793</f>
        <v>5.3949999999999996</v>
      </c>
      <c r="Z749" s="580"/>
      <c r="AB749" s="599"/>
      <c r="AC749" s="563"/>
      <c r="AG749" s="582"/>
      <c r="AI749" s="539"/>
      <c r="AJ749" s="563"/>
      <c r="AK749" s="595"/>
      <c r="AL749" s="416"/>
      <c r="AN749" s="579"/>
      <c r="AP749" s="583"/>
      <c r="AR749" s="583"/>
      <c r="AT749" s="599"/>
      <c r="AU749" s="563"/>
    </row>
    <row r="750" spans="1:48" ht="12.75" hidden="1" customHeight="1" outlineLevel="1">
      <c r="A750" s="410" t="str">
        <f>$A$13</f>
        <v>2Q</v>
      </c>
      <c r="B750" s="562" t="str">
        <f>$B$13</f>
        <v>Jul</v>
      </c>
      <c r="D750" s="645">
        <f>G750+I750</f>
        <v>41.666666666666664</v>
      </c>
      <c r="F750" s="563"/>
      <c r="G750" s="682">
        <v>20</v>
      </c>
      <c r="I750" s="645">
        <f>R750*T750/100</f>
        <v>21.666666666666664</v>
      </c>
      <c r="K750" s="454">
        <v>2</v>
      </c>
      <c r="L750" s="454"/>
      <c r="M750" s="454"/>
      <c r="N750" s="454"/>
      <c r="P750" s="587">
        <f>AVERAGE(K750,K749)</f>
        <v>2</v>
      </c>
      <c r="R750" s="645">
        <f>+(P750/P743-1)*100</f>
        <v>33.333333333333329</v>
      </c>
      <c r="S750" s="563"/>
      <c r="T750" s="640">
        <v>65</v>
      </c>
      <c r="U750" s="416"/>
      <c r="X750" s="539">
        <f>segSales!W131-qtrSales!X794</f>
        <v>7.6489999999999991</v>
      </c>
      <c r="Z750" s="580"/>
      <c r="AB750" s="599"/>
      <c r="AC750" s="563"/>
      <c r="AG750" s="582"/>
      <c r="AI750" s="539"/>
      <c r="AJ750" s="563"/>
      <c r="AK750" s="595"/>
      <c r="AL750" s="416"/>
      <c r="AN750" s="579"/>
      <c r="AP750" s="583"/>
      <c r="AR750" s="583"/>
      <c r="AT750" s="599"/>
      <c r="AU750" s="563"/>
    </row>
    <row r="751" spans="1:48" ht="12.75" hidden="1" customHeight="1" outlineLevel="1">
      <c r="A751" s="410" t="str">
        <f>$A$14</f>
        <v>3Q</v>
      </c>
      <c r="B751" s="562" t="str">
        <f>$B$14</f>
        <v>Oct</v>
      </c>
      <c r="D751" s="645">
        <f>G751+I751</f>
        <v>20</v>
      </c>
      <c r="F751" s="563"/>
      <c r="G751" s="682">
        <v>20</v>
      </c>
      <c r="I751" s="645">
        <f>R751*T751/100</f>
        <v>0</v>
      </c>
      <c r="K751" s="454">
        <v>2</v>
      </c>
      <c r="L751" s="454"/>
      <c r="M751" s="454"/>
      <c r="N751" s="454"/>
      <c r="O751" s="454"/>
      <c r="P751" s="587">
        <f>AVERAGE(K751,K750)</f>
        <v>2</v>
      </c>
      <c r="R751" s="645">
        <f>+(P751/P744-1)*100</f>
        <v>0</v>
      </c>
      <c r="S751" s="563"/>
      <c r="T751" s="640">
        <v>65</v>
      </c>
      <c r="U751" s="416"/>
      <c r="X751" s="539">
        <f>segSales!W132-qtrSales!X795</f>
        <v>7.0340000000000007</v>
      </c>
      <c r="Z751" s="580"/>
      <c r="AB751" s="599"/>
      <c r="AC751" s="563"/>
      <c r="AG751" s="582"/>
      <c r="AI751" s="539"/>
      <c r="AJ751" s="563"/>
      <c r="AK751" s="595"/>
      <c r="AL751" s="416"/>
      <c r="AN751" s="579"/>
      <c r="AP751" s="583"/>
      <c r="AR751" s="583"/>
      <c r="AT751" s="599"/>
      <c r="AU751" s="563"/>
    </row>
    <row r="752" spans="1:48" ht="12.75" hidden="1" customHeight="1" outlineLevel="1">
      <c r="A752" s="410" t="str">
        <f>$A$15</f>
        <v>4Q</v>
      </c>
      <c r="B752" s="562" t="str">
        <f>$B$15</f>
        <v>Jan</v>
      </c>
      <c r="D752" s="646">
        <f>G752+I752</f>
        <v>20</v>
      </c>
      <c r="F752" s="563"/>
      <c r="G752" s="683">
        <v>20</v>
      </c>
      <c r="I752" s="646">
        <f>R752*T752/100</f>
        <v>0</v>
      </c>
      <c r="K752" s="694">
        <f>yrSales!$T$30</f>
        <v>2</v>
      </c>
      <c r="L752" s="694"/>
      <c r="M752" s="694"/>
      <c r="N752" s="694"/>
      <c r="O752" s="454"/>
      <c r="P752" s="588">
        <f>AVERAGE(K752,K751)</f>
        <v>2</v>
      </c>
      <c r="R752" s="646">
        <f>+(P752/P745-1)*100</f>
        <v>0</v>
      </c>
      <c r="S752" s="563"/>
      <c r="T752" s="648">
        <v>65</v>
      </c>
      <c r="U752" s="416"/>
      <c r="X752" s="596">
        <f>segSales!W133-qtrSales!X796</f>
        <v>8.6169999999999991</v>
      </c>
      <c r="Z752" s="580"/>
      <c r="AB752" s="599"/>
      <c r="AC752" s="563"/>
      <c r="AG752" s="582"/>
      <c r="AI752" s="539"/>
      <c r="AJ752" s="563"/>
      <c r="AK752" s="595"/>
      <c r="AL752" s="416"/>
      <c r="AN752" s="579"/>
      <c r="AP752" s="583"/>
      <c r="AR752" s="583"/>
      <c r="AT752" s="599"/>
      <c r="AU752" s="563"/>
    </row>
    <row r="753" spans="1:47" ht="12.75" hidden="1" customHeight="1" outlineLevel="1">
      <c r="B753" s="562" t="str">
        <f>$B$16</f>
        <v>Year</v>
      </c>
      <c r="D753" s="618">
        <f>(X753/X746-1)*100</f>
        <v>2.8052450558899489</v>
      </c>
      <c r="F753" s="563"/>
      <c r="G753" s="661">
        <f>G749*X749/X753+G750*X750/X753+G751*X751/X753+G752*X752/X753</f>
        <v>20</v>
      </c>
      <c r="I753" s="618">
        <f>D753-G753</f>
        <v>-17.194754944110052</v>
      </c>
      <c r="P753" s="587">
        <f>AVERAGE(P749:P752)</f>
        <v>2</v>
      </c>
      <c r="R753" s="618">
        <f>+(P753/P746-1)*100</f>
        <v>23.076923076923084</v>
      </c>
      <c r="S753" s="563"/>
      <c r="T753" s="687" t="s">
        <v>378</v>
      </c>
      <c r="U753" s="416"/>
      <c r="X753" s="579">
        <f>SUM(X749:X752)</f>
        <v>28.695</v>
      </c>
      <c r="Z753" s="580"/>
      <c r="AB753" s="599"/>
      <c r="AC753" s="563"/>
      <c r="AG753" s="582"/>
      <c r="AI753" s="539"/>
      <c r="AJ753" s="563"/>
      <c r="AK753" s="595"/>
      <c r="AL753" s="416"/>
      <c r="AN753" s="579"/>
      <c r="AP753" s="583"/>
      <c r="AR753" s="583"/>
      <c r="AT753" s="599"/>
      <c r="AU753" s="563"/>
    </row>
    <row r="754" spans="1:47" ht="12.75" hidden="1" customHeight="1" outlineLevel="1">
      <c r="B754" s="562"/>
      <c r="D754" s="618"/>
      <c r="F754" s="563"/>
      <c r="G754" s="661"/>
      <c r="I754" s="618"/>
      <c r="P754" s="587"/>
      <c r="R754" s="618"/>
      <c r="S754" s="563"/>
      <c r="T754" s="595"/>
      <c r="U754" s="416"/>
      <c r="X754" s="579"/>
      <c r="Z754" s="580"/>
      <c r="AB754" s="599"/>
      <c r="AC754" s="563"/>
      <c r="AG754" s="582"/>
      <c r="AI754" s="539"/>
      <c r="AJ754" s="563"/>
      <c r="AK754" s="595"/>
      <c r="AL754" s="416"/>
      <c r="AN754" s="579"/>
      <c r="AP754" s="583"/>
      <c r="AR754" s="583"/>
      <c r="AT754" s="599"/>
      <c r="AU754" s="563"/>
    </row>
    <row r="755" spans="1:47" ht="12.75" hidden="1" customHeight="1" outlineLevel="1">
      <c r="A755" s="593"/>
      <c r="B755" s="518">
        <f>B612</f>
        <v>2014</v>
      </c>
      <c r="D755" s="618"/>
      <c r="F755" s="563"/>
      <c r="G755" s="661"/>
      <c r="I755" s="618"/>
      <c r="P755" s="587"/>
      <c r="R755" s="618"/>
      <c r="S755" s="563"/>
      <c r="T755" s="687"/>
      <c r="U755" s="416"/>
      <c r="X755" s="579"/>
      <c r="Z755" s="580"/>
      <c r="AB755" s="599"/>
      <c r="AC755" s="563"/>
      <c r="AG755" s="582"/>
      <c r="AI755" s="539"/>
      <c r="AJ755" s="563"/>
      <c r="AK755" s="595"/>
      <c r="AL755" s="416"/>
      <c r="AN755" s="579"/>
      <c r="AP755" s="583"/>
      <c r="AR755" s="583"/>
      <c r="AT755" s="599"/>
      <c r="AU755" s="563"/>
    </row>
    <row r="756" spans="1:47" ht="12.75" hidden="1" customHeight="1" outlineLevel="1">
      <c r="A756" s="410" t="str">
        <f>$A$12</f>
        <v>1Q</v>
      </c>
      <c r="B756" s="562" t="str">
        <f>$B$12</f>
        <v>Apr</v>
      </c>
      <c r="D756" s="645">
        <f>G756+I756</f>
        <v>20</v>
      </c>
      <c r="F756" s="563"/>
      <c r="G756" s="682">
        <v>20</v>
      </c>
      <c r="I756" s="645">
        <f>R756*T756/100</f>
        <v>0</v>
      </c>
      <c r="K756" s="454">
        <v>2</v>
      </c>
      <c r="L756" s="454"/>
      <c r="M756" s="454"/>
      <c r="N756" s="454"/>
      <c r="P756" s="587">
        <f>+AVERAGE(K752,K756)</f>
        <v>2</v>
      </c>
      <c r="R756" s="645">
        <f>+(P756/P749-1)*100</f>
        <v>0</v>
      </c>
      <c r="S756" s="563"/>
      <c r="T756" s="640">
        <v>65</v>
      </c>
      <c r="U756" s="416"/>
      <c r="X756" s="579">
        <f>segSales!W137-qtrSales!X800</f>
        <v>2.8145000000000002</v>
      </c>
      <c r="Z756" s="580"/>
      <c r="AB756" s="599"/>
      <c r="AC756" s="563"/>
      <c r="AG756" s="582"/>
      <c r="AI756" s="539"/>
      <c r="AJ756" s="563"/>
      <c r="AK756" s="595"/>
      <c r="AL756" s="416"/>
      <c r="AN756" s="579"/>
      <c r="AP756" s="583"/>
      <c r="AR756" s="583"/>
      <c r="AT756" s="599"/>
      <c r="AU756" s="563"/>
    </row>
    <row r="757" spans="1:47" ht="12.75" hidden="1" customHeight="1" outlineLevel="1">
      <c r="A757" s="410" t="str">
        <f>$A$13</f>
        <v>2Q</v>
      </c>
      <c r="B757" s="562" t="str">
        <f>$B$13</f>
        <v>Jul</v>
      </c>
      <c r="D757" s="645">
        <f>G757+I757</f>
        <v>20</v>
      </c>
      <c r="F757" s="563"/>
      <c r="G757" s="682">
        <v>20</v>
      </c>
      <c r="I757" s="645">
        <f>R757*T757/100</f>
        <v>0</v>
      </c>
      <c r="K757" s="454">
        <v>2</v>
      </c>
      <c r="L757" s="454"/>
      <c r="M757" s="454"/>
      <c r="N757" s="454"/>
      <c r="P757" s="587">
        <f>AVERAGE(K757,K756)</f>
        <v>2</v>
      </c>
      <c r="R757" s="645">
        <f>+(P757/P750-1)*100</f>
        <v>0</v>
      </c>
      <c r="S757" s="563"/>
      <c r="T757" s="640">
        <v>65</v>
      </c>
      <c r="U757" s="416"/>
      <c r="X757" s="539">
        <f>segSales!W138-qtrSales!X801</f>
        <v>4.5830000000000002</v>
      </c>
      <c r="Z757" s="580"/>
      <c r="AB757" s="599"/>
      <c r="AC757" s="563"/>
      <c r="AG757" s="582"/>
      <c r="AI757" s="539"/>
      <c r="AJ757" s="563"/>
      <c r="AK757" s="595"/>
      <c r="AL757" s="416"/>
      <c r="AN757" s="579"/>
      <c r="AP757" s="583"/>
      <c r="AR757" s="583"/>
      <c r="AT757" s="599"/>
      <c r="AU757" s="563"/>
    </row>
    <row r="758" spans="1:47" ht="12.75" hidden="1" customHeight="1" outlineLevel="1">
      <c r="A758" s="410" t="str">
        <f>$A$14</f>
        <v>3Q</v>
      </c>
      <c r="B758" s="562" t="str">
        <f>$B$14</f>
        <v>Oct</v>
      </c>
      <c r="D758" s="645">
        <f>G758+I758</f>
        <v>20</v>
      </c>
      <c r="F758" s="563"/>
      <c r="G758" s="682">
        <v>20</v>
      </c>
      <c r="I758" s="645">
        <f>R758*T758/100</f>
        <v>0</v>
      </c>
      <c r="K758" s="454">
        <v>2</v>
      </c>
      <c r="L758" s="454"/>
      <c r="M758" s="454"/>
      <c r="N758" s="454"/>
      <c r="O758" s="454"/>
      <c r="P758" s="587">
        <f>AVERAGE(K758,K757)</f>
        <v>2</v>
      </c>
      <c r="R758" s="645">
        <f>+(P758/P751-1)*100</f>
        <v>0</v>
      </c>
      <c r="S758" s="563"/>
      <c r="T758" s="640">
        <v>65</v>
      </c>
      <c r="U758" s="416"/>
      <c r="X758" s="539">
        <f>segSales!W139-qtrSales!X802</f>
        <v>-2</v>
      </c>
      <c r="Z758" s="580"/>
      <c r="AB758" s="599"/>
      <c r="AC758" s="563"/>
      <c r="AG758" s="582"/>
      <c r="AI758" s="539"/>
      <c r="AJ758" s="563"/>
      <c r="AK758" s="595"/>
      <c r="AL758" s="416"/>
      <c r="AN758" s="579"/>
      <c r="AP758" s="583"/>
      <c r="AR758" s="583"/>
      <c r="AT758" s="599"/>
      <c r="AU758" s="563"/>
    </row>
    <row r="759" spans="1:47" ht="12.75" hidden="1" customHeight="1" outlineLevel="1">
      <c r="A759" s="410" t="str">
        <f>$A$15</f>
        <v>4Q</v>
      </c>
      <c r="B759" s="562" t="str">
        <f>$B$15</f>
        <v>Jan</v>
      </c>
      <c r="D759" s="646">
        <f>G759+I759</f>
        <v>20</v>
      </c>
      <c r="F759" s="563"/>
      <c r="G759" s="683">
        <v>20</v>
      </c>
      <c r="I759" s="646">
        <f>R759*T759/100</f>
        <v>0</v>
      </c>
      <c r="K759" s="410">
        <f>yrSales!$V$30</f>
        <v>2</v>
      </c>
      <c r="O759" s="454"/>
      <c r="P759" s="588">
        <f>AVERAGE(K759,K758)</f>
        <v>2</v>
      </c>
      <c r="R759" s="646">
        <f>+(P759/P752-1)*100</f>
        <v>0</v>
      </c>
      <c r="S759" s="563"/>
      <c r="T759" s="648">
        <v>65</v>
      </c>
      <c r="U759" s="416"/>
      <c r="X759" s="596">
        <f>segSales!W140-qtrSales!X803</f>
        <v>-2.4</v>
      </c>
      <c r="Z759" s="580"/>
      <c r="AB759" s="599"/>
      <c r="AC759" s="563"/>
      <c r="AG759" s="582"/>
      <c r="AI759" s="539"/>
      <c r="AJ759" s="563"/>
      <c r="AK759" s="595"/>
      <c r="AL759" s="416"/>
      <c r="AN759" s="579"/>
      <c r="AP759" s="583"/>
      <c r="AR759" s="583"/>
      <c r="AT759" s="599"/>
      <c r="AU759" s="563"/>
    </row>
    <row r="760" spans="1:47" ht="12.75" hidden="1" customHeight="1" outlineLevel="1">
      <c r="B760" s="562" t="str">
        <f>$B$16</f>
        <v>Year</v>
      </c>
      <c r="D760" s="618">
        <f>(X760/X753-1)*100</f>
        <v>-89.55392925596793</v>
      </c>
      <c r="F760" s="563"/>
      <c r="G760" s="661">
        <f>G756*X756/X760+G757*X757/X760+G758*X758/X760+G759*X759/X760</f>
        <v>19.999999999999996</v>
      </c>
      <c r="I760" s="618">
        <f>D760-G760</f>
        <v>-109.55392925596793</v>
      </c>
      <c r="P760" s="587">
        <f>AVERAGE(P756:P759)</f>
        <v>2</v>
      </c>
      <c r="R760" s="618">
        <f>+(P760/P753-1)*100</f>
        <v>0</v>
      </c>
      <c r="S760" s="563"/>
      <c r="T760" s="687" t="s">
        <v>378</v>
      </c>
      <c r="U760" s="416"/>
      <c r="X760" s="579">
        <f>SUM(X756:X759)</f>
        <v>2.9975000000000009</v>
      </c>
      <c r="Z760" s="580"/>
      <c r="AB760" s="599"/>
      <c r="AC760" s="563"/>
      <c r="AG760" s="582"/>
      <c r="AI760" s="539"/>
      <c r="AJ760" s="563"/>
      <c r="AK760" s="595"/>
      <c r="AL760" s="416"/>
      <c r="AN760" s="579"/>
      <c r="AP760" s="583"/>
      <c r="AR760" s="583"/>
      <c r="AT760" s="599"/>
      <c r="AU760" s="563"/>
    </row>
    <row r="761" spans="1:47" ht="12.75" hidden="1" customHeight="1" outlineLevel="1">
      <c r="B761" s="562"/>
      <c r="D761" s="618"/>
      <c r="F761" s="563"/>
      <c r="G761" s="661"/>
      <c r="I761" s="618"/>
      <c r="P761" s="587"/>
      <c r="R761" s="618"/>
      <c r="S761" s="563"/>
      <c r="T761" s="595"/>
      <c r="U761" s="416"/>
      <c r="X761" s="579"/>
      <c r="Z761" s="580"/>
      <c r="AB761" s="599"/>
      <c r="AC761" s="563"/>
      <c r="AG761" s="582"/>
      <c r="AI761" s="539"/>
      <c r="AJ761" s="563"/>
      <c r="AK761" s="595"/>
      <c r="AL761" s="416"/>
      <c r="AN761" s="579"/>
      <c r="AP761" s="583"/>
      <c r="AR761" s="583"/>
      <c r="AT761" s="599"/>
      <c r="AU761" s="563"/>
    </row>
    <row r="762" spans="1:47" ht="12.75" hidden="1" customHeight="1" outlineLevel="1">
      <c r="A762" s="593"/>
      <c r="B762" s="518">
        <f>B619</f>
        <v>2015</v>
      </c>
      <c r="D762" s="618"/>
      <c r="F762" s="563"/>
      <c r="G762" s="661"/>
      <c r="I762" s="618"/>
      <c r="P762" s="587"/>
      <c r="R762" s="618"/>
      <c r="S762" s="563"/>
      <c r="T762" s="687"/>
      <c r="U762" s="416"/>
      <c r="X762" s="579"/>
      <c r="Z762" s="580"/>
      <c r="AB762" s="599"/>
      <c r="AC762" s="563"/>
      <c r="AG762" s="582"/>
      <c r="AI762" s="539"/>
      <c r="AJ762" s="563"/>
      <c r="AK762" s="595"/>
      <c r="AL762" s="416"/>
      <c r="AN762" s="579"/>
      <c r="AP762" s="583"/>
      <c r="AR762" s="583"/>
      <c r="AT762" s="599"/>
      <c r="AU762" s="563"/>
    </row>
    <row r="763" spans="1:47" ht="12.75" hidden="1" customHeight="1" outlineLevel="1">
      <c r="A763" s="410" t="str">
        <f>$A$12</f>
        <v>1Q</v>
      </c>
      <c r="B763" s="562" t="str">
        <f>$B$12</f>
        <v>Apr</v>
      </c>
      <c r="D763" s="645">
        <f>G763+I763</f>
        <v>20</v>
      </c>
      <c r="F763" s="563"/>
      <c r="G763" s="682">
        <v>20</v>
      </c>
      <c r="I763" s="645">
        <f>R763*T763/100</f>
        <v>0</v>
      </c>
      <c r="K763" s="454">
        <v>2</v>
      </c>
      <c r="L763" s="454"/>
      <c r="M763" s="454"/>
      <c r="N763" s="454"/>
      <c r="P763" s="587">
        <f>+AVERAGE(K759,K763)</f>
        <v>2</v>
      </c>
      <c r="R763" s="645">
        <f>+(P763/P756-1)*100</f>
        <v>0</v>
      </c>
      <c r="S763" s="563"/>
      <c r="T763" s="640">
        <v>65</v>
      </c>
      <c r="U763" s="416"/>
      <c r="X763" s="579">
        <f>segSales!W144-X807</f>
        <v>-1.6</v>
      </c>
      <c r="Z763" s="580"/>
      <c r="AB763" s="599"/>
      <c r="AC763" s="563"/>
      <c r="AG763" s="582"/>
      <c r="AI763" s="539"/>
      <c r="AJ763" s="563"/>
      <c r="AK763" s="595"/>
      <c r="AL763" s="416"/>
      <c r="AN763" s="579"/>
      <c r="AP763" s="583"/>
      <c r="AR763" s="583"/>
      <c r="AT763" s="599"/>
      <c r="AU763" s="563"/>
    </row>
    <row r="764" spans="1:47" ht="12.75" hidden="1" customHeight="1" outlineLevel="1">
      <c r="A764" s="410" t="str">
        <f>$A$13</f>
        <v>2Q</v>
      </c>
      <c r="B764" s="562" t="str">
        <f>$B$13</f>
        <v>Jul</v>
      </c>
      <c r="D764" s="645">
        <f>G764+I764</f>
        <v>20</v>
      </c>
      <c r="F764" s="563"/>
      <c r="G764" s="682">
        <v>20</v>
      </c>
      <c r="I764" s="645">
        <f>R764*T764/100</f>
        <v>0</v>
      </c>
      <c r="K764" s="454">
        <v>2</v>
      </c>
      <c r="L764" s="454"/>
      <c r="M764" s="454"/>
      <c r="N764" s="454"/>
      <c r="P764" s="587">
        <f>AVERAGE(K764,K763)</f>
        <v>2</v>
      </c>
      <c r="R764" s="645">
        <f>+(P764/P757-1)*100</f>
        <v>0</v>
      </c>
      <c r="S764" s="563"/>
      <c r="T764" s="640">
        <v>65</v>
      </c>
      <c r="U764" s="416"/>
      <c r="X764" s="539">
        <f>segSales!W145-X808</f>
        <v>-2</v>
      </c>
      <c r="Z764" s="580"/>
      <c r="AB764" s="599"/>
      <c r="AC764" s="563"/>
      <c r="AG764" s="582"/>
      <c r="AI764" s="539"/>
      <c r="AJ764" s="563"/>
      <c r="AK764" s="595"/>
      <c r="AL764" s="416"/>
      <c r="AN764" s="579"/>
      <c r="AP764" s="583"/>
      <c r="AR764" s="583"/>
      <c r="AT764" s="599"/>
      <c r="AU764" s="563"/>
    </row>
    <row r="765" spans="1:47" ht="12.75" hidden="1" customHeight="1" outlineLevel="1">
      <c r="A765" s="410" t="str">
        <f>$A$14</f>
        <v>3Q</v>
      </c>
      <c r="B765" s="562" t="str">
        <f>$B$14</f>
        <v>Oct</v>
      </c>
      <c r="D765" s="645">
        <f>G765+I765</f>
        <v>20</v>
      </c>
      <c r="F765" s="563"/>
      <c r="G765" s="682">
        <v>20</v>
      </c>
      <c r="I765" s="645">
        <f>R765*T765/100</f>
        <v>0</v>
      </c>
      <c r="K765" s="454">
        <v>2</v>
      </c>
      <c r="L765" s="454"/>
      <c r="M765" s="454"/>
      <c r="N765" s="454"/>
      <c r="O765" s="454"/>
      <c r="P765" s="587">
        <f>AVERAGE(K765,K764)</f>
        <v>2</v>
      </c>
      <c r="R765" s="645">
        <f>+(P765/P758-1)*100</f>
        <v>0</v>
      </c>
      <c r="S765" s="563"/>
      <c r="T765" s="640">
        <v>65</v>
      </c>
      <c r="U765" s="416"/>
      <c r="X765" s="539">
        <f>segSales!W146-X809</f>
        <v>-2</v>
      </c>
      <c r="Z765" s="580"/>
      <c r="AB765" s="599"/>
      <c r="AC765" s="563"/>
      <c r="AG765" s="582"/>
      <c r="AI765" s="539"/>
      <c r="AJ765" s="563"/>
      <c r="AK765" s="595"/>
      <c r="AL765" s="416"/>
      <c r="AN765" s="579"/>
      <c r="AP765" s="583"/>
      <c r="AR765" s="583"/>
      <c r="AT765" s="599"/>
      <c r="AU765" s="563"/>
    </row>
    <row r="766" spans="1:47" ht="12.75" hidden="1" customHeight="1" outlineLevel="1">
      <c r="A766" s="410" t="str">
        <f>$A$15</f>
        <v>4Q</v>
      </c>
      <c r="B766" s="562" t="str">
        <f>$B$15</f>
        <v>Jan</v>
      </c>
      <c r="D766" s="646">
        <f>G766+I766</f>
        <v>20</v>
      </c>
      <c r="F766" s="563"/>
      <c r="G766" s="683">
        <v>20</v>
      </c>
      <c r="I766" s="646">
        <f>R766*T766/100</f>
        <v>0</v>
      </c>
      <c r="K766" s="454">
        <v>2</v>
      </c>
      <c r="O766" s="454"/>
      <c r="P766" s="588">
        <f>AVERAGE(K766,K765)</f>
        <v>2</v>
      </c>
      <c r="R766" s="646">
        <f>+(P766/P759-1)*100</f>
        <v>0</v>
      </c>
      <c r="S766" s="563"/>
      <c r="T766" s="648">
        <v>65</v>
      </c>
      <c r="U766" s="416"/>
      <c r="X766" s="596">
        <f>segSales!W147-X810</f>
        <v>-2.4</v>
      </c>
      <c r="Z766" s="580"/>
      <c r="AB766" s="599"/>
      <c r="AC766" s="563"/>
      <c r="AG766" s="582"/>
      <c r="AI766" s="539"/>
      <c r="AJ766" s="563"/>
      <c r="AK766" s="595"/>
      <c r="AL766" s="416"/>
      <c r="AN766" s="579"/>
      <c r="AP766" s="583"/>
      <c r="AR766" s="583"/>
      <c r="AT766" s="599"/>
      <c r="AU766" s="563"/>
    </row>
    <row r="767" spans="1:47" ht="12.75" hidden="1" customHeight="1" outlineLevel="1">
      <c r="B767" s="562" t="str">
        <f>$B$16</f>
        <v>Year</v>
      </c>
      <c r="D767" s="618">
        <f>(X767/X760-1)*100</f>
        <v>-366.88907422852373</v>
      </c>
      <c r="F767" s="563"/>
      <c r="G767" s="661">
        <f>G763*X763/X767+G764*X764/X767+G765*X765/X767+G766*X766/X767</f>
        <v>20</v>
      </c>
      <c r="I767" s="618">
        <f>D767-G767</f>
        <v>-386.88907422852373</v>
      </c>
      <c r="P767" s="587">
        <f>AVERAGE(P763:P766)</f>
        <v>2</v>
      </c>
      <c r="R767" s="618">
        <f>+(P767/P760-1)*100</f>
        <v>0</v>
      </c>
      <c r="S767" s="563"/>
      <c r="T767" s="687" t="s">
        <v>378</v>
      </c>
      <c r="U767" s="416"/>
      <c r="X767" s="579">
        <f>SUM(X763:X766)</f>
        <v>-8</v>
      </c>
      <c r="Z767" s="580"/>
      <c r="AB767" s="599"/>
      <c r="AC767" s="563"/>
      <c r="AG767" s="582"/>
      <c r="AI767" s="539"/>
      <c r="AJ767" s="563"/>
      <c r="AK767" s="595"/>
      <c r="AL767" s="416"/>
      <c r="AN767" s="579"/>
      <c r="AP767" s="583"/>
      <c r="AR767" s="583"/>
      <c r="AT767" s="599"/>
      <c r="AU767" s="563"/>
    </row>
    <row r="768" spans="1:47" ht="12.75" hidden="1" customHeight="1" outlineLevel="1">
      <c r="B768" s="562"/>
      <c r="D768" s="618"/>
      <c r="F768" s="563"/>
      <c r="G768" s="661"/>
      <c r="I768" s="618"/>
      <c r="P768" s="587"/>
      <c r="R768" s="618"/>
      <c r="S768" s="563"/>
      <c r="T768" s="595"/>
      <c r="U768" s="416"/>
      <c r="X768" s="579"/>
      <c r="Z768" s="580"/>
      <c r="AB768" s="599"/>
      <c r="AC768" s="563"/>
      <c r="AG768" s="582"/>
      <c r="AI768" s="539"/>
      <c r="AJ768" s="563"/>
      <c r="AK768" s="595"/>
      <c r="AL768" s="416"/>
      <c r="AN768" s="579"/>
      <c r="AP768" s="583"/>
      <c r="AR768" s="583"/>
      <c r="AT768" s="599"/>
      <c r="AU768" s="563"/>
    </row>
    <row r="769" spans="1:48" ht="12.75" hidden="1" customHeight="1" outlineLevel="1">
      <c r="A769" s="593"/>
      <c r="B769" s="518">
        <f>B626</f>
        <v>2016</v>
      </c>
      <c r="D769" s="618"/>
      <c r="F769" s="563"/>
      <c r="G769" s="661"/>
      <c r="I769" s="618"/>
      <c r="P769" s="587"/>
      <c r="R769" s="618"/>
      <c r="S769" s="563"/>
      <c r="T769" s="687"/>
      <c r="U769" s="416"/>
      <c r="X769" s="579"/>
      <c r="Z769" s="580"/>
      <c r="AB769" s="599"/>
      <c r="AC769" s="563"/>
      <c r="AG769" s="582"/>
      <c r="AI769" s="539"/>
      <c r="AJ769" s="563"/>
      <c r="AK769" s="595"/>
      <c r="AL769" s="416"/>
      <c r="AN769" s="579"/>
      <c r="AP769" s="583"/>
      <c r="AR769" s="583"/>
      <c r="AT769" s="599"/>
      <c r="AU769" s="563"/>
    </row>
    <row r="770" spans="1:48" ht="12.75" hidden="1" customHeight="1" outlineLevel="1">
      <c r="A770" s="410" t="str">
        <f>$A$12</f>
        <v>1Q</v>
      </c>
      <c r="B770" s="562" t="str">
        <f>$B$12</f>
        <v>Apr</v>
      </c>
      <c r="D770" s="645">
        <f>G770+I770</f>
        <v>20</v>
      </c>
      <c r="F770" s="563"/>
      <c r="G770" s="682">
        <v>20</v>
      </c>
      <c r="I770" s="645">
        <f>R770*T770/100</f>
        <v>0</v>
      </c>
      <c r="K770" s="454">
        <v>2</v>
      </c>
      <c r="L770" s="454"/>
      <c r="M770" s="454"/>
      <c r="N770" s="454"/>
      <c r="P770" s="587">
        <f>+AVERAGE(K766,K770)</f>
        <v>2</v>
      </c>
      <c r="R770" s="645">
        <f>+(P770/P763-1)*100</f>
        <v>0</v>
      </c>
      <c r="S770" s="563"/>
      <c r="T770" s="640">
        <v>65</v>
      </c>
      <c r="U770" s="416"/>
      <c r="X770" s="579">
        <f>segSales!W151-X821</f>
        <v>0</v>
      </c>
      <c r="Z770" s="580"/>
      <c r="AB770" s="599"/>
      <c r="AC770" s="563"/>
      <c r="AG770" s="582"/>
      <c r="AI770" s="539"/>
      <c r="AJ770" s="563"/>
      <c r="AK770" s="595"/>
      <c r="AL770" s="416"/>
      <c r="AN770" s="579"/>
      <c r="AP770" s="583"/>
      <c r="AR770" s="583"/>
      <c r="AT770" s="599"/>
      <c r="AU770" s="563"/>
    </row>
    <row r="771" spans="1:48" ht="12.75" hidden="1" customHeight="1" outlineLevel="1">
      <c r="A771" s="410" t="str">
        <f>$A$13</f>
        <v>2Q</v>
      </c>
      <c r="B771" s="562" t="str">
        <f>$B$13</f>
        <v>Jul</v>
      </c>
      <c r="D771" s="645">
        <f>G771+I771</f>
        <v>20</v>
      </c>
      <c r="F771" s="563"/>
      <c r="G771" s="682">
        <v>20</v>
      </c>
      <c r="I771" s="645">
        <f>R771*T771/100</f>
        <v>0</v>
      </c>
      <c r="K771" s="454">
        <v>2</v>
      </c>
      <c r="L771" s="454"/>
      <c r="M771" s="454"/>
      <c r="N771" s="454"/>
      <c r="P771" s="587">
        <f>AVERAGE(K771,K770)</f>
        <v>2</v>
      </c>
      <c r="R771" s="645">
        <f>+(P771/P764-1)*100</f>
        <v>0</v>
      </c>
      <c r="S771" s="563"/>
      <c r="T771" s="640">
        <v>65</v>
      </c>
      <c r="U771" s="416"/>
      <c r="X771" s="539">
        <f>segSales!W152-X822</f>
        <v>0</v>
      </c>
      <c r="Z771" s="580"/>
      <c r="AB771" s="599"/>
      <c r="AC771" s="563"/>
      <c r="AG771" s="582"/>
      <c r="AI771" s="539"/>
      <c r="AJ771" s="563"/>
      <c r="AK771" s="595"/>
      <c r="AL771" s="416"/>
      <c r="AN771" s="579"/>
      <c r="AP771" s="583"/>
      <c r="AR771" s="583"/>
      <c r="AT771" s="599"/>
      <c r="AU771" s="563"/>
    </row>
    <row r="772" spans="1:48" ht="12.75" hidden="1" customHeight="1" outlineLevel="1">
      <c r="A772" s="410" t="str">
        <f>$A$14</f>
        <v>3Q</v>
      </c>
      <c r="B772" s="562" t="str">
        <f>$B$14</f>
        <v>Oct</v>
      </c>
      <c r="D772" s="645">
        <f>G772+I772</f>
        <v>20</v>
      </c>
      <c r="F772" s="563"/>
      <c r="G772" s="682">
        <v>20</v>
      </c>
      <c r="I772" s="645">
        <f>R772*T772/100</f>
        <v>0</v>
      </c>
      <c r="K772" s="454">
        <v>2</v>
      </c>
      <c r="L772" s="454"/>
      <c r="M772" s="454"/>
      <c r="N772" s="454"/>
      <c r="O772" s="454"/>
      <c r="P772" s="587">
        <f>AVERAGE(K772,K771)</f>
        <v>2</v>
      </c>
      <c r="R772" s="645">
        <f>+(P772/P765-1)*100</f>
        <v>0</v>
      </c>
      <c r="S772" s="563"/>
      <c r="T772" s="640">
        <v>65</v>
      </c>
      <c r="U772" s="416"/>
      <c r="X772" s="539">
        <f>segSales!W153-X823</f>
        <v>0</v>
      </c>
      <c r="Z772" s="580"/>
      <c r="AB772" s="599"/>
      <c r="AC772" s="563"/>
      <c r="AG772" s="582"/>
      <c r="AI772" s="539"/>
      <c r="AJ772" s="563"/>
      <c r="AK772" s="595"/>
      <c r="AL772" s="416"/>
      <c r="AN772" s="579"/>
      <c r="AP772" s="583"/>
      <c r="AR772" s="583"/>
      <c r="AT772" s="599"/>
      <c r="AU772" s="563"/>
    </row>
    <row r="773" spans="1:48" ht="12.75" hidden="1" customHeight="1" outlineLevel="1">
      <c r="A773" s="410" t="str">
        <f>$A$15</f>
        <v>4Q</v>
      </c>
      <c r="B773" s="562" t="str">
        <f>$B$15</f>
        <v>Jan</v>
      </c>
      <c r="D773" s="646">
        <f>G773+I773</f>
        <v>-12.5</v>
      </c>
      <c r="F773" s="563"/>
      <c r="G773" s="683">
        <v>20</v>
      </c>
      <c r="I773" s="646">
        <f>R773*T773/100</f>
        <v>-32.5</v>
      </c>
      <c r="K773" s="410">
        <f>yrSales!$W$30</f>
        <v>0</v>
      </c>
      <c r="O773" s="454"/>
      <c r="P773" s="588">
        <f>AVERAGE(K773,K772)</f>
        <v>1</v>
      </c>
      <c r="R773" s="646">
        <f>+(P773/P766-1)*100</f>
        <v>-50</v>
      </c>
      <c r="S773" s="563"/>
      <c r="T773" s="648">
        <v>65</v>
      </c>
      <c r="U773" s="416"/>
      <c r="X773" s="596">
        <f>segSales!W154-X824</f>
        <v>0</v>
      </c>
      <c r="Z773" s="580"/>
      <c r="AB773" s="599"/>
      <c r="AC773" s="563"/>
      <c r="AG773" s="582"/>
      <c r="AI773" s="539"/>
      <c r="AJ773" s="563"/>
      <c r="AK773" s="595"/>
      <c r="AL773" s="416"/>
      <c r="AN773" s="579"/>
      <c r="AP773" s="583"/>
      <c r="AR773" s="583"/>
      <c r="AT773" s="599"/>
      <c r="AU773" s="563"/>
    </row>
    <row r="774" spans="1:48" ht="12.75" hidden="1" customHeight="1" outlineLevel="1">
      <c r="B774" s="562" t="str">
        <f>$B$16</f>
        <v>Year</v>
      </c>
      <c r="D774" s="618">
        <f>(X774/X767-1)*100</f>
        <v>-100</v>
      </c>
      <c r="F774" s="563"/>
      <c r="G774" s="661" t="e">
        <f>G770*X770/X774+G771*X771/X774+G772*X772/X774+G773*X773/X774</f>
        <v>#DIV/0!</v>
      </c>
      <c r="I774" s="618" t="e">
        <f>D774-G774</f>
        <v>#DIV/0!</v>
      </c>
      <c r="P774" s="587">
        <f>AVERAGE(P770:P773)</f>
        <v>1.75</v>
      </c>
      <c r="R774" s="618">
        <f>+(P774/P767-1)*100</f>
        <v>-12.5</v>
      </c>
      <c r="S774" s="563"/>
      <c r="T774" s="687" t="s">
        <v>378</v>
      </c>
      <c r="U774" s="416"/>
      <c r="X774" s="579">
        <f>SUM(X770:X773)</f>
        <v>0</v>
      </c>
      <c r="Z774" s="580"/>
      <c r="AB774" s="599"/>
      <c r="AC774" s="563"/>
      <c r="AG774" s="582"/>
      <c r="AI774" s="539"/>
      <c r="AJ774" s="563"/>
      <c r="AK774" s="595"/>
      <c r="AL774" s="416"/>
      <c r="AN774" s="579"/>
      <c r="AP774" s="583"/>
      <c r="AR774" s="583"/>
      <c r="AT774" s="599"/>
      <c r="AU774" s="563"/>
    </row>
    <row r="775" spans="1:48" ht="12.75" hidden="1" customHeight="1" outlineLevel="1">
      <c r="B775" s="562"/>
      <c r="D775" s="618"/>
      <c r="F775" s="563"/>
      <c r="G775" s="661"/>
      <c r="I775" s="618"/>
      <c r="P775" s="587"/>
      <c r="R775" s="618"/>
      <c r="S775" s="563"/>
      <c r="T775" s="687"/>
      <c r="U775" s="416"/>
      <c r="X775" s="579"/>
      <c r="Z775" s="580"/>
      <c r="AB775" s="599"/>
      <c r="AC775" s="563"/>
      <c r="AG775" s="582"/>
      <c r="AI775" s="539"/>
      <c r="AJ775" s="563"/>
      <c r="AK775" s="595"/>
      <c r="AL775" s="416"/>
      <c r="AN775" s="579"/>
      <c r="AP775" s="583"/>
      <c r="AR775" s="583"/>
      <c r="AT775" s="599"/>
      <c r="AU775" s="563"/>
    </row>
    <row r="776" spans="1:48" ht="12.75" hidden="1" customHeight="1" outlineLevel="1">
      <c r="A776" s="574" t="s">
        <v>71</v>
      </c>
      <c r="B776" s="562"/>
      <c r="D776" s="618"/>
      <c r="F776" s="563"/>
      <c r="G776" s="661"/>
      <c r="I776" s="618"/>
      <c r="P776" s="587"/>
      <c r="R776" s="618"/>
      <c r="S776" s="563"/>
      <c r="T776" s="595"/>
      <c r="U776" s="416"/>
      <c r="X776" s="579"/>
      <c r="Z776" s="580"/>
      <c r="AB776" s="599"/>
      <c r="AC776" s="563"/>
      <c r="AG776" s="582"/>
      <c r="AI776" s="539"/>
      <c r="AJ776" s="563"/>
      <c r="AK776" s="595"/>
      <c r="AL776" s="416"/>
      <c r="AN776" s="579"/>
      <c r="AP776" s="583"/>
      <c r="AR776" s="583"/>
      <c r="AT776" s="599"/>
      <c r="AU776" s="563"/>
    </row>
    <row r="777" spans="1:48" ht="12.75" hidden="1" customHeight="1" outlineLevel="1">
      <c r="B777" s="562"/>
      <c r="D777" s="618"/>
      <c r="F777" s="563"/>
      <c r="G777" s="661"/>
      <c r="I777" s="618"/>
      <c r="P777" s="587"/>
      <c r="R777" s="618"/>
      <c r="S777" s="563"/>
      <c r="T777" s="595"/>
      <c r="U777" s="416"/>
      <c r="X777" s="579"/>
      <c r="Z777" s="580"/>
      <c r="AB777" s="599"/>
      <c r="AC777" s="563"/>
      <c r="AG777" s="582"/>
      <c r="AI777" s="539"/>
      <c r="AJ777" s="563"/>
      <c r="AK777" s="595"/>
      <c r="AL777" s="416"/>
      <c r="AN777" s="579"/>
      <c r="AP777" s="583"/>
      <c r="AR777" s="583"/>
      <c r="AT777" s="599"/>
      <c r="AU777" s="563"/>
    </row>
    <row r="778" spans="1:48" ht="12.75" hidden="1" customHeight="1" outlineLevel="1">
      <c r="A778" s="593"/>
      <c r="B778" s="431">
        <f>B734</f>
        <v>2011</v>
      </c>
      <c r="E778" s="563"/>
      <c r="F778" s="563"/>
      <c r="G778" s="563"/>
      <c r="H778" s="563"/>
      <c r="J778" s="563"/>
      <c r="S778" s="563"/>
      <c r="T778" s="416"/>
      <c r="U778" s="416"/>
      <c r="AC778" s="563"/>
      <c r="AJ778" s="563"/>
      <c r="AK778" s="416"/>
      <c r="AL778" s="416"/>
      <c r="AU778" s="563"/>
    </row>
    <row r="779" spans="1:48" ht="12.75" hidden="1" customHeight="1" outlineLevel="1">
      <c r="A779" s="410" t="str">
        <f>$A$12</f>
        <v>1Q</v>
      </c>
      <c r="B779" s="562" t="str">
        <f>$B$12</f>
        <v>Apr</v>
      </c>
      <c r="D779" s="688" t="s">
        <v>378</v>
      </c>
      <c r="E779" s="563"/>
      <c r="F779" s="563"/>
      <c r="G779" s="682" t="s">
        <v>378</v>
      </c>
      <c r="H779" s="563"/>
      <c r="I779" s="645">
        <v>0</v>
      </c>
      <c r="J779" s="563"/>
      <c r="K779" s="454">
        <v>0</v>
      </c>
      <c r="L779" s="454"/>
      <c r="M779" s="454"/>
      <c r="N779" s="454"/>
      <c r="P779" s="587">
        <f>+K779</f>
        <v>0</v>
      </c>
      <c r="R779" s="688" t="s">
        <v>378</v>
      </c>
      <c r="S779" s="563"/>
      <c r="T779" s="691" t="s">
        <v>378</v>
      </c>
      <c r="U779" s="416"/>
      <c r="X779" s="602">
        <v>0</v>
      </c>
      <c r="Y779" s="416"/>
      <c r="Z779" s="637"/>
      <c r="AA779" s="416"/>
      <c r="AB779" s="599"/>
      <c r="AC779" s="632"/>
      <c r="AD779" s="416"/>
      <c r="AE779" s="692"/>
      <c r="AF779" s="416"/>
      <c r="AG779" s="693"/>
      <c r="AH779" s="416"/>
      <c r="AI779" s="635"/>
      <c r="AJ779" s="632"/>
      <c r="AK779" s="595"/>
      <c r="AL779" s="416"/>
      <c r="AM779" s="416"/>
      <c r="AN779" s="628"/>
      <c r="AO779" s="416"/>
      <c r="AP779" s="639"/>
      <c r="AQ779" s="416"/>
      <c r="AR779" s="639"/>
      <c r="AS779" s="416"/>
      <c r="AT779" s="599"/>
      <c r="AU779" s="632"/>
      <c r="AV779" s="416"/>
    </row>
    <row r="780" spans="1:48" ht="12.75" hidden="1" customHeight="1" outlineLevel="1">
      <c r="A780" s="410" t="str">
        <f>$A$13</f>
        <v>2Q</v>
      </c>
      <c r="B780" s="562" t="str">
        <f>$B$13</f>
        <v>Jul</v>
      </c>
      <c r="D780" s="688" t="s">
        <v>378</v>
      </c>
      <c r="F780" s="563"/>
      <c r="G780" s="682" t="s">
        <v>378</v>
      </c>
      <c r="I780" s="645">
        <v>0</v>
      </c>
      <c r="K780" s="454">
        <v>0</v>
      </c>
      <c r="L780" s="454"/>
      <c r="M780" s="454"/>
      <c r="N780" s="454"/>
      <c r="O780" s="454"/>
      <c r="P780" s="587">
        <f>AVERAGE(K779:K780)</f>
        <v>0</v>
      </c>
      <c r="R780" s="688" t="s">
        <v>378</v>
      </c>
      <c r="S780" s="563"/>
      <c r="T780" s="691" t="s">
        <v>378</v>
      </c>
      <c r="U780" s="416"/>
      <c r="X780" s="647">
        <v>0</v>
      </c>
      <c r="Y780" s="416"/>
      <c r="Z780" s="642"/>
      <c r="AA780" s="416"/>
      <c r="AB780" s="599"/>
      <c r="AC780" s="632"/>
      <c r="AD780" s="416"/>
      <c r="AE780" s="692"/>
      <c r="AF780" s="459"/>
      <c r="AG780" s="693"/>
      <c r="AH780" s="416"/>
      <c r="AI780" s="635"/>
      <c r="AJ780" s="632"/>
      <c r="AK780" s="595"/>
      <c r="AL780" s="416"/>
      <c r="AM780" s="416"/>
      <c r="AN780" s="610"/>
      <c r="AO780" s="416"/>
      <c r="AP780" s="643"/>
      <c r="AQ780" s="416"/>
      <c r="AR780" s="643"/>
      <c r="AS780" s="416"/>
      <c r="AT780" s="599"/>
      <c r="AU780" s="632"/>
      <c r="AV780" s="416"/>
    </row>
    <row r="781" spans="1:48" ht="12.75" hidden="1" customHeight="1" outlineLevel="1">
      <c r="A781" s="410" t="str">
        <f>$A$14</f>
        <v>3Q</v>
      </c>
      <c r="B781" s="562" t="str">
        <f>$B$14</f>
        <v>Oct</v>
      </c>
      <c r="D781" s="688" t="s">
        <v>378</v>
      </c>
      <c r="F781" s="563"/>
      <c r="G781" s="682" t="s">
        <v>378</v>
      </c>
      <c r="I781" s="645">
        <v>0</v>
      </c>
      <c r="K781" s="454">
        <v>1</v>
      </c>
      <c r="L781" s="454"/>
      <c r="M781" s="454"/>
      <c r="N781" s="454"/>
      <c r="O781" s="454"/>
      <c r="P781" s="587">
        <f>AVERAGE(K780:K781)</f>
        <v>0.5</v>
      </c>
      <c r="R781" s="688" t="s">
        <v>378</v>
      </c>
      <c r="S781" s="563"/>
      <c r="T781" s="691" t="s">
        <v>378</v>
      </c>
      <c r="U781" s="416"/>
      <c r="X781" s="647">
        <v>0.75</v>
      </c>
      <c r="Y781" s="416"/>
      <c r="Z781" s="642"/>
      <c r="AA781" s="416"/>
      <c r="AB781" s="599"/>
      <c r="AC781" s="632"/>
      <c r="AD781" s="416"/>
      <c r="AE781" s="692"/>
      <c r="AF781" s="459"/>
      <c r="AG781" s="693"/>
      <c r="AH781" s="416"/>
      <c r="AI781" s="635"/>
      <c r="AJ781" s="632"/>
      <c r="AK781" s="595"/>
      <c r="AL781" s="416"/>
      <c r="AM781" s="416"/>
      <c r="AN781" s="610"/>
      <c r="AO781" s="416"/>
      <c r="AP781" s="643"/>
      <c r="AQ781" s="416"/>
      <c r="AR781" s="643"/>
      <c r="AS781" s="416"/>
      <c r="AT781" s="599"/>
      <c r="AU781" s="632"/>
      <c r="AV781" s="416"/>
    </row>
    <row r="782" spans="1:48" ht="12.75" hidden="1" customHeight="1" outlineLevel="1">
      <c r="A782" s="410" t="str">
        <f>$A$15</f>
        <v>4Q</v>
      </c>
      <c r="B782" s="562" t="str">
        <f>$B$15</f>
        <v>Jan</v>
      </c>
      <c r="D782" s="689" t="s">
        <v>378</v>
      </c>
      <c r="F782" s="563"/>
      <c r="G782" s="683" t="s">
        <v>378</v>
      </c>
      <c r="I782" s="646">
        <v>0</v>
      </c>
      <c r="K782" s="410">
        <f>yrSales!$S$31</f>
        <v>1</v>
      </c>
      <c r="O782" s="454"/>
      <c r="P782" s="588">
        <f>AVERAGE(K781:K782)</f>
        <v>1</v>
      </c>
      <c r="R782" s="689" t="s">
        <v>378</v>
      </c>
      <c r="S782" s="563"/>
      <c r="T782" s="695" t="s">
        <v>378</v>
      </c>
      <c r="U782" s="416"/>
      <c r="X782" s="649">
        <v>0.75</v>
      </c>
      <c r="Y782" s="416"/>
      <c r="Z782" s="642"/>
      <c r="AA782" s="416"/>
      <c r="AB782" s="599"/>
      <c r="AC782" s="632"/>
      <c r="AD782" s="416"/>
      <c r="AE782" s="692"/>
      <c r="AF782" s="459"/>
      <c r="AG782" s="693"/>
      <c r="AH782" s="416"/>
      <c r="AI782" s="635"/>
      <c r="AJ782" s="632"/>
      <c r="AK782" s="595"/>
      <c r="AL782" s="416"/>
      <c r="AM782" s="416"/>
      <c r="AN782" s="610"/>
      <c r="AO782" s="416"/>
      <c r="AP782" s="643"/>
      <c r="AQ782" s="416"/>
      <c r="AR782" s="643"/>
      <c r="AS782" s="416"/>
      <c r="AT782" s="599"/>
      <c r="AU782" s="632"/>
      <c r="AV782" s="416"/>
    </row>
    <row r="783" spans="1:48" ht="12.75" hidden="1" customHeight="1" outlineLevel="1">
      <c r="B783" s="562" t="str">
        <f>$B$16</f>
        <v>Year</v>
      </c>
      <c r="D783" s="690" t="s">
        <v>378</v>
      </c>
      <c r="F783" s="563"/>
      <c r="G783" s="661" t="s">
        <v>378</v>
      </c>
      <c r="I783" s="618">
        <v>0</v>
      </c>
      <c r="P783" s="587">
        <f>AVERAGE(P779:P782)</f>
        <v>0.375</v>
      </c>
      <c r="R783" s="690" t="s">
        <v>378</v>
      </c>
      <c r="S783" s="563"/>
      <c r="T783" s="687" t="s">
        <v>378</v>
      </c>
      <c r="U783" s="416"/>
      <c r="X783" s="579">
        <f>SUM(X779:X782)</f>
        <v>1.5</v>
      </c>
      <c r="Y783" s="416"/>
      <c r="Z783" s="637"/>
      <c r="AA783" s="416"/>
      <c r="AB783" s="599"/>
      <c r="AC783" s="632"/>
      <c r="AD783" s="416"/>
      <c r="AE783" s="416"/>
      <c r="AF783" s="416"/>
      <c r="AG783" s="693"/>
      <c r="AH783" s="416"/>
      <c r="AI783" s="635"/>
      <c r="AJ783" s="632"/>
      <c r="AK783" s="595"/>
      <c r="AL783" s="416"/>
      <c r="AM783" s="416"/>
      <c r="AN783" s="628"/>
      <c r="AO783" s="416"/>
      <c r="AP783" s="639"/>
      <c r="AQ783" s="416"/>
      <c r="AR783" s="639"/>
      <c r="AS783" s="416"/>
      <c r="AT783" s="599"/>
      <c r="AU783" s="632"/>
      <c r="AV783" s="416"/>
    </row>
    <row r="784" spans="1:48" ht="12.75" hidden="1" customHeight="1" outlineLevel="1">
      <c r="B784" s="562"/>
      <c r="D784" s="618"/>
      <c r="F784" s="563"/>
      <c r="G784" s="661"/>
      <c r="I784" s="618"/>
      <c r="P784" s="587"/>
      <c r="R784" s="690"/>
      <c r="S784" s="563"/>
      <c r="T784" s="687"/>
      <c r="U784" s="416"/>
      <c r="X784" s="527"/>
      <c r="Y784" s="416"/>
      <c r="Z784" s="637"/>
      <c r="AA784" s="416"/>
      <c r="AB784" s="599"/>
      <c r="AC784" s="632"/>
      <c r="AD784" s="416"/>
      <c r="AE784" s="416"/>
      <c r="AF784" s="416"/>
      <c r="AG784" s="693"/>
      <c r="AH784" s="416"/>
      <c r="AI784" s="635"/>
      <c r="AJ784" s="632"/>
      <c r="AK784" s="595"/>
      <c r="AL784" s="416"/>
      <c r="AM784" s="416"/>
      <c r="AN784" s="628"/>
      <c r="AO784" s="416"/>
      <c r="AP784" s="639"/>
      <c r="AQ784" s="416"/>
      <c r="AR784" s="639"/>
      <c r="AS784" s="416"/>
      <c r="AT784" s="599"/>
      <c r="AU784" s="632"/>
      <c r="AV784" s="416"/>
    </row>
    <row r="785" spans="1:48" ht="12.75" hidden="1" customHeight="1" outlineLevel="1">
      <c r="A785" s="593"/>
      <c r="B785" s="431">
        <f>B741</f>
        <v>2012</v>
      </c>
      <c r="E785" s="563"/>
      <c r="F785" s="563"/>
      <c r="G785" s="563"/>
      <c r="H785" s="563"/>
      <c r="J785" s="563"/>
      <c r="S785" s="563"/>
      <c r="T785" s="416"/>
      <c r="U785" s="416"/>
      <c r="Y785" s="416"/>
      <c r="Z785" s="416"/>
      <c r="AA785" s="416"/>
      <c r="AB785" s="416"/>
      <c r="AC785" s="632"/>
      <c r="AD785" s="416"/>
      <c r="AE785" s="416"/>
      <c r="AF785" s="416"/>
      <c r="AG785" s="416"/>
      <c r="AH785" s="416"/>
      <c r="AI785" s="416"/>
      <c r="AJ785" s="632"/>
      <c r="AK785" s="416"/>
      <c r="AL785" s="416"/>
      <c r="AM785" s="416"/>
      <c r="AN785" s="416"/>
      <c r="AO785" s="416"/>
      <c r="AP785" s="416"/>
      <c r="AQ785" s="416"/>
      <c r="AR785" s="416"/>
      <c r="AS785" s="416"/>
      <c r="AT785" s="416"/>
      <c r="AU785" s="632"/>
      <c r="AV785" s="416"/>
    </row>
    <row r="786" spans="1:48" ht="12.75" hidden="1" customHeight="1" outlineLevel="1">
      <c r="A786" s="410" t="str">
        <f>$A$12</f>
        <v>1Q</v>
      </c>
      <c r="B786" s="562" t="str">
        <f>$B$12</f>
        <v>Apr</v>
      </c>
      <c r="D786" s="688" t="s">
        <v>378</v>
      </c>
      <c r="E786" s="563"/>
      <c r="F786" s="563"/>
      <c r="G786" s="682" t="s">
        <v>378</v>
      </c>
      <c r="H786" s="563"/>
      <c r="I786" s="645">
        <v>0</v>
      </c>
      <c r="J786" s="563"/>
      <c r="K786" s="454">
        <v>2</v>
      </c>
      <c r="L786" s="454"/>
      <c r="M786" s="454"/>
      <c r="N786" s="454"/>
      <c r="P786" s="587">
        <f>+AVERAGE(K782,K786)</f>
        <v>1.5</v>
      </c>
      <c r="R786" s="688" t="s">
        <v>378</v>
      </c>
      <c r="S786" s="563"/>
      <c r="T786" s="691" t="s">
        <v>378</v>
      </c>
      <c r="U786" s="416"/>
      <c r="X786" s="602">
        <v>1.6</v>
      </c>
      <c r="Y786" s="416"/>
      <c r="Z786" s="637"/>
      <c r="AA786" s="416"/>
      <c r="AB786" s="599"/>
      <c r="AC786" s="632"/>
      <c r="AD786" s="416"/>
      <c r="AE786" s="692"/>
      <c r="AF786" s="416"/>
      <c r="AG786" s="693"/>
      <c r="AH786" s="416"/>
      <c r="AI786" s="635"/>
      <c r="AJ786" s="632"/>
      <c r="AK786" s="595"/>
      <c r="AL786" s="416"/>
      <c r="AM786" s="416"/>
      <c r="AN786" s="628"/>
      <c r="AO786" s="416"/>
      <c r="AP786" s="639"/>
      <c r="AQ786" s="416"/>
      <c r="AR786" s="639"/>
      <c r="AS786" s="416"/>
      <c r="AT786" s="599"/>
      <c r="AU786" s="632"/>
      <c r="AV786" s="416"/>
    </row>
    <row r="787" spans="1:48" ht="12.75" hidden="1" customHeight="1" outlineLevel="1">
      <c r="A787" s="410" t="str">
        <f>$A$13</f>
        <v>2Q</v>
      </c>
      <c r="B787" s="562" t="str">
        <f>$B$13</f>
        <v>Jul</v>
      </c>
      <c r="D787" s="688" t="s">
        <v>378</v>
      </c>
      <c r="F787" s="563"/>
      <c r="G787" s="682" t="s">
        <v>378</v>
      </c>
      <c r="I787" s="645">
        <v>0</v>
      </c>
      <c r="K787" s="454">
        <v>2</v>
      </c>
      <c r="L787" s="454"/>
      <c r="M787" s="454"/>
      <c r="N787" s="454"/>
      <c r="O787" s="454"/>
      <c r="P787" s="587">
        <f>AVERAGE(K787,K786)</f>
        <v>2</v>
      </c>
      <c r="R787" s="688" t="s">
        <v>378</v>
      </c>
      <c r="S787" s="563"/>
      <c r="T787" s="691" t="s">
        <v>378</v>
      </c>
      <c r="U787" s="416"/>
      <c r="X787" s="647">
        <v>1.6</v>
      </c>
      <c r="Y787" s="416"/>
      <c r="Z787" s="642"/>
      <c r="AA787" s="416"/>
      <c r="AB787" s="599"/>
      <c r="AC787" s="632"/>
      <c r="AD787" s="416"/>
      <c r="AE787" s="692"/>
      <c r="AF787" s="459"/>
      <c r="AG787" s="693"/>
      <c r="AH787" s="416"/>
      <c r="AI787" s="635"/>
      <c r="AJ787" s="632"/>
      <c r="AK787" s="595"/>
      <c r="AL787" s="416"/>
      <c r="AM787" s="416"/>
      <c r="AN787" s="610"/>
      <c r="AO787" s="416"/>
      <c r="AP787" s="643"/>
      <c r="AQ787" s="416"/>
      <c r="AR787" s="643"/>
      <c r="AS787" s="416"/>
      <c r="AT787" s="599"/>
      <c r="AU787" s="632"/>
      <c r="AV787" s="416"/>
    </row>
    <row r="788" spans="1:48" ht="12.75" hidden="1" customHeight="1" outlineLevel="1">
      <c r="A788" s="410" t="str">
        <f>$A$14</f>
        <v>3Q</v>
      </c>
      <c r="B788" s="562" t="str">
        <f>$B$14</f>
        <v>Oct</v>
      </c>
      <c r="D788" s="688" t="s">
        <v>378</v>
      </c>
      <c r="F788" s="563"/>
      <c r="G788" s="682" t="s">
        <v>378</v>
      </c>
      <c r="I788" s="645">
        <v>0</v>
      </c>
      <c r="K788" s="454">
        <v>2</v>
      </c>
      <c r="L788" s="454"/>
      <c r="M788" s="454"/>
      <c r="N788" s="454"/>
      <c r="O788" s="454"/>
      <c r="P788" s="587">
        <f>AVERAGE(K788,K787)</f>
        <v>2</v>
      </c>
      <c r="R788" s="688" t="s">
        <v>378</v>
      </c>
      <c r="S788" s="563"/>
      <c r="T788" s="691" t="s">
        <v>378</v>
      </c>
      <c r="U788" s="416"/>
      <c r="X788" s="647">
        <v>2</v>
      </c>
      <c r="Y788" s="416"/>
      <c r="Z788" s="642"/>
      <c r="AA788" s="416"/>
      <c r="AB788" s="599"/>
      <c r="AC788" s="632"/>
      <c r="AD788" s="416"/>
      <c r="AE788" s="692"/>
      <c r="AF788" s="459"/>
      <c r="AG788" s="693"/>
      <c r="AH788" s="416"/>
      <c r="AI788" s="635"/>
      <c r="AJ788" s="632"/>
      <c r="AK788" s="595"/>
      <c r="AL788" s="416"/>
      <c r="AM788" s="416"/>
      <c r="AN788" s="610"/>
      <c r="AO788" s="416"/>
      <c r="AP788" s="643"/>
      <c r="AQ788" s="416"/>
      <c r="AR788" s="643"/>
      <c r="AS788" s="416"/>
      <c r="AT788" s="599"/>
      <c r="AU788" s="632"/>
      <c r="AV788" s="416"/>
    </row>
    <row r="789" spans="1:48" ht="12.75" hidden="1" customHeight="1" outlineLevel="1">
      <c r="A789" s="410" t="str">
        <f>$A$15</f>
        <v>4Q</v>
      </c>
      <c r="B789" s="562" t="str">
        <f>$B$15</f>
        <v>Jan</v>
      </c>
      <c r="D789" s="689" t="s">
        <v>378</v>
      </c>
      <c r="F789" s="563"/>
      <c r="G789" s="683" t="s">
        <v>378</v>
      </c>
      <c r="I789" s="646">
        <v>0</v>
      </c>
      <c r="K789" s="454">
        <f>yrSales!$T$31</f>
        <v>2</v>
      </c>
      <c r="L789" s="454"/>
      <c r="M789" s="454"/>
      <c r="N789" s="454"/>
      <c r="O789" s="454"/>
      <c r="P789" s="588">
        <f>AVERAGE(K789,K788)</f>
        <v>2</v>
      </c>
      <c r="R789" s="689" t="s">
        <v>378</v>
      </c>
      <c r="S789" s="563"/>
      <c r="T789" s="695" t="s">
        <v>378</v>
      </c>
      <c r="U789" s="416"/>
      <c r="X789" s="649">
        <v>2.4</v>
      </c>
      <c r="Y789" s="416"/>
      <c r="Z789" s="642"/>
      <c r="AA789" s="416"/>
      <c r="AB789" s="599"/>
      <c r="AC789" s="632"/>
      <c r="AD789" s="416"/>
      <c r="AE789" s="692"/>
      <c r="AF789" s="459"/>
      <c r="AG789" s="693"/>
      <c r="AH789" s="416"/>
      <c r="AI789" s="635"/>
      <c r="AJ789" s="632"/>
      <c r="AK789" s="595"/>
      <c r="AL789" s="416"/>
      <c r="AM789" s="416"/>
      <c r="AN789" s="610"/>
      <c r="AO789" s="416"/>
      <c r="AP789" s="643"/>
      <c r="AQ789" s="416"/>
      <c r="AR789" s="643"/>
      <c r="AS789" s="416"/>
      <c r="AT789" s="599"/>
      <c r="AU789" s="632"/>
      <c r="AV789" s="416"/>
    </row>
    <row r="790" spans="1:48" ht="12.75" hidden="1" customHeight="1" outlineLevel="1">
      <c r="B790" s="562" t="str">
        <f>$B$16</f>
        <v>Year</v>
      </c>
      <c r="D790" s="690" t="s">
        <v>378</v>
      </c>
      <c r="F790" s="563"/>
      <c r="G790" s="661" t="s">
        <v>378</v>
      </c>
      <c r="I790" s="618">
        <v>0</v>
      </c>
      <c r="P790" s="587">
        <f>AVERAGE(P786:P789)</f>
        <v>1.875</v>
      </c>
      <c r="R790" s="690" t="s">
        <v>378</v>
      </c>
      <c r="S790" s="563"/>
      <c r="T790" s="687" t="s">
        <v>378</v>
      </c>
      <c r="U790" s="416"/>
      <c r="X790" s="579">
        <f>SUM(X786:X789)</f>
        <v>7.6</v>
      </c>
      <c r="Y790" s="416"/>
      <c r="Z790" s="637"/>
      <c r="AA790" s="416"/>
      <c r="AB790" s="599"/>
      <c r="AC790" s="632"/>
      <c r="AD790" s="416"/>
      <c r="AE790" s="416"/>
      <c r="AF790" s="416"/>
      <c r="AG790" s="693"/>
      <c r="AH790" s="416"/>
      <c r="AI790" s="635"/>
      <c r="AJ790" s="632"/>
      <c r="AK790" s="595"/>
      <c r="AL790" s="416"/>
      <c r="AM790" s="416"/>
      <c r="AN790" s="628"/>
      <c r="AO790" s="416"/>
      <c r="AP790" s="639"/>
      <c r="AQ790" s="416"/>
      <c r="AR790" s="639"/>
      <c r="AS790" s="416"/>
      <c r="AT790" s="599"/>
      <c r="AU790" s="632"/>
      <c r="AV790" s="416"/>
    </row>
    <row r="791" spans="1:48" ht="12.75" hidden="1" customHeight="1" outlineLevel="1">
      <c r="B791" s="562"/>
      <c r="D791" s="690"/>
      <c r="F791" s="563"/>
      <c r="G791" s="661"/>
      <c r="I791" s="618"/>
      <c r="P791" s="587"/>
      <c r="R791" s="690"/>
      <c r="S791" s="563"/>
      <c r="T791" s="687"/>
      <c r="U791" s="416"/>
      <c r="X791" s="579"/>
      <c r="Y791" s="416"/>
      <c r="Z791" s="637"/>
      <c r="AA791" s="416"/>
      <c r="AB791" s="599"/>
      <c r="AC791" s="632"/>
      <c r="AD791" s="416"/>
      <c r="AE791" s="416"/>
      <c r="AF791" s="416"/>
      <c r="AG791" s="693"/>
      <c r="AH791" s="416"/>
      <c r="AI791" s="635"/>
      <c r="AJ791" s="632"/>
      <c r="AK791" s="595"/>
      <c r="AL791" s="416"/>
      <c r="AM791" s="416"/>
      <c r="AN791" s="628"/>
      <c r="AO791" s="416"/>
      <c r="AP791" s="639"/>
      <c r="AQ791" s="416"/>
      <c r="AR791" s="639"/>
      <c r="AS791" s="416"/>
      <c r="AT791" s="599"/>
      <c r="AU791" s="632"/>
      <c r="AV791" s="416"/>
    </row>
    <row r="792" spans="1:48" ht="12.75" hidden="1" customHeight="1" outlineLevel="1">
      <c r="A792" s="593"/>
      <c r="B792" s="431">
        <f>B741+1</f>
        <v>2013</v>
      </c>
      <c r="D792" s="690"/>
      <c r="F792" s="563"/>
      <c r="G792" s="661"/>
      <c r="I792" s="618"/>
      <c r="P792" s="587"/>
      <c r="R792" s="690"/>
      <c r="S792" s="563"/>
      <c r="T792" s="687"/>
      <c r="U792" s="416"/>
      <c r="X792" s="579"/>
      <c r="Y792" s="416"/>
      <c r="Z792" s="637"/>
      <c r="AA792" s="416"/>
      <c r="AB792" s="599"/>
      <c r="AC792" s="632"/>
      <c r="AD792" s="416"/>
      <c r="AE792" s="416"/>
      <c r="AF792" s="416"/>
      <c r="AG792" s="693"/>
      <c r="AH792" s="416"/>
      <c r="AI792" s="635"/>
      <c r="AJ792" s="632"/>
      <c r="AK792" s="595"/>
      <c r="AL792" s="416"/>
      <c r="AM792" s="416"/>
      <c r="AN792" s="628"/>
      <c r="AO792" s="416"/>
      <c r="AP792" s="639"/>
      <c r="AQ792" s="416"/>
      <c r="AR792" s="639"/>
      <c r="AS792" s="416"/>
      <c r="AT792" s="599"/>
      <c r="AU792" s="632"/>
      <c r="AV792" s="416"/>
    </row>
    <row r="793" spans="1:48" ht="12.75" hidden="1" customHeight="1" outlineLevel="1">
      <c r="A793" s="410" t="str">
        <f>$A$12</f>
        <v>1Q</v>
      </c>
      <c r="B793" s="562" t="str">
        <f>$B$12</f>
        <v>Apr</v>
      </c>
      <c r="D793" s="688" t="s">
        <v>378</v>
      </c>
      <c r="E793" s="563"/>
      <c r="F793" s="563"/>
      <c r="G793" s="682" t="s">
        <v>378</v>
      </c>
      <c r="H793" s="563"/>
      <c r="I793" s="645">
        <v>0</v>
      </c>
      <c r="K793" s="454">
        <v>2</v>
      </c>
      <c r="L793" s="454"/>
      <c r="M793" s="454"/>
      <c r="N793" s="454"/>
      <c r="P793" s="587">
        <f>+AVERAGE(K789,K793)</f>
        <v>2</v>
      </c>
      <c r="R793" s="688" t="s">
        <v>378</v>
      </c>
      <c r="S793" s="563"/>
      <c r="T793" s="691" t="s">
        <v>378</v>
      </c>
      <c r="U793" s="416"/>
      <c r="X793" s="602">
        <v>1.6</v>
      </c>
      <c r="Y793" s="416"/>
      <c r="Z793" s="637"/>
      <c r="AA793" s="416"/>
      <c r="AB793" s="599"/>
      <c r="AC793" s="632"/>
      <c r="AD793" s="416"/>
      <c r="AE793" s="416"/>
      <c r="AF793" s="416"/>
      <c r="AG793" s="693"/>
      <c r="AH793" s="416"/>
      <c r="AI793" s="635"/>
      <c r="AJ793" s="632"/>
      <c r="AK793" s="595"/>
      <c r="AL793" s="416"/>
      <c r="AM793" s="416"/>
      <c r="AN793" s="628"/>
      <c r="AO793" s="416"/>
      <c r="AP793" s="639"/>
      <c r="AQ793" s="416"/>
      <c r="AR793" s="639"/>
      <c r="AS793" s="416"/>
      <c r="AT793" s="599"/>
      <c r="AU793" s="632"/>
      <c r="AV793" s="416"/>
    </row>
    <row r="794" spans="1:48" ht="12.75" hidden="1" customHeight="1" outlineLevel="1">
      <c r="A794" s="410" t="str">
        <f>$A$13</f>
        <v>2Q</v>
      </c>
      <c r="B794" s="562" t="str">
        <f>$B$13</f>
        <v>Jul</v>
      </c>
      <c r="D794" s="688" t="s">
        <v>378</v>
      </c>
      <c r="F794" s="563"/>
      <c r="G794" s="682" t="s">
        <v>378</v>
      </c>
      <c r="I794" s="645">
        <v>0</v>
      </c>
      <c r="K794" s="454">
        <v>2</v>
      </c>
      <c r="L794" s="454"/>
      <c r="M794" s="454"/>
      <c r="N794" s="454"/>
      <c r="P794" s="587">
        <f>AVERAGE(K794,K793)</f>
        <v>2</v>
      </c>
      <c r="R794" s="688" t="s">
        <v>378</v>
      </c>
      <c r="S794" s="563"/>
      <c r="T794" s="691" t="s">
        <v>378</v>
      </c>
      <c r="U794" s="416"/>
      <c r="X794" s="647">
        <v>2</v>
      </c>
      <c r="Y794" s="416"/>
      <c r="Z794" s="637"/>
      <c r="AA794" s="416"/>
      <c r="AB794" s="599"/>
      <c r="AC794" s="632"/>
      <c r="AD794" s="416"/>
      <c r="AE794" s="416"/>
      <c r="AF794" s="416"/>
      <c r="AG794" s="693"/>
      <c r="AH794" s="416"/>
      <c r="AI794" s="635"/>
      <c r="AJ794" s="632"/>
      <c r="AK794" s="595"/>
      <c r="AL794" s="416"/>
      <c r="AM794" s="416"/>
      <c r="AN794" s="628"/>
      <c r="AO794" s="416"/>
      <c r="AP794" s="639"/>
      <c r="AQ794" s="416"/>
      <c r="AR794" s="639"/>
      <c r="AS794" s="416"/>
      <c r="AT794" s="599"/>
      <c r="AU794" s="632"/>
      <c r="AV794" s="416"/>
    </row>
    <row r="795" spans="1:48" ht="12.75" hidden="1" customHeight="1" outlineLevel="1">
      <c r="A795" s="410" t="str">
        <f>$A$14</f>
        <v>3Q</v>
      </c>
      <c r="B795" s="562" t="str">
        <f>$B$14</f>
        <v>Oct</v>
      </c>
      <c r="D795" s="688" t="s">
        <v>378</v>
      </c>
      <c r="F795" s="563"/>
      <c r="G795" s="682" t="s">
        <v>378</v>
      </c>
      <c r="I795" s="645">
        <v>0</v>
      </c>
      <c r="K795" s="454">
        <v>2</v>
      </c>
      <c r="L795" s="454"/>
      <c r="M795" s="454"/>
      <c r="N795" s="454"/>
      <c r="O795" s="454"/>
      <c r="P795" s="587">
        <f>AVERAGE(K795,K794)</f>
        <v>2</v>
      </c>
      <c r="R795" s="688" t="s">
        <v>378</v>
      </c>
      <c r="S795" s="563"/>
      <c r="T795" s="691" t="s">
        <v>378</v>
      </c>
      <c r="U795" s="416"/>
      <c r="X795" s="647">
        <v>2</v>
      </c>
      <c r="Y795" s="416"/>
      <c r="Z795" s="637"/>
      <c r="AA795" s="416"/>
      <c r="AB795" s="599"/>
      <c r="AC795" s="632"/>
      <c r="AD795" s="416"/>
      <c r="AE795" s="416"/>
      <c r="AF795" s="416"/>
      <c r="AG795" s="693"/>
      <c r="AH795" s="416"/>
      <c r="AI795" s="635"/>
      <c r="AJ795" s="632"/>
      <c r="AK795" s="595"/>
      <c r="AL795" s="416"/>
      <c r="AM795" s="416"/>
      <c r="AN795" s="628"/>
      <c r="AO795" s="416"/>
      <c r="AP795" s="639"/>
      <c r="AQ795" s="416"/>
      <c r="AR795" s="639"/>
      <c r="AS795" s="416"/>
      <c r="AT795" s="599"/>
      <c r="AU795" s="632"/>
      <c r="AV795" s="416"/>
    </row>
    <row r="796" spans="1:48" ht="12.75" hidden="1" customHeight="1" outlineLevel="1">
      <c r="A796" s="410" t="str">
        <f>$A$15</f>
        <v>4Q</v>
      </c>
      <c r="B796" s="562" t="str">
        <f>$B$15</f>
        <v>Jan</v>
      </c>
      <c r="D796" s="689" t="s">
        <v>378</v>
      </c>
      <c r="F796" s="563"/>
      <c r="G796" s="683" t="s">
        <v>378</v>
      </c>
      <c r="I796" s="646">
        <v>0</v>
      </c>
      <c r="K796" s="694">
        <f>yrSales!$T$31</f>
        <v>2</v>
      </c>
      <c r="L796" s="694"/>
      <c r="M796" s="694"/>
      <c r="N796" s="694"/>
      <c r="O796" s="454"/>
      <c r="P796" s="588">
        <f>AVERAGE(K796,K795)</f>
        <v>2</v>
      </c>
      <c r="R796" s="689" t="s">
        <v>378</v>
      </c>
      <c r="S796" s="563"/>
      <c r="T796" s="695" t="s">
        <v>378</v>
      </c>
      <c r="U796" s="416"/>
      <c r="X796" s="649">
        <v>2.4</v>
      </c>
      <c r="Y796" s="416"/>
      <c r="Z796" s="637"/>
      <c r="AA796" s="416"/>
      <c r="AB796" s="599"/>
      <c r="AC796" s="632"/>
      <c r="AD796" s="416"/>
      <c r="AE796" s="416"/>
      <c r="AF796" s="416"/>
      <c r="AG796" s="693"/>
      <c r="AH796" s="416"/>
      <c r="AI796" s="635"/>
      <c r="AJ796" s="632"/>
      <c r="AK796" s="595"/>
      <c r="AL796" s="416"/>
      <c r="AM796" s="416"/>
      <c r="AN796" s="628"/>
      <c r="AO796" s="416"/>
      <c r="AP796" s="639"/>
      <c r="AQ796" s="416"/>
      <c r="AR796" s="639"/>
      <c r="AS796" s="416"/>
      <c r="AT796" s="599"/>
      <c r="AU796" s="632"/>
      <c r="AV796" s="416"/>
    </row>
    <row r="797" spans="1:48" ht="12.75" hidden="1" customHeight="1" outlineLevel="1">
      <c r="B797" s="562" t="str">
        <f>$B$16</f>
        <v>Year</v>
      </c>
      <c r="D797" s="690" t="s">
        <v>378</v>
      </c>
      <c r="F797" s="563"/>
      <c r="G797" s="661" t="s">
        <v>378</v>
      </c>
      <c r="I797" s="618">
        <v>0</v>
      </c>
      <c r="P797" s="587">
        <f>AVERAGE(P793:P796)</f>
        <v>2</v>
      </c>
      <c r="R797" s="690" t="s">
        <v>378</v>
      </c>
      <c r="S797" s="563"/>
      <c r="T797" s="687" t="s">
        <v>378</v>
      </c>
      <c r="U797" s="416"/>
      <c r="X797" s="579">
        <f>SUM(X793:X796)</f>
        <v>8</v>
      </c>
      <c r="Y797" s="416"/>
      <c r="Z797" s="637"/>
      <c r="AA797" s="416"/>
      <c r="AB797" s="599"/>
      <c r="AC797" s="632"/>
      <c r="AD797" s="416"/>
      <c r="AE797" s="416"/>
      <c r="AF797" s="416"/>
      <c r="AG797" s="693"/>
      <c r="AH797" s="416"/>
      <c r="AI797" s="635"/>
      <c r="AJ797" s="632"/>
      <c r="AK797" s="595"/>
      <c r="AL797" s="416"/>
      <c r="AM797" s="416"/>
      <c r="AN797" s="628"/>
      <c r="AO797" s="416"/>
      <c r="AP797" s="639"/>
      <c r="AQ797" s="416"/>
      <c r="AR797" s="639"/>
      <c r="AS797" s="416"/>
      <c r="AT797" s="599"/>
      <c r="AU797" s="632"/>
      <c r="AV797" s="416"/>
    </row>
    <row r="798" spans="1:48" ht="12.75" hidden="1" customHeight="1" outlineLevel="1">
      <c r="B798" s="562"/>
      <c r="F798" s="563"/>
      <c r="G798" s="563"/>
      <c r="Y798" s="416"/>
      <c r="Z798" s="416"/>
      <c r="AA798" s="416"/>
      <c r="AB798" s="416"/>
      <c r="AC798" s="416"/>
      <c r="AD798" s="416"/>
      <c r="AE798" s="416"/>
      <c r="AF798" s="416"/>
      <c r="AG798" s="416"/>
      <c r="AH798" s="416"/>
      <c r="AI798" s="416"/>
      <c r="AJ798" s="416"/>
      <c r="AK798" s="416"/>
      <c r="AL798" s="416"/>
      <c r="AM798" s="416"/>
      <c r="AN798" s="416"/>
      <c r="AO798" s="416"/>
      <c r="AP798" s="416"/>
      <c r="AQ798" s="416"/>
      <c r="AR798" s="416"/>
      <c r="AS798" s="416"/>
      <c r="AT798" s="416"/>
      <c r="AU798" s="416"/>
      <c r="AV798" s="416"/>
    </row>
    <row r="799" spans="1:48" ht="12.75" hidden="1" customHeight="1" outlineLevel="1">
      <c r="A799" s="593"/>
      <c r="B799" s="518">
        <f>B748+1</f>
        <v>2014</v>
      </c>
      <c r="D799" s="690"/>
      <c r="F799" s="563"/>
      <c r="G799" s="661"/>
      <c r="I799" s="618"/>
      <c r="P799" s="587"/>
      <c r="R799" s="690"/>
      <c r="S799" s="563"/>
      <c r="T799" s="687"/>
      <c r="U799" s="416"/>
      <c r="X799" s="579"/>
      <c r="Y799" s="416"/>
      <c r="Z799" s="637"/>
      <c r="AA799" s="416"/>
      <c r="AB799" s="599"/>
      <c r="AC799" s="632"/>
      <c r="AD799" s="416"/>
      <c r="AE799" s="416"/>
      <c r="AF799" s="416"/>
      <c r="AG799" s="693"/>
      <c r="AH799" s="416"/>
      <c r="AI799" s="635"/>
      <c r="AJ799" s="632"/>
      <c r="AK799" s="595"/>
      <c r="AL799" s="416"/>
      <c r="AM799" s="416"/>
      <c r="AN799" s="628"/>
      <c r="AO799" s="416"/>
      <c r="AP799" s="639"/>
      <c r="AQ799" s="416"/>
      <c r="AR799" s="639"/>
      <c r="AS799" s="416"/>
      <c r="AT799" s="599"/>
      <c r="AU799" s="632"/>
      <c r="AV799" s="416"/>
    </row>
    <row r="800" spans="1:48" ht="12.75" hidden="1" customHeight="1" outlineLevel="1">
      <c r="A800" s="410" t="str">
        <f>$A$12</f>
        <v>1Q</v>
      </c>
      <c r="B800" s="562" t="str">
        <f>$B$12</f>
        <v>Apr</v>
      </c>
      <c r="D800" s="688" t="s">
        <v>378</v>
      </c>
      <c r="E800" s="563"/>
      <c r="F800" s="563"/>
      <c r="G800" s="682" t="s">
        <v>378</v>
      </c>
      <c r="H800" s="563"/>
      <c r="I800" s="645">
        <v>0</v>
      </c>
      <c r="K800" s="454">
        <v>0</v>
      </c>
      <c r="L800" s="454"/>
      <c r="M800" s="454"/>
      <c r="N800" s="454"/>
      <c r="P800" s="587">
        <f>+AVERAGE(K796,K800)</f>
        <v>1</v>
      </c>
      <c r="R800" s="688" t="s">
        <v>378</v>
      </c>
      <c r="S800" s="563"/>
      <c r="T800" s="691" t="s">
        <v>378</v>
      </c>
      <c r="U800" s="416"/>
      <c r="X800" s="602">
        <v>1.6</v>
      </c>
      <c r="Y800" s="416"/>
      <c r="Z800" s="637"/>
      <c r="AA800" s="416"/>
      <c r="AB800" s="599"/>
      <c r="AC800" s="632"/>
      <c r="AD800" s="416"/>
      <c r="AE800" s="416"/>
      <c r="AF800" s="416"/>
      <c r="AG800" s="693"/>
      <c r="AH800" s="416"/>
      <c r="AI800" s="635"/>
      <c r="AJ800" s="632"/>
      <c r="AK800" s="595"/>
      <c r="AL800" s="416"/>
      <c r="AM800" s="416"/>
      <c r="AN800" s="628"/>
      <c r="AO800" s="416"/>
      <c r="AP800" s="639"/>
      <c r="AQ800" s="416"/>
      <c r="AR800" s="639"/>
      <c r="AS800" s="416"/>
      <c r="AT800" s="599"/>
      <c r="AU800" s="632"/>
      <c r="AV800" s="416"/>
    </row>
    <row r="801" spans="1:48" ht="12.75" hidden="1" customHeight="1" outlineLevel="1">
      <c r="A801" s="410" t="str">
        <f>$A$13</f>
        <v>2Q</v>
      </c>
      <c r="B801" s="562" t="str">
        <f>$B$13</f>
        <v>Jul</v>
      </c>
      <c r="D801" s="688" t="s">
        <v>378</v>
      </c>
      <c r="F801" s="563"/>
      <c r="G801" s="682" t="s">
        <v>378</v>
      </c>
      <c r="I801" s="645">
        <v>0</v>
      </c>
      <c r="K801" s="454">
        <v>0</v>
      </c>
      <c r="L801" s="454"/>
      <c r="M801" s="454"/>
      <c r="N801" s="454"/>
      <c r="P801" s="587">
        <f>AVERAGE(K801,K800)</f>
        <v>0</v>
      </c>
      <c r="R801" s="688" t="s">
        <v>378</v>
      </c>
      <c r="S801" s="563"/>
      <c r="T801" s="691" t="s">
        <v>378</v>
      </c>
      <c r="U801" s="416"/>
      <c r="X801" s="647">
        <v>2</v>
      </c>
      <c r="Y801" s="416"/>
      <c r="Z801" s="637"/>
      <c r="AA801" s="416"/>
      <c r="AB801" s="599"/>
      <c r="AC801" s="632"/>
      <c r="AD801" s="416"/>
      <c r="AE801" s="416"/>
      <c r="AF801" s="416"/>
      <c r="AG801" s="693"/>
      <c r="AH801" s="416"/>
      <c r="AI801" s="635"/>
      <c r="AJ801" s="632"/>
      <c r="AK801" s="595"/>
      <c r="AL801" s="416"/>
      <c r="AM801" s="416"/>
      <c r="AN801" s="628"/>
      <c r="AO801" s="416"/>
      <c r="AP801" s="639"/>
      <c r="AQ801" s="416"/>
      <c r="AR801" s="639"/>
      <c r="AS801" s="416"/>
      <c r="AT801" s="599"/>
      <c r="AU801" s="632"/>
      <c r="AV801" s="416"/>
    </row>
    <row r="802" spans="1:48" ht="12.75" hidden="1" customHeight="1" outlineLevel="1">
      <c r="A802" s="410" t="str">
        <f>$A$14</f>
        <v>3Q</v>
      </c>
      <c r="B802" s="562" t="str">
        <f>$B$14</f>
        <v>Oct</v>
      </c>
      <c r="D802" s="688" t="s">
        <v>378</v>
      </c>
      <c r="F802" s="563"/>
      <c r="G802" s="682" t="s">
        <v>378</v>
      </c>
      <c r="I802" s="645">
        <v>0</v>
      </c>
      <c r="K802" s="454">
        <v>0</v>
      </c>
      <c r="L802" s="454"/>
      <c r="M802" s="454"/>
      <c r="N802" s="454"/>
      <c r="O802" s="454"/>
      <c r="P802" s="587">
        <f>AVERAGE(K802,K801)</f>
        <v>0</v>
      </c>
      <c r="R802" s="688" t="s">
        <v>378</v>
      </c>
      <c r="S802" s="563"/>
      <c r="T802" s="691" t="s">
        <v>378</v>
      </c>
      <c r="U802" s="416"/>
      <c r="X802" s="647">
        <v>2</v>
      </c>
      <c r="Z802" s="580"/>
      <c r="AB802" s="599"/>
      <c r="AC802" s="563"/>
      <c r="AG802" s="582"/>
      <c r="AI802" s="539"/>
      <c r="AJ802" s="563"/>
      <c r="AK802" s="595"/>
      <c r="AL802" s="416"/>
      <c r="AN802" s="579"/>
      <c r="AP802" s="583"/>
      <c r="AR802" s="583"/>
      <c r="AT802" s="599"/>
      <c r="AU802" s="563"/>
    </row>
    <row r="803" spans="1:48" ht="12.75" hidden="1" customHeight="1" outlineLevel="1">
      <c r="A803" s="410" t="str">
        <f>$A$15</f>
        <v>4Q</v>
      </c>
      <c r="B803" s="562" t="str">
        <f>$B$15</f>
        <v>Jan</v>
      </c>
      <c r="D803" s="689" t="s">
        <v>378</v>
      </c>
      <c r="F803" s="563"/>
      <c r="G803" s="683" t="s">
        <v>378</v>
      </c>
      <c r="I803" s="646">
        <v>0</v>
      </c>
      <c r="K803" s="410">
        <f>yrSales!$V$31</f>
        <v>0</v>
      </c>
      <c r="O803" s="454"/>
      <c r="P803" s="588">
        <f>AVERAGE(K803,K802)</f>
        <v>0</v>
      </c>
      <c r="R803" s="689" t="s">
        <v>378</v>
      </c>
      <c r="S803" s="563"/>
      <c r="T803" s="695" t="s">
        <v>378</v>
      </c>
      <c r="U803" s="416"/>
      <c r="X803" s="649">
        <v>2.4</v>
      </c>
      <c r="Z803" s="580"/>
      <c r="AB803" s="599"/>
      <c r="AC803" s="563"/>
      <c r="AG803" s="582"/>
      <c r="AI803" s="539"/>
      <c r="AJ803" s="563"/>
      <c r="AK803" s="595"/>
      <c r="AL803" s="416"/>
      <c r="AN803" s="579"/>
      <c r="AP803" s="583"/>
      <c r="AR803" s="583"/>
      <c r="AT803" s="599"/>
      <c r="AU803" s="563"/>
    </row>
    <row r="804" spans="1:48" ht="12.75" hidden="1" customHeight="1" outlineLevel="1">
      <c r="B804" s="562" t="str">
        <f>$B$16</f>
        <v>Year</v>
      </c>
      <c r="D804" s="690" t="s">
        <v>378</v>
      </c>
      <c r="F804" s="563"/>
      <c r="G804" s="661" t="s">
        <v>378</v>
      </c>
      <c r="I804" s="618">
        <v>0</v>
      </c>
      <c r="P804" s="587">
        <f>AVERAGE(P800:P803)</f>
        <v>0.25</v>
      </c>
      <c r="R804" s="690" t="s">
        <v>378</v>
      </c>
      <c r="S804" s="563"/>
      <c r="T804" s="687" t="s">
        <v>378</v>
      </c>
      <c r="U804" s="416"/>
      <c r="X804" s="579">
        <f>SUM(X800:X803)</f>
        <v>8</v>
      </c>
      <c r="Z804" s="580"/>
      <c r="AB804" s="599"/>
      <c r="AC804" s="563"/>
      <c r="AG804" s="582"/>
      <c r="AI804" s="539"/>
      <c r="AJ804" s="563"/>
      <c r="AK804" s="595"/>
      <c r="AL804" s="416"/>
      <c r="AN804" s="579"/>
      <c r="AP804" s="583"/>
      <c r="AR804" s="583"/>
      <c r="AT804" s="599"/>
      <c r="AU804" s="563"/>
    </row>
    <row r="805" spans="1:48" ht="12.75" hidden="1" customHeight="1" outlineLevel="1">
      <c r="B805" s="562"/>
      <c r="F805" s="563"/>
      <c r="G805" s="563"/>
    </row>
    <row r="806" spans="1:48" ht="12.75" hidden="1" customHeight="1" outlineLevel="1">
      <c r="A806" s="593"/>
      <c r="B806" s="518">
        <f>B755+1</f>
        <v>2015</v>
      </c>
      <c r="D806" s="690"/>
      <c r="F806" s="563"/>
      <c r="G806" s="661"/>
      <c r="I806" s="618"/>
      <c r="P806" s="587"/>
      <c r="R806" s="690"/>
      <c r="S806" s="563"/>
      <c r="T806" s="687"/>
      <c r="U806" s="416"/>
      <c r="X806" s="579"/>
      <c r="Z806" s="580"/>
      <c r="AB806" s="599"/>
      <c r="AC806" s="563"/>
      <c r="AG806" s="582"/>
      <c r="AI806" s="539"/>
      <c r="AJ806" s="563"/>
      <c r="AK806" s="595"/>
      <c r="AL806" s="416"/>
      <c r="AN806" s="579"/>
      <c r="AP806" s="583"/>
      <c r="AR806" s="583"/>
      <c r="AT806" s="599"/>
      <c r="AU806" s="563"/>
    </row>
    <row r="807" spans="1:48" ht="12.75" hidden="1" customHeight="1" outlineLevel="1">
      <c r="A807" s="410" t="str">
        <f>$A$12</f>
        <v>1Q</v>
      </c>
      <c r="B807" s="562" t="str">
        <f>$B$12</f>
        <v>Apr</v>
      </c>
      <c r="D807" s="688" t="s">
        <v>378</v>
      </c>
      <c r="E807" s="563"/>
      <c r="F807" s="563"/>
      <c r="G807" s="682" t="s">
        <v>378</v>
      </c>
      <c r="H807" s="563"/>
      <c r="I807" s="645">
        <v>0</v>
      </c>
      <c r="K807" s="454">
        <v>0</v>
      </c>
      <c r="L807" s="454"/>
      <c r="M807" s="454"/>
      <c r="N807" s="454"/>
      <c r="P807" s="587">
        <f>+AVERAGE(K803,K807)</f>
        <v>0</v>
      </c>
      <c r="R807" s="688" t="s">
        <v>378</v>
      </c>
      <c r="S807" s="563"/>
      <c r="T807" s="691" t="s">
        <v>378</v>
      </c>
      <c r="U807" s="416"/>
      <c r="X807" s="602">
        <v>1.6</v>
      </c>
      <c r="Z807" s="580"/>
      <c r="AB807" s="599"/>
      <c r="AC807" s="563"/>
      <c r="AG807" s="582"/>
      <c r="AI807" s="539"/>
      <c r="AJ807" s="563"/>
      <c r="AK807" s="595"/>
      <c r="AL807" s="416"/>
      <c r="AN807" s="579"/>
      <c r="AP807" s="583"/>
      <c r="AR807" s="583"/>
      <c r="AT807" s="599"/>
      <c r="AU807" s="563"/>
    </row>
    <row r="808" spans="1:48" ht="12.75" hidden="1" customHeight="1" outlineLevel="1">
      <c r="A808" s="410" t="str">
        <f>$A$13</f>
        <v>2Q</v>
      </c>
      <c r="B808" s="562" t="str">
        <f>$B$13</f>
        <v>Jul</v>
      </c>
      <c r="D808" s="688" t="s">
        <v>378</v>
      </c>
      <c r="F808" s="563"/>
      <c r="G808" s="682" t="s">
        <v>378</v>
      </c>
      <c r="I808" s="645">
        <v>0</v>
      </c>
      <c r="K808" s="454">
        <v>0</v>
      </c>
      <c r="L808" s="454"/>
      <c r="M808" s="454"/>
      <c r="N808" s="454"/>
      <c r="P808" s="587">
        <f>AVERAGE(K808,K807)</f>
        <v>0</v>
      </c>
      <c r="R808" s="688" t="s">
        <v>378</v>
      </c>
      <c r="S808" s="563"/>
      <c r="T808" s="691" t="s">
        <v>378</v>
      </c>
      <c r="U808" s="416"/>
      <c r="X808" s="647">
        <v>2</v>
      </c>
      <c r="Z808" s="580"/>
      <c r="AB808" s="599"/>
      <c r="AC808" s="563"/>
      <c r="AG808" s="582"/>
      <c r="AI808" s="539"/>
      <c r="AJ808" s="563"/>
      <c r="AK808" s="595"/>
      <c r="AL808" s="416"/>
      <c r="AN808" s="579"/>
      <c r="AP808" s="583"/>
      <c r="AR808" s="583"/>
      <c r="AT808" s="599"/>
      <c r="AU808" s="563"/>
    </row>
    <row r="809" spans="1:48" ht="12.75" hidden="1" customHeight="1" outlineLevel="1">
      <c r="A809" s="410" t="str">
        <f>$A$14</f>
        <v>3Q</v>
      </c>
      <c r="B809" s="562" t="str">
        <f>$B$14</f>
        <v>Oct</v>
      </c>
      <c r="D809" s="688" t="s">
        <v>378</v>
      </c>
      <c r="F809" s="563"/>
      <c r="G809" s="682" t="s">
        <v>378</v>
      </c>
      <c r="I809" s="645">
        <v>0</v>
      </c>
      <c r="K809" s="454">
        <v>0</v>
      </c>
      <c r="L809" s="454"/>
      <c r="M809" s="454"/>
      <c r="N809" s="454"/>
      <c r="O809" s="454"/>
      <c r="P809" s="587">
        <f>AVERAGE(K809,K808)</f>
        <v>0</v>
      </c>
      <c r="R809" s="688" t="s">
        <v>378</v>
      </c>
      <c r="S809" s="563"/>
      <c r="T809" s="691" t="s">
        <v>378</v>
      </c>
      <c r="U809" s="416"/>
      <c r="X809" s="647">
        <v>2</v>
      </c>
      <c r="Z809" s="580"/>
      <c r="AB809" s="599"/>
      <c r="AC809" s="563"/>
      <c r="AG809" s="582"/>
      <c r="AI809" s="539"/>
      <c r="AJ809" s="563"/>
      <c r="AK809" s="595"/>
      <c r="AL809" s="416"/>
      <c r="AN809" s="579"/>
      <c r="AP809" s="583"/>
      <c r="AR809" s="583"/>
      <c r="AT809" s="599"/>
      <c r="AU809" s="563"/>
    </row>
    <row r="810" spans="1:48" ht="12.75" hidden="1" customHeight="1" outlineLevel="1">
      <c r="A810" s="410" t="str">
        <f>$A$15</f>
        <v>4Q</v>
      </c>
      <c r="B810" s="562" t="str">
        <f>$B$15</f>
        <v>Jan</v>
      </c>
      <c r="D810" s="689" t="s">
        <v>378</v>
      </c>
      <c r="F810" s="563"/>
      <c r="G810" s="683" t="s">
        <v>378</v>
      </c>
      <c r="I810" s="646">
        <v>0</v>
      </c>
      <c r="K810" s="410">
        <f>yrSales!$W$31</f>
        <v>0</v>
      </c>
      <c r="O810" s="454"/>
      <c r="P810" s="588">
        <f>AVERAGE(K810,K809)</f>
        <v>0</v>
      </c>
      <c r="R810" s="689" t="s">
        <v>378</v>
      </c>
      <c r="S810" s="563"/>
      <c r="T810" s="695" t="s">
        <v>378</v>
      </c>
      <c r="U810" s="416"/>
      <c r="X810" s="649">
        <v>2.4</v>
      </c>
      <c r="Z810" s="580"/>
      <c r="AB810" s="599"/>
      <c r="AC810" s="563"/>
      <c r="AG810" s="582"/>
      <c r="AI810" s="539"/>
      <c r="AJ810" s="563"/>
      <c r="AK810" s="595"/>
      <c r="AL810" s="416"/>
      <c r="AN810" s="579"/>
      <c r="AP810" s="583"/>
      <c r="AR810" s="583"/>
      <c r="AT810" s="599"/>
      <c r="AU810" s="563"/>
    </row>
    <row r="811" spans="1:48" ht="12.75" hidden="1" customHeight="1" outlineLevel="1">
      <c r="B811" s="562" t="str">
        <f>$B$16</f>
        <v>Year</v>
      </c>
      <c r="D811" s="690" t="s">
        <v>378</v>
      </c>
      <c r="F811" s="563"/>
      <c r="G811" s="661" t="s">
        <v>378</v>
      </c>
      <c r="I811" s="618">
        <v>0</v>
      </c>
      <c r="P811" s="587">
        <f>AVERAGE(P807:P810)</f>
        <v>0</v>
      </c>
      <c r="R811" s="690" t="s">
        <v>378</v>
      </c>
      <c r="S811" s="563"/>
      <c r="T811" s="687" t="s">
        <v>378</v>
      </c>
      <c r="U811" s="416"/>
      <c r="X811" s="579">
        <f>SUM(X807:X810)</f>
        <v>8</v>
      </c>
      <c r="Z811" s="580"/>
      <c r="AB811" s="599"/>
      <c r="AC811" s="563"/>
      <c r="AG811" s="582"/>
      <c r="AI811" s="539"/>
      <c r="AJ811" s="563"/>
      <c r="AK811" s="595"/>
      <c r="AL811" s="416"/>
      <c r="AN811" s="579"/>
      <c r="AP811" s="583"/>
      <c r="AR811" s="583"/>
      <c r="AT811" s="599"/>
      <c r="AU811" s="563"/>
    </row>
    <row r="812" spans="1:48" ht="12.75" hidden="1" customHeight="1" outlineLevel="1">
      <c r="B812" s="562"/>
      <c r="F812" s="563"/>
      <c r="G812" s="563"/>
    </row>
    <row r="813" spans="1:48" ht="12.75" hidden="1" customHeight="1" outlineLevel="1">
      <c r="A813" s="593"/>
      <c r="B813" s="518">
        <f>B762+1</f>
        <v>2016</v>
      </c>
      <c r="D813" s="690"/>
      <c r="F813" s="563"/>
      <c r="G813" s="661"/>
      <c r="I813" s="618"/>
      <c r="P813" s="587"/>
      <c r="R813" s="690"/>
      <c r="S813" s="563"/>
      <c r="T813" s="687"/>
      <c r="U813" s="416"/>
      <c r="X813" s="579"/>
      <c r="Z813" s="580"/>
      <c r="AB813" s="599"/>
      <c r="AC813" s="563"/>
      <c r="AG813" s="582"/>
      <c r="AI813" s="539"/>
      <c r="AJ813" s="563"/>
      <c r="AK813" s="595"/>
      <c r="AL813" s="416"/>
      <c r="AN813" s="579"/>
      <c r="AP813" s="583"/>
      <c r="AR813" s="583"/>
      <c r="AT813" s="599"/>
      <c r="AU813" s="563"/>
    </row>
    <row r="814" spans="1:48" ht="12.75" hidden="1" customHeight="1" outlineLevel="1">
      <c r="A814" s="410" t="str">
        <f>$A$12</f>
        <v>1Q</v>
      </c>
      <c r="B814" s="562" t="str">
        <f>$B$12</f>
        <v>Apr</v>
      </c>
      <c r="D814" s="688" t="s">
        <v>378</v>
      </c>
      <c r="E814" s="563"/>
      <c r="F814" s="563"/>
      <c r="G814" s="682" t="s">
        <v>378</v>
      </c>
      <c r="H814" s="563"/>
      <c r="I814" s="645">
        <v>0</v>
      </c>
      <c r="K814" s="454">
        <v>0</v>
      </c>
      <c r="L814" s="454"/>
      <c r="M814" s="454"/>
      <c r="N814" s="454"/>
      <c r="P814" s="587">
        <f>+AVERAGE(K810,K814)</f>
        <v>0</v>
      </c>
      <c r="R814" s="688" t="s">
        <v>378</v>
      </c>
      <c r="S814" s="563"/>
      <c r="T814" s="691" t="s">
        <v>378</v>
      </c>
      <c r="U814" s="416"/>
      <c r="X814" s="602">
        <v>1.6</v>
      </c>
      <c r="Z814" s="580"/>
      <c r="AB814" s="599"/>
      <c r="AC814" s="563"/>
      <c r="AG814" s="582"/>
      <c r="AI814" s="539"/>
      <c r="AJ814" s="563"/>
      <c r="AK814" s="595"/>
      <c r="AL814" s="416"/>
      <c r="AN814" s="579"/>
      <c r="AP814" s="583"/>
      <c r="AR814" s="583"/>
      <c r="AT814" s="599"/>
      <c r="AU814" s="563"/>
    </row>
    <row r="815" spans="1:48" ht="12.75" hidden="1" customHeight="1" outlineLevel="1">
      <c r="A815" s="410" t="str">
        <f>$A$13</f>
        <v>2Q</v>
      </c>
      <c r="B815" s="562" t="str">
        <f>$B$13</f>
        <v>Jul</v>
      </c>
      <c r="D815" s="688" t="s">
        <v>378</v>
      </c>
      <c r="F815" s="563"/>
      <c r="G815" s="682" t="s">
        <v>378</v>
      </c>
      <c r="I815" s="645">
        <v>0</v>
      </c>
      <c r="K815" s="454">
        <v>0</v>
      </c>
      <c r="L815" s="454"/>
      <c r="M815" s="454"/>
      <c r="N815" s="454"/>
      <c r="P815" s="587">
        <f>AVERAGE(K815,K814)</f>
        <v>0</v>
      </c>
      <c r="R815" s="688" t="s">
        <v>378</v>
      </c>
      <c r="S815" s="563"/>
      <c r="T815" s="691" t="s">
        <v>378</v>
      </c>
      <c r="U815" s="416"/>
      <c r="X815" s="647">
        <v>2</v>
      </c>
      <c r="Z815" s="580"/>
      <c r="AB815" s="599"/>
      <c r="AC815" s="563"/>
      <c r="AG815" s="582"/>
      <c r="AI815" s="539"/>
      <c r="AJ815" s="563"/>
      <c r="AK815" s="595"/>
      <c r="AL815" s="416"/>
      <c r="AN815" s="579"/>
      <c r="AP815" s="583"/>
      <c r="AR815" s="583"/>
      <c r="AT815" s="599"/>
      <c r="AU815" s="563"/>
    </row>
    <row r="816" spans="1:48" ht="12.75" hidden="1" customHeight="1" outlineLevel="1">
      <c r="A816" s="410" t="str">
        <f>$A$14</f>
        <v>3Q</v>
      </c>
      <c r="B816" s="562" t="str">
        <f>$B$14</f>
        <v>Oct</v>
      </c>
      <c r="D816" s="688" t="s">
        <v>378</v>
      </c>
      <c r="F816" s="563"/>
      <c r="G816" s="682" t="s">
        <v>378</v>
      </c>
      <c r="I816" s="645">
        <v>0</v>
      </c>
      <c r="K816" s="454">
        <v>0</v>
      </c>
      <c r="L816" s="454"/>
      <c r="M816" s="454"/>
      <c r="N816" s="454"/>
      <c r="O816" s="454"/>
      <c r="P816" s="587">
        <f>AVERAGE(K816,K815)</f>
        <v>0</v>
      </c>
      <c r="R816" s="688" t="s">
        <v>378</v>
      </c>
      <c r="S816" s="563"/>
      <c r="T816" s="691" t="s">
        <v>378</v>
      </c>
      <c r="U816" s="416"/>
      <c r="X816" s="647">
        <v>2</v>
      </c>
      <c r="Z816" s="580"/>
      <c r="AB816" s="599"/>
      <c r="AC816" s="563"/>
      <c r="AG816" s="582"/>
      <c r="AI816" s="539"/>
      <c r="AJ816" s="563"/>
      <c r="AK816" s="595"/>
      <c r="AL816" s="416"/>
      <c r="AN816" s="579"/>
      <c r="AP816" s="583"/>
      <c r="AR816" s="583"/>
      <c r="AT816" s="599"/>
      <c r="AU816" s="563"/>
    </row>
    <row r="817" spans="1:47" ht="12.75" hidden="1" customHeight="1" outlineLevel="1">
      <c r="A817" s="410" t="str">
        <f>$A$15</f>
        <v>4Q</v>
      </c>
      <c r="B817" s="562" t="str">
        <f>$B$15</f>
        <v>Jan</v>
      </c>
      <c r="D817" s="689" t="s">
        <v>378</v>
      </c>
      <c r="F817" s="563"/>
      <c r="G817" s="683" t="s">
        <v>378</v>
      </c>
      <c r="I817" s="646">
        <v>0</v>
      </c>
      <c r="K817" s="410">
        <f>yrSales!$W$31</f>
        <v>0</v>
      </c>
      <c r="O817" s="454"/>
      <c r="P817" s="588">
        <f>AVERAGE(K817,K816)</f>
        <v>0</v>
      </c>
      <c r="R817" s="689" t="s">
        <v>378</v>
      </c>
      <c r="S817" s="563"/>
      <c r="T817" s="695" t="s">
        <v>378</v>
      </c>
      <c r="U817" s="416"/>
      <c r="X817" s="649">
        <v>2.4</v>
      </c>
      <c r="Z817" s="580"/>
      <c r="AB817" s="599"/>
      <c r="AC817" s="563"/>
      <c r="AG817" s="582"/>
      <c r="AI817" s="539"/>
      <c r="AJ817" s="563"/>
      <c r="AK817" s="595"/>
      <c r="AL817" s="416"/>
      <c r="AN817" s="579"/>
      <c r="AP817" s="583"/>
      <c r="AR817" s="583"/>
      <c r="AT817" s="599"/>
      <c r="AU817" s="563"/>
    </row>
    <row r="818" spans="1:47" ht="12.75" hidden="1" customHeight="1" outlineLevel="1">
      <c r="B818" s="562" t="str">
        <f>$B$16</f>
        <v>Year</v>
      </c>
      <c r="D818" s="690" t="s">
        <v>378</v>
      </c>
      <c r="F818" s="563"/>
      <c r="G818" s="661" t="s">
        <v>378</v>
      </c>
      <c r="I818" s="618">
        <v>0</v>
      </c>
      <c r="P818" s="587">
        <f>AVERAGE(P814:P817)</f>
        <v>0</v>
      </c>
      <c r="R818" s="690" t="s">
        <v>378</v>
      </c>
      <c r="S818" s="563"/>
      <c r="T818" s="687" t="s">
        <v>378</v>
      </c>
      <c r="U818" s="416"/>
      <c r="X818" s="579">
        <f>SUM(X814:X817)</f>
        <v>8</v>
      </c>
      <c r="Z818" s="580"/>
      <c r="AB818" s="599"/>
      <c r="AC818" s="563"/>
      <c r="AG818" s="582"/>
      <c r="AI818" s="539"/>
      <c r="AJ818" s="563"/>
      <c r="AK818" s="595"/>
      <c r="AL818" s="416"/>
      <c r="AN818" s="579"/>
      <c r="AP818" s="583"/>
      <c r="AR818" s="583"/>
      <c r="AT818" s="599"/>
      <c r="AU818" s="563"/>
    </row>
    <row r="819" spans="1:47" ht="12.75" hidden="1" customHeight="1" outlineLevel="1">
      <c r="B819" s="562"/>
      <c r="D819" s="690"/>
      <c r="F819" s="563"/>
      <c r="G819" s="661"/>
      <c r="I819" s="618"/>
      <c r="P819" s="587"/>
      <c r="R819" s="690"/>
      <c r="S819" s="563"/>
      <c r="T819" s="687"/>
      <c r="U819" s="416"/>
      <c r="X819" s="579"/>
      <c r="Z819" s="580"/>
      <c r="AB819" s="599"/>
      <c r="AC819" s="563"/>
      <c r="AG819" s="582"/>
      <c r="AI819" s="539"/>
      <c r="AJ819" s="563"/>
      <c r="AK819" s="595"/>
      <c r="AL819" s="416"/>
      <c r="AN819" s="579"/>
      <c r="AP819" s="583"/>
      <c r="AR819" s="583"/>
      <c r="AT819" s="599"/>
      <c r="AU819" s="563"/>
    </row>
    <row r="820" spans="1:47" ht="12.75" hidden="1" customHeight="1" outlineLevel="1">
      <c r="A820" s="541" t="s">
        <v>161</v>
      </c>
      <c r="B820" s="562"/>
      <c r="F820" s="563"/>
      <c r="G820" s="563"/>
    </row>
    <row r="821" spans="1:47" ht="12.75" customHeight="1" collapsed="1">
      <c r="F821" s="563"/>
      <c r="G821" s="563"/>
    </row>
    <row r="822" spans="1:47" ht="12.75" customHeight="1">
      <c r="F822" s="563"/>
      <c r="G822" s="563"/>
    </row>
    <row r="823" spans="1:47" ht="12.75" customHeight="1">
      <c r="F823" s="563"/>
      <c r="G823" s="563"/>
    </row>
    <row r="824" spans="1:47" ht="12.75" customHeight="1">
      <c r="F824" s="563"/>
      <c r="G824" s="563"/>
    </row>
    <row r="825" spans="1:47" ht="12.75" customHeight="1">
      <c r="F825" s="563"/>
      <c r="G825" s="563"/>
    </row>
    <row r="826" spans="1:47" ht="12.75" customHeight="1">
      <c r="F826" s="563"/>
      <c r="G826" s="563"/>
    </row>
    <row r="827" spans="1:47" ht="12.75" customHeight="1">
      <c r="F827" s="563"/>
      <c r="G827" s="563"/>
    </row>
    <row r="828" spans="1:47" ht="12.75" customHeight="1">
      <c r="F828" s="563"/>
      <c r="G828" s="563"/>
    </row>
    <row r="829" spans="1:47" ht="12.75" customHeight="1">
      <c r="F829" s="563"/>
      <c r="G829" s="563"/>
    </row>
    <row r="830" spans="1:47" ht="12.75" customHeight="1">
      <c r="F830" s="563"/>
      <c r="G830" s="563"/>
    </row>
    <row r="831" spans="1:47" ht="12.75" customHeight="1">
      <c r="F831" s="563"/>
      <c r="G831" s="563"/>
    </row>
    <row r="832" spans="1:47" ht="12.75" customHeight="1">
      <c r="F832" s="563"/>
      <c r="G832" s="563"/>
    </row>
    <row r="833" spans="6:7" ht="12.75" customHeight="1">
      <c r="F833" s="563"/>
      <c r="G833" s="563"/>
    </row>
    <row r="834" spans="6:7" ht="12.75" customHeight="1">
      <c r="F834" s="563"/>
      <c r="G834" s="563"/>
    </row>
    <row r="835" spans="6:7" ht="12.75" customHeight="1">
      <c r="F835" s="563"/>
      <c r="G835" s="563"/>
    </row>
    <row r="836" spans="6:7" ht="12.75" customHeight="1">
      <c r="F836" s="563"/>
      <c r="G836" s="563"/>
    </row>
    <row r="837" spans="6:7" ht="12.75" customHeight="1">
      <c r="F837" s="563"/>
      <c r="G837" s="563"/>
    </row>
    <row r="838" spans="6:7" ht="12.75" customHeight="1">
      <c r="F838" s="563"/>
      <c r="G838" s="563"/>
    </row>
    <row r="839" spans="6:7" ht="12.75" customHeight="1">
      <c r="F839" s="563"/>
      <c r="G839" s="563"/>
    </row>
    <row r="840" spans="6:7" ht="12.75" customHeight="1">
      <c r="F840" s="563"/>
      <c r="G840" s="563"/>
    </row>
    <row r="841" spans="6:7" ht="12.75" customHeight="1">
      <c r="F841" s="563"/>
      <c r="G841" s="563"/>
    </row>
    <row r="842" spans="6:7" ht="12.75" customHeight="1">
      <c r="F842" s="563"/>
      <c r="G842" s="563"/>
    </row>
    <row r="843" spans="6:7" ht="12.75" customHeight="1">
      <c r="F843" s="563"/>
      <c r="G843" s="563"/>
    </row>
    <row r="844" spans="6:7" ht="12.75" customHeight="1"/>
    <row r="845" spans="6:7" ht="12.75" customHeight="1"/>
    <row r="846" spans="6:7" ht="12.75" customHeight="1"/>
    <row r="847" spans="6:7" ht="12.75" customHeight="1"/>
    <row r="848" spans="6:7"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sheetData>
  <phoneticPr fontId="0" type="noConversion"/>
  <printOptions horizontalCentered="1"/>
  <pageMargins left="0" right="0" top="0.5" bottom="0" header="0.5" footer="0.25"/>
  <pageSetup scale="56" orientation="landscape" r:id="rId1"/>
  <headerFooter alignWithMargins="0">
    <oddFooter>&amp;R&amp;8&amp;D/&amp;T
&amp;F/&amp;A</oddFooter>
  </headerFooter>
  <rowBreaks count="3" manualBreakCount="3">
    <brk id="174" max="16383" man="1"/>
    <brk id="326" max="46" man="1"/>
    <brk id="503" max="46" man="1"/>
  </row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tabColor indexed="59"/>
  </sheetPr>
  <dimension ref="A1:DM333"/>
  <sheetViews>
    <sheetView showGridLines="0" topLeftCell="BW1" zoomScale="85" zoomScaleNormal="85" zoomScaleSheetLayoutView="90" workbookViewId="0">
      <pane ySplit="10140" topLeftCell="A98"/>
      <selection activeCell="DD16" sqref="DD16"/>
      <selection pane="bottomLeft" activeCell="CY100" sqref="CY100"/>
    </sheetView>
  </sheetViews>
  <sheetFormatPr defaultRowHeight="12.75" outlineLevelRow="5" outlineLevelCol="1"/>
  <cols>
    <col min="1" max="1" width="3" style="100" customWidth="1"/>
    <col min="2" max="2" width="5.140625" style="100" customWidth="1"/>
    <col min="3" max="3" width="5.7109375" style="100" hidden="1" customWidth="1"/>
    <col min="4" max="4" width="9.140625" style="100" hidden="1" customWidth="1" outlineLevel="1"/>
    <col min="5" max="6" width="5.7109375" style="100" hidden="1" customWidth="1" outlineLevel="1"/>
    <col min="7" max="7" width="2.42578125" style="100" hidden="1" customWidth="1" outlineLevel="1"/>
    <col min="8" max="8" width="9.140625" style="100" hidden="1" customWidth="1" outlineLevel="1"/>
    <col min="9" max="10" width="5.7109375" style="100" hidden="1" customWidth="1" outlineLevel="1"/>
    <col min="11" max="11" width="2.42578125" style="100" hidden="1" customWidth="1" outlineLevel="1"/>
    <col min="12" max="12" width="9.140625" style="100" hidden="1" customWidth="1" outlineLevel="1"/>
    <col min="13" max="14" width="5.7109375" style="100" hidden="1" customWidth="1" outlineLevel="1"/>
    <col min="15" max="15" width="2.42578125" style="100" hidden="1" customWidth="1" outlineLevel="1"/>
    <col min="16" max="16" width="9.140625" style="100" hidden="1" customWidth="1" outlineLevel="1" collapsed="1"/>
    <col min="17" max="18" width="5.7109375" style="100" hidden="1" customWidth="1" outlineLevel="1"/>
    <col min="19" max="19" width="2.42578125" style="100" hidden="1" customWidth="1" outlineLevel="1"/>
    <col min="20" max="20" width="9.140625" style="100" hidden="1" customWidth="1" outlineLevel="1"/>
    <col min="21" max="22" width="5.7109375" style="100" hidden="1" customWidth="1" outlineLevel="1"/>
    <col min="23" max="23" width="2.42578125" style="100" hidden="1" customWidth="1" outlineLevel="1"/>
    <col min="24" max="24" width="9.140625" style="100" hidden="1" customWidth="1" outlineLevel="1"/>
    <col min="25" max="25" width="6.28515625" style="100" hidden="1" customWidth="1" outlineLevel="1"/>
    <col min="26" max="26" width="6.42578125" style="100" hidden="1" customWidth="1" outlineLevel="1"/>
    <col min="27" max="27" width="1.42578125" style="100" hidden="1" customWidth="1" outlineLevel="1"/>
    <col min="28" max="28" width="9.140625" style="100" hidden="1" customWidth="1" outlineLevel="1"/>
    <col min="29" max="30" width="5.7109375" style="100" hidden="1" customWidth="1" outlineLevel="1"/>
    <col min="31" max="31" width="2.140625" style="100" hidden="1" customWidth="1" outlineLevel="1"/>
    <col min="32" max="32" width="9.140625" style="100" hidden="1" customWidth="1" outlineLevel="1" collapsed="1"/>
    <col min="33" max="34" width="5.7109375" style="100" hidden="1" customWidth="1" outlineLevel="1"/>
    <col min="35" max="35" width="2.42578125" style="100" hidden="1" customWidth="1" outlineLevel="1"/>
    <col min="36" max="36" width="9.140625" style="100" hidden="1" customWidth="1" outlineLevel="1"/>
    <col min="37" max="38" width="5.7109375" style="100" hidden="1" customWidth="1" outlineLevel="1"/>
    <col min="39" max="39" width="2.42578125" style="100" hidden="1" customWidth="1" outlineLevel="1"/>
    <col min="40" max="40" width="9.140625" style="100" hidden="1" customWidth="1" outlineLevel="1"/>
    <col min="41" max="42" width="5.7109375" style="100" hidden="1" customWidth="1" outlineLevel="1"/>
    <col min="43" max="44" width="9.140625" style="100" hidden="1" customWidth="1" outlineLevel="1"/>
    <col min="45" max="45" width="6.42578125" style="100" hidden="1" customWidth="1" outlineLevel="1"/>
    <col min="46" max="46" width="2.42578125" style="100" hidden="1" customWidth="1" outlineLevel="1" collapsed="1"/>
    <col min="47" max="47" width="9.140625" style="100" hidden="1" customWidth="1" outlineLevel="1"/>
    <col min="48" max="48" width="5.7109375" style="100" hidden="1" customWidth="1" outlineLevel="1"/>
    <col min="49" max="49" width="7.140625" style="100" hidden="1" customWidth="1" outlineLevel="1"/>
    <col min="50" max="50" width="1.85546875" style="100" hidden="1" customWidth="1" outlineLevel="1" collapsed="1"/>
    <col min="51" max="51" width="9.140625" style="100" hidden="1" customWidth="1" outlineLevel="1"/>
    <col min="52" max="53" width="5.7109375" style="100" hidden="1" customWidth="1" outlineLevel="1"/>
    <col min="54" max="54" width="1.85546875" style="100" hidden="1" customWidth="1" outlineLevel="1" collapsed="1"/>
    <col min="55" max="55" width="9.140625" style="100" hidden="1" customWidth="1" outlineLevel="1"/>
    <col min="56" max="56" width="6.140625" style="100" hidden="1" customWidth="1" outlineLevel="1"/>
    <col min="57" max="57" width="6.85546875" style="100" hidden="1" customWidth="1" outlineLevel="1"/>
    <col min="58" max="58" width="1.85546875" style="100" hidden="1" customWidth="1" outlineLevel="1" collapsed="1"/>
    <col min="59" max="59" width="9.140625" style="100" hidden="1" customWidth="1" outlineLevel="1"/>
    <col min="60" max="60" width="5.7109375" style="100" hidden="1" customWidth="1" outlineLevel="1"/>
    <col min="61" max="61" width="6.85546875" style="100" hidden="1" customWidth="1" outlineLevel="1"/>
    <col min="62" max="62" width="1.85546875" style="100" hidden="1" customWidth="1" outlineLevel="1" collapsed="1"/>
    <col min="63" max="63" width="9.140625" style="100" hidden="1" customWidth="1" outlineLevel="1"/>
    <col min="64" max="64" width="6.140625" style="100" hidden="1" customWidth="1" outlineLevel="1"/>
    <col min="65" max="65" width="6.85546875" style="100" hidden="1" customWidth="1" outlineLevel="1"/>
    <col min="66" max="66" width="1.85546875" style="100" hidden="1" customWidth="1" outlineLevel="1" collapsed="1"/>
    <col min="67" max="67" width="9.140625" style="100" hidden="1" customWidth="1" outlineLevel="1"/>
    <col min="68" max="68" width="5.7109375" style="100" hidden="1" customWidth="1" outlineLevel="1"/>
    <col min="69" max="69" width="6.85546875" style="100" hidden="1" customWidth="1" outlineLevel="1"/>
    <col min="70" max="70" width="1.85546875" style="4" hidden="1" customWidth="1" outlineLevel="1" collapsed="1"/>
    <col min="71" max="71" width="9.140625" style="4" hidden="1" customWidth="1" outlineLevel="1"/>
    <col min="72" max="72" width="5.7109375" style="4" hidden="1" customWidth="1" outlineLevel="1"/>
    <col min="73" max="73" width="7" style="4" hidden="1" customWidth="1" outlineLevel="1"/>
    <col min="74" max="74" width="1.85546875" style="4" hidden="1" customWidth="1" outlineLevel="1" collapsed="1"/>
    <col min="75" max="75" width="9.28515625" style="4" bestFit="1" customWidth="1" collapsed="1"/>
    <col min="76" max="76" width="5.7109375" style="4" customWidth="1"/>
    <col min="77" max="77" width="6.85546875" style="4" customWidth="1"/>
    <col min="78" max="78" width="1.85546875" style="4" customWidth="1" collapsed="1"/>
    <col min="79" max="79" width="9.140625" style="4"/>
    <col min="80" max="80" width="6.7109375" style="4" bestFit="1" customWidth="1"/>
    <col min="81" max="81" width="6.85546875" style="4" customWidth="1"/>
    <col min="82" max="82" width="1.7109375" style="4" customWidth="1"/>
    <col min="83" max="83" width="9.140625" style="4"/>
    <col min="84" max="84" width="5.7109375" style="4" customWidth="1"/>
    <col min="85" max="85" width="6.85546875" style="4" customWidth="1"/>
    <col min="86" max="86" width="1.7109375" style="4" customWidth="1"/>
    <col min="87" max="87" width="9.140625" style="4"/>
    <col min="88" max="88" width="5.7109375" style="4" customWidth="1"/>
    <col min="89" max="89" width="6.85546875" style="4" customWidth="1"/>
    <col min="90" max="90" width="1.7109375" style="4" customWidth="1"/>
    <col min="91" max="91" width="9.140625" style="4"/>
    <col min="92" max="92" width="8.5703125" style="4" customWidth="1"/>
    <col min="93" max="93" width="6.85546875" style="4" customWidth="1"/>
    <col min="94" max="94" width="1.7109375" style="4" customWidth="1"/>
    <col min="95" max="95" width="9.140625" style="4"/>
    <col min="96" max="96" width="8.5703125" style="4" customWidth="1"/>
    <col min="97" max="97" width="10.28515625" style="4" customWidth="1"/>
    <col min="98" max="98" width="1.7109375" style="4" customWidth="1"/>
    <col min="99" max="99" width="11.42578125" style="4" bestFit="1" customWidth="1"/>
    <col min="100" max="100" width="6.7109375" style="4" customWidth="1"/>
    <col min="101" max="101" width="8.5703125" style="1476" customWidth="1"/>
    <col min="102" max="102" width="1.7109375" style="4" customWidth="1"/>
    <col min="103" max="103" width="11.42578125" style="4" bestFit="1" customWidth="1"/>
    <col min="104" max="104" width="8" style="4" customWidth="1"/>
    <col min="105" max="105" width="8.5703125" style="1476" customWidth="1"/>
    <col min="106" max="106" width="8.7109375" style="4" customWidth="1"/>
    <col min="107" max="107" width="6.140625" style="4" customWidth="1"/>
    <col min="108" max="108" width="13.42578125" style="4" customWidth="1"/>
    <col min="109" max="109" width="17.85546875" style="4" bestFit="1" customWidth="1"/>
    <col min="110" max="110" width="9.140625" style="13"/>
    <col min="111" max="111" width="9.5703125" style="13" bestFit="1" customWidth="1"/>
    <col min="112" max="112" width="1.7109375" style="13" customWidth="1"/>
    <col min="113" max="113" width="8.42578125" style="13" customWidth="1"/>
    <col min="114" max="114" width="6.85546875" style="13" bestFit="1" customWidth="1"/>
    <col min="115" max="115" width="6.42578125" style="4" customWidth="1"/>
    <col min="116" max="116" width="2.85546875" style="4" customWidth="1"/>
    <col min="117" max="117" width="6.5703125" style="4" bestFit="1" customWidth="1"/>
    <col min="118" max="118" width="6.42578125" style="4" customWidth="1"/>
    <col min="119" max="119" width="5.140625" style="4" customWidth="1"/>
    <col min="120" max="120" width="6.42578125" style="4" customWidth="1"/>
    <col min="121" max="121" width="5.140625" style="4" customWidth="1"/>
    <col min="122" max="122" width="6.42578125" style="4" customWidth="1"/>
    <col min="123" max="16384" width="9.140625" style="4"/>
  </cols>
  <sheetData>
    <row r="1" spans="1:117">
      <c r="A1" s="101" t="str">
        <f>sumry!A1</f>
        <v>Urban Outfitters, Inc.</v>
      </c>
      <c r="B1" s="101"/>
      <c r="C1" s="101"/>
      <c r="D1" s="168"/>
      <c r="E1" s="101"/>
      <c r="F1" s="101"/>
      <c r="G1" s="101"/>
      <c r="H1" s="168"/>
      <c r="I1" s="101"/>
      <c r="J1" s="101"/>
      <c r="K1" s="101"/>
      <c r="L1" s="168"/>
      <c r="M1" s="101"/>
      <c r="N1" s="101"/>
      <c r="O1" s="101"/>
      <c r="P1" s="168"/>
      <c r="Q1" s="101"/>
      <c r="R1" s="101"/>
      <c r="S1" s="168"/>
      <c r="T1" s="168"/>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c r="AS1" s="101"/>
      <c r="AT1" s="101"/>
      <c r="AU1" s="169"/>
      <c r="AV1" s="101"/>
      <c r="AW1" s="101"/>
      <c r="AX1" s="101"/>
      <c r="AY1" s="169"/>
      <c r="AZ1" s="170"/>
      <c r="BA1" s="170"/>
      <c r="BB1" s="170"/>
      <c r="BC1" s="169"/>
      <c r="BD1" s="170"/>
      <c r="BE1" s="170"/>
      <c r="BF1" s="170"/>
      <c r="BG1" s="169"/>
      <c r="BH1" s="101"/>
      <c r="BI1" s="101"/>
      <c r="BJ1" s="101"/>
      <c r="BK1" s="169"/>
      <c r="BL1" s="101"/>
      <c r="BM1" s="101"/>
      <c r="BN1" s="101"/>
      <c r="BO1" s="101"/>
      <c r="BP1" s="101"/>
      <c r="BQ1" s="101"/>
      <c r="BR1" s="20"/>
      <c r="BS1" s="20"/>
      <c r="BT1" s="20"/>
      <c r="BU1" s="20"/>
      <c r="BV1" s="20"/>
      <c r="BW1" s="20"/>
      <c r="BX1" s="20"/>
      <c r="BY1" s="20"/>
      <c r="BZ1" s="20"/>
      <c r="CA1" s="20"/>
      <c r="CB1" s="20"/>
      <c r="CC1" s="20"/>
      <c r="CD1" s="40"/>
      <c r="CE1" s="40"/>
      <c r="CF1" s="40"/>
      <c r="CG1" s="40"/>
      <c r="CH1" s="40"/>
      <c r="CI1" s="40"/>
      <c r="CJ1" s="40"/>
      <c r="CK1" s="40"/>
      <c r="CL1" s="40"/>
      <c r="CM1" s="40"/>
      <c r="CN1" s="40"/>
      <c r="CO1" s="40"/>
      <c r="CP1" s="40"/>
      <c r="CQ1" s="40"/>
      <c r="CR1" s="40"/>
      <c r="CS1" s="40"/>
      <c r="CT1" s="40"/>
      <c r="CU1" s="40"/>
      <c r="CV1" s="40"/>
      <c r="CW1" s="1461"/>
      <c r="CX1" s="40"/>
      <c r="CY1" s="40"/>
      <c r="CZ1" s="40"/>
      <c r="DA1" s="1461"/>
      <c r="DB1" s="40"/>
      <c r="DC1" s="40"/>
      <c r="DD1" s="40"/>
      <c r="DE1" s="40"/>
      <c r="DF1" s="156"/>
      <c r="DG1" s="20"/>
      <c r="DH1" s="20"/>
      <c r="DI1" s="20"/>
      <c r="DJ1" s="20"/>
    </row>
    <row r="2" spans="1:117">
      <c r="A2" s="102" t="s">
        <v>245</v>
      </c>
      <c r="B2" s="103"/>
      <c r="C2" s="103"/>
      <c r="D2" s="171"/>
      <c r="E2" s="103"/>
      <c r="F2" s="103"/>
      <c r="G2" s="103"/>
      <c r="H2" s="171"/>
      <c r="I2" s="103"/>
      <c r="J2" s="103"/>
      <c r="K2" s="103"/>
      <c r="L2" s="171"/>
      <c r="M2" s="103"/>
      <c r="N2" s="103"/>
      <c r="O2" s="103"/>
      <c r="P2" s="171"/>
      <c r="Q2" s="103"/>
      <c r="R2" s="103"/>
      <c r="S2" s="171"/>
      <c r="T2" s="171"/>
      <c r="U2" s="103"/>
      <c r="V2" s="103"/>
      <c r="W2" s="103"/>
      <c r="X2" s="103"/>
      <c r="Y2" s="103"/>
      <c r="Z2" s="103"/>
      <c r="AA2" s="103"/>
      <c r="AB2" s="103"/>
      <c r="AC2" s="103"/>
      <c r="AD2" s="103"/>
      <c r="AE2" s="103"/>
      <c r="AF2" s="103"/>
      <c r="AG2" s="103"/>
      <c r="AH2" s="103"/>
      <c r="AI2" s="103"/>
      <c r="AJ2" s="103"/>
      <c r="AK2" s="103"/>
      <c r="AL2" s="103"/>
      <c r="AM2" s="103"/>
      <c r="AN2" s="103"/>
      <c r="AO2" s="103"/>
      <c r="AP2" s="103"/>
      <c r="AQ2" s="104"/>
      <c r="AR2" s="104"/>
      <c r="AS2" s="104"/>
      <c r="AT2" s="103"/>
      <c r="AU2" s="103"/>
      <c r="AV2" s="103"/>
      <c r="AW2" s="103"/>
      <c r="AX2" s="103"/>
      <c r="AY2" s="103"/>
      <c r="AZ2" s="103"/>
      <c r="BA2" s="103"/>
      <c r="BB2" s="103"/>
      <c r="BC2" s="103"/>
      <c r="BD2" s="103"/>
      <c r="BE2" s="103"/>
      <c r="BF2" s="103"/>
      <c r="BG2" s="103"/>
      <c r="BH2" s="103"/>
      <c r="BI2" s="103"/>
      <c r="BJ2" s="103"/>
      <c r="BK2" s="103"/>
      <c r="BL2" s="103"/>
      <c r="BM2" s="103"/>
      <c r="BN2" s="103"/>
      <c r="BO2" s="105"/>
      <c r="BP2" s="103"/>
      <c r="BQ2" s="103"/>
      <c r="BR2" s="21"/>
      <c r="BS2" s="41"/>
      <c r="BT2" s="21"/>
      <c r="BU2" s="21"/>
      <c r="BV2" s="21"/>
      <c r="BW2" s="41"/>
      <c r="BX2" s="21"/>
      <c r="BY2" s="21"/>
      <c r="BZ2" s="21"/>
      <c r="CA2" s="41"/>
      <c r="CB2" s="21"/>
      <c r="CC2" s="21"/>
      <c r="CD2" s="21"/>
      <c r="CE2" s="21"/>
      <c r="CF2" s="21"/>
      <c r="CG2" s="21"/>
      <c r="CH2" s="21"/>
      <c r="CI2" s="21"/>
      <c r="CJ2" s="21"/>
      <c r="CK2" s="21"/>
      <c r="CL2" s="40"/>
      <c r="CM2" s="21"/>
      <c r="CN2" s="21"/>
      <c r="CO2" s="21"/>
      <c r="CP2" s="40"/>
      <c r="CQ2" s="21"/>
      <c r="CR2" s="21"/>
      <c r="CS2" s="21"/>
      <c r="CT2" s="40"/>
      <c r="CU2" s="21"/>
      <c r="CV2" s="21"/>
      <c r="CW2" s="1462"/>
      <c r="CX2" s="40"/>
      <c r="CY2" s="21"/>
      <c r="CZ2" s="21"/>
      <c r="DA2" s="1462"/>
      <c r="DB2" s="40"/>
      <c r="DC2" s="40"/>
      <c r="DD2" s="40"/>
      <c r="DE2" s="40"/>
      <c r="DF2" s="156"/>
      <c r="DG2" s="157"/>
      <c r="DH2" s="157"/>
      <c r="DI2" s="157"/>
      <c r="DJ2" s="157"/>
    </row>
    <row r="3" spans="1:117">
      <c r="A3" s="172" t="s">
        <v>379</v>
      </c>
      <c r="B3" s="170"/>
      <c r="C3" s="170"/>
      <c r="D3" s="170"/>
      <c r="E3" s="170"/>
      <c r="F3" s="170"/>
      <c r="G3" s="170"/>
      <c r="H3" s="170"/>
      <c r="I3" s="170"/>
      <c r="J3" s="170"/>
      <c r="K3" s="170"/>
      <c r="L3" s="170"/>
      <c r="M3" s="170"/>
      <c r="N3" s="170"/>
      <c r="O3" s="170"/>
      <c r="P3" s="170"/>
      <c r="Q3" s="170"/>
      <c r="R3" s="170"/>
      <c r="S3" s="170"/>
      <c r="T3" s="170"/>
      <c r="U3" s="170"/>
      <c r="V3" s="170"/>
      <c r="W3" s="170"/>
      <c r="X3" s="170"/>
      <c r="Y3" s="170"/>
      <c r="Z3" s="170"/>
      <c r="AA3" s="170"/>
      <c r="AB3" s="170"/>
      <c r="AC3" s="170"/>
      <c r="AD3" s="170"/>
      <c r="AE3" s="170"/>
      <c r="AF3" s="170"/>
      <c r="AG3" s="170"/>
      <c r="AH3" s="170"/>
      <c r="AI3" s="170"/>
      <c r="AJ3" s="170"/>
      <c r="AK3" s="170"/>
      <c r="AL3" s="170"/>
      <c r="AM3" s="170"/>
      <c r="AN3" s="170"/>
      <c r="AO3" s="170"/>
      <c r="AP3" s="170"/>
      <c r="AQ3" s="170"/>
      <c r="AR3" s="170"/>
      <c r="AS3" s="170"/>
      <c r="AT3" s="170"/>
      <c r="AU3" s="170"/>
      <c r="AV3" s="170"/>
      <c r="AW3" s="170"/>
      <c r="AX3" s="170"/>
      <c r="AY3" s="170"/>
      <c r="AZ3" s="170"/>
      <c r="BA3" s="170"/>
      <c r="BB3" s="170"/>
      <c r="BC3" s="170"/>
      <c r="BD3" s="170"/>
      <c r="BE3" s="170"/>
      <c r="BF3" s="170"/>
      <c r="BG3" s="170"/>
      <c r="BH3" s="170"/>
      <c r="BI3" s="170"/>
      <c r="BJ3" s="170"/>
      <c r="BK3" s="170"/>
      <c r="BL3" s="170"/>
      <c r="BM3" s="170"/>
      <c r="BN3" s="170"/>
      <c r="BO3" s="170"/>
      <c r="BP3" s="170"/>
      <c r="BQ3" s="170"/>
      <c r="BR3" s="25"/>
      <c r="BS3" s="25"/>
      <c r="BT3" s="25"/>
      <c r="BU3" s="25"/>
      <c r="BV3" s="25"/>
      <c r="BW3" s="25"/>
      <c r="BX3" s="173"/>
      <c r="BY3" s="25"/>
      <c r="BZ3" s="25"/>
      <c r="CA3" s="25"/>
      <c r="CB3" s="25"/>
      <c r="CC3" s="25"/>
      <c r="CD3" s="174"/>
      <c r="CE3" s="174"/>
      <c r="CF3" s="174"/>
      <c r="CG3" s="174"/>
      <c r="CH3" s="174"/>
      <c r="CI3" s="174"/>
      <c r="CJ3" s="174"/>
      <c r="CK3" s="174"/>
      <c r="CL3" s="174"/>
      <c r="CM3" s="174"/>
      <c r="CN3" s="174"/>
      <c r="CO3" s="174"/>
      <c r="CP3" s="174"/>
      <c r="CQ3" s="174"/>
      <c r="CR3" s="174"/>
      <c r="CS3" s="174"/>
      <c r="CT3" s="174"/>
      <c r="CU3" s="174"/>
      <c r="CV3" s="174"/>
      <c r="CW3" s="1463"/>
      <c r="CX3" s="174"/>
      <c r="CY3" s="174"/>
      <c r="CZ3" s="174"/>
      <c r="DA3" s="1463"/>
      <c r="DB3" s="174"/>
      <c r="DC3" s="174"/>
      <c r="DD3" s="174"/>
      <c r="DE3" s="174"/>
      <c r="DF3" s="175"/>
      <c r="DG3" s="25"/>
      <c r="DH3" s="25"/>
      <c r="DI3" s="25"/>
      <c r="DJ3" s="25"/>
    </row>
    <row r="4" spans="1:117">
      <c r="A4" s="172" t="s">
        <v>246</v>
      </c>
      <c r="B4" s="170"/>
      <c r="C4" s="170"/>
      <c r="D4" s="170"/>
      <c r="E4" s="170"/>
      <c r="F4" s="170"/>
      <c r="G4" s="170"/>
      <c r="H4" s="170" t="s">
        <v>527</v>
      </c>
      <c r="I4" s="170"/>
      <c r="J4" s="170"/>
      <c r="K4" s="170"/>
      <c r="L4" s="170"/>
      <c r="M4" s="170"/>
      <c r="N4" s="170"/>
      <c r="O4" s="170"/>
      <c r="P4" s="170"/>
      <c r="Q4" s="170"/>
      <c r="R4" s="170"/>
      <c r="S4" s="170"/>
      <c r="T4" s="170"/>
      <c r="U4" s="170"/>
      <c r="V4" s="170"/>
      <c r="W4" s="170"/>
      <c r="X4" s="170"/>
      <c r="Y4" s="170"/>
      <c r="Z4" s="170"/>
      <c r="AA4" s="170"/>
      <c r="AB4" s="170"/>
      <c r="AC4" s="170"/>
      <c r="AD4" s="170"/>
      <c r="AE4" s="170"/>
      <c r="AF4" s="170"/>
      <c r="AG4" s="170"/>
      <c r="AH4" s="170"/>
      <c r="AI4" s="170"/>
      <c r="AJ4" s="170"/>
      <c r="AK4" s="170"/>
      <c r="AL4" s="170"/>
      <c r="AM4" s="170"/>
      <c r="AN4" s="170"/>
      <c r="AO4" s="170"/>
      <c r="AP4" s="170"/>
      <c r="AQ4" s="170"/>
      <c r="AR4" s="170"/>
      <c r="AS4" s="170"/>
      <c r="AT4" s="170"/>
      <c r="AU4" s="170"/>
      <c r="AV4" s="170"/>
      <c r="AW4" s="170"/>
      <c r="AX4" s="170"/>
      <c r="AY4" s="170"/>
      <c r="AZ4" s="170"/>
      <c r="BA4" s="170"/>
      <c r="BB4" s="170"/>
      <c r="BC4" s="170"/>
      <c r="BD4" s="170"/>
      <c r="BE4" s="170"/>
      <c r="BF4" s="170"/>
      <c r="BG4" s="170"/>
      <c r="BH4" s="170"/>
      <c r="BI4" s="170"/>
      <c r="BJ4" s="170"/>
      <c r="BK4" s="170"/>
      <c r="BL4" s="170"/>
      <c r="BM4" s="170"/>
      <c r="BN4" s="170"/>
      <c r="BO4" s="170"/>
      <c r="BP4" s="170"/>
      <c r="BQ4" s="170"/>
      <c r="BR4" s="25"/>
      <c r="BS4" s="25" t="s">
        <v>112</v>
      </c>
      <c r="BT4" s="25"/>
      <c r="BU4" s="25"/>
      <c r="BV4" s="25"/>
      <c r="BW4" s="25"/>
      <c r="BX4" s="25"/>
      <c r="BY4" s="25"/>
      <c r="BZ4" s="25"/>
      <c r="CA4" s="25"/>
      <c r="CB4" s="25"/>
      <c r="CC4" s="25"/>
      <c r="CD4" s="174"/>
      <c r="CE4" s="174"/>
      <c r="CF4" s="174"/>
      <c r="CG4" s="174"/>
      <c r="CH4" s="174"/>
      <c r="CI4" s="174"/>
      <c r="CJ4" s="174"/>
      <c r="CK4" s="174"/>
      <c r="CL4" s="174"/>
      <c r="CM4" s="174"/>
      <c r="CN4" s="174"/>
      <c r="CO4" s="174"/>
      <c r="CP4" s="174"/>
      <c r="CQ4" s="174"/>
      <c r="CR4" s="174"/>
      <c r="CS4" s="174"/>
      <c r="CT4" s="174"/>
      <c r="CU4" s="174"/>
      <c r="CV4" s="174"/>
      <c r="CW4" s="1463"/>
      <c r="CX4" s="174"/>
      <c r="CY4" s="174"/>
      <c r="CZ4" s="174"/>
      <c r="DA4" s="1463"/>
      <c r="DB4" s="174"/>
      <c r="DC4" s="174"/>
      <c r="DD4" s="174"/>
      <c r="DE4" s="174"/>
      <c r="DF4" s="175"/>
      <c r="DG4" s="25"/>
      <c r="DH4" s="25"/>
      <c r="DI4" s="25"/>
      <c r="DJ4" s="25"/>
    </row>
    <row r="5" spans="1:117">
      <c r="A5" s="172"/>
      <c r="B5" s="170"/>
      <c r="C5" s="170"/>
      <c r="D5" s="170"/>
      <c r="E5" s="170"/>
      <c r="F5" s="170"/>
      <c r="G5" s="176" t="s">
        <v>528</v>
      </c>
      <c r="H5" s="170" t="s">
        <v>530</v>
      </c>
      <c r="I5" s="170"/>
      <c r="J5" s="170"/>
      <c r="K5" s="170"/>
      <c r="L5" s="170"/>
      <c r="M5" s="170"/>
      <c r="N5" s="170"/>
      <c r="O5" s="170"/>
      <c r="P5" s="170"/>
      <c r="Q5" s="170"/>
      <c r="R5" s="170"/>
      <c r="S5" s="176"/>
      <c r="T5" s="170"/>
      <c r="U5" s="170"/>
      <c r="V5" s="170"/>
      <c r="W5" s="170"/>
      <c r="X5" s="170"/>
      <c r="Y5" s="170"/>
      <c r="Z5" s="170"/>
      <c r="AA5" s="170"/>
      <c r="AB5" s="170"/>
      <c r="AC5" s="170"/>
      <c r="AD5" s="170"/>
      <c r="AE5" s="170"/>
      <c r="AF5" s="170"/>
      <c r="AG5" s="170"/>
      <c r="AH5" s="170"/>
      <c r="AI5" s="170"/>
      <c r="AJ5" s="170"/>
      <c r="AK5" s="170"/>
      <c r="AL5" s="170"/>
      <c r="AM5" s="170"/>
      <c r="AN5" s="170"/>
      <c r="AO5" s="170"/>
      <c r="AP5" s="170"/>
      <c r="AQ5" s="170"/>
      <c r="AR5" s="170"/>
      <c r="AS5" s="170"/>
      <c r="AT5" s="170"/>
      <c r="AU5" s="170"/>
      <c r="AV5" s="170"/>
      <c r="AW5" s="170"/>
      <c r="AX5" s="170"/>
      <c r="AY5" s="170"/>
      <c r="AZ5" s="170"/>
      <c r="BA5" s="170"/>
      <c r="BB5" s="170"/>
      <c r="BC5" s="170"/>
      <c r="BD5" s="170"/>
      <c r="BE5" s="170"/>
      <c r="BF5" s="170"/>
      <c r="BG5" s="170"/>
      <c r="BH5" s="170"/>
      <c r="BI5" s="170"/>
      <c r="BJ5" s="170"/>
      <c r="BK5" s="170"/>
      <c r="BL5" s="170"/>
      <c r="BM5" s="170"/>
      <c r="BN5" s="170"/>
      <c r="BO5" s="170"/>
      <c r="BP5" s="170"/>
      <c r="BQ5" s="170"/>
      <c r="BR5" s="25"/>
      <c r="BS5" s="25"/>
      <c r="BT5" s="25"/>
      <c r="BU5" s="25"/>
      <c r="BV5" s="25"/>
      <c r="BW5" s="25"/>
      <c r="BX5" s="25"/>
      <c r="BY5" s="25"/>
      <c r="BZ5" s="25"/>
      <c r="CA5" s="25"/>
      <c r="CB5" s="25"/>
      <c r="CC5" s="25"/>
      <c r="CD5" s="174"/>
      <c r="CE5" s="174"/>
      <c r="CF5" s="174"/>
      <c r="CG5" s="174"/>
      <c r="CH5" s="174"/>
      <c r="CI5" s="174"/>
      <c r="CJ5" s="174"/>
      <c r="CK5" s="174"/>
      <c r="CL5" s="174"/>
      <c r="CM5" s="174"/>
      <c r="CN5" s="174"/>
      <c r="CO5" s="337"/>
      <c r="CP5" s="174"/>
      <c r="CQ5" s="174"/>
      <c r="CR5" s="174"/>
      <c r="CS5" s="174"/>
      <c r="CT5" s="174"/>
      <c r="CU5" s="174"/>
      <c r="CV5" s="174"/>
      <c r="CW5" s="1463"/>
      <c r="CX5" s="174"/>
      <c r="CY5" s="174"/>
      <c r="CZ5" s="174"/>
      <c r="DA5" s="1463"/>
      <c r="DB5" s="174"/>
      <c r="DC5" s="174"/>
      <c r="DD5" s="174"/>
      <c r="DE5" s="174"/>
      <c r="DF5" s="175"/>
      <c r="DG5" s="25"/>
      <c r="DH5" s="25"/>
      <c r="DI5" s="25"/>
      <c r="DJ5" s="25"/>
    </row>
    <row r="6" spans="1:117">
      <c r="A6" s="172"/>
      <c r="B6" s="170"/>
      <c r="C6" s="170"/>
      <c r="D6" s="177">
        <v>1994</v>
      </c>
      <c r="E6" s="178"/>
      <c r="F6" s="179"/>
      <c r="G6" s="170"/>
      <c r="H6" s="177">
        <v>1995</v>
      </c>
      <c r="I6" s="178"/>
      <c r="J6" s="179"/>
      <c r="K6" s="170"/>
      <c r="L6" s="179">
        <f>H6+1</f>
        <v>1996</v>
      </c>
      <c r="M6" s="178"/>
      <c r="N6" s="179"/>
      <c r="O6" s="170"/>
      <c r="P6" s="179">
        <f>L6+1</f>
        <v>1997</v>
      </c>
      <c r="Q6" s="178"/>
      <c r="R6" s="179"/>
      <c r="S6" s="170"/>
      <c r="T6" s="179">
        <f>P6+1</f>
        <v>1998</v>
      </c>
      <c r="U6" s="178"/>
      <c r="V6" s="179"/>
      <c r="W6" s="170"/>
      <c r="X6" s="179">
        <f>T6+1</f>
        <v>1999</v>
      </c>
      <c r="Y6" s="178"/>
      <c r="Z6" s="179"/>
      <c r="AA6" s="170"/>
      <c r="AB6" s="179">
        <f>X6+1</f>
        <v>2000</v>
      </c>
      <c r="AC6" s="178"/>
      <c r="AD6" s="179"/>
      <c r="AE6" s="170"/>
      <c r="AF6" s="179">
        <f>AB6+1</f>
        <v>2001</v>
      </c>
      <c r="AG6" s="178"/>
      <c r="AH6" s="179"/>
      <c r="AI6" s="170"/>
      <c r="AJ6" s="179">
        <f>AF6+1</f>
        <v>2002</v>
      </c>
      <c r="AK6" s="178"/>
      <c r="AL6" s="179"/>
      <c r="AM6" s="170"/>
      <c r="AN6" s="179">
        <f>AJ6+1</f>
        <v>2003</v>
      </c>
      <c r="AO6" s="178"/>
      <c r="AP6" s="179"/>
      <c r="AQ6" s="170"/>
      <c r="AR6" s="170"/>
      <c r="AS6" s="170"/>
      <c r="AT6" s="170"/>
      <c r="AU6" s="179">
        <f>AN6+1</f>
        <v>2004</v>
      </c>
      <c r="AV6" s="178"/>
      <c r="AW6" s="179"/>
      <c r="AX6" s="170"/>
      <c r="AY6" s="179">
        <f>AU6+1</f>
        <v>2005</v>
      </c>
      <c r="AZ6" s="178"/>
      <c r="BA6" s="179"/>
      <c r="BB6" s="170"/>
      <c r="BC6" s="179">
        <f>+AY6+1</f>
        <v>2006</v>
      </c>
      <c r="BD6" s="178"/>
      <c r="BE6" s="179"/>
      <c r="BF6" s="170"/>
      <c r="BG6" s="179">
        <f>+BC6+1</f>
        <v>2007</v>
      </c>
      <c r="BH6" s="178"/>
      <c r="BI6" s="179"/>
      <c r="BJ6" s="170"/>
      <c r="BK6" s="179">
        <f>+BG6+1</f>
        <v>2008</v>
      </c>
      <c r="BL6" s="178"/>
      <c r="BM6" s="179"/>
      <c r="BN6" s="170"/>
      <c r="BO6" s="179">
        <f>+BK6+1</f>
        <v>2009</v>
      </c>
      <c r="BP6" s="178"/>
      <c r="BQ6" s="179"/>
      <c r="BR6" s="25"/>
      <c r="BS6" s="180">
        <f>+BO6+1</f>
        <v>2010</v>
      </c>
      <c r="BT6" s="181"/>
      <c r="BU6" s="182"/>
      <c r="BV6" s="25"/>
      <c r="BW6" s="180">
        <f>+BS6+1</f>
        <v>2011</v>
      </c>
      <c r="BX6" s="181"/>
      <c r="BY6" s="182"/>
      <c r="BZ6" s="25"/>
      <c r="CA6" s="182">
        <f>+BW6+1</f>
        <v>2012</v>
      </c>
      <c r="CB6" s="181"/>
      <c r="CC6" s="182"/>
      <c r="CD6" s="174"/>
      <c r="CE6" s="182">
        <f>+CA6+1</f>
        <v>2013</v>
      </c>
      <c r="CF6" s="181"/>
      <c r="CG6" s="182"/>
      <c r="CH6" s="174"/>
      <c r="CI6" s="182">
        <f>+CE6+1</f>
        <v>2014</v>
      </c>
      <c r="CJ6" s="181"/>
      <c r="CK6" s="182"/>
      <c r="CL6" s="174"/>
      <c r="CM6" s="182">
        <f>+CI6+1</f>
        <v>2015</v>
      </c>
      <c r="CN6" s="181"/>
      <c r="CO6" s="182"/>
      <c r="CP6" s="174"/>
      <c r="CQ6" s="182">
        <f>+CM6+1</f>
        <v>2016</v>
      </c>
      <c r="CR6" s="181"/>
      <c r="CS6" s="182"/>
      <c r="CT6" s="174"/>
      <c r="CU6" s="182">
        <f>+CQ6+1</f>
        <v>2017</v>
      </c>
      <c r="CV6" s="1735"/>
      <c r="CW6" s="1734"/>
      <c r="CX6" s="174"/>
      <c r="CY6" s="1736">
        <f>+CU6+1</f>
        <v>2018</v>
      </c>
      <c r="CZ6" s="1735"/>
      <c r="DA6" s="1734"/>
      <c r="DB6" s="174"/>
      <c r="DC6" s="174"/>
      <c r="DD6" s="174"/>
      <c r="DE6" s="174"/>
      <c r="DF6" s="175"/>
      <c r="DG6" s="25"/>
      <c r="DH6" s="25"/>
      <c r="DI6" s="25"/>
      <c r="DJ6" s="25"/>
    </row>
    <row r="7" spans="1:117" outlineLevel="2">
      <c r="A7" s="170"/>
      <c r="B7" s="170"/>
      <c r="C7" s="170"/>
      <c r="D7" s="170"/>
      <c r="E7" s="170"/>
      <c r="F7" s="170"/>
      <c r="G7" s="170"/>
      <c r="H7" s="170"/>
      <c r="I7" s="170"/>
      <c r="J7" s="170"/>
      <c r="K7" s="170"/>
      <c r="L7" s="170"/>
      <c r="M7" s="170"/>
      <c r="N7" s="170"/>
      <c r="O7" s="170"/>
      <c r="P7" s="170"/>
      <c r="Q7" s="170"/>
      <c r="R7" s="170"/>
      <c r="S7" s="170"/>
      <c r="T7" s="170"/>
      <c r="U7" s="170"/>
      <c r="V7" s="170"/>
      <c r="W7" s="170"/>
      <c r="X7" s="170"/>
      <c r="Y7" s="170"/>
      <c r="Z7" s="170"/>
      <c r="AA7" s="170"/>
      <c r="AB7" s="170"/>
      <c r="AC7" s="170"/>
      <c r="AD7" s="170"/>
      <c r="AE7" s="170"/>
      <c r="AF7" s="170"/>
      <c r="AG7" s="170"/>
      <c r="AH7" s="170"/>
      <c r="AI7" s="170"/>
      <c r="AJ7" s="170"/>
      <c r="AK7" s="170"/>
      <c r="AL7" s="170"/>
      <c r="AM7" s="170"/>
      <c r="AN7" s="170"/>
      <c r="AO7" s="170"/>
      <c r="AP7" s="170"/>
      <c r="AQ7" s="170"/>
      <c r="AR7" s="170"/>
      <c r="AS7" s="170"/>
      <c r="AT7" s="170"/>
      <c r="AU7" s="170"/>
      <c r="AV7" s="170"/>
      <c r="AW7" s="170"/>
      <c r="AX7" s="170"/>
      <c r="AY7" s="170"/>
      <c r="AZ7" s="170"/>
      <c r="BA7" s="170"/>
      <c r="BB7" s="170"/>
      <c r="BC7" s="170"/>
      <c r="BD7" s="170"/>
      <c r="BE7" s="170"/>
      <c r="BF7" s="170"/>
      <c r="BG7" s="170"/>
      <c r="BH7" s="170"/>
      <c r="BI7" s="170"/>
      <c r="BJ7" s="170"/>
      <c r="BK7" s="170"/>
      <c r="BL7" s="170"/>
      <c r="BM7" s="170"/>
      <c r="BN7" s="170"/>
      <c r="BO7" s="170"/>
      <c r="BP7" s="170"/>
      <c r="BQ7" s="170"/>
      <c r="BR7" s="25"/>
      <c r="BS7" s="25"/>
      <c r="BT7" s="25"/>
      <c r="BU7" s="25"/>
      <c r="BV7" s="25"/>
      <c r="BW7" s="25"/>
      <c r="BX7" s="25"/>
      <c r="BY7" s="25"/>
      <c r="BZ7" s="25"/>
      <c r="CA7" s="25"/>
      <c r="CB7" s="25"/>
      <c r="CC7" s="25"/>
      <c r="CD7" s="174"/>
      <c r="CE7" s="174"/>
      <c r="CF7" s="174"/>
      <c r="CG7" s="174"/>
      <c r="CH7" s="174"/>
      <c r="CI7" s="174"/>
      <c r="CJ7" s="174"/>
      <c r="CK7" s="174"/>
      <c r="CL7" s="174"/>
      <c r="CM7" s="174"/>
      <c r="CN7" s="174"/>
      <c r="CO7" s="174"/>
      <c r="CP7" s="174"/>
      <c r="CQ7" s="174"/>
      <c r="CR7" s="174"/>
      <c r="CS7" s="174"/>
      <c r="CT7" s="174"/>
      <c r="CU7" s="174"/>
      <c r="CV7" s="174"/>
      <c r="CW7" s="1463"/>
      <c r="CX7" s="174"/>
      <c r="CY7" s="174"/>
      <c r="CZ7" s="174"/>
      <c r="DA7" s="1463"/>
      <c r="DB7" s="174"/>
      <c r="DC7" s="174"/>
      <c r="DD7" s="1639"/>
      <c r="DE7" s="183"/>
      <c r="DF7" s="175"/>
      <c r="DG7" s="25"/>
      <c r="DH7" s="25"/>
      <c r="DI7" s="25"/>
      <c r="DJ7" s="25"/>
    </row>
    <row r="8" spans="1:117" outlineLevel="3">
      <c r="A8" s="170"/>
      <c r="B8" s="170"/>
      <c r="C8" s="184"/>
      <c r="D8" s="185"/>
      <c r="E8" s="170"/>
      <c r="F8" s="170"/>
      <c r="G8" s="170"/>
      <c r="H8" s="186"/>
      <c r="I8" s="187"/>
      <c r="J8" s="187"/>
      <c r="K8" s="187"/>
      <c r="L8" s="186"/>
      <c r="M8" s="187"/>
      <c r="N8" s="187"/>
      <c r="O8" s="187"/>
      <c r="P8" s="186"/>
      <c r="Q8" s="187"/>
      <c r="R8" s="187"/>
      <c r="S8" s="187"/>
      <c r="T8" s="186"/>
      <c r="U8" s="187"/>
      <c r="V8" s="187"/>
      <c r="W8" s="187"/>
      <c r="X8" s="170"/>
      <c r="Y8" s="187"/>
      <c r="Z8" s="187"/>
      <c r="AA8" s="187"/>
      <c r="AB8" s="170"/>
      <c r="AC8" s="187"/>
      <c r="AD8" s="187"/>
      <c r="AE8" s="187"/>
      <c r="AF8" s="186"/>
      <c r="AG8" s="187"/>
      <c r="AH8" s="187"/>
      <c r="AI8" s="187"/>
      <c r="AJ8" s="186"/>
      <c r="AK8" s="187"/>
      <c r="AL8" s="187"/>
      <c r="AM8" s="187"/>
      <c r="AN8" s="186"/>
      <c r="AO8" s="187"/>
      <c r="AP8" s="187"/>
      <c r="AQ8" s="170"/>
      <c r="AR8" s="170"/>
      <c r="AS8" s="170"/>
      <c r="AT8" s="187"/>
      <c r="AU8" s="186" t="s">
        <v>665</v>
      </c>
      <c r="AV8" s="187"/>
      <c r="AW8" s="187"/>
      <c r="AX8" s="187"/>
      <c r="AY8" s="186" t="s">
        <v>665</v>
      </c>
      <c r="AZ8" s="187"/>
      <c r="BA8" s="187"/>
      <c r="BB8" s="187"/>
      <c r="BC8" s="186"/>
      <c r="BD8" s="187"/>
      <c r="BE8" s="187"/>
      <c r="BF8" s="187"/>
      <c r="BG8" s="186"/>
      <c r="BH8" s="187"/>
      <c r="BI8" s="187"/>
      <c r="BJ8" s="187"/>
      <c r="BK8" s="186"/>
      <c r="BL8" s="187"/>
      <c r="BM8" s="187"/>
      <c r="BN8" s="187"/>
      <c r="BO8" s="186"/>
      <c r="BP8" s="187"/>
      <c r="BQ8" s="187"/>
      <c r="BR8" s="188"/>
      <c r="BS8" s="189" t="str">
        <f>AY8</f>
        <v>1. Net Sales    (% Increase -- Total/Comparable Stores)  (a)</v>
      </c>
      <c r="BT8" s="188"/>
      <c r="BU8" s="188"/>
      <c r="BV8" s="188"/>
      <c r="BW8" s="189"/>
      <c r="BX8" s="188"/>
      <c r="BY8" s="188"/>
      <c r="BZ8" s="188"/>
      <c r="CA8" s="189"/>
      <c r="CB8" s="188"/>
      <c r="CC8" s="188"/>
      <c r="CD8" s="174"/>
      <c r="CE8" s="174"/>
      <c r="CF8" s="174"/>
      <c r="CG8" s="174"/>
      <c r="CH8" s="174"/>
      <c r="CI8" s="1004"/>
      <c r="CJ8" s="1004" t="str">
        <f>BS8</f>
        <v>1. Net Sales    (% Increase -- Total/Comparable Stores)  (a)</v>
      </c>
      <c r="CK8" s="1004"/>
      <c r="CL8" s="1004"/>
      <c r="CM8" s="1004"/>
      <c r="CN8" s="1004"/>
      <c r="CO8" s="1004"/>
      <c r="CP8" s="1004"/>
      <c r="CQ8" s="1004"/>
      <c r="CR8" s="1004"/>
      <c r="CS8" s="174"/>
      <c r="CT8" s="1004"/>
      <c r="CU8" s="1004"/>
      <c r="CV8" s="1004"/>
      <c r="CW8" s="1463"/>
      <c r="CX8" s="1004"/>
      <c r="CY8" s="1004"/>
      <c r="CZ8" s="1004"/>
      <c r="DA8" s="1463"/>
      <c r="DB8" s="174"/>
      <c r="DC8" s="174"/>
      <c r="DD8" s="174"/>
      <c r="DE8" s="183"/>
      <c r="DF8" s="1793" t="s">
        <v>95</v>
      </c>
      <c r="DG8" s="1793"/>
      <c r="DH8" s="25"/>
      <c r="DI8" s="1791"/>
      <c r="DJ8" s="1792"/>
    </row>
    <row r="9" spans="1:117" outlineLevel="3">
      <c r="A9" s="170"/>
      <c r="B9" s="170"/>
      <c r="C9" s="170"/>
      <c r="D9" s="170"/>
      <c r="E9" s="170"/>
      <c r="F9" s="170"/>
      <c r="G9" s="170"/>
      <c r="H9" s="170"/>
      <c r="I9" s="170"/>
      <c r="J9" s="170"/>
      <c r="K9" s="170"/>
      <c r="L9" s="190"/>
      <c r="M9" s="170"/>
      <c r="N9" s="170"/>
      <c r="O9" s="170"/>
      <c r="P9" s="191"/>
      <c r="Q9" s="170"/>
      <c r="R9" s="170"/>
      <c r="S9" s="170"/>
      <c r="T9" s="170"/>
      <c r="U9" s="170"/>
      <c r="V9" s="170"/>
      <c r="W9" s="170"/>
      <c r="X9" s="170"/>
      <c r="Y9" s="170"/>
      <c r="Z9" s="170"/>
      <c r="AA9" s="170"/>
      <c r="AB9" s="170"/>
      <c r="AC9" s="170"/>
      <c r="AD9" s="170"/>
      <c r="AE9" s="170"/>
      <c r="AF9" s="170"/>
      <c r="AG9" s="170"/>
      <c r="AH9" s="170"/>
      <c r="AI9" s="170"/>
      <c r="AJ9" s="170"/>
      <c r="AK9" s="170"/>
      <c r="AL9" s="170"/>
      <c r="AM9" s="170"/>
      <c r="AN9" s="170"/>
      <c r="AO9" s="170"/>
      <c r="AP9" s="170"/>
      <c r="AQ9" s="170"/>
      <c r="AR9" s="170"/>
      <c r="AS9" s="170"/>
      <c r="AT9" s="170"/>
      <c r="AU9" s="170"/>
      <c r="AV9" s="170"/>
      <c r="AW9" s="170"/>
      <c r="AX9" s="170"/>
      <c r="AY9" s="170"/>
      <c r="AZ9" s="170"/>
      <c r="BA9" s="170"/>
      <c r="BB9" s="170"/>
      <c r="BC9" s="170"/>
      <c r="BD9" s="170"/>
      <c r="BE9" s="170"/>
      <c r="BF9" s="170"/>
      <c r="BG9" s="170"/>
      <c r="BH9" s="170"/>
      <c r="BI9" s="170"/>
      <c r="BJ9" s="170"/>
      <c r="BK9" s="170"/>
      <c r="BL9" s="170"/>
      <c r="BM9" s="170"/>
      <c r="BN9" s="170"/>
      <c r="BO9" s="170"/>
      <c r="BP9" s="170"/>
      <c r="BQ9" s="170"/>
      <c r="BR9" s="25"/>
      <c r="BS9" s="25"/>
      <c r="BT9" s="25"/>
      <c r="BU9" s="25"/>
      <c r="BV9" s="25"/>
      <c r="BW9" s="25"/>
      <c r="BX9" s="25"/>
      <c r="BY9" s="25"/>
      <c r="BZ9" s="25"/>
      <c r="CA9" s="25"/>
      <c r="CB9" s="25"/>
      <c r="CC9" s="25"/>
      <c r="CD9" s="174"/>
      <c r="CE9" s="174"/>
      <c r="CF9" s="174"/>
      <c r="CG9" s="174"/>
      <c r="CH9" s="174"/>
      <c r="CI9" s="174"/>
      <c r="CJ9" s="174"/>
      <c r="CK9" s="174"/>
      <c r="CL9" s="174"/>
      <c r="CM9" s="19"/>
      <c r="CN9" s="174"/>
      <c r="CO9" s="174"/>
      <c r="CP9" s="174"/>
      <c r="CQ9" s="19"/>
      <c r="CR9" s="174"/>
      <c r="CS9" s="174"/>
      <c r="CT9" s="174"/>
      <c r="CU9" s="19"/>
      <c r="CV9" s="174"/>
      <c r="CW9" s="1463"/>
      <c r="CX9" s="174"/>
      <c r="CY9" s="19"/>
      <c r="CZ9" s="174"/>
      <c r="DA9" s="1463"/>
      <c r="DB9" s="174"/>
      <c r="DC9" s="174"/>
      <c r="DD9" s="174"/>
      <c r="DE9" s="183"/>
      <c r="DF9" s="192">
        <v>2012</v>
      </c>
      <c r="DG9" s="192">
        <v>2013</v>
      </c>
      <c r="DH9" s="25"/>
      <c r="DI9" s="192">
        <v>2014</v>
      </c>
      <c r="DJ9" s="192">
        <v>2015</v>
      </c>
      <c r="DK9" s="192">
        <v>2016</v>
      </c>
    </row>
    <row r="10" spans="1:117" outlineLevel="3">
      <c r="A10" s="170" t="s">
        <v>247</v>
      </c>
      <c r="B10" s="170" t="s">
        <v>224</v>
      </c>
      <c r="C10" s="170"/>
      <c r="D10" s="193">
        <v>23.14</v>
      </c>
      <c r="E10" s="194"/>
      <c r="F10" s="195"/>
      <c r="G10" s="170"/>
      <c r="H10" s="193">
        <v>27.919</v>
      </c>
      <c r="I10" s="194">
        <f t="shared" ref="I10:I16" si="0">(H10/D10-1)*100</f>
        <v>20.652549697493527</v>
      </c>
      <c r="J10" s="195">
        <v>0</v>
      </c>
      <c r="K10" s="170"/>
      <c r="L10" s="193">
        <v>33.646999999999998</v>
      </c>
      <c r="M10" s="194">
        <f>(L10/H10-1)*100</f>
        <v>20.516494143773055</v>
      </c>
      <c r="N10" s="195">
        <v>12.2</v>
      </c>
      <c r="O10" s="170"/>
      <c r="P10" s="193">
        <v>37.229999999999997</v>
      </c>
      <c r="Q10" s="194">
        <f>(P10/L10-1)*100</f>
        <v>10.648794840550412</v>
      </c>
      <c r="R10" s="195">
        <v>-8</v>
      </c>
      <c r="S10" s="170"/>
      <c r="T10" s="193">
        <v>39.475999999999999</v>
      </c>
      <c r="U10" s="194">
        <f>(T10/P10-1)*100</f>
        <v>6.0327692720923976</v>
      </c>
      <c r="V10" s="195">
        <v>9.1</v>
      </c>
      <c r="W10" s="170"/>
      <c r="X10" s="193">
        <v>58.523000000000003</v>
      </c>
      <c r="Y10" s="194">
        <f>(X10/T10-1)*100</f>
        <v>48.249569358597633</v>
      </c>
      <c r="Z10" s="195">
        <v>17</v>
      </c>
      <c r="AA10" s="170"/>
      <c r="AB10" s="193">
        <v>65.95</v>
      </c>
      <c r="AC10" s="194">
        <f>(AB10/X10-1)*100</f>
        <v>12.690736975206329</v>
      </c>
      <c r="AD10" s="195">
        <v>-4</v>
      </c>
      <c r="AE10" s="170"/>
      <c r="AF10" s="193">
        <v>71.834000000000003</v>
      </c>
      <c r="AG10" s="194">
        <f>(AF10/AB10-1)*100</f>
        <v>8.9219105382865713</v>
      </c>
      <c r="AH10" s="195">
        <v>-5</v>
      </c>
      <c r="AI10" s="170"/>
      <c r="AJ10" s="193">
        <v>94.073999999999998</v>
      </c>
      <c r="AK10" s="194">
        <f>(AJ10/AF10-1)*100</f>
        <v>30.960269510259764</v>
      </c>
      <c r="AL10" s="195">
        <v>18</v>
      </c>
      <c r="AM10" s="170"/>
      <c r="AN10" s="193">
        <v>107.02800000000001</v>
      </c>
      <c r="AO10" s="194">
        <f>(AN10/AJ10-1)*100</f>
        <v>13.770010842528224</v>
      </c>
      <c r="AP10" s="195">
        <v>2</v>
      </c>
      <c r="AQ10" s="196">
        <v>107.67861012345679</v>
      </c>
      <c r="AR10" s="197">
        <f>AH10+AD10+Z10</f>
        <v>8</v>
      </c>
      <c r="AS10" s="197">
        <f>AR10+AL10</f>
        <v>26</v>
      </c>
      <c r="AT10" s="170"/>
      <c r="AU10" s="193">
        <v>170.29</v>
      </c>
      <c r="AV10" s="194">
        <f t="shared" ref="AV10:AV16" si="1">(AU10/AN10-1)*100</f>
        <v>59.107896998916168</v>
      </c>
      <c r="AW10" s="195">
        <v>32</v>
      </c>
      <c r="AX10" s="170"/>
      <c r="AY10" s="193">
        <v>231.32499999999999</v>
      </c>
      <c r="AZ10" s="194">
        <f t="shared" ref="AZ10:AZ16" si="2">(AY10/AU10-1)*100</f>
        <v>35.841799283575071</v>
      </c>
      <c r="BA10" s="195">
        <v>11</v>
      </c>
      <c r="BB10" s="170"/>
      <c r="BC10" s="193">
        <v>270.00700000000001</v>
      </c>
      <c r="BD10" s="194">
        <f t="shared" ref="BD10:BD16" si="3">(BC10/AY10-1)*100</f>
        <v>16.721928023343779</v>
      </c>
      <c r="BE10" s="195">
        <v>-3</v>
      </c>
      <c r="BF10" s="170"/>
      <c r="BG10" s="193">
        <v>314.54399999999998</v>
      </c>
      <c r="BH10" s="194">
        <f t="shared" ref="BH10:BH16" si="4">(BG10/BC10-1)*100</f>
        <v>16.494757543322947</v>
      </c>
      <c r="BI10" s="195">
        <v>-2</v>
      </c>
      <c r="BJ10" s="170"/>
      <c r="BK10" s="193">
        <v>394.29199999999997</v>
      </c>
      <c r="BL10" s="194">
        <f t="shared" ref="BL10:BL16" si="5">(BK10/BG10-1)*100</f>
        <v>25.353527646370623</v>
      </c>
      <c r="BM10" s="195">
        <v>10</v>
      </c>
      <c r="BN10" s="170"/>
      <c r="BO10" s="193">
        <v>384.79599999999999</v>
      </c>
      <c r="BP10" s="194">
        <f t="shared" ref="BP10:BP16" si="6">(BO10/BK10-1)*100</f>
        <v>-2.408367402838496</v>
      </c>
      <c r="BQ10" s="195">
        <v>-9.6</v>
      </c>
      <c r="BR10" s="25"/>
      <c r="BS10" s="26">
        <v>479.96100000000001</v>
      </c>
      <c r="BT10" s="198">
        <f t="shared" ref="BT10:BT16" si="7">(BS10/BO10-1)*100</f>
        <v>24.731286188006109</v>
      </c>
      <c r="BU10" s="199">
        <f>segSales!AU108</f>
        <v>16</v>
      </c>
      <c r="BV10" s="25"/>
      <c r="BW10" s="26">
        <v>524.01900000000001</v>
      </c>
      <c r="BX10" s="198">
        <f t="shared" ref="BX10:BX16" si="8">(BW10/BS10-1)*100</f>
        <v>9.1794958340365227</v>
      </c>
      <c r="BY10" s="199">
        <f>segSales!AU116</f>
        <v>-1</v>
      </c>
      <c r="BZ10" s="25"/>
      <c r="CA10" s="26">
        <v>568.92999999999995</v>
      </c>
      <c r="CB10" s="198">
        <f t="shared" ref="CB10:CB16" si="9">(CA10/BW10-1)*100</f>
        <v>8.5704907646478432</v>
      </c>
      <c r="CC10" s="199">
        <f>segSales!AU123</f>
        <v>2</v>
      </c>
      <c r="CD10" s="174"/>
      <c r="CE10" s="26">
        <v>648.17700000000002</v>
      </c>
      <c r="CF10" s="198">
        <f>(CE10/CA10-1)*100</f>
        <v>13.92913012145609</v>
      </c>
      <c r="CG10" s="199">
        <f>segSales!AU130</f>
        <v>9</v>
      </c>
      <c r="CH10" s="174"/>
      <c r="CI10" s="26">
        <v>686.31</v>
      </c>
      <c r="CJ10" s="198">
        <f t="shared" ref="CJ10:CJ16" si="10">(CI10/CE10-1)*100</f>
        <v>5.8831152601835468</v>
      </c>
      <c r="CK10" s="199">
        <v>0</v>
      </c>
      <c r="CL10" s="174"/>
      <c r="CM10" s="26">
        <v>739.01</v>
      </c>
      <c r="CN10" s="198">
        <f t="shared" ref="CN10:CN16" si="11">(CM10/CI10-1)*100</f>
        <v>7.6787457562909056</v>
      </c>
      <c r="CO10" s="199">
        <v>4</v>
      </c>
      <c r="CP10" s="174"/>
      <c r="CQ10" s="26">
        <v>762.577</v>
      </c>
      <c r="CR10" s="198">
        <f t="shared" ref="CR10:CR16" si="12">(CQ10/CM10-1)*100</f>
        <v>3.1889960893628055</v>
      </c>
      <c r="CS10" s="199">
        <v>1</v>
      </c>
      <c r="CT10" s="174"/>
      <c r="CU10" s="26">
        <v>761.19</v>
      </c>
      <c r="CV10" s="198">
        <f t="shared" ref="CV10:CV16" si="13">(CU10/CQ10-1)*100</f>
        <v>-0.1818832721154684</v>
      </c>
      <c r="CW10" s="199">
        <v>-3.1</v>
      </c>
      <c r="CX10" s="174"/>
      <c r="CY10" s="200">
        <f>segSales!AR165</f>
        <v>838.28508474707075</v>
      </c>
      <c r="CZ10" s="198">
        <f t="shared" ref="CZ10:CZ16" si="14">(CY10/CU10-1)*100</f>
        <v>10.128231420154066</v>
      </c>
      <c r="DA10" s="201">
        <f>segSales!AU165</f>
        <v>8.953376273900238</v>
      </c>
      <c r="DB10" s="174"/>
      <c r="DC10" s="174"/>
      <c r="DD10" s="256"/>
      <c r="DE10" s="183"/>
      <c r="DF10" s="202">
        <f>CC10+BY10</f>
        <v>1</v>
      </c>
      <c r="DG10" s="202">
        <f>CG10+CC10</f>
        <v>11</v>
      </c>
      <c r="DH10" s="25"/>
      <c r="DI10" s="202">
        <f>CK10+CG10</f>
        <v>9</v>
      </c>
      <c r="DJ10" s="202">
        <f>CO10+CK10</f>
        <v>4</v>
      </c>
      <c r="DK10" s="202">
        <f>CS10+CO10</f>
        <v>5</v>
      </c>
      <c r="DM10" s="3"/>
    </row>
    <row r="11" spans="1:117" outlineLevel="3">
      <c r="A11" s="170" t="s">
        <v>248</v>
      </c>
      <c r="B11" s="170" t="s">
        <v>225</v>
      </c>
      <c r="C11" s="170"/>
      <c r="D11" s="203">
        <v>24.382000000000001</v>
      </c>
      <c r="E11" s="194"/>
      <c r="F11" s="195"/>
      <c r="G11" s="170"/>
      <c r="H11" s="203">
        <v>29.881</v>
      </c>
      <c r="I11" s="194">
        <f t="shared" si="0"/>
        <v>22.553523090804696</v>
      </c>
      <c r="J11" s="195">
        <v>2.4</v>
      </c>
      <c r="K11" s="170"/>
      <c r="L11" s="203">
        <v>35.917999999999999</v>
      </c>
      <c r="M11" s="194">
        <f t="shared" ref="M11:M16" si="15">(L11/H11-1)*100</f>
        <v>20.203473779324653</v>
      </c>
      <c r="N11" s="195">
        <v>9</v>
      </c>
      <c r="O11" s="170"/>
      <c r="P11" s="203">
        <v>41.356000000000002</v>
      </c>
      <c r="Q11" s="194">
        <f t="shared" ref="Q11:Q16" si="16">(P11/L11-1)*100</f>
        <v>15.140041204966881</v>
      </c>
      <c r="R11" s="195">
        <v>0</v>
      </c>
      <c r="S11" s="170"/>
      <c r="T11" s="203">
        <v>48.133000000000003</v>
      </c>
      <c r="U11" s="194">
        <f t="shared" ref="U11:U16" si="17">(T11/P11-1)*100</f>
        <v>16.386981332817484</v>
      </c>
      <c r="V11" s="195">
        <v>11</v>
      </c>
      <c r="W11" s="170"/>
      <c r="X11" s="203">
        <v>68.260999999999996</v>
      </c>
      <c r="Y11" s="194">
        <f t="shared" ref="Y11:Y16" si="18">(X11/T11-1)*100</f>
        <v>41.817464109862243</v>
      </c>
      <c r="Z11" s="195">
        <v>19</v>
      </c>
      <c r="AA11" s="170"/>
      <c r="AB11" s="203">
        <v>66.727999999999994</v>
      </c>
      <c r="AC11" s="194">
        <f t="shared" ref="AC11:AC16" si="19">(AB11/X11-1)*100</f>
        <v>-2.2457918870218752</v>
      </c>
      <c r="AD11" s="195">
        <v>-14</v>
      </c>
      <c r="AE11" s="170"/>
      <c r="AF11" s="203">
        <v>80.394999999999996</v>
      </c>
      <c r="AG11" s="194">
        <f t="shared" ref="AG11:AG16" si="20">(AF11/AB11-1)*100</f>
        <v>20.481656875674382</v>
      </c>
      <c r="AH11" s="195">
        <v>2.8</v>
      </c>
      <c r="AI11" s="170"/>
      <c r="AJ11" s="203">
        <v>101.001</v>
      </c>
      <c r="AK11" s="194">
        <f t="shared" ref="AK11:AK16" si="21">(AJ11/AF11-1)*100</f>
        <v>25.630947198208865</v>
      </c>
      <c r="AL11" s="195">
        <v>10.6</v>
      </c>
      <c r="AM11" s="170"/>
      <c r="AN11" s="203">
        <v>122.879</v>
      </c>
      <c r="AO11" s="194">
        <f t="shared" ref="AO11:AO16" si="22">(AN11/AJ11-1)*100</f>
        <v>21.661171671567601</v>
      </c>
      <c r="AP11" s="195">
        <v>11</v>
      </c>
      <c r="AQ11" s="196">
        <v>115.83811289156627</v>
      </c>
      <c r="AR11" s="197">
        <f>AH11+AD11+Z11</f>
        <v>7.8000000000000007</v>
      </c>
      <c r="AS11" s="197">
        <f>AR11+AL11</f>
        <v>18.399999999999999</v>
      </c>
      <c r="AT11" s="170"/>
      <c r="AU11" s="203">
        <v>189.48400000000001</v>
      </c>
      <c r="AV11" s="194">
        <f t="shared" si="1"/>
        <v>54.203728871491478</v>
      </c>
      <c r="AW11" s="195">
        <v>26</v>
      </c>
      <c r="AX11" s="170"/>
      <c r="AY11" s="203">
        <v>253.392</v>
      </c>
      <c r="AZ11" s="194">
        <f t="shared" si="2"/>
        <v>33.727385953431408</v>
      </c>
      <c r="BA11" s="195">
        <v>10</v>
      </c>
      <c r="BB11" s="170"/>
      <c r="BC11" s="204">
        <v>285.55900000000003</v>
      </c>
      <c r="BD11" s="194">
        <f t="shared" si="3"/>
        <v>12.694560207109951</v>
      </c>
      <c r="BE11" s="195">
        <v>-7</v>
      </c>
      <c r="BF11" s="170"/>
      <c r="BG11" s="204">
        <v>348.44900000000001</v>
      </c>
      <c r="BH11" s="194">
        <f t="shared" si="4"/>
        <v>22.023469755812286</v>
      </c>
      <c r="BI11" s="195">
        <v>5</v>
      </c>
      <c r="BJ11" s="170"/>
      <c r="BK11" s="204">
        <v>454.29500000000002</v>
      </c>
      <c r="BL11" s="194">
        <f t="shared" si="5"/>
        <v>30.376324799325015</v>
      </c>
      <c r="BM11" s="195">
        <v>13</v>
      </c>
      <c r="BN11" s="170"/>
      <c r="BO11" s="204">
        <v>458.62599999999998</v>
      </c>
      <c r="BP11" s="194">
        <f t="shared" si="6"/>
        <v>0.95334529325656892</v>
      </c>
      <c r="BQ11" s="195">
        <v>-6</v>
      </c>
      <c r="BR11" s="25"/>
      <c r="BS11" s="28">
        <v>552.15899999999999</v>
      </c>
      <c r="BT11" s="198">
        <f t="shared" si="7"/>
        <v>20.394177390727954</v>
      </c>
      <c r="BU11" s="199">
        <f>segSales!AU109</f>
        <v>11</v>
      </c>
      <c r="BV11" s="25"/>
      <c r="BW11" s="28">
        <v>609.18100000000004</v>
      </c>
      <c r="BX11" s="198">
        <f t="shared" si="8"/>
        <v>10.32709781059442</v>
      </c>
      <c r="BY11" s="199">
        <f>segSales!AU117</f>
        <v>1.2</v>
      </c>
      <c r="BZ11" s="25"/>
      <c r="CA11" s="28">
        <v>676.26900000000001</v>
      </c>
      <c r="CB11" s="198">
        <f t="shared" si="9"/>
        <v>11.012818850226779</v>
      </c>
      <c r="CC11" s="199">
        <f>segSales!AU124</f>
        <v>4</v>
      </c>
      <c r="CD11" s="174"/>
      <c r="CE11" s="28">
        <v>758.524</v>
      </c>
      <c r="CF11" s="198">
        <f t="shared" ref="CF11:CF16" si="23">(CE11/CA11-1)*100</f>
        <v>12.163059374302243</v>
      </c>
      <c r="CG11" s="199">
        <f>segSales!AU131</f>
        <v>9</v>
      </c>
      <c r="CH11" s="174"/>
      <c r="CI11" s="28">
        <v>811.25300000000004</v>
      </c>
      <c r="CJ11" s="198">
        <f t="shared" si="10"/>
        <v>6.9515269127937929</v>
      </c>
      <c r="CK11" s="199">
        <v>0</v>
      </c>
      <c r="CL11" s="174"/>
      <c r="CM11" s="28">
        <v>867.46</v>
      </c>
      <c r="CN11" s="198">
        <f t="shared" si="11"/>
        <v>6.9284181383612697</v>
      </c>
      <c r="CO11" s="199">
        <v>4</v>
      </c>
      <c r="CP11" s="174"/>
      <c r="CQ11" s="28">
        <v>890.56799999999998</v>
      </c>
      <c r="CR11" s="198">
        <f t="shared" si="12"/>
        <v>2.6638692273995179</v>
      </c>
      <c r="CS11" s="199">
        <v>1</v>
      </c>
      <c r="CT11" s="174"/>
      <c r="CU11" s="28">
        <v>872.93100000000004</v>
      </c>
      <c r="CV11" s="198">
        <f t="shared" si="13"/>
        <v>-1.9804214838170631</v>
      </c>
      <c r="CW11" s="199">
        <v>-4.9000000000000004</v>
      </c>
      <c r="CX11" s="174"/>
      <c r="CY11" s="29">
        <f>segSales!AR166</f>
        <v>925.3822853895598</v>
      </c>
      <c r="CZ11" s="198">
        <f t="shared" si="14"/>
        <v>6.0086404755427036</v>
      </c>
      <c r="DA11" s="201">
        <f>segSales!AU166</f>
        <v>4.2497443260792505</v>
      </c>
      <c r="DB11" s="174"/>
      <c r="DC11" s="174"/>
      <c r="DD11" s="256"/>
      <c r="DE11" s="183"/>
      <c r="DF11" s="202">
        <f>CC11+BY11</f>
        <v>5.2</v>
      </c>
      <c r="DG11" s="202">
        <f>CG11+CC11</f>
        <v>13</v>
      </c>
      <c r="DH11" s="25"/>
      <c r="DI11" s="202">
        <f>CK11+CG11</f>
        <v>9</v>
      </c>
      <c r="DJ11" s="202">
        <f>CO11+CK11</f>
        <v>4</v>
      </c>
      <c r="DK11" s="202">
        <f>CS11+CO11</f>
        <v>5</v>
      </c>
      <c r="DM11" s="3"/>
    </row>
    <row r="12" spans="1:117" outlineLevel="3">
      <c r="A12" s="170" t="s">
        <v>249</v>
      </c>
      <c r="B12" s="170" t="s">
        <v>226</v>
      </c>
      <c r="C12" s="170"/>
      <c r="D12" s="203">
        <v>31.425999999999998</v>
      </c>
      <c r="E12" s="194"/>
      <c r="F12" s="195"/>
      <c r="G12" s="170"/>
      <c r="H12" s="203">
        <v>38.841999999999999</v>
      </c>
      <c r="I12" s="194">
        <f t="shared" si="0"/>
        <v>23.59829440590595</v>
      </c>
      <c r="J12" s="195">
        <v>5</v>
      </c>
      <c r="K12" s="170"/>
      <c r="L12" s="203">
        <v>44.908999999999999</v>
      </c>
      <c r="M12" s="194">
        <f t="shared" si="15"/>
        <v>15.619690026260225</v>
      </c>
      <c r="N12" s="195">
        <v>-1.9</v>
      </c>
      <c r="O12" s="170"/>
      <c r="P12" s="203">
        <v>48.408999999999999</v>
      </c>
      <c r="Q12" s="194">
        <f t="shared" si="16"/>
        <v>7.7935380435992796</v>
      </c>
      <c r="R12" s="195">
        <f>+((L12-0.2)/L12-1)*100</f>
        <v>-0.44534503106282708</v>
      </c>
      <c r="S12" s="170"/>
      <c r="T12" s="203">
        <v>60.804000000000002</v>
      </c>
      <c r="U12" s="194">
        <f t="shared" si="17"/>
        <v>25.604742919705025</v>
      </c>
      <c r="V12" s="195">
        <v>12</v>
      </c>
      <c r="W12" s="170"/>
      <c r="X12" s="203">
        <v>75.91</v>
      </c>
      <c r="Y12" s="194">
        <f t="shared" si="18"/>
        <v>24.843760278929004</v>
      </c>
      <c r="Z12" s="195">
        <v>8</v>
      </c>
      <c r="AA12" s="170"/>
      <c r="AB12" s="203">
        <v>77.090999999999994</v>
      </c>
      <c r="AC12" s="194">
        <f t="shared" si="19"/>
        <v>1.5557897510209528</v>
      </c>
      <c r="AD12" s="195">
        <v>-9</v>
      </c>
      <c r="AE12" s="170"/>
      <c r="AF12" s="203">
        <v>92.858999999999995</v>
      </c>
      <c r="AG12" s="194">
        <f t="shared" si="20"/>
        <v>20.45374946491809</v>
      </c>
      <c r="AH12" s="195">
        <v>2.5</v>
      </c>
      <c r="AI12" s="170"/>
      <c r="AJ12" s="203">
        <v>110.10599999999999</v>
      </c>
      <c r="AK12" s="194">
        <f t="shared" si="21"/>
        <v>18.573320841275475</v>
      </c>
      <c r="AL12" s="195">
        <v>10.4</v>
      </c>
      <c r="AM12" s="170"/>
      <c r="AN12" s="203">
        <v>142.33099999999999</v>
      </c>
      <c r="AO12" s="194">
        <f t="shared" si="22"/>
        <v>29.267251557589958</v>
      </c>
      <c r="AP12" s="195">
        <v>17</v>
      </c>
      <c r="AQ12" s="196">
        <v>135.57455999999996</v>
      </c>
      <c r="AR12" s="197">
        <f>AH12+AD12+Z12</f>
        <v>1.5</v>
      </c>
      <c r="AS12" s="197">
        <f>AR12+AL12</f>
        <v>11.9</v>
      </c>
      <c r="AT12" s="170"/>
      <c r="AU12" s="203">
        <v>216.35300000000001</v>
      </c>
      <c r="AV12" s="194">
        <f t="shared" si="1"/>
        <v>52.006941565786803</v>
      </c>
      <c r="AW12" s="195">
        <v>18</v>
      </c>
      <c r="AX12" s="205"/>
      <c r="AY12" s="203">
        <v>288.80099999999999</v>
      </c>
      <c r="AZ12" s="194">
        <f t="shared" si="2"/>
        <v>33.486015909185454</v>
      </c>
      <c r="BA12" s="195">
        <v>13</v>
      </c>
      <c r="BB12" s="205"/>
      <c r="BC12" s="204">
        <v>308.35500000000002</v>
      </c>
      <c r="BD12" s="194">
        <f t="shared" si="3"/>
        <v>6.7707521788359593</v>
      </c>
      <c r="BE12" s="195">
        <v>-10</v>
      </c>
      <c r="BF12" s="205"/>
      <c r="BG12" s="204">
        <v>379.32</v>
      </c>
      <c r="BH12" s="194">
        <f t="shared" si="4"/>
        <v>23.014058471566855</v>
      </c>
      <c r="BI12" s="195">
        <v>8</v>
      </c>
      <c r="BJ12" s="205"/>
      <c r="BK12" s="204">
        <v>477.95299999999997</v>
      </c>
      <c r="BL12" s="194">
        <f t="shared" si="5"/>
        <v>26.002583570600013</v>
      </c>
      <c r="BM12" s="195">
        <v>10</v>
      </c>
      <c r="BN12" s="205"/>
      <c r="BO12" s="204">
        <v>505.9</v>
      </c>
      <c r="BP12" s="194">
        <f t="shared" si="6"/>
        <v>5.847227656275833</v>
      </c>
      <c r="BQ12" s="195">
        <v>-1.9</v>
      </c>
      <c r="BR12" s="206"/>
      <c r="BS12" s="28">
        <v>573.59199999999998</v>
      </c>
      <c r="BT12" s="198">
        <f t="shared" si="7"/>
        <v>13.38050998220992</v>
      </c>
      <c r="BU12" s="199">
        <f>segSales!AU110</f>
        <v>6</v>
      </c>
      <c r="BV12" s="206"/>
      <c r="BW12" s="28">
        <v>609.95299999999997</v>
      </c>
      <c r="BX12" s="198">
        <f t="shared" si="8"/>
        <v>6.3391748838895978</v>
      </c>
      <c r="BY12" s="199">
        <f>segSales!AU118</f>
        <v>-3</v>
      </c>
      <c r="BZ12" s="206"/>
      <c r="CA12" s="28">
        <v>692.86400000000003</v>
      </c>
      <c r="CB12" s="198">
        <f t="shared" si="9"/>
        <v>13.593014543743553</v>
      </c>
      <c r="CC12" s="199">
        <f>segSales!AU125</f>
        <v>8</v>
      </c>
      <c r="CD12" s="174"/>
      <c r="CE12" s="28">
        <v>774.04899999999998</v>
      </c>
      <c r="CF12" s="198">
        <f>(CE12/CA12-1)*100</f>
        <v>11.717306715314969</v>
      </c>
      <c r="CG12" s="199">
        <v>7</v>
      </c>
      <c r="CH12" s="174"/>
      <c r="CI12" s="207">
        <v>814.47</v>
      </c>
      <c r="CJ12" s="198">
        <f t="shared" si="10"/>
        <v>5.2220208281387848</v>
      </c>
      <c r="CK12" s="208">
        <v>-1</v>
      </c>
      <c r="CL12" s="174"/>
      <c r="CM12" s="28">
        <v>825.25800000000004</v>
      </c>
      <c r="CN12" s="198">
        <f t="shared" si="11"/>
        <v>1.3245423404177004</v>
      </c>
      <c r="CO12" s="199">
        <v>1</v>
      </c>
      <c r="CP12" s="174"/>
      <c r="CQ12" s="28">
        <v>862.49099999999999</v>
      </c>
      <c r="CR12" s="198">
        <f t="shared" si="12"/>
        <v>4.5116799837141786</v>
      </c>
      <c r="CS12" s="199">
        <v>1</v>
      </c>
      <c r="CT12" s="174"/>
      <c r="CU12" s="28">
        <v>892.774</v>
      </c>
      <c r="CV12" s="198">
        <f t="shared" si="13"/>
        <v>3.5111091014283113</v>
      </c>
      <c r="CW12" s="208">
        <v>2</v>
      </c>
      <c r="CX12" s="174"/>
      <c r="CY12" s="29">
        <f>segSales!AR167</f>
        <v>912.90358482231454</v>
      </c>
      <c r="CZ12" s="198">
        <f t="shared" si="14"/>
        <v>2.2547234599478161</v>
      </c>
      <c r="DA12" s="201">
        <f>segSales!AU167</f>
        <v>0.12008400795208805</v>
      </c>
      <c r="DB12" s="174"/>
      <c r="DC12" s="174"/>
      <c r="DD12" s="256"/>
      <c r="DE12" s="183"/>
      <c r="DF12" s="202">
        <f>CC12+BY12</f>
        <v>5</v>
      </c>
      <c r="DG12" s="202">
        <f>CG12+CC12</f>
        <v>15</v>
      </c>
      <c r="DH12" s="25"/>
      <c r="DI12" s="202">
        <f>CK12+CG12</f>
        <v>6</v>
      </c>
      <c r="DJ12" s="202">
        <f>CO12+CK12</f>
        <v>0</v>
      </c>
      <c r="DK12" s="202">
        <f>CS12+CO12</f>
        <v>2</v>
      </c>
    </row>
    <row r="13" spans="1:117" outlineLevel="3">
      <c r="A13" s="170" t="s">
        <v>250</v>
      </c>
      <c r="B13" s="170" t="s">
        <v>227</v>
      </c>
      <c r="C13" s="209"/>
      <c r="D13" s="210">
        <f>110.121-D12-D11-D10</f>
        <v>31.172999999999988</v>
      </c>
      <c r="E13" s="194"/>
      <c r="F13" s="195"/>
      <c r="G13" s="170"/>
      <c r="H13" s="210">
        <f>133.036-H12-H11-H10</f>
        <v>36.394000000000005</v>
      </c>
      <c r="I13" s="194">
        <f t="shared" si="0"/>
        <v>16.748468225708212</v>
      </c>
      <c r="J13" s="195">
        <v>3</v>
      </c>
      <c r="K13" s="170"/>
      <c r="L13" s="210">
        <v>42.024000000000001</v>
      </c>
      <c r="M13" s="194">
        <f t="shared" si="15"/>
        <v>15.469582898279931</v>
      </c>
      <c r="N13" s="195">
        <v>-7</v>
      </c>
      <c r="O13" s="170"/>
      <c r="P13" s="210">
        <v>46.265000000000001</v>
      </c>
      <c r="Q13" s="194">
        <f t="shared" si="16"/>
        <v>10.091852274890535</v>
      </c>
      <c r="R13" s="195">
        <v>5</v>
      </c>
      <c r="S13" s="170"/>
      <c r="T13" s="210">
        <v>61.451999999999998</v>
      </c>
      <c r="U13" s="194">
        <f t="shared" si="17"/>
        <v>32.826110450664636</v>
      </c>
      <c r="V13" s="195">
        <v>11</v>
      </c>
      <c r="W13" s="170"/>
      <c r="X13" s="210">
        <v>75.418999999999997</v>
      </c>
      <c r="Y13" s="194">
        <f t="shared" si="18"/>
        <v>22.72830827312373</v>
      </c>
      <c r="Z13" s="195">
        <v>0</v>
      </c>
      <c r="AA13" s="170"/>
      <c r="AB13" s="210">
        <v>85.563999999999993</v>
      </c>
      <c r="AC13" s="194">
        <f t="shared" si="19"/>
        <v>13.451517522109802</v>
      </c>
      <c r="AD13" s="195">
        <v>-3</v>
      </c>
      <c r="AE13" s="170"/>
      <c r="AF13" s="210">
        <v>103.87</v>
      </c>
      <c r="AG13" s="194">
        <f t="shared" si="20"/>
        <v>21.394511710532484</v>
      </c>
      <c r="AH13" s="195">
        <v>8.3000000000000007</v>
      </c>
      <c r="AI13" s="170"/>
      <c r="AJ13" s="210">
        <v>117.57299999999999</v>
      </c>
      <c r="AK13" s="194">
        <f t="shared" si="21"/>
        <v>13.192452103591013</v>
      </c>
      <c r="AL13" s="195">
        <v>1.3</v>
      </c>
      <c r="AM13" s="170"/>
      <c r="AN13" s="210">
        <v>176.12299999999999</v>
      </c>
      <c r="AO13" s="194">
        <f t="shared" si="22"/>
        <v>49.798848375052088</v>
      </c>
      <c r="AP13" s="195">
        <v>21</v>
      </c>
      <c r="AQ13" s="196">
        <v>142.49290782195834</v>
      </c>
      <c r="AR13" s="197">
        <f>AH13+AD13+Z13</f>
        <v>5.3000000000000007</v>
      </c>
      <c r="AS13" s="197">
        <f>AR13+AL13</f>
        <v>6.6000000000000005</v>
      </c>
      <c r="AT13" s="170"/>
      <c r="AU13" s="210">
        <v>251.62299999999999</v>
      </c>
      <c r="AV13" s="194">
        <f t="shared" si="1"/>
        <v>42.867768548116935</v>
      </c>
      <c r="AW13" s="195">
        <v>13</v>
      </c>
      <c r="AX13" s="205"/>
      <c r="AY13" s="210">
        <v>318.589</v>
      </c>
      <c r="AZ13" s="194">
        <f t="shared" si="2"/>
        <v>26.61362435071517</v>
      </c>
      <c r="BA13" s="195">
        <v>8</v>
      </c>
      <c r="BB13" s="205"/>
      <c r="BC13" s="211">
        <v>360.79599999999999</v>
      </c>
      <c r="BD13" s="194">
        <f t="shared" si="3"/>
        <v>13.248103355734187</v>
      </c>
      <c r="BE13" s="195">
        <v>-5</v>
      </c>
      <c r="BF13" s="205"/>
      <c r="BG13" s="211">
        <v>465.411</v>
      </c>
      <c r="BH13" s="194">
        <f t="shared" si="4"/>
        <v>28.995609707424698</v>
      </c>
      <c r="BI13" s="195">
        <v>11</v>
      </c>
      <c r="BJ13" s="205"/>
      <c r="BK13" s="211">
        <v>508.07799999999997</v>
      </c>
      <c r="BL13" s="194">
        <f t="shared" si="5"/>
        <v>9.167595952824481</v>
      </c>
      <c r="BM13" s="195">
        <v>-1</v>
      </c>
      <c r="BN13" s="205"/>
      <c r="BO13" s="211">
        <v>588.49300000000005</v>
      </c>
      <c r="BP13" s="194">
        <f t="shared" si="6"/>
        <v>15.827294234349853</v>
      </c>
      <c r="BQ13" s="195">
        <v>4</v>
      </c>
      <c r="BR13" s="206"/>
      <c r="BS13" s="31">
        <v>668.39</v>
      </c>
      <c r="BT13" s="198">
        <f t="shared" si="7"/>
        <v>13.576542116898583</v>
      </c>
      <c r="BU13" s="199">
        <f>segSales!AU111</f>
        <v>4</v>
      </c>
      <c r="BV13" s="206"/>
      <c r="BW13" s="31">
        <v>730.64800000000002</v>
      </c>
      <c r="BX13" s="198">
        <f t="shared" si="8"/>
        <v>9.3146217028980072</v>
      </c>
      <c r="BY13" s="199">
        <f>segSales!AU119</f>
        <v>2</v>
      </c>
      <c r="BZ13" s="206"/>
      <c r="CA13" s="31">
        <v>856.86200000000019</v>
      </c>
      <c r="CB13" s="198">
        <f t="shared" si="9"/>
        <v>17.274255181701736</v>
      </c>
      <c r="CC13" s="199">
        <f>segSales!AU126</f>
        <v>11</v>
      </c>
      <c r="CD13" s="174"/>
      <c r="CE13" s="31">
        <v>905.85799999999995</v>
      </c>
      <c r="CF13" s="198">
        <f t="shared" si="23"/>
        <v>5.7180736221234874</v>
      </c>
      <c r="CG13" s="199">
        <v>1</v>
      </c>
      <c r="CH13" s="174"/>
      <c r="CI13" s="392">
        <v>1011.044</v>
      </c>
      <c r="CJ13" s="198">
        <f t="shared" si="10"/>
        <v>11.611753718573992</v>
      </c>
      <c r="CK13" s="208">
        <v>6</v>
      </c>
      <c r="CL13" s="174"/>
      <c r="CM13" s="392">
        <v>1013.4059999999999</v>
      </c>
      <c r="CN13" s="198">
        <f t="shared" si="11"/>
        <v>0.23361990180446046</v>
      </c>
      <c r="CO13" s="199">
        <f>segSales!AU147</f>
        <v>-2</v>
      </c>
      <c r="CP13" s="174"/>
      <c r="CQ13" s="31">
        <v>1030.1579999999999</v>
      </c>
      <c r="CR13" s="198">
        <f t="shared" si="12"/>
        <v>1.6530393544147204</v>
      </c>
      <c r="CS13" s="199">
        <v>0</v>
      </c>
      <c r="CT13" s="174"/>
      <c r="CU13" s="31">
        <v>1089.1189999999999</v>
      </c>
      <c r="CV13" s="198">
        <f t="shared" si="13"/>
        <v>5.7234909596391992</v>
      </c>
      <c r="CW13" s="208">
        <v>4</v>
      </c>
      <c r="CX13" s="174"/>
      <c r="CY13" s="212">
        <f>segSales!AR168</f>
        <v>1104.2960751091671</v>
      </c>
      <c r="CZ13" s="198">
        <f t="shared" si="14"/>
        <v>1.393518532792748</v>
      </c>
      <c r="DA13" s="201">
        <f>segSales!AU168</f>
        <v>-0.32321614287592798</v>
      </c>
      <c r="DB13" s="174"/>
      <c r="DC13" s="174"/>
      <c r="DD13" s="256"/>
      <c r="DE13" s="183"/>
      <c r="DF13" s="213">
        <f>CC13+BY13</f>
        <v>13</v>
      </c>
      <c r="DG13" s="213">
        <f>CG13+CC13</f>
        <v>12</v>
      </c>
      <c r="DH13" s="25"/>
      <c r="DI13" s="213">
        <f>CK13+CG13</f>
        <v>7</v>
      </c>
      <c r="DJ13" s="213">
        <f>CO13+CK13</f>
        <v>4</v>
      </c>
      <c r="DK13" s="213">
        <f>CS13+CO13</f>
        <v>-2</v>
      </c>
    </row>
    <row r="14" spans="1:117" outlineLevel="3">
      <c r="A14" s="170"/>
      <c r="B14" s="170" t="s">
        <v>251</v>
      </c>
      <c r="C14" s="170"/>
      <c r="D14" s="214">
        <f>SUM(D10:D13)</f>
        <v>110.121</v>
      </c>
      <c r="E14" s="215">
        <v>30.3</v>
      </c>
      <c r="F14" s="195">
        <v>7.2</v>
      </c>
      <c r="G14" s="170"/>
      <c r="H14" s="214">
        <f>SUM(H10:H13)</f>
        <v>133.036</v>
      </c>
      <c r="I14" s="194">
        <f t="shared" si="0"/>
        <v>20.808928360621515</v>
      </c>
      <c r="J14" s="195">
        <v>3.3</v>
      </c>
      <c r="K14" s="170"/>
      <c r="L14" s="214">
        <f>SUM(L10:L13)</f>
        <v>156.49799999999999</v>
      </c>
      <c r="M14" s="194">
        <f t="shared" si="15"/>
        <v>17.635827896208546</v>
      </c>
      <c r="N14" s="195">
        <v>2.1</v>
      </c>
      <c r="O14" s="170"/>
      <c r="P14" s="214">
        <f>SUM(P10:P13)</f>
        <v>173.26</v>
      </c>
      <c r="Q14" s="194">
        <f t="shared" si="16"/>
        <v>10.710680008690199</v>
      </c>
      <c r="R14" s="195">
        <v>-1.4</v>
      </c>
      <c r="S14" s="170"/>
      <c r="T14" s="214">
        <f>SUM(T10:T13)</f>
        <v>209.86500000000001</v>
      </c>
      <c r="U14" s="194">
        <f t="shared" si="17"/>
        <v>21.127207664781267</v>
      </c>
      <c r="V14" s="195">
        <v>10.8</v>
      </c>
      <c r="W14" s="170"/>
      <c r="X14" s="214">
        <f>SUM(X10:X13)</f>
        <v>278.113</v>
      </c>
      <c r="Y14" s="194">
        <f t="shared" si="18"/>
        <v>32.519953303314033</v>
      </c>
      <c r="Z14" s="195">
        <v>10.3</v>
      </c>
      <c r="AA14" s="170"/>
      <c r="AB14" s="214">
        <f>SUM(AB10:AB13)</f>
        <v>295.33299999999997</v>
      </c>
      <c r="AC14" s="194">
        <f t="shared" si="19"/>
        <v>6.1917278228633688</v>
      </c>
      <c r="AD14" s="195">
        <v>-7.4</v>
      </c>
      <c r="AE14" s="170"/>
      <c r="AF14" s="214">
        <f>SUM(AF10:AF13)</f>
        <v>348.95799999999997</v>
      </c>
      <c r="AG14" s="194">
        <f t="shared" si="20"/>
        <v>18.15746970369041</v>
      </c>
      <c r="AH14" s="195">
        <v>2.8</v>
      </c>
      <c r="AI14" s="170"/>
      <c r="AJ14" s="214">
        <f>SUM(AJ10:AJ13)</f>
        <v>422.75399999999996</v>
      </c>
      <c r="AK14" s="194">
        <f t="shared" si="21"/>
        <v>21.14753064838748</v>
      </c>
      <c r="AL14" s="195">
        <v>9.1</v>
      </c>
      <c r="AM14" s="170"/>
      <c r="AN14" s="214">
        <f>SUM(AN10:AN13)</f>
        <v>548.36099999999999</v>
      </c>
      <c r="AO14" s="194">
        <f t="shared" si="22"/>
        <v>29.711605330759738</v>
      </c>
      <c r="AP14" s="195">
        <v>13</v>
      </c>
      <c r="AQ14" s="216">
        <v>501.58419083698135</v>
      </c>
      <c r="AR14" s="170"/>
      <c r="AS14" s="170"/>
      <c r="AT14" s="170"/>
      <c r="AU14" s="214">
        <f>SUM(AU10:AU13)</f>
        <v>827.75</v>
      </c>
      <c r="AV14" s="194">
        <f t="shared" si="1"/>
        <v>50.949830494874739</v>
      </c>
      <c r="AW14" s="195">
        <v>22</v>
      </c>
      <c r="AX14" s="170"/>
      <c r="AY14" s="214">
        <f>SUM(AY10:AY13)</f>
        <v>1092.107</v>
      </c>
      <c r="AZ14" s="194">
        <f t="shared" si="2"/>
        <v>31.936816671700385</v>
      </c>
      <c r="BA14" s="195">
        <v>10.9</v>
      </c>
      <c r="BB14" s="170"/>
      <c r="BC14" s="214">
        <f>SUM(BC10:BC13)</f>
        <v>1224.7170000000001</v>
      </c>
      <c r="BD14" s="194">
        <f t="shared" si="3"/>
        <v>12.142583098542548</v>
      </c>
      <c r="BE14" s="195">
        <v>-6.2</v>
      </c>
      <c r="BF14" s="170"/>
      <c r="BG14" s="214">
        <f>SUM(BG10:BG13)</f>
        <v>1507.7239999999999</v>
      </c>
      <c r="BH14" s="194">
        <f t="shared" si="4"/>
        <v>23.107950653089638</v>
      </c>
      <c r="BI14" s="195">
        <v>5</v>
      </c>
      <c r="BJ14" s="170"/>
      <c r="BK14" s="214">
        <f>SUM(BK10:BK13)</f>
        <v>1834.6179999999999</v>
      </c>
      <c r="BL14" s="194">
        <f t="shared" si="5"/>
        <v>21.681289148411786</v>
      </c>
      <c r="BM14" s="195">
        <v>7.8</v>
      </c>
      <c r="BN14" s="170"/>
      <c r="BO14" s="214">
        <f>SUM(BO10:BO13)</f>
        <v>1937.8150000000001</v>
      </c>
      <c r="BP14" s="194">
        <f t="shared" si="6"/>
        <v>5.6249856918443086</v>
      </c>
      <c r="BQ14" s="195">
        <v>-2.6</v>
      </c>
      <c r="BR14" s="25"/>
      <c r="BS14" s="32">
        <f>SUM(BS10:BS13)</f>
        <v>2274.1019999999999</v>
      </c>
      <c r="BT14" s="198">
        <f t="shared" si="7"/>
        <v>17.35392697445317</v>
      </c>
      <c r="BU14" s="199">
        <f>segSales!AU112</f>
        <v>8.6694387741127716</v>
      </c>
      <c r="BV14" s="25"/>
      <c r="BW14" s="32">
        <f>SUM(BW10:BW13)</f>
        <v>2473.8009999999999</v>
      </c>
      <c r="BX14" s="198">
        <f t="shared" si="8"/>
        <v>8.7814442799839298</v>
      </c>
      <c r="BY14" s="199">
        <f>segSales!AU120</f>
        <v>0</v>
      </c>
      <c r="BZ14" s="25"/>
      <c r="CA14" s="32">
        <f>SUM(CA10:CA13)</f>
        <v>2794.9250000000002</v>
      </c>
      <c r="CB14" s="198">
        <f t="shared" si="9"/>
        <v>12.980995641929161</v>
      </c>
      <c r="CC14" s="199">
        <f>segSales!AU127</f>
        <v>7</v>
      </c>
      <c r="CD14" s="174"/>
      <c r="CE14" s="32">
        <f>SUM(CE10:CE13)</f>
        <v>3086.6080000000002</v>
      </c>
      <c r="CF14" s="198">
        <f t="shared" si="23"/>
        <v>10.436165550059485</v>
      </c>
      <c r="CG14" s="199">
        <f>segSales!AU134</f>
        <v>6.1944861640197182</v>
      </c>
      <c r="CH14" s="174"/>
      <c r="CI14" s="32">
        <f>SUM(CI10:CI13)</f>
        <v>3323.0770000000002</v>
      </c>
      <c r="CJ14" s="198">
        <f t="shared" si="10"/>
        <v>7.6611283324607538</v>
      </c>
      <c r="CK14" s="201">
        <f>segSales!AU141</f>
        <v>1.5251115844607805</v>
      </c>
      <c r="CL14" s="174"/>
      <c r="CM14" s="32">
        <f>SUM(CM10:CM13)</f>
        <v>3445.134</v>
      </c>
      <c r="CN14" s="198">
        <f t="shared" si="11"/>
        <v>3.6730114890506593</v>
      </c>
      <c r="CO14" s="201">
        <f>segSales!AU148</f>
        <v>1.5340975572611579</v>
      </c>
      <c r="CP14" s="174"/>
      <c r="CQ14" s="32">
        <f>SUM(CQ10:CQ13)</f>
        <v>3545.7939999999999</v>
      </c>
      <c r="CR14" s="198">
        <f t="shared" si="12"/>
        <v>2.9218021708299347</v>
      </c>
      <c r="CS14" s="201">
        <f>segSales!AU155</f>
        <v>1</v>
      </c>
      <c r="CT14" s="174"/>
      <c r="CU14" s="32">
        <f>SUM(CU10:CU13)</f>
        <v>3616.0140000000001</v>
      </c>
      <c r="CV14" s="198">
        <f t="shared" si="13"/>
        <v>1.9803744944009827</v>
      </c>
      <c r="CW14" s="201">
        <f>segSales!$AU$162</f>
        <v>0</v>
      </c>
      <c r="CX14" s="174"/>
      <c r="CY14" s="32">
        <f>SUM(CY10:CY13)</f>
        <v>3780.8670300681124</v>
      </c>
      <c r="CZ14" s="198">
        <f t="shared" si="14"/>
        <v>4.5589710125047089</v>
      </c>
      <c r="DA14" s="201">
        <f>segSales!AU169</f>
        <v>2.948325097702496</v>
      </c>
      <c r="DB14" s="174"/>
      <c r="DC14" s="174"/>
      <c r="DD14" s="174"/>
      <c r="DE14" s="174"/>
      <c r="DF14" s="202">
        <f>CC14+BY14</f>
        <v>7</v>
      </c>
      <c r="DG14" s="202">
        <f>CG14+CC14</f>
        <v>13.194486164019718</v>
      </c>
      <c r="DH14" s="25"/>
      <c r="DI14" s="202">
        <f>CK14+CG14</f>
        <v>7.7195977484804992</v>
      </c>
      <c r="DJ14" s="202"/>
    </row>
    <row r="15" spans="1:117" outlineLevel="4">
      <c r="A15" s="170" t="s">
        <v>252</v>
      </c>
      <c r="B15" s="170"/>
      <c r="C15" s="170"/>
      <c r="D15" s="217">
        <f>SUM(D10:D11)</f>
        <v>47.522000000000006</v>
      </c>
      <c r="E15" s="194"/>
      <c r="F15" s="218"/>
      <c r="G15" s="170"/>
      <c r="H15" s="217">
        <f>SUM(H10:H11)</f>
        <v>57.8</v>
      </c>
      <c r="I15" s="194">
        <f t="shared" si="0"/>
        <v>21.627877614578495</v>
      </c>
      <c r="J15" s="218">
        <f>((H10/H15)*J10)+((H11/H15)*J11)</f>
        <v>1.2407335640138408</v>
      </c>
      <c r="K15" s="170"/>
      <c r="L15" s="217">
        <f>SUM(L10:L11)</f>
        <v>69.564999999999998</v>
      </c>
      <c r="M15" s="194">
        <f t="shared" si="15"/>
        <v>20.354671280276815</v>
      </c>
      <c r="N15" s="218">
        <f>((L10/L15)*N10)+((L11/L15)*N11)</f>
        <v>10.547766836771366</v>
      </c>
      <c r="O15" s="170"/>
      <c r="P15" s="217">
        <f>SUM(P10:P11)</f>
        <v>78.585999999999999</v>
      </c>
      <c r="Q15" s="194">
        <f t="shared" si="16"/>
        <v>12.967728024150071</v>
      </c>
      <c r="R15" s="218">
        <f>((P10/P15)*R10)+((P11/P15)*R11)</f>
        <v>-3.7899880385819356</v>
      </c>
      <c r="S15" s="170"/>
      <c r="T15" s="217">
        <f>SUM(T10:T11)</f>
        <v>87.609000000000009</v>
      </c>
      <c r="U15" s="194">
        <f t="shared" si="17"/>
        <v>11.481688850431393</v>
      </c>
      <c r="V15" s="218">
        <f>((T10/T15)*V10)+((T11/T15)*V11)</f>
        <v>10.143873346345693</v>
      </c>
      <c r="W15" s="170"/>
      <c r="X15" s="217">
        <f>SUM(X10:X11)</f>
        <v>126.78399999999999</v>
      </c>
      <c r="Y15" s="194">
        <f t="shared" si="18"/>
        <v>44.715725553310712</v>
      </c>
      <c r="Z15" s="218">
        <f>((X10/X15)*Z10)+((X11/X15)*Z11)</f>
        <v>18.07680779909137</v>
      </c>
      <c r="AA15" s="170"/>
      <c r="AB15" s="217">
        <f>SUM(AB10:AB11)</f>
        <v>132.678</v>
      </c>
      <c r="AC15" s="194">
        <f t="shared" si="19"/>
        <v>4.6488515901060179</v>
      </c>
      <c r="AD15" s="218">
        <f>((AB10/AB15)*AD10)+((AB11/AB15)*AD11)</f>
        <v>-9.0293191033931777</v>
      </c>
      <c r="AE15" s="170"/>
      <c r="AF15" s="217">
        <f>SUM(AF10:AF11)</f>
        <v>152.22899999999998</v>
      </c>
      <c r="AG15" s="194">
        <f t="shared" si="20"/>
        <v>14.735675846786943</v>
      </c>
      <c r="AH15" s="218">
        <f>((AF10/AF15)*AH10)+((AF11/AF15)*AH11)</f>
        <v>-0.88067319630293861</v>
      </c>
      <c r="AI15" s="170"/>
      <c r="AJ15" s="217">
        <f>SUM(AJ10:AJ11)</f>
        <v>195.07499999999999</v>
      </c>
      <c r="AK15" s="194">
        <f t="shared" si="21"/>
        <v>28.145754094160779</v>
      </c>
      <c r="AL15" s="218">
        <f>((AJ10/AJ15)*AL10)+((AJ11/AJ15)*AL11)</f>
        <v>14.168615148019994</v>
      </c>
      <c r="AM15" s="170"/>
      <c r="AN15" s="217">
        <f>SUM(AN10:AN11)</f>
        <v>229.90700000000001</v>
      </c>
      <c r="AO15" s="194">
        <f t="shared" si="22"/>
        <v>17.855696526976807</v>
      </c>
      <c r="AP15" s="218">
        <f>((AN10/AN15)*AP10)+((AN11/AN15)*AP11)</f>
        <v>6.8102537112832575</v>
      </c>
      <c r="AQ15" s="197"/>
      <c r="AR15" s="170"/>
      <c r="AS15" s="170"/>
      <c r="AT15" s="170"/>
      <c r="AU15" s="217">
        <f>SUM(AU10:AU11)</f>
        <v>359.774</v>
      </c>
      <c r="AV15" s="194">
        <f t="shared" si="1"/>
        <v>56.486753339393744</v>
      </c>
      <c r="AW15" s="218">
        <f>((AU10/AU15)*AW10)+((AU11/AU15)*AW11)</f>
        <v>28.839949523867762</v>
      </c>
      <c r="AX15" s="196"/>
      <c r="AY15" s="217">
        <f>SUM(AY10:AY11)</f>
        <v>484.71699999999998</v>
      </c>
      <c r="AZ15" s="194">
        <f t="shared" si="2"/>
        <v>34.728190475131605</v>
      </c>
      <c r="BA15" s="218">
        <f>((AY10/AY15)*BA10)+((AY11/AY15)*BA11)</f>
        <v>10.477237233272197</v>
      </c>
      <c r="BB15" s="196"/>
      <c r="BC15" s="217">
        <f>SUM(BC10:BC11)</f>
        <v>555.56600000000003</v>
      </c>
      <c r="BD15" s="194">
        <f t="shared" si="3"/>
        <v>14.616570081098867</v>
      </c>
      <c r="BE15" s="218">
        <f>((BC10/BC15)*BE10)+((BC11/BC15)*BE11)</f>
        <v>-5.0559861474604277</v>
      </c>
      <c r="BF15" s="196"/>
      <c r="BG15" s="217">
        <f>SUM(BG10:BG11)</f>
        <v>662.99299999999994</v>
      </c>
      <c r="BH15" s="194">
        <f t="shared" si="4"/>
        <v>19.336496473866283</v>
      </c>
      <c r="BI15" s="218">
        <f>((BG10/BG15)*BI10)+((BG11/BG15)*BI11)</f>
        <v>1.6789875609546407</v>
      </c>
      <c r="BJ15" s="196"/>
      <c r="BK15" s="217">
        <f>SUM(BK10:BK11)</f>
        <v>848.58699999999999</v>
      </c>
      <c r="BL15" s="194">
        <f t="shared" si="5"/>
        <v>27.993357395930275</v>
      </c>
      <c r="BM15" s="218">
        <f>((BK10/BK15)*BM10)+((BK11/BK15)*BM11)</f>
        <v>11.606063962799336</v>
      </c>
      <c r="BN15" s="196"/>
      <c r="BO15" s="217">
        <f>SUM(BO10:BO11)</f>
        <v>843.42200000000003</v>
      </c>
      <c r="BP15" s="194">
        <f t="shared" si="6"/>
        <v>-0.60865886467739161</v>
      </c>
      <c r="BQ15" s="218">
        <f>((BO10/BO15)*BQ10)+((BO11/BO15)*BQ11)</f>
        <v>-7.6424347479672088</v>
      </c>
      <c r="BR15" s="219"/>
      <c r="BS15" s="34">
        <f>SUM(BS10:BS11)</f>
        <v>1032.1199999999999</v>
      </c>
      <c r="BT15" s="198">
        <f t="shared" si="7"/>
        <v>22.37290466694013</v>
      </c>
      <c r="BU15" s="201">
        <f>((BS10/BS15)*BU10)+((BS11/BS15)*BU11)</f>
        <v>13.325122078828045</v>
      </c>
      <c r="BV15" s="219"/>
      <c r="BW15" s="34">
        <f>SUM(BW10:BW11)</f>
        <v>1133.2</v>
      </c>
      <c r="BX15" s="198">
        <f t="shared" si="8"/>
        <v>9.7934348719141298</v>
      </c>
      <c r="BY15" s="201">
        <f>((BW10/BW15)*BY10)+((BW11/BW15)*BY11)</f>
        <v>0.18266696081891987</v>
      </c>
      <c r="BZ15" s="219"/>
      <c r="CA15" s="34">
        <f>SUM(CA10:CA11)</f>
        <v>1245.1990000000001</v>
      </c>
      <c r="CB15" s="198">
        <f t="shared" si="9"/>
        <v>9.8834274620543496</v>
      </c>
      <c r="CC15" s="201">
        <f>((CA10/CA15)*CC10)+((CA11/CA15)*CC11)</f>
        <v>3.0862022857390663</v>
      </c>
      <c r="CD15" s="174"/>
      <c r="CE15" s="34">
        <f>SUM(CE10:CE11)</f>
        <v>1406.701</v>
      </c>
      <c r="CF15" s="198">
        <f t="shared" si="23"/>
        <v>12.969975080288364</v>
      </c>
      <c r="CG15" s="201">
        <f>((CE10/CE15)*CG10)+((CE11/CE15)*CG11)</f>
        <v>9</v>
      </c>
      <c r="CH15" s="174"/>
      <c r="CI15" s="34">
        <f>SUM(CI10:CI11)</f>
        <v>1497.5630000000001</v>
      </c>
      <c r="CJ15" s="198">
        <f t="shared" si="10"/>
        <v>6.4592262321559568</v>
      </c>
      <c r="CK15" s="201">
        <f>((CI10/CI15)*CK10)+((CI11/CI15)*CK11)</f>
        <v>0</v>
      </c>
      <c r="CL15" s="174"/>
      <c r="CM15" s="34">
        <f>SUM(CM10:CM11)</f>
        <v>1606.47</v>
      </c>
      <c r="CN15" s="198">
        <f t="shared" si="11"/>
        <v>7.2722817003358031</v>
      </c>
      <c r="CO15" s="201">
        <f>((CM10/CM15)*CO10)+((CM11/CM15)*CO11)</f>
        <v>4</v>
      </c>
      <c r="CP15" s="174"/>
      <c r="CQ15" s="34">
        <f>SUM(CQ10:CQ11)</f>
        <v>1653.145</v>
      </c>
      <c r="CR15" s="198">
        <f t="shared" si="12"/>
        <v>2.9054386325296999</v>
      </c>
      <c r="CS15" s="201">
        <f>((CQ10/CQ15)*CS10)+((CQ11/CQ15)*CS11)</f>
        <v>1</v>
      </c>
      <c r="CT15" s="174"/>
      <c r="CU15" s="34">
        <f>SUM(CU10:CU11)</f>
        <v>1634.1210000000001</v>
      </c>
      <c r="CV15" s="198">
        <f t="shared" si="13"/>
        <v>-1.1507762476975603</v>
      </c>
      <c r="CW15" s="201">
        <f>((CU10/CU15)*CW10)+((CU11/CU15)*CW11)</f>
        <v>-4.0615418931645824</v>
      </c>
      <c r="CX15" s="174"/>
      <c r="CY15" s="34">
        <f>SUM(CY10:CY11)</f>
        <v>1763.6673701366306</v>
      </c>
      <c r="CZ15" s="198">
        <f t="shared" si="14"/>
        <v>7.9275873779622419</v>
      </c>
      <c r="DA15" s="201">
        <f>((CY10/CY15)*DA10)+((CY11/CY15)*DA11)</f>
        <v>6.4854178849163029</v>
      </c>
      <c r="DB15" s="174"/>
      <c r="DC15" s="174"/>
      <c r="DD15" s="174"/>
      <c r="DE15" s="174"/>
      <c r="DF15" s="175"/>
      <c r="DG15" s="25"/>
      <c r="DH15" s="25"/>
      <c r="DI15" s="24"/>
      <c r="DJ15" s="24"/>
      <c r="DK15" s="30"/>
    </row>
    <row r="16" spans="1:117" outlineLevel="4">
      <c r="A16" s="170" t="s">
        <v>253</v>
      </c>
      <c r="B16" s="170"/>
      <c r="C16" s="170"/>
      <c r="D16" s="217">
        <f>SUM(D10:D12)</f>
        <v>78.948000000000008</v>
      </c>
      <c r="E16" s="194"/>
      <c r="F16" s="218"/>
      <c r="G16" s="170"/>
      <c r="H16" s="217">
        <f>SUM(H10:H12)</f>
        <v>96.641999999999996</v>
      </c>
      <c r="I16" s="194">
        <f t="shared" si="0"/>
        <v>22.412220702234364</v>
      </c>
      <c r="J16" s="218">
        <f>((H12/H16)*J12)+((H15/H16)*J15)</f>
        <v>2.7516442126611618</v>
      </c>
      <c r="K16" s="170"/>
      <c r="L16" s="217">
        <f>SUM(L10:L12)</f>
        <v>114.47399999999999</v>
      </c>
      <c r="M16" s="194">
        <f t="shared" si="15"/>
        <v>18.451604892282859</v>
      </c>
      <c r="N16" s="218">
        <f>((L12/L16)*N12)+((L15/L16)*N15)</f>
        <v>5.6644155004629884</v>
      </c>
      <c r="O16" s="170"/>
      <c r="P16" s="217">
        <f>SUM(P10:P12)</f>
        <v>126.995</v>
      </c>
      <c r="Q16" s="194">
        <f t="shared" si="16"/>
        <v>10.937854884078501</v>
      </c>
      <c r="R16" s="218">
        <f>((P12/P16)*R12)+((P15/P16)*R15)</f>
        <v>-2.5150494713076923</v>
      </c>
      <c r="S16" s="170"/>
      <c r="T16" s="217">
        <f>SUM(T10:T12)</f>
        <v>148.41300000000001</v>
      </c>
      <c r="U16" s="194">
        <f t="shared" si="17"/>
        <v>16.865230914602947</v>
      </c>
      <c r="V16" s="218">
        <f>((T12/T16)*V12)+((T15/T16)*V15)</f>
        <v>10.904318354861097</v>
      </c>
      <c r="W16" s="170"/>
      <c r="X16" s="217">
        <f>SUM(X10:X12)</f>
        <v>202.69399999999999</v>
      </c>
      <c r="Y16" s="194">
        <f t="shared" si="18"/>
        <v>36.574289314278374</v>
      </c>
      <c r="Z16" s="218">
        <f>((X12/X16)*Z12)+((X15/X16)*Z15)</f>
        <v>14.302988741649976</v>
      </c>
      <c r="AA16" s="170"/>
      <c r="AB16" s="217">
        <f>SUM(AB10:AB12)</f>
        <v>209.76900000000001</v>
      </c>
      <c r="AC16" s="194">
        <f t="shared" si="19"/>
        <v>3.4904831914116974</v>
      </c>
      <c r="AD16" s="218">
        <f>((AB12/AB16)*AD12)+((AB15/AB16)*AD15)</f>
        <v>-9.0185442081527771</v>
      </c>
      <c r="AE16" s="170"/>
      <c r="AF16" s="217">
        <f>SUM(AF10:AF12)</f>
        <v>245.08799999999997</v>
      </c>
      <c r="AG16" s="194">
        <f t="shared" si="20"/>
        <v>16.837092230024432</v>
      </c>
      <c r="AH16" s="218">
        <f>((AF12/AF16)*AH12)+((AF15/AF16)*AH15)</f>
        <v>0.400197072072072</v>
      </c>
      <c r="AI16" s="170"/>
      <c r="AJ16" s="217">
        <f>SUM(AJ10:AJ12)</f>
        <v>305.18099999999998</v>
      </c>
      <c r="AK16" s="194">
        <f t="shared" si="21"/>
        <v>24.518948296122222</v>
      </c>
      <c r="AL16" s="218">
        <f>((AJ12/AJ16)*AL12)+((AJ15/AJ16)*AL15)</f>
        <v>12.808939612885469</v>
      </c>
      <c r="AM16" s="170"/>
      <c r="AN16" s="217">
        <f>SUM(AN10:AN12)</f>
        <v>372.238</v>
      </c>
      <c r="AO16" s="194">
        <f t="shared" si="22"/>
        <v>21.972862006481407</v>
      </c>
      <c r="AP16" s="218">
        <f>((AN12/AN16)*AP12)+((AN15/AN16)*AP15)</f>
        <v>10.706461994745297</v>
      </c>
      <c r="AQ16" s="170"/>
      <c r="AR16" s="170"/>
      <c r="AS16" s="170"/>
      <c r="AT16" s="170"/>
      <c r="AU16" s="217">
        <f>SUM(AU10:AU12)</f>
        <v>576.12699999999995</v>
      </c>
      <c r="AV16" s="194">
        <f t="shared" si="1"/>
        <v>54.773827497461291</v>
      </c>
      <c r="AW16" s="218">
        <f>((AU12/AU16)*AW12)+((AU15/AU16)*AW15)</f>
        <v>24.769222758176586</v>
      </c>
      <c r="AX16" s="170"/>
      <c r="AY16" s="217">
        <f>SUM(AY10:AY12)</f>
        <v>773.51800000000003</v>
      </c>
      <c r="AZ16" s="194">
        <f t="shared" si="2"/>
        <v>34.261716600680067</v>
      </c>
      <c r="BA16" s="218">
        <f>((AY12/AY16)*BA12)+((AY15/AY16)*BA15)</f>
        <v>11.419136981944828</v>
      </c>
      <c r="BB16" s="170"/>
      <c r="BC16" s="217">
        <f>SUM(BC10:BC12)</f>
        <v>863.92100000000005</v>
      </c>
      <c r="BD16" s="194">
        <f t="shared" si="3"/>
        <v>11.68725226820837</v>
      </c>
      <c r="BE16" s="218">
        <f>((BC12/BC16)*BE12)+((BC15/BC16)*BE15)</f>
        <v>-6.820628275039037</v>
      </c>
      <c r="BF16" s="170"/>
      <c r="BG16" s="217">
        <f>SUM(BG10:BG12)</f>
        <v>1042.3129999999999</v>
      </c>
      <c r="BH16" s="194">
        <f t="shared" si="4"/>
        <v>20.649110277444336</v>
      </c>
      <c r="BI16" s="218">
        <f>((BG12/BG16)*BI12)+((BG15/BG16)*BI15)</f>
        <v>3.9793392196010222</v>
      </c>
      <c r="BJ16" s="170"/>
      <c r="BK16" s="217">
        <f>SUM(BK10:BK12)</f>
        <v>1326.54</v>
      </c>
      <c r="BL16" s="194">
        <f t="shared" si="5"/>
        <v>27.268872210171047</v>
      </c>
      <c r="BM16" s="218">
        <f>((BK12/BK16)*BM12)+((BK15/BK16)*BM15)</f>
        <v>11.027398344565562</v>
      </c>
      <c r="BN16" s="170"/>
      <c r="BO16" s="217">
        <f>SUM(BO10:BO12)</f>
        <v>1349.3220000000001</v>
      </c>
      <c r="BP16" s="194">
        <f t="shared" si="6"/>
        <v>1.7174001537835437</v>
      </c>
      <c r="BQ16" s="218">
        <f>((BO12/BO16)*BQ12)+((BO15/BO16)*BQ15)</f>
        <v>-5.4894292096326884</v>
      </c>
      <c r="BR16" s="25"/>
      <c r="BS16" s="34">
        <f>SUM(BS10:BS12)</f>
        <v>1605.712</v>
      </c>
      <c r="BT16" s="198">
        <f t="shared" si="7"/>
        <v>19.001394774560843</v>
      </c>
      <c r="BU16" s="201">
        <f>((BS12/BS16)*BU12)+((BS15/BS16)*BU15)</f>
        <v>10.708443979991431</v>
      </c>
      <c r="BV16" s="25"/>
      <c r="BW16" s="34">
        <f>SUM(BW10:BW12)</f>
        <v>1743.153</v>
      </c>
      <c r="BX16" s="198">
        <f t="shared" si="8"/>
        <v>8.5595050669111217</v>
      </c>
      <c r="BY16" s="201">
        <f>((BW12/BW16)*BY12)+((BW15/BW16)*BY15)</f>
        <v>-0.93099159970467316</v>
      </c>
      <c r="BZ16" s="25"/>
      <c r="CA16" s="34">
        <f>SUM(CA10:CA12)</f>
        <v>1938.0630000000001</v>
      </c>
      <c r="CB16" s="198">
        <f t="shared" si="9"/>
        <v>11.181462556643051</v>
      </c>
      <c r="CC16" s="201">
        <f>((CA12/CA16)*CC12)+((CA15/CA16)*CC15)</f>
        <v>4.8429013917504227</v>
      </c>
      <c r="CD16" s="174"/>
      <c r="CE16" s="34">
        <f>SUM(CE10:CE12)</f>
        <v>2180.75</v>
      </c>
      <c r="CF16" s="198">
        <f t="shared" si="23"/>
        <v>12.522141953073751</v>
      </c>
      <c r="CG16" s="201">
        <f>((CE12/CE16)*CG12)+((CE15/CE16)*CG15)</f>
        <v>8.2901075318124491</v>
      </c>
      <c r="CH16" s="174"/>
      <c r="CI16" s="34">
        <f>SUM(CI10:CI12)</f>
        <v>2312.0330000000004</v>
      </c>
      <c r="CJ16" s="198">
        <f t="shared" si="10"/>
        <v>6.0200848331996015</v>
      </c>
      <c r="CK16" s="201">
        <f>((CI12/CI16)*CK12)+((CI15/CI16)*CK15)</f>
        <v>-0.35227438362687724</v>
      </c>
      <c r="CL16" s="174"/>
      <c r="CM16" s="34">
        <f>SUM(CM10:CM12)</f>
        <v>2431.7280000000001</v>
      </c>
      <c r="CN16" s="198">
        <f t="shared" si="11"/>
        <v>5.1770454833473201</v>
      </c>
      <c r="CO16" s="201">
        <f>((CM12/CM16)*CO12)+((CM15/CM16)*CO15)</f>
        <v>2.9818869544620119</v>
      </c>
      <c r="CP16" s="174"/>
      <c r="CQ16" s="34">
        <f>SUM(CQ10:CQ12)</f>
        <v>2515.636</v>
      </c>
      <c r="CR16" s="198">
        <f t="shared" si="12"/>
        <v>3.4505503905041923</v>
      </c>
      <c r="CS16" s="201">
        <f>((CQ12/CQ16)*CS12)+((CQ15/CQ16)*CS15)</f>
        <v>1</v>
      </c>
      <c r="CT16" s="174"/>
      <c r="CU16" s="34">
        <f>SUM(CU10:CU12)</f>
        <v>2526.895</v>
      </c>
      <c r="CV16" s="198">
        <f t="shared" si="13"/>
        <v>0.44756077588332666</v>
      </c>
      <c r="CW16" s="201">
        <f>((CU12/CU16)*CW12)+((CU15/CU16)*CW15)</f>
        <v>-1.9199463768775518</v>
      </c>
      <c r="CX16" s="174"/>
      <c r="CY16" s="34">
        <f>SUM(CY10:CY12)</f>
        <v>2676.5709549589451</v>
      </c>
      <c r="CZ16" s="198">
        <f t="shared" si="14"/>
        <v>5.9233151737189349</v>
      </c>
      <c r="DA16" s="201">
        <f>((CY12/CY16)*DA12)+((CY15/CY16)*DA15)</f>
        <v>4.3143803101023428</v>
      </c>
      <c r="DB16" s="174"/>
      <c r="DC16" s="174"/>
      <c r="DD16" s="174"/>
      <c r="DE16" s="174"/>
      <c r="DF16" s="175"/>
      <c r="DG16" s="25"/>
      <c r="DH16" s="25"/>
      <c r="DI16" s="1791"/>
      <c r="DJ16" s="1792"/>
    </row>
    <row r="17" spans="1:117" outlineLevel="3">
      <c r="A17" s="170"/>
      <c r="B17" s="170"/>
      <c r="C17" s="170"/>
      <c r="D17" s="170"/>
      <c r="E17" s="170"/>
      <c r="F17" s="170"/>
      <c r="G17" s="170"/>
      <c r="H17" s="170"/>
      <c r="I17" s="170"/>
      <c r="J17" s="170"/>
      <c r="K17" s="170"/>
      <c r="L17" s="170"/>
      <c r="M17" s="170"/>
      <c r="N17" s="170"/>
      <c r="O17" s="170"/>
      <c r="P17" s="170">
        <f>48.409-0.036</f>
        <v>48.372999999999998</v>
      </c>
      <c r="Q17" s="170"/>
      <c r="R17" s="170"/>
      <c r="S17" s="170"/>
      <c r="T17" s="170"/>
      <c r="U17" s="170"/>
      <c r="V17" s="170"/>
      <c r="W17" s="170"/>
      <c r="X17" s="170"/>
      <c r="Y17" s="170"/>
      <c r="Z17" s="170"/>
      <c r="AA17" s="170"/>
      <c r="AB17" s="170"/>
      <c r="AC17" s="170"/>
      <c r="AD17" s="170"/>
      <c r="AE17" s="170"/>
      <c r="AF17" s="170"/>
      <c r="AG17" s="170"/>
      <c r="AH17" s="170"/>
      <c r="AI17" s="170"/>
      <c r="AJ17" s="170"/>
      <c r="AK17" s="170"/>
      <c r="AL17" s="170"/>
      <c r="AM17" s="170"/>
      <c r="AN17" s="170"/>
      <c r="AO17" s="170"/>
      <c r="AP17" s="170"/>
      <c r="AQ17" s="170">
        <f>6.865944-0.11</f>
        <v>6.7559439999999995</v>
      </c>
      <c r="AR17" s="170"/>
      <c r="AS17" s="170"/>
      <c r="AT17" s="170"/>
      <c r="AU17" s="170"/>
      <c r="AV17" s="205"/>
      <c r="AW17" s="205"/>
      <c r="AX17" s="170"/>
      <c r="AY17" s="170"/>
      <c r="AZ17" s="170"/>
      <c r="BA17" s="170"/>
      <c r="BB17" s="170"/>
      <c r="BC17" s="170"/>
      <c r="BD17" s="170"/>
      <c r="BE17" s="170"/>
      <c r="BF17" s="170"/>
      <c r="BG17" s="170"/>
      <c r="BH17" s="170"/>
      <c r="BI17" s="170"/>
      <c r="BJ17" s="170"/>
      <c r="BK17" s="220"/>
      <c r="BL17" s="221"/>
      <c r="BM17" s="221"/>
      <c r="BN17" s="170"/>
      <c r="BO17" s="222"/>
      <c r="BP17" s="170"/>
      <c r="BQ17" s="170"/>
      <c r="BR17" s="25"/>
      <c r="BS17" s="223"/>
      <c r="BT17" s="224"/>
      <c r="BU17" s="199"/>
      <c r="BV17" s="25"/>
      <c r="BW17" s="223"/>
      <c r="BX17" s="224"/>
      <c r="BY17" s="199"/>
      <c r="BZ17" s="25"/>
      <c r="CA17" s="225"/>
      <c r="CB17" s="25"/>
      <c r="CC17" s="25"/>
      <c r="CD17" s="174"/>
      <c r="CE17" s="226"/>
      <c r="CF17" s="174"/>
      <c r="CG17" s="174"/>
      <c r="CH17" s="174"/>
      <c r="CI17" s="174"/>
      <c r="CJ17" s="174"/>
      <c r="CK17" s="174"/>
      <c r="CL17" s="174"/>
      <c r="CM17" s="19"/>
      <c r="CN17" s="174"/>
      <c r="CO17" s="174"/>
      <c r="CP17" s="174"/>
      <c r="CQ17" s="19"/>
      <c r="CR17" s="174"/>
      <c r="CS17" s="174"/>
      <c r="CT17" s="174"/>
      <c r="CU17" s="19"/>
      <c r="CV17" s="174"/>
      <c r="CW17" s="1463"/>
      <c r="CX17" s="174"/>
      <c r="CY17" s="19"/>
      <c r="CZ17" s="174"/>
      <c r="DA17" s="1463"/>
      <c r="DB17" s="174"/>
      <c r="DC17" s="174"/>
      <c r="DD17" s="174"/>
      <c r="DE17" s="174"/>
      <c r="DF17" s="175"/>
      <c r="DG17" s="25"/>
      <c r="DH17" s="25"/>
      <c r="DI17" s="24"/>
      <c r="DJ17" s="24"/>
      <c r="DK17" s="30"/>
    </row>
    <row r="18" spans="1:117" outlineLevel="3">
      <c r="A18" s="170"/>
      <c r="B18" s="170"/>
      <c r="C18" s="184"/>
      <c r="D18" s="185"/>
      <c r="E18" s="170"/>
      <c r="F18" s="170"/>
      <c r="G18" s="170"/>
      <c r="H18" s="186"/>
      <c r="I18" s="187"/>
      <c r="J18" s="187"/>
      <c r="K18" s="187"/>
      <c r="L18" s="186"/>
      <c r="M18" s="187"/>
      <c r="N18" s="187"/>
      <c r="O18" s="187"/>
      <c r="P18" s="186"/>
      <c r="Q18" s="187"/>
      <c r="R18" s="187"/>
      <c r="S18" s="187"/>
      <c r="T18" s="186"/>
      <c r="U18" s="187"/>
      <c r="V18" s="187"/>
      <c r="W18" s="187"/>
      <c r="X18" s="170"/>
      <c r="Y18" s="187"/>
      <c r="Z18" s="187"/>
      <c r="AA18" s="187"/>
      <c r="AB18" s="170"/>
      <c r="AC18" s="187"/>
      <c r="AD18" s="187"/>
      <c r="AE18" s="187"/>
      <c r="AF18" s="186"/>
      <c r="AG18" s="187"/>
      <c r="AH18" s="187"/>
      <c r="AI18" s="187"/>
      <c r="AJ18" s="186"/>
      <c r="AK18" s="187"/>
      <c r="AL18" s="187"/>
      <c r="AM18" s="187"/>
      <c r="AN18" s="186"/>
      <c r="AO18" s="187"/>
      <c r="AP18" s="187"/>
      <c r="AQ18" s="170"/>
      <c r="AR18" s="170"/>
      <c r="AS18" s="170"/>
      <c r="AT18" s="187"/>
      <c r="AU18" s="186" t="s">
        <v>254</v>
      </c>
      <c r="AV18" s="187"/>
      <c r="AW18" s="187"/>
      <c r="AX18" s="187"/>
      <c r="AY18" s="186" t="s">
        <v>254</v>
      </c>
      <c r="AZ18" s="187"/>
      <c r="BA18" s="187"/>
      <c r="BB18" s="187"/>
      <c r="BC18" s="186"/>
      <c r="BD18" s="187"/>
      <c r="BE18" s="187"/>
      <c r="BF18" s="187"/>
      <c r="BG18" s="186"/>
      <c r="BH18" s="187"/>
      <c r="BI18" s="187"/>
      <c r="BJ18" s="187"/>
      <c r="BK18" s="186"/>
      <c r="BL18" s="187"/>
      <c r="BM18" s="187"/>
      <c r="BN18" s="187"/>
      <c r="BO18" s="186"/>
      <c r="BP18" s="187"/>
      <c r="BQ18" s="187"/>
      <c r="BR18" s="188"/>
      <c r="BS18" s="189" t="str">
        <f>AY18</f>
        <v>2.  Cost of Goods Sold   (% Gross Margin)</v>
      </c>
      <c r="BT18" s="188"/>
      <c r="BU18" s="188"/>
      <c r="BV18" s="188"/>
      <c r="BW18" s="189"/>
      <c r="BX18" s="188"/>
      <c r="BY18" s="188"/>
      <c r="BZ18" s="188"/>
      <c r="CA18" s="189"/>
      <c r="CB18" s="188"/>
      <c r="CC18" s="188"/>
      <c r="CD18" s="174"/>
      <c r="CE18" s="174"/>
      <c r="CF18" s="174"/>
      <c r="CG18" s="174"/>
      <c r="CH18" s="174"/>
      <c r="CI18" s="174"/>
      <c r="CJ18" s="1004" t="str">
        <f>BS18</f>
        <v>2.  Cost of Goods Sold   (% Gross Margin)</v>
      </c>
      <c r="CK18" s="1004"/>
      <c r="CL18" s="1004"/>
      <c r="CM18" s="1004"/>
      <c r="CN18" s="1004"/>
      <c r="CO18" s="1004"/>
      <c r="CP18" s="1004"/>
      <c r="CQ18" s="1004"/>
      <c r="CR18" s="1004"/>
      <c r="CS18" s="174"/>
      <c r="CT18" s="1004"/>
      <c r="CU18" s="1004"/>
      <c r="CV18" s="1004"/>
      <c r="CW18" s="1463"/>
      <c r="CX18" s="1004"/>
      <c r="CY18" s="1004"/>
      <c r="CZ18" s="1004"/>
      <c r="DA18" s="1463"/>
      <c r="DB18" s="174"/>
      <c r="DC18" s="174"/>
      <c r="DD18" s="174"/>
      <c r="DE18" s="174"/>
      <c r="DF18" s="175"/>
      <c r="DG18" s="25"/>
      <c r="DH18" s="25"/>
      <c r="DI18" s="1791"/>
      <c r="DJ18" s="1792"/>
    </row>
    <row r="19" spans="1:117" outlineLevel="3">
      <c r="A19" s="170"/>
      <c r="B19" s="170"/>
      <c r="C19" s="170"/>
      <c r="D19" s="170"/>
      <c r="E19" s="170"/>
      <c r="F19" s="170"/>
      <c r="G19" s="170"/>
      <c r="H19" s="170"/>
      <c r="I19" s="170"/>
      <c r="J19" s="170"/>
      <c r="K19" s="170"/>
      <c r="L19" s="170"/>
      <c r="M19" s="170"/>
      <c r="N19" s="170"/>
      <c r="O19" s="170"/>
      <c r="P19" s="170"/>
      <c r="Q19" s="170"/>
      <c r="R19" s="170"/>
      <c r="S19" s="170"/>
      <c r="T19" s="170"/>
      <c r="U19" s="170"/>
      <c r="V19" s="170" t="s">
        <v>535</v>
      </c>
      <c r="W19" s="170"/>
      <c r="X19" s="170"/>
      <c r="Y19" s="170"/>
      <c r="Z19" s="170"/>
      <c r="AA19" s="170"/>
      <c r="AB19" s="170"/>
      <c r="AC19" s="170"/>
      <c r="AD19" s="170"/>
      <c r="AE19" s="170"/>
      <c r="AF19" s="170"/>
      <c r="AG19" s="170"/>
      <c r="AH19" s="170"/>
      <c r="AI19" s="170"/>
      <c r="AJ19" s="170"/>
      <c r="AK19" s="170"/>
      <c r="AL19" s="170"/>
      <c r="AM19" s="170"/>
      <c r="AN19" s="170"/>
      <c r="AO19" s="170"/>
      <c r="AP19" s="170"/>
      <c r="AQ19" s="170"/>
      <c r="AR19" s="170"/>
      <c r="AS19" s="227" t="s">
        <v>531</v>
      </c>
      <c r="AT19" s="170"/>
      <c r="AU19" s="170"/>
      <c r="AV19" s="170"/>
      <c r="AW19" s="228"/>
      <c r="AX19" s="170"/>
      <c r="AY19" s="170"/>
      <c r="AZ19" s="170"/>
      <c r="BA19" s="228"/>
      <c r="BB19" s="170"/>
      <c r="BC19" s="229"/>
      <c r="BD19" s="230"/>
      <c r="BE19" s="228"/>
      <c r="BF19" s="170"/>
      <c r="BG19" s="229"/>
      <c r="BH19" s="170"/>
      <c r="BI19" s="228"/>
      <c r="BJ19" s="170"/>
      <c r="BK19" s="229"/>
      <c r="BL19" s="170"/>
      <c r="BM19" s="228"/>
      <c r="BN19" s="170"/>
      <c r="BO19" s="229"/>
      <c r="BP19" s="170"/>
      <c r="BQ19" s="228"/>
      <c r="BR19" s="25"/>
      <c r="BS19" s="200"/>
      <c r="BT19" s="25"/>
      <c r="BU19" s="37"/>
      <c r="BV19" s="25"/>
      <c r="BW19" s="200"/>
      <c r="BX19" s="29"/>
      <c r="BY19" s="37"/>
      <c r="BZ19" s="25"/>
      <c r="CA19" s="200"/>
      <c r="CB19" s="29"/>
      <c r="CC19" s="25"/>
      <c r="CD19" s="174"/>
      <c r="CE19" s="174"/>
      <c r="CF19" s="231"/>
      <c r="CG19" s="174"/>
      <c r="CH19" s="174"/>
      <c r="CI19" s="232"/>
      <c r="CJ19" s="231"/>
      <c r="CK19" s="174"/>
      <c r="CL19" s="174"/>
      <c r="CM19" s="22"/>
      <c r="CN19" s="231"/>
      <c r="CO19" s="174"/>
      <c r="CP19" s="174"/>
      <c r="CQ19" s="22">
        <f>CQ13-CQ23</f>
        <v>344.65499999999986</v>
      </c>
      <c r="CR19" s="231"/>
      <c r="CS19" s="174"/>
      <c r="CT19" s="174"/>
      <c r="CU19" s="22">
        <f>CU13-CU23</f>
        <v>352.04799999999989</v>
      </c>
      <c r="CV19" s="231"/>
      <c r="CW19" s="1463"/>
      <c r="CX19" s="174"/>
      <c r="CY19" s="22"/>
      <c r="CZ19" s="231"/>
      <c r="DA19" s="1463"/>
      <c r="DB19" s="174"/>
      <c r="DC19" s="174"/>
      <c r="DD19" s="233"/>
      <c r="DE19" s="174"/>
      <c r="DF19" s="175"/>
      <c r="DG19" s="25"/>
      <c r="DH19" s="25"/>
      <c r="DI19" s="24"/>
      <c r="DJ19" s="24"/>
      <c r="DK19" s="30"/>
    </row>
    <row r="20" spans="1:117" outlineLevel="3">
      <c r="A20" s="170" t="str">
        <f>$A$10</f>
        <v>1Q</v>
      </c>
      <c r="B20" s="170" t="str">
        <f>$B$10</f>
        <v>Apr</v>
      </c>
      <c r="C20" s="170"/>
      <c r="D20" s="193">
        <v>11.734999999999999</v>
      </c>
      <c r="E20" s="234">
        <f t="shared" ref="E20:E26" si="24">((D10-D20)/D10)*100</f>
        <v>49.286949006050136</v>
      </c>
      <c r="F20" s="170"/>
      <c r="G20" s="170"/>
      <c r="H20" s="193">
        <v>13.811999999999999</v>
      </c>
      <c r="I20" s="234">
        <f t="shared" ref="I20:I26" si="25">((H10-H20)/H10)*100</f>
        <v>50.528314051362877</v>
      </c>
      <c r="J20" s="170"/>
      <c r="K20" s="170"/>
      <c r="L20" s="193">
        <f>33.635-12.235+(33.647-33.635)</f>
        <v>21.411999999999999</v>
      </c>
      <c r="M20" s="234">
        <f t="shared" ref="M20:M26" si="26">((L10-L20)/L10)*100</f>
        <v>36.362825809136027</v>
      </c>
      <c r="N20" s="170"/>
      <c r="O20" s="170"/>
      <c r="P20" s="193">
        <f>37.197-12.674+(37.23-37.197)</f>
        <v>24.555999999999997</v>
      </c>
      <c r="Q20" s="234">
        <f t="shared" ref="Q20:Q26" si="27">((P10-P20)/P10)*100</f>
        <v>34.042438893365571</v>
      </c>
      <c r="R20" s="170"/>
      <c r="S20" s="170"/>
      <c r="T20" s="193">
        <f>39.384-13.974+0.092</f>
        <v>25.501999999999999</v>
      </c>
      <c r="U20" s="234">
        <f t="shared" ref="U20:U26" si="28">((T10-T20)/T10)*100</f>
        <v>35.398723274901208</v>
      </c>
      <c r="V20" s="170"/>
      <c r="W20" s="170"/>
      <c r="X20" s="193">
        <f>58.523-21.482</f>
        <v>37.041000000000004</v>
      </c>
      <c r="Y20" s="234">
        <f t="shared" ref="Y20:Y26" si="29">((X10-X20)/X10)*100</f>
        <v>36.70693573466842</v>
      </c>
      <c r="Z20" s="234">
        <f>+Y20-U20</f>
        <v>1.308212459767212</v>
      </c>
      <c r="AA20" s="170"/>
      <c r="AB20" s="193">
        <v>42.683999999999997</v>
      </c>
      <c r="AC20" s="234">
        <f t="shared" ref="AC20:AC26" si="30">((AB10-AB20)/AB10)*100</f>
        <v>35.27824109173617</v>
      </c>
      <c r="AD20" s="234">
        <f>+AC20-Y20</f>
        <v>-1.4286946429322498</v>
      </c>
      <c r="AE20" s="170"/>
      <c r="AF20" s="193">
        <v>50.274000000000001</v>
      </c>
      <c r="AG20" s="234">
        <f t="shared" ref="AG20:AG26" si="31">((AF10-AF20)/AF10)*100</f>
        <v>30.013642564802183</v>
      </c>
      <c r="AH20" s="234">
        <f>+AG20-AC20</f>
        <v>-5.2645985269339874</v>
      </c>
      <c r="AI20" s="170"/>
      <c r="AJ20" s="193">
        <v>61.904000000000003</v>
      </c>
      <c r="AK20" s="234">
        <f t="shared" ref="AK20:AK26" si="32">((AJ10-AJ20)/AJ10)*100</f>
        <v>34.196483619278432</v>
      </c>
      <c r="AL20" s="234">
        <f>+AK20-AG20</f>
        <v>4.1828410544762491</v>
      </c>
      <c r="AM20" s="170"/>
      <c r="AN20" s="193">
        <v>69.094999999999999</v>
      </c>
      <c r="AO20" s="235">
        <f t="shared" ref="AO20:AO26" si="33">((AN10-AN20)/AN10)*100</f>
        <v>35.442127293792282</v>
      </c>
      <c r="AP20" s="234">
        <f>+AO20-AK20</f>
        <v>1.2456436745138504</v>
      </c>
      <c r="AQ20" s="236"/>
      <c r="AR20" s="196">
        <v>70.594096796938274</v>
      </c>
      <c r="AS20" s="170" t="s">
        <v>45</v>
      </c>
      <c r="AT20" s="170"/>
      <c r="AU20" s="193">
        <v>100.396</v>
      </c>
      <c r="AV20" s="234">
        <f t="shared" ref="AV20:AV26" si="34">((AU10-AU20)/AU10)*100</f>
        <v>41.044101239062776</v>
      </c>
      <c r="AW20" s="234">
        <f>+AV20-AO20</f>
        <v>5.601973945270494</v>
      </c>
      <c r="AX20" s="170"/>
      <c r="AY20" s="193">
        <v>133.708</v>
      </c>
      <c r="AZ20" s="234">
        <f t="shared" ref="AZ20:AZ26" si="35">((AY10-AY20)/AY10)*100</f>
        <v>42.199070571706471</v>
      </c>
      <c r="BA20" s="234">
        <f>+AZ20-AV20</f>
        <v>1.1549693326436952</v>
      </c>
      <c r="BB20" s="170"/>
      <c r="BC20" s="193">
        <v>173.239</v>
      </c>
      <c r="BD20" s="234">
        <f t="shared" ref="BD20:BD26" si="36">((BC10-BC20)/BC10)*100</f>
        <v>35.839070838904178</v>
      </c>
      <c r="BE20" s="234">
        <f>+BD20-AZ20</f>
        <v>-6.3599997328022937</v>
      </c>
      <c r="BF20" s="170"/>
      <c r="BG20" s="193">
        <v>201.929</v>
      </c>
      <c r="BH20" s="234">
        <f t="shared" ref="BH20:BH26" si="37">((BG10-BG20)/BG10)*100</f>
        <v>35.80262220865761</v>
      </c>
      <c r="BI20" s="234">
        <f>+BH20-BD20</f>
        <v>-3.6448630246567859E-2</v>
      </c>
      <c r="BJ20" s="170"/>
      <c r="BK20" s="193">
        <v>235.61199999999999</v>
      </c>
      <c r="BL20" s="234">
        <f t="shared" ref="BL20:BL26" si="38">((BK10-BK20)/BK10)*100</f>
        <v>40.244285960658594</v>
      </c>
      <c r="BM20" s="234">
        <f>+BL20-BH20</f>
        <v>4.4416637520009843</v>
      </c>
      <c r="BN20" s="170"/>
      <c r="BO20" s="193">
        <v>241.49100000000001</v>
      </c>
      <c r="BP20" s="234">
        <f t="shared" ref="BP20:BP26" si="39">((BO10-BO20)/BO10)*100</f>
        <v>37.241811245439138</v>
      </c>
      <c r="BQ20" s="234">
        <f>+BP20-BL20</f>
        <v>-3.0024747152194564</v>
      </c>
      <c r="BR20" s="25"/>
      <c r="BS20" s="26">
        <v>279.17500000000001</v>
      </c>
      <c r="BT20" s="237">
        <f t="shared" ref="BT20:BT26" si="40">((BS10-BS20)/BS10)*100</f>
        <v>41.83381566418938</v>
      </c>
      <c r="BU20" s="237">
        <f>+BT20-BP20</f>
        <v>4.5920044187502427</v>
      </c>
      <c r="BV20" s="25"/>
      <c r="BW20" s="26">
        <f>330.654-2.1</f>
        <v>328.55399999999997</v>
      </c>
      <c r="BX20" s="237">
        <f t="shared" ref="BX20:BX26" si="41">((BW10-BW20)/BW10)*100</f>
        <v>37.301128394199452</v>
      </c>
      <c r="BY20" s="237">
        <f>+BX20-BT20</f>
        <v>-4.5326872699899283</v>
      </c>
      <c r="BZ20" s="25"/>
      <c r="CA20" s="26">
        <v>366.45100000000002</v>
      </c>
      <c r="CB20" s="237">
        <f t="shared" ref="CB20:CB26" si="42">((CA10-CA20)/CA10)*100</f>
        <v>35.589439825637591</v>
      </c>
      <c r="CC20" s="237">
        <f>+CB20-BX20</f>
        <v>-1.7116885685618612</v>
      </c>
      <c r="CD20" s="174"/>
      <c r="CE20" s="26">
        <v>409.36799999999999</v>
      </c>
      <c r="CF20" s="237">
        <f t="shared" ref="CF20:CF26" si="43">((CE10-CE20)/CE10)*100</f>
        <v>36.843177095145315</v>
      </c>
      <c r="CG20" s="237">
        <f>+CF20-CB20</f>
        <v>1.2537372695077238</v>
      </c>
      <c r="CH20" s="174"/>
      <c r="CI20" s="26">
        <f>447.799</f>
        <v>447.79899999999998</v>
      </c>
      <c r="CJ20" s="237">
        <f t="shared" ref="CJ20:CJ26" si="44">((CI10-CI20)/CI10)*100</f>
        <v>34.752662790867099</v>
      </c>
      <c r="CK20" s="237">
        <f>+CJ20-CF20</f>
        <v>-2.0905143042782157</v>
      </c>
      <c r="CL20" s="174"/>
      <c r="CM20" s="26">
        <v>492.589</v>
      </c>
      <c r="CN20" s="237">
        <f t="shared" ref="CN20:CN26" si="45">((CM10-CM20)/CM10)*100</f>
        <v>33.344744996684753</v>
      </c>
      <c r="CO20" s="237">
        <f>+CN20-CJ20</f>
        <v>-1.407917794182346</v>
      </c>
      <c r="CP20" s="174"/>
      <c r="CQ20" s="26">
        <v>500.68599999999998</v>
      </c>
      <c r="CR20" s="237">
        <f t="shared" ref="CR20:CR26" si="46">((CQ10-CQ20)/CQ10)*100</f>
        <v>34.342892586584703</v>
      </c>
      <c r="CS20" s="244">
        <f>+CR20-CN20</f>
        <v>0.99814758989995056</v>
      </c>
      <c r="CT20" s="174"/>
      <c r="CU20" s="26">
        <v>521.41</v>
      </c>
      <c r="CV20" s="237">
        <f t="shared" ref="CV20:CV26" si="47">((CU10-CU20)/CU10)*100</f>
        <v>31.500676572209311</v>
      </c>
      <c r="CW20" s="1464">
        <f>+CV20-CR20</f>
        <v>-2.8422160143753921</v>
      </c>
      <c r="CX20" s="174"/>
      <c r="CY20" s="200">
        <f t="shared" ref="CY20:CY21" si="48">CY10*(1-CZ20/100)</f>
        <v>564.66883308562683</v>
      </c>
      <c r="CZ20" s="1732">
        <v>32.64</v>
      </c>
      <c r="DA20" s="1464">
        <f>+CZ20-CV20</f>
        <v>1.1393234277906892</v>
      </c>
      <c r="DB20" s="174"/>
      <c r="DC20" s="174"/>
      <c r="DD20" s="233"/>
      <c r="DE20" s="174"/>
      <c r="DF20" s="239"/>
      <c r="DG20" s="200"/>
      <c r="DH20" s="237"/>
      <c r="DI20" s="240"/>
      <c r="DJ20" s="223"/>
      <c r="DK20" s="36"/>
      <c r="DM20" s="36"/>
    </row>
    <row r="21" spans="1:117" outlineLevel="3">
      <c r="A21" s="170" t="str">
        <f>$A$11</f>
        <v>2Q</v>
      </c>
      <c r="B21" s="170" t="str">
        <f>$B$11</f>
        <v>Jul</v>
      </c>
      <c r="C21" s="170"/>
      <c r="D21" s="203">
        <v>11.738</v>
      </c>
      <c r="E21" s="234">
        <f t="shared" si="24"/>
        <v>51.857927979657127</v>
      </c>
      <c r="F21" s="170"/>
      <c r="G21" s="170"/>
      <c r="H21" s="203">
        <v>14.797000000000001</v>
      </c>
      <c r="I21" s="234">
        <f t="shared" si="25"/>
        <v>50.480238278504729</v>
      </c>
      <c r="J21" s="170"/>
      <c r="K21" s="170"/>
      <c r="L21" s="203">
        <f>35.898-13.368+(35.918-35.898)</f>
        <v>22.549999999999997</v>
      </c>
      <c r="M21" s="234">
        <f t="shared" si="26"/>
        <v>37.218107912467289</v>
      </c>
      <c r="N21" s="170"/>
      <c r="O21" s="170"/>
      <c r="P21" s="203">
        <f>41.316-14.091+(41.356-41.316)</f>
        <v>27.265000000000001</v>
      </c>
      <c r="Q21" s="234">
        <f t="shared" si="27"/>
        <v>34.072444143534192</v>
      </c>
      <c r="R21" s="170"/>
      <c r="S21" s="170"/>
      <c r="T21" s="203">
        <f>48.068-17.758+0.065</f>
        <v>30.375</v>
      </c>
      <c r="U21" s="234">
        <f t="shared" si="28"/>
        <v>36.893607296449424</v>
      </c>
      <c r="V21" s="170"/>
      <c r="W21" s="170"/>
      <c r="X21" s="203">
        <f>68.261-26.352</f>
        <v>41.908999999999992</v>
      </c>
      <c r="Y21" s="234">
        <f t="shared" si="29"/>
        <v>38.604766997260526</v>
      </c>
      <c r="Z21" s="234">
        <f>+Y21-U21</f>
        <v>1.7111597008111019</v>
      </c>
      <c r="AA21" s="170"/>
      <c r="AB21" s="203">
        <v>46.88</v>
      </c>
      <c r="AC21" s="234">
        <f t="shared" si="30"/>
        <v>29.744634935859001</v>
      </c>
      <c r="AD21" s="234">
        <f>+AC21-Y21</f>
        <v>-8.8601320614015258</v>
      </c>
      <c r="AE21" s="170"/>
      <c r="AF21" s="203">
        <v>54.451000000000001</v>
      </c>
      <c r="AG21" s="234">
        <f t="shared" si="31"/>
        <v>32.270663598482493</v>
      </c>
      <c r="AH21" s="234">
        <f>+AG21-AC21</f>
        <v>2.5260286626234922</v>
      </c>
      <c r="AI21" s="170"/>
      <c r="AJ21" s="203">
        <v>65.244</v>
      </c>
      <c r="AK21" s="235">
        <f t="shared" si="32"/>
        <v>35.402619776041824</v>
      </c>
      <c r="AL21" s="234">
        <f>+AK21-AG21</f>
        <v>3.1319561775593314</v>
      </c>
      <c r="AM21" s="170"/>
      <c r="AN21" s="203">
        <v>77.230999999999995</v>
      </c>
      <c r="AO21" s="234">
        <f t="shared" si="33"/>
        <v>37.148739817218576</v>
      </c>
      <c r="AP21" s="234">
        <f>+AO21-AK21</f>
        <v>1.7461200411767521</v>
      </c>
      <c r="AQ21" s="236"/>
      <c r="AR21" s="196">
        <v>74.889339984397594</v>
      </c>
      <c r="AS21" s="170" t="s">
        <v>47</v>
      </c>
      <c r="AT21" s="170"/>
      <c r="AU21" s="203">
        <v>112.46599999999999</v>
      </c>
      <c r="AV21" s="234">
        <f t="shared" si="34"/>
        <v>40.646175930421578</v>
      </c>
      <c r="AW21" s="234">
        <f>+AV21-AO21</f>
        <v>3.4974361132030012</v>
      </c>
      <c r="AX21" s="170"/>
      <c r="AY21" s="203">
        <v>148.55600000000001</v>
      </c>
      <c r="AZ21" s="234">
        <f t="shared" si="35"/>
        <v>41.373050451474391</v>
      </c>
      <c r="BA21" s="234">
        <f>+AZ21-AV21</f>
        <v>0.7268745210528138</v>
      </c>
      <c r="BB21" s="170"/>
      <c r="BC21" s="203">
        <v>180.80699999999999</v>
      </c>
      <c r="BD21" s="234">
        <f t="shared" si="36"/>
        <v>36.683137285114469</v>
      </c>
      <c r="BE21" s="234">
        <f>+BD21-AZ21</f>
        <v>-4.6899131663599221</v>
      </c>
      <c r="BF21" s="170"/>
      <c r="BG21" s="203">
        <v>218.422</v>
      </c>
      <c r="BH21" s="234">
        <f t="shared" si="37"/>
        <v>37.315934326113727</v>
      </c>
      <c r="BI21" s="234">
        <f>+BH21-BD21</f>
        <v>0.63279704099925738</v>
      </c>
      <c r="BJ21" s="170"/>
      <c r="BK21" s="203">
        <v>267.78500000000003</v>
      </c>
      <c r="BL21" s="234">
        <f t="shared" si="38"/>
        <v>41.054821206484768</v>
      </c>
      <c r="BM21" s="234">
        <f>+BL21-BH21</f>
        <v>3.7388868803710409</v>
      </c>
      <c r="BN21" s="170"/>
      <c r="BO21" s="203">
        <v>271.53500000000003</v>
      </c>
      <c r="BP21" s="234">
        <f t="shared" si="39"/>
        <v>40.793805846157866</v>
      </c>
      <c r="BQ21" s="234">
        <f>+BP21-BL21</f>
        <v>-0.2610153603269012</v>
      </c>
      <c r="BR21" s="25"/>
      <c r="BS21" s="241">
        <v>317.37799999999999</v>
      </c>
      <c r="BT21" s="237">
        <f t="shared" si="40"/>
        <v>42.520542090231253</v>
      </c>
      <c r="BU21" s="237">
        <f>+BT21-BP21</f>
        <v>1.7267362440733862</v>
      </c>
      <c r="BV21" s="25"/>
      <c r="BW21" s="241">
        <v>378.09100000000001</v>
      </c>
      <c r="BX21" s="237">
        <f t="shared" si="41"/>
        <v>37.934538339179987</v>
      </c>
      <c r="BY21" s="237">
        <f>+BX21-BT21</f>
        <v>-4.5860037510512655</v>
      </c>
      <c r="BZ21" s="25"/>
      <c r="CA21" s="241">
        <v>421.755</v>
      </c>
      <c r="CB21" s="237">
        <f t="shared" si="42"/>
        <v>37.635023932784144</v>
      </c>
      <c r="CC21" s="237">
        <f>+CB21-BX21</f>
        <v>-0.29951440639584348</v>
      </c>
      <c r="CD21" s="174"/>
      <c r="CE21" s="241">
        <v>460.28100000000001</v>
      </c>
      <c r="CF21" s="237">
        <f t="shared" si="43"/>
        <v>39.318861367603397</v>
      </c>
      <c r="CG21" s="237">
        <f>+CF21-CB21</f>
        <v>1.6838374348192531</v>
      </c>
      <c r="CH21" s="174"/>
      <c r="CI21" s="241">
        <v>507.995</v>
      </c>
      <c r="CJ21" s="237">
        <f t="shared" si="44"/>
        <v>37.381433412264734</v>
      </c>
      <c r="CK21" s="237">
        <f>+CJ21-CF21</f>
        <v>-1.9374279553386629</v>
      </c>
      <c r="CL21" s="174"/>
      <c r="CM21" s="241">
        <v>549.35500000000002</v>
      </c>
      <c r="CN21" s="237">
        <f t="shared" si="45"/>
        <v>36.670855140294655</v>
      </c>
      <c r="CO21" s="237">
        <f>+CN21-CJ21</f>
        <v>-0.71057827197007839</v>
      </c>
      <c r="CP21" s="174"/>
      <c r="CQ21" s="241">
        <v>548.05700000000002</v>
      </c>
      <c r="CR21" s="237">
        <f t="shared" si="46"/>
        <v>38.459836868156053</v>
      </c>
      <c r="CS21" s="244">
        <f>+CR21-CN21</f>
        <v>1.7889817278613975</v>
      </c>
      <c r="CT21" s="174"/>
      <c r="CU21" s="241">
        <v>575.58799999999997</v>
      </c>
      <c r="CV21" s="237">
        <f t="shared" si="47"/>
        <v>34.062600595006941</v>
      </c>
      <c r="CW21" s="1464">
        <f>+CV21-CR21</f>
        <v>-4.3972362731491117</v>
      </c>
      <c r="CX21" s="174"/>
      <c r="CY21" s="206">
        <f t="shared" si="48"/>
        <v>595.94619179087647</v>
      </c>
      <c r="CZ21" s="1732">
        <v>35.6</v>
      </c>
      <c r="DA21" s="1464">
        <f>+CZ21-CV21</f>
        <v>1.5373994049930602</v>
      </c>
      <c r="DB21" s="174"/>
      <c r="DC21" s="174"/>
      <c r="DD21" s="242"/>
      <c r="DE21" s="1238"/>
      <c r="DF21" s="239"/>
      <c r="DG21" s="223"/>
      <c r="DH21" s="237"/>
      <c r="DI21" s="240"/>
      <c r="DJ21" s="223"/>
      <c r="DK21" s="36"/>
      <c r="DM21" s="36"/>
    </row>
    <row r="22" spans="1:117" outlineLevel="3">
      <c r="A22" s="170" t="str">
        <f>$A$12</f>
        <v>3Q</v>
      </c>
      <c r="B22" s="170" t="str">
        <f>$B$12</f>
        <v>Oct</v>
      </c>
      <c r="C22" s="170"/>
      <c r="D22" s="203">
        <v>14.723000000000001</v>
      </c>
      <c r="E22" s="234">
        <f t="shared" si="24"/>
        <v>53.15025774836122</v>
      </c>
      <c r="F22" s="170"/>
      <c r="G22" s="170"/>
      <c r="H22" s="203">
        <v>19.239000000000001</v>
      </c>
      <c r="I22" s="234">
        <f t="shared" si="25"/>
        <v>50.468564955460579</v>
      </c>
      <c r="J22" s="170"/>
      <c r="K22" s="170"/>
      <c r="L22" s="203">
        <f>44.884-16.809+(44.909-44.884)</f>
        <v>28.099999999999998</v>
      </c>
      <c r="M22" s="234">
        <f t="shared" si="26"/>
        <v>37.429023135674363</v>
      </c>
      <c r="N22" s="170"/>
      <c r="O22" s="170"/>
      <c r="P22" s="203">
        <f>48.373-17.575+(48.409-48.373)</f>
        <v>30.834</v>
      </c>
      <c r="Q22" s="234">
        <f t="shared" si="27"/>
        <v>36.305232498089197</v>
      </c>
      <c r="R22" s="170"/>
      <c r="S22" s="170"/>
      <c r="T22" s="203">
        <f>37.506+0.342</f>
        <v>37.847999999999999</v>
      </c>
      <c r="U22" s="234">
        <f t="shared" si="28"/>
        <v>37.75409512532071</v>
      </c>
      <c r="V22" s="170"/>
      <c r="W22" s="170"/>
      <c r="X22" s="203">
        <f>75.91-28.727</f>
        <v>47.182999999999993</v>
      </c>
      <c r="Y22" s="234">
        <f t="shared" si="29"/>
        <v>37.843498880252938</v>
      </c>
      <c r="Z22" s="234">
        <f>+Y22-U22</f>
        <v>8.9403754932227741E-2</v>
      </c>
      <c r="AA22" s="170"/>
      <c r="AB22" s="203">
        <v>52.557000000000002</v>
      </c>
      <c r="AC22" s="234">
        <f t="shared" si="30"/>
        <v>31.824726621784638</v>
      </c>
      <c r="AD22" s="234">
        <f>+AC22-Y22</f>
        <v>-6.0187722584682994</v>
      </c>
      <c r="AE22" s="170"/>
      <c r="AF22" s="203">
        <v>61.615000000000002</v>
      </c>
      <c r="AG22" s="234">
        <f t="shared" si="31"/>
        <v>33.64671168115099</v>
      </c>
      <c r="AH22" s="234">
        <f>+AG22-AC22</f>
        <v>1.8219850593663516</v>
      </c>
      <c r="AI22" s="170"/>
      <c r="AJ22" s="203">
        <v>70.932000000000002</v>
      </c>
      <c r="AK22" s="234">
        <f t="shared" si="32"/>
        <v>35.578442591684372</v>
      </c>
      <c r="AL22" s="234">
        <f>+AK22-AG22</f>
        <v>1.931730910533382</v>
      </c>
      <c r="AM22" s="170"/>
      <c r="AN22" s="203">
        <v>85.52</v>
      </c>
      <c r="AO22" s="234">
        <f t="shared" si="33"/>
        <v>39.914705861688596</v>
      </c>
      <c r="AP22" s="234">
        <f>+AO22-AK22</f>
        <v>4.3362632700042241</v>
      </c>
      <c r="AQ22" s="236"/>
      <c r="AR22" s="196">
        <v>87.106654799999987</v>
      </c>
      <c r="AS22" s="170" t="s">
        <v>48</v>
      </c>
      <c r="AT22" s="170"/>
      <c r="AU22" s="203">
        <v>124.895</v>
      </c>
      <c r="AV22" s="234">
        <f t="shared" si="34"/>
        <v>42.272582307617647</v>
      </c>
      <c r="AW22" s="234">
        <f>+AV22-AO22</f>
        <v>2.3578764459290511</v>
      </c>
      <c r="AX22" s="170"/>
      <c r="AY22" s="203">
        <v>168.55</v>
      </c>
      <c r="AZ22" s="234">
        <f t="shared" si="35"/>
        <v>41.638013718789054</v>
      </c>
      <c r="BA22" s="234">
        <f>+AZ22-AV22</f>
        <v>-0.63456858882859279</v>
      </c>
      <c r="BB22" s="170"/>
      <c r="BC22" s="203">
        <v>190.40700000000001</v>
      </c>
      <c r="BD22" s="234">
        <f t="shared" si="36"/>
        <v>38.250717517147443</v>
      </c>
      <c r="BE22" s="234">
        <f>+BD22-AZ22</f>
        <v>-3.387296201641611</v>
      </c>
      <c r="BF22" s="170"/>
      <c r="BG22" s="203">
        <v>229.38200000000001</v>
      </c>
      <c r="BH22" s="234">
        <f t="shared" si="37"/>
        <v>39.528102921016554</v>
      </c>
      <c r="BI22" s="234">
        <f>+BH22-BD22</f>
        <v>1.2773854038691113</v>
      </c>
      <c r="BJ22" s="170"/>
      <c r="BK22" s="203">
        <v>282.55700000000002</v>
      </c>
      <c r="BL22" s="234">
        <f t="shared" si="38"/>
        <v>40.881844030689201</v>
      </c>
      <c r="BM22" s="234">
        <f>+BL22-BH22</f>
        <v>1.3537411096726473</v>
      </c>
      <c r="BN22" s="170"/>
      <c r="BO22" s="203">
        <v>295.81200000000001</v>
      </c>
      <c r="BP22" s="234">
        <f t="shared" si="39"/>
        <v>41.527574619490018</v>
      </c>
      <c r="BQ22" s="234">
        <f>+BP22-BL22</f>
        <v>0.64573058880081646</v>
      </c>
      <c r="BR22" s="25"/>
      <c r="BS22" s="241">
        <v>337.59899999999999</v>
      </c>
      <c r="BT22" s="237">
        <f t="shared" si="40"/>
        <v>41.143007573327381</v>
      </c>
      <c r="BU22" s="237">
        <f>+BT22-BP22</f>
        <v>-0.38456704616263693</v>
      </c>
      <c r="BV22" s="25"/>
      <c r="BW22" s="241">
        <v>393.85</v>
      </c>
      <c r="BX22" s="237">
        <f t="shared" si="41"/>
        <v>35.429451121643787</v>
      </c>
      <c r="BY22" s="237">
        <f>+BX22-BT22</f>
        <v>-5.7135564516835942</v>
      </c>
      <c r="BZ22" s="25"/>
      <c r="CA22" s="241">
        <v>432.04300000000001</v>
      </c>
      <c r="CB22" s="237">
        <f t="shared" si="42"/>
        <v>37.643895483096252</v>
      </c>
      <c r="CC22" s="237">
        <f>+CB22-BX22</f>
        <v>2.2144443614524647</v>
      </c>
      <c r="CD22" s="174"/>
      <c r="CE22" s="241">
        <v>481.76400000000001</v>
      </c>
      <c r="CF22" s="237">
        <f t="shared" si="43"/>
        <v>37.760529372171526</v>
      </c>
      <c r="CG22" s="237">
        <f>+CF22-CB22</f>
        <v>0.11663388907527406</v>
      </c>
      <c r="CH22" s="174"/>
      <c r="CI22" s="207">
        <v>530.94600000000003</v>
      </c>
      <c r="CJ22" s="237">
        <f t="shared" si="44"/>
        <v>34.810858595160042</v>
      </c>
      <c r="CK22" s="237">
        <f>+CJ22-CF22</f>
        <v>-2.9496707770114838</v>
      </c>
      <c r="CL22" s="174"/>
      <c r="CM22" s="207">
        <v>537.07000000000005</v>
      </c>
      <c r="CN22" s="237">
        <f t="shared" si="45"/>
        <v>34.92095805190619</v>
      </c>
      <c r="CO22" s="237">
        <f>+CN22-CJ22</f>
        <v>0.11009945674614841</v>
      </c>
      <c r="CP22" s="174"/>
      <c r="CQ22" s="207">
        <v>562.59400000000005</v>
      </c>
      <c r="CR22" s="237">
        <f t="shared" si="46"/>
        <v>34.771029494800523</v>
      </c>
      <c r="CS22" s="244">
        <f>+CR22-CN22</f>
        <v>-0.14992855710566744</v>
      </c>
      <c r="CT22" s="174"/>
      <c r="CU22" s="207">
        <v>595.02800000000002</v>
      </c>
      <c r="CV22" s="237">
        <f t="shared" si="47"/>
        <v>33.350657613236947</v>
      </c>
      <c r="CW22" s="1464">
        <f>+CV22-CR22</f>
        <v>-1.4203718815635753</v>
      </c>
      <c r="CX22" s="174"/>
      <c r="CY22" s="29">
        <f>CY12*(1-CZ22/100)</f>
        <v>609.81959466130604</v>
      </c>
      <c r="CZ22" s="1732">
        <v>33.200000000000003</v>
      </c>
      <c r="DA22" s="1464">
        <f>+CZ22-CV22</f>
        <v>-0.1506576132369446</v>
      </c>
      <c r="DB22" s="174"/>
      <c r="DC22" s="174"/>
      <c r="DD22" s="1238"/>
      <c r="DE22" s="1238"/>
      <c r="DF22" s="244"/>
      <c r="DG22" s="223"/>
      <c r="DH22" s="237"/>
      <c r="DI22" s="223"/>
      <c r="DJ22" s="223"/>
      <c r="DK22" s="36"/>
      <c r="DM22" s="36"/>
    </row>
    <row r="23" spans="1:117" outlineLevel="3">
      <c r="A23" s="170" t="str">
        <f>$A$13</f>
        <v>4Q</v>
      </c>
      <c r="B23" s="170" t="str">
        <f>$B$13</f>
        <v>Jan</v>
      </c>
      <c r="C23" s="209"/>
      <c r="D23" s="210">
        <f>31.2-16.6</f>
        <v>14.599999999999998</v>
      </c>
      <c r="E23" s="234">
        <f t="shared" si="24"/>
        <v>53.164597568408546</v>
      </c>
      <c r="F23" s="170"/>
      <c r="G23" s="170"/>
      <c r="H23" s="210">
        <f>65.453-H22-H21-H20</f>
        <v>17.604999999999997</v>
      </c>
      <c r="I23" s="234">
        <f t="shared" si="25"/>
        <v>51.626641754135314</v>
      </c>
      <c r="J23" s="170"/>
      <c r="K23" s="170"/>
      <c r="L23" s="210">
        <f>41.997-14.675+(42.024-41.997)</f>
        <v>27.349</v>
      </c>
      <c r="M23" s="234">
        <f t="shared" si="26"/>
        <v>34.92052160670093</v>
      </c>
      <c r="N23" s="170"/>
      <c r="O23" s="170"/>
      <c r="P23" s="210">
        <f>46.235-16.222+(46.265-46.235)</f>
        <v>30.042999999999999</v>
      </c>
      <c r="Q23" s="234">
        <f t="shared" si="27"/>
        <v>35.063222738571277</v>
      </c>
      <c r="R23" s="170"/>
      <c r="S23" s="170"/>
      <c r="T23" s="210">
        <f>61.055-24.092+0.397</f>
        <v>37.36</v>
      </c>
      <c r="U23" s="234">
        <f t="shared" si="28"/>
        <v>39.204582438325843</v>
      </c>
      <c r="V23" s="170"/>
      <c r="W23" s="170"/>
      <c r="X23" s="210">
        <f>75.419-28.093</f>
        <v>47.325999999999993</v>
      </c>
      <c r="Y23" s="234">
        <f t="shared" si="29"/>
        <v>37.249234277834503</v>
      </c>
      <c r="Z23" s="234">
        <f>+Y23-U23</f>
        <v>-1.9553481604913401</v>
      </c>
      <c r="AA23" s="170"/>
      <c r="AB23" s="210">
        <v>57.88</v>
      </c>
      <c r="AC23" s="234">
        <f t="shared" si="30"/>
        <v>32.354728624187736</v>
      </c>
      <c r="AD23" s="234">
        <f>+AC23-Y23</f>
        <v>-4.8945056536467675</v>
      </c>
      <c r="AE23" s="170"/>
      <c r="AF23" s="210">
        <v>68.971000000000004</v>
      </c>
      <c r="AG23" s="234">
        <f t="shared" si="31"/>
        <v>33.598729180706655</v>
      </c>
      <c r="AH23" s="234">
        <f>+AG23-AC23</f>
        <v>1.2440005565189196</v>
      </c>
      <c r="AI23" s="170"/>
      <c r="AJ23" s="210">
        <v>73.882999999999996</v>
      </c>
      <c r="AK23" s="234">
        <f t="shared" si="32"/>
        <v>37.159892152109755</v>
      </c>
      <c r="AL23" s="234">
        <f>+AK23-AG23</f>
        <v>3.5611629714030997</v>
      </c>
      <c r="AM23" s="170"/>
      <c r="AN23" s="210">
        <v>103.042</v>
      </c>
      <c r="AO23" s="234">
        <f t="shared" si="33"/>
        <v>41.494296599535545</v>
      </c>
      <c r="AP23" s="234">
        <f>+AO23-AK23</f>
        <v>4.3344044474257899</v>
      </c>
      <c r="AQ23" s="236"/>
      <c r="AR23" s="196">
        <v>92.278407105500222</v>
      </c>
      <c r="AS23" s="170"/>
      <c r="AT23" s="170"/>
      <c r="AU23" s="210">
        <v>151.24300000000011</v>
      </c>
      <c r="AV23" s="234">
        <f t="shared" si="34"/>
        <v>39.893014549544311</v>
      </c>
      <c r="AW23" s="234">
        <f>+AV23-AO23</f>
        <v>-1.6012820499912337</v>
      </c>
      <c r="AX23" s="170"/>
      <c r="AY23" s="210">
        <v>192.68700000000001</v>
      </c>
      <c r="AZ23" s="234">
        <f t="shared" si="35"/>
        <v>39.518627447903093</v>
      </c>
      <c r="BA23" s="234">
        <f>+AZ23-AV23</f>
        <v>-0.37438710164121858</v>
      </c>
      <c r="BB23" s="170"/>
      <c r="BC23" s="210">
        <v>228.34299999999999</v>
      </c>
      <c r="BD23" s="234">
        <f t="shared" si="36"/>
        <v>36.711327176576233</v>
      </c>
      <c r="BE23" s="234">
        <f>+BD23-AZ23</f>
        <v>-2.8073002713268593</v>
      </c>
      <c r="BF23" s="170"/>
      <c r="BG23" s="210">
        <v>281.21899999999999</v>
      </c>
      <c r="BH23" s="234">
        <f t="shared" si="37"/>
        <v>39.576202539260997</v>
      </c>
      <c r="BI23" s="234">
        <f>+BH23-BD23</f>
        <v>2.8648753626847636</v>
      </c>
      <c r="BJ23" s="170"/>
      <c r="BK23" s="210">
        <v>335.18599999999998</v>
      </c>
      <c r="BL23" s="234">
        <f t="shared" si="38"/>
        <v>34.028633398808843</v>
      </c>
      <c r="BM23" s="234">
        <f>+BL23-BH23</f>
        <v>-5.5475691404521541</v>
      </c>
      <c r="BN23" s="170"/>
      <c r="BO23" s="210">
        <v>342.83199999999999</v>
      </c>
      <c r="BP23" s="234">
        <f t="shared" si="39"/>
        <v>41.744081917711853</v>
      </c>
      <c r="BQ23" s="234">
        <f>+BP23-BL23</f>
        <v>7.7154485189030098</v>
      </c>
      <c r="BR23" s="25"/>
      <c r="BS23" s="245">
        <v>403.33</v>
      </c>
      <c r="BT23" s="237">
        <f t="shared" si="40"/>
        <v>39.656487978575385</v>
      </c>
      <c r="BU23" s="237">
        <f>+BT23-BP23</f>
        <v>-2.0875939391364682</v>
      </c>
      <c r="BV23" s="25"/>
      <c r="BW23" s="245">
        <v>512.77</v>
      </c>
      <c r="BX23" s="237">
        <f t="shared" si="41"/>
        <v>29.819831163569877</v>
      </c>
      <c r="BY23" s="237">
        <f>+BX23-BT23</f>
        <v>-9.836656815005508</v>
      </c>
      <c r="BZ23" s="25"/>
      <c r="CA23" s="245">
        <v>543.14499999999998</v>
      </c>
      <c r="CB23" s="237">
        <f t="shared" si="42"/>
        <v>36.612313301325081</v>
      </c>
      <c r="CC23" s="237">
        <f>+CB23-BX23</f>
        <v>6.7924821377552043</v>
      </c>
      <c r="CD23" s="174"/>
      <c r="CE23" s="245">
        <f>573.853</f>
        <v>573.85299999999995</v>
      </c>
      <c r="CF23" s="237">
        <f t="shared" si="43"/>
        <v>36.650887887505554</v>
      </c>
      <c r="CG23" s="237">
        <f>+CF23-CB23</f>
        <v>3.8574586180473602E-2</v>
      </c>
      <c r="CH23" s="174"/>
      <c r="CI23" s="392">
        <v>661.40700000000004</v>
      </c>
      <c r="CJ23" s="237">
        <f t="shared" si="44"/>
        <v>34.581778834551216</v>
      </c>
      <c r="CK23" s="237">
        <f>+CJ23-CF23</f>
        <v>-2.0691090529543388</v>
      </c>
      <c r="CL23" s="174"/>
      <c r="CM23" s="392">
        <v>664.21799999999996</v>
      </c>
      <c r="CN23" s="237">
        <f t="shared" si="45"/>
        <v>34.456871184895292</v>
      </c>
      <c r="CO23" s="237">
        <f>+CN23-CJ23</f>
        <v>-0.12490764965592405</v>
      </c>
      <c r="CP23" s="174"/>
      <c r="CQ23" s="392">
        <f>689.844-4.341</f>
        <v>685.50300000000004</v>
      </c>
      <c r="CR23" s="237">
        <f t="shared" si="46"/>
        <v>33.45651832049063</v>
      </c>
      <c r="CS23" s="244">
        <f>+CR23-CN23</f>
        <v>-1.0003528644046611</v>
      </c>
      <c r="CT23" s="174"/>
      <c r="CU23" s="392">
        <f>748.481-11.41</f>
        <v>737.07100000000003</v>
      </c>
      <c r="CV23" s="237">
        <f t="shared" si="47"/>
        <v>32.324107833946513</v>
      </c>
      <c r="CW23" s="1464">
        <f>+CV23-CR23</f>
        <v>-1.1324104865441171</v>
      </c>
      <c r="CX23" s="174"/>
      <c r="CY23" s="212">
        <f>CY13*(1-CZ23/100)</f>
        <v>755.33851537467024</v>
      </c>
      <c r="CZ23" s="1732">
        <v>31.6</v>
      </c>
      <c r="DA23" s="1464">
        <f>+CZ23-CV23</f>
        <v>-0.7241078339465119</v>
      </c>
      <c r="DB23" s="174"/>
      <c r="DC23" s="174"/>
      <c r="DD23" s="337"/>
      <c r="DE23" s="337"/>
      <c r="DF23" s="239"/>
      <c r="DG23" s="223"/>
      <c r="DH23" s="237"/>
      <c r="DI23" s="240"/>
      <c r="DJ23" s="223"/>
      <c r="DK23" s="36"/>
      <c r="DM23" s="36"/>
    </row>
    <row r="24" spans="1:117" outlineLevel="3">
      <c r="A24" s="170"/>
      <c r="B24" s="170" t="str">
        <f>$B$14</f>
        <v>Year</v>
      </c>
      <c r="C24" s="170"/>
      <c r="D24" s="214">
        <f>SUM(D20:D23)</f>
        <v>52.795999999999992</v>
      </c>
      <c r="E24" s="234">
        <f t="shared" si="24"/>
        <v>52.056374351849335</v>
      </c>
      <c r="F24" s="170"/>
      <c r="G24" s="170"/>
      <c r="H24" s="214">
        <f>SUM(H20:H23)</f>
        <v>65.453000000000003</v>
      </c>
      <c r="I24" s="234">
        <f t="shared" si="25"/>
        <v>50.800535193481466</v>
      </c>
      <c r="J24" s="170"/>
      <c r="K24" s="170"/>
      <c r="L24" s="214">
        <f>SUM(L20:L23)</f>
        <v>99.411000000000001</v>
      </c>
      <c r="M24" s="234">
        <f t="shared" si="26"/>
        <v>36.477782463673655</v>
      </c>
      <c r="N24" s="170"/>
      <c r="O24" s="170"/>
      <c r="P24" s="214">
        <f>SUM(P20:P23)</f>
        <v>112.69800000000001</v>
      </c>
      <c r="Q24" s="234">
        <f t="shared" si="27"/>
        <v>34.954403786217235</v>
      </c>
      <c r="R24" s="170"/>
      <c r="S24" s="170"/>
      <c r="T24" s="214">
        <f>SUM(T20:T23)</f>
        <v>131.08499999999998</v>
      </c>
      <c r="U24" s="234">
        <f t="shared" si="28"/>
        <v>37.538417554141965</v>
      </c>
      <c r="V24" s="170"/>
      <c r="W24" s="170"/>
      <c r="X24" s="214">
        <f>SUM(X20:X23)</f>
        <v>173.45899999999997</v>
      </c>
      <c r="Y24" s="234">
        <f t="shared" si="29"/>
        <v>37.63002808211052</v>
      </c>
      <c r="Z24" s="170"/>
      <c r="AA24" s="246"/>
      <c r="AB24" s="214">
        <f>SUM(AB20:AB23)</f>
        <v>200.00099999999998</v>
      </c>
      <c r="AC24" s="234">
        <f t="shared" si="30"/>
        <v>32.279494672115881</v>
      </c>
      <c r="AD24" s="170"/>
      <c r="AE24" s="246"/>
      <c r="AF24" s="214">
        <f>SUM(AF20:AF23)</f>
        <v>235.31100000000001</v>
      </c>
      <c r="AG24" s="234">
        <f t="shared" si="31"/>
        <v>32.5675296167447</v>
      </c>
      <c r="AH24" s="170"/>
      <c r="AI24" s="246"/>
      <c r="AJ24" s="214">
        <f>SUM(AJ20:AJ23)</f>
        <v>271.96299999999997</v>
      </c>
      <c r="AK24" s="234">
        <f t="shared" si="32"/>
        <v>35.668734062835597</v>
      </c>
      <c r="AL24" s="170"/>
      <c r="AM24" s="246"/>
      <c r="AN24" s="214">
        <f>SUM(AN20:AN23)</f>
        <v>334.88800000000003</v>
      </c>
      <c r="AO24" s="234">
        <f t="shared" si="33"/>
        <v>38.929281987595758</v>
      </c>
      <c r="AP24" s="170"/>
      <c r="AQ24" s="236"/>
      <c r="AR24" s="247">
        <v>324.86849868683606</v>
      </c>
      <c r="AS24" s="170"/>
      <c r="AT24" s="246"/>
      <c r="AU24" s="214">
        <f>SUM(AU20:AU23)</f>
        <v>489.00000000000011</v>
      </c>
      <c r="AV24" s="234">
        <f t="shared" si="34"/>
        <v>40.924192086982771</v>
      </c>
      <c r="AW24" s="170"/>
      <c r="AX24" s="248"/>
      <c r="AY24" s="214">
        <f>SUM(AY20:AY23)</f>
        <v>643.50099999999998</v>
      </c>
      <c r="AZ24" s="234">
        <f t="shared" si="35"/>
        <v>41.077110576161495</v>
      </c>
      <c r="BA24" s="234"/>
      <c r="BB24" s="248"/>
      <c r="BC24" s="214">
        <f>SUM(BC20:BC23)</f>
        <v>772.79599999999994</v>
      </c>
      <c r="BD24" s="234">
        <f t="shared" si="36"/>
        <v>36.900034865197441</v>
      </c>
      <c r="BE24" s="234">
        <f>+BD24-AZ24</f>
        <v>-4.1770757109640542</v>
      </c>
      <c r="BF24" s="248"/>
      <c r="BG24" s="214">
        <f>SUM(BG20:BG23)</f>
        <v>930.952</v>
      </c>
      <c r="BH24" s="234">
        <f t="shared" si="37"/>
        <v>38.254481589468625</v>
      </c>
      <c r="BI24" s="234">
        <f>+BH24-BD24</f>
        <v>1.3544467242711846</v>
      </c>
      <c r="BJ24" s="248"/>
      <c r="BK24" s="214">
        <f>SUM(BK20:BK23)</f>
        <v>1121.1400000000001</v>
      </c>
      <c r="BL24" s="234">
        <f t="shared" si="38"/>
        <v>38.889730723235019</v>
      </c>
      <c r="BM24" s="234">
        <f>+BL24-BH24</f>
        <v>0.63524913376639347</v>
      </c>
      <c r="BN24" s="248"/>
      <c r="BO24" s="214">
        <f>SUM(BO20:BO23)</f>
        <v>1151.67</v>
      </c>
      <c r="BP24" s="234">
        <f t="shared" si="39"/>
        <v>40.568630132391377</v>
      </c>
      <c r="BQ24" s="234">
        <f>+BP24-BL24</f>
        <v>1.678899409156358</v>
      </c>
      <c r="BR24" s="249"/>
      <c r="BS24" s="32">
        <f>SUM(BS20:BS23)</f>
        <v>1337.482</v>
      </c>
      <c r="BT24" s="237">
        <f t="shared" si="40"/>
        <v>41.186367190213979</v>
      </c>
      <c r="BU24" s="237">
        <f>+BT24-BP24</f>
        <v>0.6177370578226018</v>
      </c>
      <c r="BV24" s="249"/>
      <c r="BW24" s="32">
        <f>SUM(BW20:BW23)</f>
        <v>1613.2649999999999</v>
      </c>
      <c r="BX24" s="237">
        <f t="shared" si="41"/>
        <v>34.785983189431974</v>
      </c>
      <c r="BY24" s="237">
        <f>+BX24-BT24</f>
        <v>-6.4003840007820045</v>
      </c>
      <c r="BZ24" s="249"/>
      <c r="CA24" s="32">
        <f>SUM(CA20:CA23)</f>
        <v>1763.394</v>
      </c>
      <c r="CB24" s="237">
        <f t="shared" si="42"/>
        <v>36.90728731540203</v>
      </c>
      <c r="CC24" s="237">
        <f>+CB24-BX24</f>
        <v>2.121304125970056</v>
      </c>
      <c r="CD24" s="174"/>
      <c r="CE24" s="32">
        <f>SUM(CE20:CE23)</f>
        <v>1925.2660000000001</v>
      </c>
      <c r="CF24" s="237">
        <f t="shared" si="43"/>
        <v>37.625185964657639</v>
      </c>
      <c r="CG24" s="237">
        <f>+CF24-CB24</f>
        <v>0.7178986492556092</v>
      </c>
      <c r="CH24" s="174"/>
      <c r="CI24" s="32">
        <f>SUM(CI20:CI23)</f>
        <v>2148.1469999999999</v>
      </c>
      <c r="CJ24" s="237">
        <f t="shared" si="44"/>
        <v>35.356688996372945</v>
      </c>
      <c r="CK24" s="237">
        <f>+CJ24-CF24</f>
        <v>-2.268496968284694</v>
      </c>
      <c r="CL24" s="174"/>
      <c r="CM24" s="32">
        <f>SUM(CM20:CM23)</f>
        <v>2243.232</v>
      </c>
      <c r="CN24" s="237">
        <f t="shared" si="45"/>
        <v>34.88694489096796</v>
      </c>
      <c r="CO24" s="237">
        <f>+CN24-CJ24</f>
        <v>-0.46974410540498468</v>
      </c>
      <c r="CP24" s="174"/>
      <c r="CQ24" s="32">
        <f>SUM(CQ20:CQ23)</f>
        <v>2296.84</v>
      </c>
      <c r="CR24" s="237">
        <f t="shared" si="46"/>
        <v>35.223535264597992</v>
      </c>
      <c r="CS24" s="244">
        <f>+CR24-CN24</f>
        <v>0.33659037363003108</v>
      </c>
      <c r="CT24" s="174"/>
      <c r="CU24" s="32">
        <f>SUM(CU20:CU23)</f>
        <v>2429.0970000000002</v>
      </c>
      <c r="CV24" s="237">
        <f t="shared" si="47"/>
        <v>32.823904995943046</v>
      </c>
      <c r="CW24" s="1464">
        <f>+CV24-CR24</f>
        <v>-2.3996302686549456</v>
      </c>
      <c r="CX24" s="174"/>
      <c r="CY24" s="32">
        <f>SUM(CY20:CY23)</f>
        <v>2525.7731349124797</v>
      </c>
      <c r="CZ24" s="237">
        <f>((CY14-CY24)/CY14)*100</f>
        <v>33.195927949177893</v>
      </c>
      <c r="DA24" s="1464">
        <f>+CZ24-CV24</f>
        <v>0.37202295323484691</v>
      </c>
      <c r="DB24" s="174"/>
      <c r="DC24" s="174"/>
      <c r="DD24" s="337"/>
      <c r="DE24" s="174"/>
      <c r="DF24" s="175"/>
      <c r="DG24" s="25"/>
      <c r="DH24" s="25"/>
      <c r="DI24" s="240"/>
      <c r="DJ24" s="25"/>
    </row>
    <row r="25" spans="1:117" hidden="1" outlineLevel="4">
      <c r="A25" s="170" t="str">
        <f>$A$15</f>
        <v>6 Mos</v>
      </c>
      <c r="B25" s="170"/>
      <c r="C25" s="170"/>
      <c r="D25" s="217">
        <f>SUM(D20:D21)</f>
        <v>23.472999999999999</v>
      </c>
      <c r="E25" s="234">
        <f t="shared" si="24"/>
        <v>50.606035099532853</v>
      </c>
      <c r="F25" s="170"/>
      <c r="G25" s="170"/>
      <c r="H25" s="217">
        <f>SUM(H20:H21)</f>
        <v>28.609000000000002</v>
      </c>
      <c r="I25" s="234">
        <f t="shared" si="25"/>
        <v>50.503460207612449</v>
      </c>
      <c r="J25" s="170"/>
      <c r="K25" s="170"/>
      <c r="L25" s="217">
        <f>SUM(L20:L21)</f>
        <v>43.961999999999996</v>
      </c>
      <c r="M25" s="234">
        <f t="shared" si="26"/>
        <v>36.804427513835982</v>
      </c>
      <c r="N25" s="170"/>
      <c r="O25" s="170"/>
      <c r="P25" s="217">
        <f>SUM(P20:P21)</f>
        <v>51.820999999999998</v>
      </c>
      <c r="Q25" s="234">
        <f t="shared" si="27"/>
        <v>34.058229201129976</v>
      </c>
      <c r="R25" s="170"/>
      <c r="S25" s="170"/>
      <c r="T25" s="217">
        <f>SUM(T20:T21)</f>
        <v>55.876999999999995</v>
      </c>
      <c r="U25" s="234">
        <f t="shared" si="28"/>
        <v>36.22002305699187</v>
      </c>
      <c r="V25" s="170"/>
      <c r="W25" s="170"/>
      <c r="X25" s="217">
        <f>SUM(X20:X21)</f>
        <v>78.949999999999989</v>
      </c>
      <c r="Y25" s="234">
        <f t="shared" si="29"/>
        <v>37.728735487127722</v>
      </c>
      <c r="Z25" s="170"/>
      <c r="AA25" s="170"/>
      <c r="AB25" s="217">
        <f>SUM(AB20:AB21)</f>
        <v>89.563999999999993</v>
      </c>
      <c r="AC25" s="234">
        <f t="shared" si="30"/>
        <v>32.495213976695467</v>
      </c>
      <c r="AD25" s="170"/>
      <c r="AE25" s="170"/>
      <c r="AF25" s="217">
        <f>SUM(AF20:AF21)</f>
        <v>104.72499999999999</v>
      </c>
      <c r="AG25" s="234">
        <f t="shared" si="31"/>
        <v>31.205617852051841</v>
      </c>
      <c r="AH25" s="170"/>
      <c r="AI25" s="170"/>
      <c r="AJ25" s="217">
        <f>SUM(AJ20:AJ21)</f>
        <v>127.148</v>
      </c>
      <c r="AK25" s="234">
        <f t="shared" si="32"/>
        <v>34.820966295014735</v>
      </c>
      <c r="AL25" s="170"/>
      <c r="AM25" s="170"/>
      <c r="AN25" s="217">
        <f>SUM(AN20:AN21)</f>
        <v>146.32599999999999</v>
      </c>
      <c r="AO25" s="234">
        <f t="shared" si="33"/>
        <v>36.354264985407148</v>
      </c>
      <c r="AP25" s="170"/>
      <c r="AQ25" s="236" t="e">
        <f>+#REF!*100</f>
        <v>#REF!</v>
      </c>
      <c r="AR25" s="170"/>
      <c r="AS25" s="170"/>
      <c r="AT25" s="170"/>
      <c r="AU25" s="217">
        <f>SUM(AU20:AU21)</f>
        <v>212.86199999999999</v>
      </c>
      <c r="AV25" s="234">
        <f t="shared" si="34"/>
        <v>40.834523895556657</v>
      </c>
      <c r="AW25" s="234"/>
      <c r="AX25" s="170"/>
      <c r="AY25" s="217">
        <f>SUM(AY20:AY21)</f>
        <v>282.26400000000001</v>
      </c>
      <c r="AZ25" s="234">
        <f t="shared" si="35"/>
        <v>41.767258008281118</v>
      </c>
      <c r="BA25" s="170"/>
      <c r="BB25" s="170"/>
      <c r="BC25" s="217">
        <f>SUM(BC20:BC21)</f>
        <v>354.04599999999999</v>
      </c>
      <c r="BD25" s="234">
        <f t="shared" si="36"/>
        <v>36.272918069140303</v>
      </c>
      <c r="BE25" s="170"/>
      <c r="BF25" s="170"/>
      <c r="BG25" s="217">
        <f>SUM(BG20:BG21)</f>
        <v>420.351</v>
      </c>
      <c r="BH25" s="234">
        <f t="shared" si="37"/>
        <v>36.59797313093803</v>
      </c>
      <c r="BI25" s="170"/>
      <c r="BJ25" s="170"/>
      <c r="BK25" s="217">
        <f>SUM(BK20:BK21)</f>
        <v>503.39700000000005</v>
      </c>
      <c r="BL25" s="234">
        <f t="shared" si="38"/>
        <v>40.678209776958631</v>
      </c>
      <c r="BM25" s="220">
        <f>BL25-BH25</f>
        <v>4.0802366460206017</v>
      </c>
      <c r="BN25" s="170"/>
      <c r="BO25" s="217">
        <f>SUM(BO20:BO21)</f>
        <v>513.02600000000007</v>
      </c>
      <c r="BP25" s="234">
        <f t="shared" si="39"/>
        <v>39.173272691487767</v>
      </c>
      <c r="BQ25" s="220">
        <f>BP25-BL25</f>
        <v>-1.5049370854708641</v>
      </c>
      <c r="BR25" s="25"/>
      <c r="BS25" s="34">
        <f>SUM(BS20:BS21)</f>
        <v>596.553</v>
      </c>
      <c r="BT25" s="237">
        <f t="shared" si="40"/>
        <v>42.201197535170323</v>
      </c>
      <c r="BU25" s="223">
        <f>BT25-BP25</f>
        <v>3.0279248436825554</v>
      </c>
      <c r="BV25" s="25"/>
      <c r="BW25" s="34">
        <f>SUM(BW20:BW21)</f>
        <v>706.64499999999998</v>
      </c>
      <c r="BX25" s="237">
        <f t="shared" si="41"/>
        <v>37.641634309918821</v>
      </c>
      <c r="BY25" s="223">
        <f>BX25-BT25</f>
        <v>-4.5595632252515017</v>
      </c>
      <c r="BZ25" s="25"/>
      <c r="CA25" s="34">
        <f>SUM(CA20:CA21)</f>
        <v>788.20600000000002</v>
      </c>
      <c r="CB25" s="237">
        <f t="shared" si="42"/>
        <v>36.700398892064648</v>
      </c>
      <c r="CC25" s="223">
        <f>CB25-BX25</f>
        <v>-0.94123541785417331</v>
      </c>
      <c r="CD25" s="174"/>
      <c r="CE25" s="34">
        <f>SUM(CE20:CE21)</f>
        <v>869.649</v>
      </c>
      <c r="CF25" s="237">
        <f t="shared" si="43"/>
        <v>38.178120297063842</v>
      </c>
      <c r="CG25" s="223">
        <f>CF25-CB25</f>
        <v>1.477721404999194</v>
      </c>
      <c r="CH25" s="174"/>
      <c r="CI25" s="34">
        <f>SUM(CI20:CI21)</f>
        <v>955.79399999999998</v>
      </c>
      <c r="CJ25" s="237">
        <f t="shared" si="44"/>
        <v>36.176708425622166</v>
      </c>
      <c r="CK25" s="223">
        <f>CJ25-CF25</f>
        <v>-2.0014118714416753</v>
      </c>
      <c r="CL25" s="174"/>
      <c r="CM25" s="34">
        <f>SUM(CM20:CM21)</f>
        <v>1041.944</v>
      </c>
      <c r="CN25" s="237">
        <f t="shared" si="45"/>
        <v>35.140774493143354</v>
      </c>
      <c r="CO25" s="223">
        <f>CN25-CJ25</f>
        <v>-1.0359339324788124</v>
      </c>
      <c r="CP25" s="174"/>
      <c r="CQ25" s="34">
        <f>SUM(CQ20:CQ21)</f>
        <v>1048.7429999999999</v>
      </c>
      <c r="CR25" s="237">
        <f t="shared" si="46"/>
        <v>36.560737261401755</v>
      </c>
      <c r="CS25" s="223">
        <f>CR25-CN25</f>
        <v>1.4199627682584008</v>
      </c>
      <c r="CT25" s="174"/>
      <c r="CU25" s="34">
        <f>SUM(CU20:CU21)</f>
        <v>1096.998</v>
      </c>
      <c r="CV25" s="237">
        <f t="shared" si="47"/>
        <v>32.86923061388967</v>
      </c>
      <c r="CW25" s="1465">
        <f>CV25-CR25</f>
        <v>-3.6915066475120852</v>
      </c>
      <c r="CX25" s="174"/>
      <c r="CY25" s="34">
        <f>SUM(CY20:CY21)</f>
        <v>1160.6150248765034</v>
      </c>
      <c r="CZ25" s="237">
        <f>((CY15-CY25)/CY15)*100</f>
        <v>34.19308853082704</v>
      </c>
      <c r="DA25" s="1465">
        <f>CZ25-CV25</f>
        <v>1.3238579169373708</v>
      </c>
      <c r="DB25" s="174"/>
      <c r="DC25" s="174"/>
      <c r="DD25" s="174"/>
      <c r="DE25" s="174"/>
      <c r="DF25" s="175"/>
      <c r="DG25" s="25"/>
      <c r="DH25" s="25"/>
      <c r="DI25" s="25"/>
      <c r="DJ25" s="25"/>
    </row>
    <row r="26" spans="1:117" hidden="1" outlineLevel="4">
      <c r="A26" s="170" t="str">
        <f>$A$16</f>
        <v>9 Mos</v>
      </c>
      <c r="B26" s="170"/>
      <c r="C26" s="170"/>
      <c r="D26" s="217">
        <f>SUM(D20:D22)</f>
        <v>38.195999999999998</v>
      </c>
      <c r="E26" s="234">
        <f t="shared" si="24"/>
        <v>51.618787049703606</v>
      </c>
      <c r="F26" s="170"/>
      <c r="G26" s="170"/>
      <c r="H26" s="217">
        <f>SUM(H20:H22)</f>
        <v>47.847999999999999</v>
      </c>
      <c r="I26" s="234">
        <f t="shared" si="25"/>
        <v>50.489435235197945</v>
      </c>
      <c r="J26" s="170"/>
      <c r="K26" s="170"/>
      <c r="L26" s="217">
        <f>SUM(L20:L22)</f>
        <v>72.061999999999998</v>
      </c>
      <c r="M26" s="234">
        <f t="shared" si="26"/>
        <v>37.049461012981112</v>
      </c>
      <c r="N26" s="170"/>
      <c r="O26" s="170"/>
      <c r="P26" s="217">
        <f>SUM(P20:P22)</f>
        <v>82.655000000000001</v>
      </c>
      <c r="Q26" s="234">
        <f t="shared" si="27"/>
        <v>34.914760423638732</v>
      </c>
      <c r="R26" s="170"/>
      <c r="S26" s="170"/>
      <c r="T26" s="217">
        <f>SUM(T20:T22)</f>
        <v>93.724999999999994</v>
      </c>
      <c r="U26" s="234">
        <f t="shared" si="28"/>
        <v>36.848524051127605</v>
      </c>
      <c r="V26" s="170"/>
      <c r="W26" s="170"/>
      <c r="X26" s="217">
        <f>SUM(X20:X22)</f>
        <v>126.13299999999998</v>
      </c>
      <c r="Y26" s="234">
        <f t="shared" si="29"/>
        <v>37.771714998963965</v>
      </c>
      <c r="Z26" s="170"/>
      <c r="AA26" s="170"/>
      <c r="AB26" s="217">
        <f>SUM(AB20:AB22)</f>
        <v>142.12099999999998</v>
      </c>
      <c r="AC26" s="234">
        <f t="shared" si="30"/>
        <v>32.248807021056507</v>
      </c>
      <c r="AD26" s="170"/>
      <c r="AE26" s="170"/>
      <c r="AF26" s="217">
        <f>SUM(AF20:AF22)</f>
        <v>166.34</v>
      </c>
      <c r="AG26" s="234">
        <f t="shared" si="31"/>
        <v>32.130500065282661</v>
      </c>
      <c r="AH26" s="170"/>
      <c r="AI26" s="170"/>
      <c r="AJ26" s="217">
        <f>SUM(AJ20:AJ22)</f>
        <v>198.07999999999998</v>
      </c>
      <c r="AK26" s="234">
        <f t="shared" si="32"/>
        <v>35.094255540154862</v>
      </c>
      <c r="AL26" s="170"/>
      <c r="AM26" s="170"/>
      <c r="AN26" s="217">
        <f>SUM(AN20:AN22)</f>
        <v>231.846</v>
      </c>
      <c r="AO26" s="234">
        <f t="shared" si="33"/>
        <v>37.715655037905854</v>
      </c>
      <c r="AP26" s="170"/>
      <c r="AQ26" s="236" t="e">
        <f>+#REF!*100</f>
        <v>#REF!</v>
      </c>
      <c r="AR26" s="170"/>
      <c r="AS26" s="170"/>
      <c r="AT26" s="170"/>
      <c r="AU26" s="217">
        <f>SUM(AU20:AU22)</f>
        <v>337.75700000000001</v>
      </c>
      <c r="AV26" s="234">
        <f t="shared" si="34"/>
        <v>41.374558040154334</v>
      </c>
      <c r="AW26" s="170"/>
      <c r="AX26" s="170"/>
      <c r="AY26" s="217">
        <f>SUM(AY20:AY22)</f>
        <v>450.81400000000002</v>
      </c>
      <c r="AZ26" s="234">
        <f t="shared" si="35"/>
        <v>41.719003306968936</v>
      </c>
      <c r="BA26" s="170"/>
      <c r="BB26" s="170"/>
      <c r="BC26" s="217">
        <f>SUM(BC20:BC22)</f>
        <v>544.45299999999997</v>
      </c>
      <c r="BD26" s="234">
        <f t="shared" si="36"/>
        <v>36.978844130423973</v>
      </c>
      <c r="BE26" s="170"/>
      <c r="BF26" s="170"/>
      <c r="BG26" s="217">
        <f>SUM(BG20:BG22)</f>
        <v>649.73299999999995</v>
      </c>
      <c r="BH26" s="234">
        <f t="shared" si="37"/>
        <v>37.664310048900859</v>
      </c>
      <c r="BI26" s="170"/>
      <c r="BJ26" s="170"/>
      <c r="BK26" s="217">
        <f>SUM(BK20:BK22)</f>
        <v>785.95400000000006</v>
      </c>
      <c r="BL26" s="234">
        <f t="shared" si="38"/>
        <v>40.751579296515736</v>
      </c>
      <c r="BM26" s="220"/>
      <c r="BN26" s="170"/>
      <c r="BO26" s="217">
        <f>SUM(BO20:BO22)</f>
        <v>808.83800000000008</v>
      </c>
      <c r="BP26" s="234">
        <f t="shared" si="39"/>
        <v>40.055968849540733</v>
      </c>
      <c r="BQ26" s="170"/>
      <c r="BR26" s="25"/>
      <c r="BS26" s="34">
        <f>SUM(BS20:BS22)</f>
        <v>934.15200000000004</v>
      </c>
      <c r="BT26" s="237">
        <f t="shared" si="40"/>
        <v>41.823191207389613</v>
      </c>
      <c r="BU26" s="25"/>
      <c r="BV26" s="25"/>
      <c r="BW26" s="34">
        <f>SUM(BW20:BW22)</f>
        <v>1100.4949999999999</v>
      </c>
      <c r="BX26" s="237">
        <f t="shared" si="41"/>
        <v>36.867561252511976</v>
      </c>
      <c r="BY26" s="25"/>
      <c r="BZ26" s="25"/>
      <c r="CA26" s="34">
        <f>SUM(CA20:CA22)</f>
        <v>1220.249</v>
      </c>
      <c r="CB26" s="237">
        <f t="shared" si="42"/>
        <v>37.037702076764276</v>
      </c>
      <c r="CC26" s="25"/>
      <c r="CD26" s="174"/>
      <c r="CE26" s="34">
        <f>SUM(CE20:CE22)</f>
        <v>1351.413</v>
      </c>
      <c r="CF26" s="237">
        <f t="shared" si="43"/>
        <v>38.029897970881578</v>
      </c>
      <c r="CG26" s="25"/>
      <c r="CH26" s="174"/>
      <c r="CI26" s="34">
        <f>SUM(CI20:CI22)</f>
        <v>1486.74</v>
      </c>
      <c r="CJ26" s="237">
        <f t="shared" si="44"/>
        <v>35.695554518469251</v>
      </c>
      <c r="CK26" s="25"/>
      <c r="CL26" s="174"/>
      <c r="CM26" s="34">
        <f>SUM(CM20:CM22)</f>
        <v>1579.0140000000001</v>
      </c>
      <c r="CN26" s="237">
        <f t="shared" si="45"/>
        <v>35.066175164327582</v>
      </c>
      <c r="CO26" s="25"/>
      <c r="CP26" s="174"/>
      <c r="CQ26" s="34">
        <f>SUM(CQ20:CQ22)</f>
        <v>1611.337</v>
      </c>
      <c r="CR26" s="237">
        <f t="shared" si="46"/>
        <v>35.947132256017959</v>
      </c>
      <c r="CS26" s="25"/>
      <c r="CT26" s="174"/>
      <c r="CU26" s="34">
        <f>SUM(CU20:CU22)</f>
        <v>1692.0260000000001</v>
      </c>
      <c r="CV26" s="237">
        <f t="shared" si="47"/>
        <v>33.039322963558035</v>
      </c>
      <c r="CW26" s="1466"/>
      <c r="CX26" s="174"/>
      <c r="CY26" s="34">
        <f>SUM(CY20:CY22)</f>
        <v>1770.4346195378093</v>
      </c>
      <c r="CZ26" s="237">
        <f>((CY16-CY26)/CY16)*100</f>
        <v>33.854373774112581</v>
      </c>
      <c r="DA26" s="1466"/>
      <c r="DB26" s="174"/>
      <c r="DC26" s="174"/>
      <c r="DD26" s="174"/>
      <c r="DE26" s="174"/>
      <c r="DF26" s="175"/>
      <c r="DG26" s="25"/>
      <c r="DH26" s="25"/>
      <c r="DI26" s="25"/>
      <c r="DJ26" s="25"/>
    </row>
    <row r="27" spans="1:117" outlineLevel="3" collapsed="1">
      <c r="A27" s="170"/>
      <c r="B27" s="170"/>
      <c r="C27" s="170"/>
      <c r="D27" s="170"/>
      <c r="E27" s="170"/>
      <c r="F27" s="170"/>
      <c r="G27" s="170"/>
      <c r="H27" s="170"/>
      <c r="I27" s="170"/>
      <c r="J27" s="170"/>
      <c r="K27" s="170"/>
      <c r="L27" s="170"/>
      <c r="M27" s="170"/>
      <c r="N27" s="170"/>
      <c r="O27" s="170"/>
      <c r="P27" s="170"/>
      <c r="Q27" s="170"/>
      <c r="R27" s="170"/>
      <c r="S27" s="170"/>
      <c r="T27" s="170"/>
      <c r="U27" s="170"/>
      <c r="V27" s="170"/>
      <c r="W27" s="170"/>
      <c r="X27" s="250"/>
      <c r="Y27" s="170"/>
      <c r="Z27" s="170"/>
      <c r="AA27" s="170"/>
      <c r="AB27" s="250"/>
      <c r="AC27" s="170"/>
      <c r="AD27" s="170"/>
      <c r="AE27" s="170"/>
      <c r="AF27" s="250"/>
      <c r="AG27" s="170"/>
      <c r="AH27" s="170"/>
      <c r="AI27" s="170"/>
      <c r="AJ27" s="250"/>
      <c r="AK27" s="170"/>
      <c r="AL27" s="170"/>
      <c r="AM27" s="170"/>
      <c r="AN27" s="250"/>
      <c r="AO27" s="170"/>
      <c r="AP27" s="170"/>
      <c r="AQ27" s="170"/>
      <c r="AR27" s="170"/>
      <c r="AS27" s="170"/>
      <c r="AT27" s="170"/>
      <c r="AU27" s="250"/>
      <c r="AV27" s="170"/>
      <c r="AW27" s="170"/>
      <c r="AX27" s="170"/>
      <c r="AY27" s="250"/>
      <c r="AZ27" s="170"/>
      <c r="BA27" s="170"/>
      <c r="BB27" s="170"/>
      <c r="BC27" s="250"/>
      <c r="BD27" s="170"/>
      <c r="BE27" s="170"/>
      <c r="BF27" s="170"/>
      <c r="BG27" s="250"/>
      <c r="BH27" s="170"/>
      <c r="BI27" s="170"/>
      <c r="BJ27" s="170"/>
      <c r="BK27" s="250"/>
      <c r="BL27" s="170"/>
      <c r="BM27" s="170"/>
      <c r="BN27" s="170"/>
      <c r="BO27" s="250"/>
      <c r="BP27" s="170"/>
      <c r="BQ27" s="170"/>
      <c r="BR27" s="25"/>
      <c r="BS27" s="240"/>
      <c r="BT27" s="237"/>
      <c r="BU27" s="25"/>
      <c r="BV27" s="25"/>
      <c r="BX27" s="25"/>
      <c r="BY27" s="25"/>
      <c r="BZ27" s="25"/>
      <c r="CA27" s="240"/>
      <c r="CB27" s="25"/>
      <c r="CC27" s="25"/>
      <c r="CD27" s="174"/>
      <c r="CE27" s="242"/>
      <c r="CF27" s="233"/>
      <c r="CG27" s="174"/>
      <c r="CH27" s="174"/>
      <c r="CI27" s="174"/>
      <c r="CJ27" s="174"/>
      <c r="CK27" s="174"/>
      <c r="CL27" s="174"/>
      <c r="CM27" s="19"/>
      <c r="CN27" s="174"/>
      <c r="CO27" s="174"/>
      <c r="CP27" s="174"/>
      <c r="CQ27" s="19"/>
      <c r="CR27" s="174"/>
      <c r="CS27" s="174"/>
      <c r="CT27" s="174"/>
      <c r="CU27" s="19"/>
      <c r="CV27" s="174"/>
      <c r="CW27" s="1463"/>
      <c r="CX27" s="174"/>
      <c r="CY27" s="19"/>
      <c r="CZ27" s="174"/>
      <c r="DA27" s="1463"/>
      <c r="DB27" s="174"/>
      <c r="DC27" s="174"/>
      <c r="DD27" s="174"/>
      <c r="DE27" s="174"/>
      <c r="DF27" s="175"/>
      <c r="DG27" s="25"/>
      <c r="DH27" s="25"/>
      <c r="DI27" s="25"/>
      <c r="DJ27" s="25"/>
    </row>
    <row r="28" spans="1:117" outlineLevel="3">
      <c r="A28" s="170"/>
      <c r="B28" s="170"/>
      <c r="C28" s="184"/>
      <c r="D28" s="185"/>
      <c r="E28" s="170"/>
      <c r="F28" s="170"/>
      <c r="G28" s="170"/>
      <c r="H28" s="186"/>
      <c r="I28" s="187"/>
      <c r="J28" s="187"/>
      <c r="K28" s="187"/>
      <c r="L28" s="186"/>
      <c r="M28" s="187"/>
      <c r="N28" s="187"/>
      <c r="O28" s="187"/>
      <c r="P28" s="186"/>
      <c r="Q28" s="187"/>
      <c r="R28" s="187"/>
      <c r="S28" s="187"/>
      <c r="T28" s="186"/>
      <c r="U28" s="187"/>
      <c r="V28" s="187"/>
      <c r="W28" s="186"/>
      <c r="X28" s="170"/>
      <c r="Y28" s="187"/>
      <c r="Z28" s="187"/>
      <c r="AA28" s="186"/>
      <c r="AB28" s="170"/>
      <c r="AC28" s="187"/>
      <c r="AD28" s="187"/>
      <c r="AE28" s="187"/>
      <c r="AF28" s="251"/>
      <c r="AG28" s="187"/>
      <c r="AH28" s="187"/>
      <c r="AI28" s="187"/>
      <c r="AJ28" s="186"/>
      <c r="AK28" s="187"/>
      <c r="AL28" s="187"/>
      <c r="AM28" s="187"/>
      <c r="AN28" s="251"/>
      <c r="AO28" s="187"/>
      <c r="AP28" s="187"/>
      <c r="AQ28" s="170"/>
      <c r="AR28" s="170"/>
      <c r="AS28" s="170"/>
      <c r="AT28" s="187"/>
      <c r="AU28" s="186" t="s">
        <v>255</v>
      </c>
      <c r="AV28" s="187"/>
      <c r="AW28" s="187"/>
      <c r="AX28" s="187"/>
      <c r="AY28" s="186" t="s">
        <v>255</v>
      </c>
      <c r="AZ28" s="187"/>
      <c r="BA28" s="187"/>
      <c r="BB28" s="187"/>
      <c r="BC28" s="251"/>
      <c r="BD28" s="187"/>
      <c r="BE28" s="187"/>
      <c r="BF28" s="187"/>
      <c r="BG28" s="251"/>
      <c r="BH28" s="187"/>
      <c r="BI28" s="187"/>
      <c r="BJ28" s="187"/>
      <c r="BK28" s="251"/>
      <c r="BL28" s="187"/>
      <c r="BM28" s="187"/>
      <c r="BN28" s="187"/>
      <c r="BO28" s="251"/>
      <c r="BP28" s="187"/>
      <c r="BQ28" s="187"/>
      <c r="BR28" s="188"/>
      <c r="BS28" s="189" t="str">
        <f>AY28</f>
        <v>3.  Selling, General &amp; Administrative Expenses   (% of Sales)</v>
      </c>
      <c r="BT28" s="188"/>
      <c r="BU28" s="188"/>
      <c r="BV28" s="188"/>
      <c r="BW28" s="252"/>
      <c r="BX28" s="253"/>
      <c r="BY28" s="188"/>
      <c r="BZ28" s="188"/>
      <c r="CA28" s="252"/>
      <c r="CB28" s="253"/>
      <c r="CC28" s="254"/>
      <c r="CD28" s="174"/>
      <c r="CE28" s="174"/>
      <c r="CF28" s="255"/>
      <c r="CG28" s="174"/>
      <c r="CH28" s="174"/>
      <c r="CI28" s="174"/>
      <c r="CJ28" s="1004" t="str">
        <f>BS28</f>
        <v>3.  Selling, General &amp; Administrative Expenses   (% of Sales)</v>
      </c>
      <c r="CK28" s="1004"/>
      <c r="CL28" s="1004"/>
      <c r="CM28" s="1004"/>
      <c r="CN28" s="1004"/>
      <c r="CO28" s="1004"/>
      <c r="CP28" s="1004"/>
      <c r="CQ28" s="1004"/>
      <c r="CR28" s="1004"/>
      <c r="CS28" s="174"/>
      <c r="CT28" s="1004"/>
      <c r="CU28" s="1784"/>
      <c r="CV28" s="1004"/>
      <c r="CW28" s="1463"/>
      <c r="CX28" s="1004"/>
      <c r="CY28" s="1004"/>
      <c r="CZ28" s="1004"/>
      <c r="DA28" s="1463"/>
      <c r="DB28" s="174"/>
      <c r="DC28" s="174"/>
      <c r="DD28" s="174"/>
      <c r="DE28" s="174"/>
      <c r="DF28" s="175"/>
      <c r="DG28" s="25"/>
      <c r="DH28" s="25"/>
      <c r="DI28" s="25"/>
      <c r="DJ28" s="25"/>
    </row>
    <row r="29" spans="1:117" outlineLevel="3">
      <c r="A29" s="170"/>
      <c r="B29" s="170"/>
      <c r="C29" s="170"/>
      <c r="D29" s="170"/>
      <c r="E29" s="170"/>
      <c r="F29" s="170"/>
      <c r="G29" s="170"/>
      <c r="H29" s="170"/>
      <c r="I29" s="170"/>
      <c r="J29" s="170"/>
      <c r="K29" s="170"/>
      <c r="L29" s="170"/>
      <c r="M29" s="170"/>
      <c r="N29" s="170"/>
      <c r="O29" s="170"/>
      <c r="P29" s="170"/>
      <c r="Q29" s="170"/>
      <c r="R29" s="170"/>
      <c r="S29" s="170"/>
      <c r="T29" s="170"/>
      <c r="U29" s="170"/>
      <c r="V29" s="170"/>
      <c r="W29" s="170"/>
      <c r="X29" s="170"/>
      <c r="Y29" s="170"/>
      <c r="Z29" s="170"/>
      <c r="AA29" s="170"/>
      <c r="AB29" s="170"/>
      <c r="AC29" s="170"/>
      <c r="AD29" s="170"/>
      <c r="AE29" s="170"/>
      <c r="AF29" s="170"/>
      <c r="AG29" s="170"/>
      <c r="AH29" s="170"/>
      <c r="AI29" s="170"/>
      <c r="AJ29" s="170"/>
      <c r="AK29" s="234"/>
      <c r="AL29" s="170"/>
      <c r="AM29" s="170"/>
      <c r="AN29" s="170"/>
      <c r="AO29" s="234"/>
      <c r="AP29" s="170"/>
      <c r="AQ29" s="170"/>
      <c r="AR29" s="170"/>
      <c r="AS29" s="227"/>
      <c r="AT29" s="170"/>
      <c r="AU29" s="170"/>
      <c r="AV29" s="234"/>
      <c r="AW29" s="170"/>
      <c r="AX29" s="170"/>
      <c r="AY29" s="170"/>
      <c r="AZ29" s="234"/>
      <c r="BA29" s="170"/>
      <c r="BB29" s="170"/>
      <c r="BC29" s="170"/>
      <c r="BD29" s="234"/>
      <c r="BE29" s="170"/>
      <c r="BF29" s="170"/>
      <c r="BG29" s="170"/>
      <c r="BH29" s="234"/>
      <c r="BI29" s="170"/>
      <c r="BJ29" s="170"/>
      <c r="BK29" s="170"/>
      <c r="BL29" s="234"/>
      <c r="BM29" s="170"/>
      <c r="BN29" s="170"/>
      <c r="BO29" s="170"/>
      <c r="BP29" s="234"/>
      <c r="BQ29" s="170"/>
      <c r="BR29" s="25"/>
      <c r="BS29" s="25"/>
      <c r="BT29" s="237"/>
      <c r="BU29" s="25"/>
      <c r="BV29" s="25"/>
      <c r="BW29" s="25"/>
      <c r="BX29" s="237"/>
      <c r="BY29" s="25"/>
      <c r="BZ29" s="25"/>
      <c r="CA29" s="25"/>
      <c r="CB29" s="237"/>
      <c r="CC29" s="256"/>
      <c r="CD29" s="174"/>
      <c r="CE29" s="174"/>
      <c r="CF29" s="174"/>
      <c r="CG29" s="256"/>
      <c r="CH29" s="174"/>
      <c r="CI29" s="257"/>
      <c r="CJ29" s="174"/>
      <c r="CK29" s="174"/>
      <c r="CL29" s="174"/>
      <c r="CM29" s="27"/>
      <c r="CN29" s="174"/>
      <c r="CO29" s="174"/>
      <c r="CP29" s="174"/>
      <c r="CQ29" s="27"/>
      <c r="CR29" s="174"/>
      <c r="CS29" s="174"/>
      <c r="CT29" s="174"/>
      <c r="CU29" s="27"/>
      <c r="CV29" s="174"/>
      <c r="CW29" s="1463"/>
      <c r="CX29" s="174"/>
      <c r="CY29" s="27"/>
      <c r="CZ29" s="174"/>
      <c r="DA29" s="1463"/>
      <c r="DB29" s="174"/>
      <c r="DC29" s="174"/>
      <c r="DD29" s="174"/>
      <c r="DE29" s="174"/>
      <c r="DF29" s="258"/>
      <c r="DG29" s="25"/>
      <c r="DH29" s="25"/>
      <c r="DI29" s="25"/>
      <c r="DJ29" s="25"/>
    </row>
    <row r="30" spans="1:117" outlineLevel="3">
      <c r="A30" s="170" t="str">
        <f>$A$10</f>
        <v>1Q</v>
      </c>
      <c r="B30" s="170" t="str">
        <f>$B$10</f>
        <v>Apr</v>
      </c>
      <c r="C30" s="170"/>
      <c r="D30" s="193">
        <v>8.0079999999999991</v>
      </c>
      <c r="E30" s="234">
        <f t="shared" ref="E30:E36" si="49">D30/D10*100</f>
        <v>34.606741573033709</v>
      </c>
      <c r="F30" s="168"/>
      <c r="G30" s="170"/>
      <c r="H30" s="193">
        <v>10.499000000000001</v>
      </c>
      <c r="I30" s="234">
        <f t="shared" ref="I30:I36" si="50">H30/H10*100</f>
        <v>37.60521508650023</v>
      </c>
      <c r="J30" s="168">
        <f t="shared" ref="J30:J36" si="51">IF(D30&lt;0,"       NM",(H30/D30-1)*100)</f>
        <v>31.106393606393624</v>
      </c>
      <c r="K30" s="170"/>
      <c r="L30" s="193">
        <f>+L10-L20-(4.721)</f>
        <v>7.5139999999999993</v>
      </c>
      <c r="M30" s="234">
        <f t="shared" ref="M30:M36" si="52">L30/L10*100</f>
        <v>22.331857223526612</v>
      </c>
      <c r="N30" s="168">
        <f t="shared" ref="N30:N36" si="53">IF(H30&lt;0,"       NM",(L30/H30-1)*100)</f>
        <v>-28.431279169444721</v>
      </c>
      <c r="O30" s="170"/>
      <c r="P30" s="193">
        <f>+P10-P20-(3.847)</f>
        <v>8.827</v>
      </c>
      <c r="Q30" s="234">
        <f t="shared" ref="Q30:Q36" si="54">P30/P10*100</f>
        <v>23.709374160623156</v>
      </c>
      <c r="R30" s="168">
        <f t="shared" ref="R30:R36" si="55">(P30/L30-1)*100</f>
        <v>17.474048442906586</v>
      </c>
      <c r="S30" s="170"/>
      <c r="T30" s="193">
        <v>10.808</v>
      </c>
      <c r="U30" s="234">
        <f t="shared" ref="U30:U36" si="56">T30/T10*100</f>
        <v>27.378660451920155</v>
      </c>
      <c r="V30" s="168">
        <f t="shared" ref="V30:V36" si="57">(T30/P30-1)*100</f>
        <v>22.442505947660596</v>
      </c>
      <c r="W30" s="259"/>
      <c r="X30" s="193">
        <v>15.416</v>
      </c>
      <c r="Y30" s="234">
        <f t="shared" ref="Y30:Y36" si="58">X30/X10*100</f>
        <v>26.34178015481093</v>
      </c>
      <c r="Z30" s="168">
        <f t="shared" ref="Z30:Z36" si="59">(X30/T30-1)*100</f>
        <v>42.63508512213177</v>
      </c>
      <c r="AA30" s="170"/>
      <c r="AB30" s="193">
        <v>18.254999999999999</v>
      </c>
      <c r="AC30" s="234">
        <f t="shared" ref="AC30:AC36" si="60">AB30/AB10*100</f>
        <v>27.680060652009097</v>
      </c>
      <c r="AD30" s="168">
        <f t="shared" ref="AD30:AD36" si="61">(AB30/X30-1)*100</f>
        <v>18.415931499740523</v>
      </c>
      <c r="AE30" s="170"/>
      <c r="AF30" s="193">
        <v>19.512</v>
      </c>
      <c r="AG30" s="234">
        <f t="shared" ref="AG30:AG36" si="62">AF30/AF10*100</f>
        <v>27.162624940835816</v>
      </c>
      <c r="AH30" s="168">
        <f t="shared" ref="AH30:AH36" si="63">(AF30/AB30-1)*100</f>
        <v>6.8857847165160413</v>
      </c>
      <c r="AI30" s="170"/>
      <c r="AJ30" s="193">
        <v>24.001999999999999</v>
      </c>
      <c r="AK30" s="234">
        <f t="shared" ref="AK30:AK36" si="64">AJ30/AJ10*100</f>
        <v>25.513957097604013</v>
      </c>
      <c r="AL30" s="168">
        <f t="shared" ref="AL30:AL36" si="65">(AJ30/AF30-1)*100</f>
        <v>23.011480114801142</v>
      </c>
      <c r="AM30" s="170"/>
      <c r="AN30" s="193">
        <v>27.273</v>
      </c>
      <c r="AO30" s="234">
        <f t="shared" ref="AO30:AO36" si="66">AN30/AN10*100</f>
        <v>25.482116829240947</v>
      </c>
      <c r="AP30" s="168">
        <f t="shared" ref="AP30:AP36" si="67">(AN30/AJ30-1)*100</f>
        <v>13.628030997416896</v>
      </c>
      <c r="AQ30" s="260"/>
      <c r="AR30" s="196">
        <v>28.534831682716053</v>
      </c>
      <c r="AS30" s="170" t="s">
        <v>532</v>
      </c>
      <c r="AT30" s="170"/>
      <c r="AU30" s="193">
        <v>41.497999999999998</v>
      </c>
      <c r="AV30" s="234">
        <f t="shared" ref="AV30:AV36" si="68">AU30/AU10*100</f>
        <v>24.36901755828293</v>
      </c>
      <c r="AW30" s="168">
        <f t="shared" ref="AW30:AW36" si="69">(AU30/AN30-1)*100</f>
        <v>52.157811755215768</v>
      </c>
      <c r="AX30" s="170"/>
      <c r="AY30" s="193">
        <v>52.838999999999999</v>
      </c>
      <c r="AZ30" s="234">
        <f t="shared" ref="AZ30:AZ36" si="70">AY30/AY10*100</f>
        <v>22.84188911704312</v>
      </c>
      <c r="BA30" s="168">
        <f t="shared" ref="BA30:BA36" si="71">(AY30/AU30-1)*100</f>
        <v>27.329027904959279</v>
      </c>
      <c r="BB30" s="170"/>
      <c r="BC30" s="193">
        <v>65.216999999999999</v>
      </c>
      <c r="BD30" s="234">
        <f t="shared" ref="BD30:BD36" si="72">BC30/BC10*100</f>
        <v>24.153818234342072</v>
      </c>
      <c r="BE30" s="168">
        <f t="shared" ref="BE30:BE36" si="73">(BC30/AY30-1)*100</f>
        <v>23.425878612388583</v>
      </c>
      <c r="BF30" s="170"/>
      <c r="BG30" s="193">
        <v>76.599000000000004</v>
      </c>
      <c r="BH30" s="234">
        <f t="shared" ref="BH30:BH36" si="74">BG30/BG10*100</f>
        <v>24.352395849229364</v>
      </c>
      <c r="BI30" s="168">
        <f t="shared" ref="BI30:BI36" si="75">(BG30/BC30-1)*100</f>
        <v>17.452504715028304</v>
      </c>
      <c r="BJ30" s="170"/>
      <c r="BK30" s="193">
        <f>95.738</f>
        <v>95.738</v>
      </c>
      <c r="BL30" s="234">
        <f t="shared" ref="BL30:BL36" si="76">BK30/BK10*100</f>
        <v>24.280989723352238</v>
      </c>
      <c r="BM30" s="168">
        <f t="shared" ref="BM30:BM36" si="77">(BK30/BG30-1)*100</f>
        <v>24.985965874228121</v>
      </c>
      <c r="BN30" s="170"/>
      <c r="BO30" s="193">
        <v>97.185000000000002</v>
      </c>
      <c r="BP30" s="234">
        <f t="shared" ref="BP30:BP36" si="78">BO30/BO10*100</f>
        <v>25.256239669851038</v>
      </c>
      <c r="BQ30" s="168">
        <f t="shared" ref="BQ30:BQ36" si="79">(BO30/BK30-1)*100</f>
        <v>1.51141657440097</v>
      </c>
      <c r="BR30" s="25"/>
      <c r="BS30" s="26">
        <v>118.575</v>
      </c>
      <c r="BT30" s="237">
        <f t="shared" ref="BT30:BT36" si="80">BS30/BS10*100</f>
        <v>24.705132291998723</v>
      </c>
      <c r="BU30" s="23">
        <f t="shared" ref="BU30:BU36" si="81">(BS30/BO30-1)*100</f>
        <v>22.009569377990434</v>
      </c>
      <c r="BV30" s="25"/>
      <c r="BW30" s="26">
        <f>134.529-0.7</f>
        <v>133.82900000000001</v>
      </c>
      <c r="BX30" s="237">
        <f t="shared" ref="BX30:BX36" si="82">BW30/BW10*100</f>
        <v>25.538959465210233</v>
      </c>
      <c r="BY30" s="23">
        <f t="shared" ref="BY30:BY36" si="83">(BW30/BS30-1)*100</f>
        <v>12.864431794223075</v>
      </c>
      <c r="BZ30" s="25"/>
      <c r="CA30" s="26">
        <v>149.56399999999999</v>
      </c>
      <c r="CB30" s="237">
        <f t="shared" ref="CB30:CB36" si="84">CA30/CA10*100</f>
        <v>26.288647109486231</v>
      </c>
      <c r="CC30" s="23">
        <f t="shared" ref="CC30:CC36" si="85">(CA30/BW30-1)*100</f>
        <v>11.757541340068279</v>
      </c>
      <c r="CD30" s="174"/>
      <c r="CE30" s="26">
        <v>165.84299999999999</v>
      </c>
      <c r="CF30" s="237">
        <f t="shared" ref="CF30:CF36" si="86">CE30/CE10*100</f>
        <v>25.58606676879926</v>
      </c>
      <c r="CG30" s="23">
        <f t="shared" ref="CG30:CG36" si="87">(CE30/CA30-1)*100</f>
        <v>10.884303709448794</v>
      </c>
      <c r="CH30" s="174"/>
      <c r="CI30" s="26">
        <v>178.69</v>
      </c>
      <c r="CJ30" s="237">
        <f t="shared" ref="CJ30:CJ36" si="88">CI30/CI10*100</f>
        <v>26.036339263598084</v>
      </c>
      <c r="CK30" s="23">
        <f t="shared" ref="CK30:CK36" si="89">(CI30/CE30-1)*100</f>
        <v>7.7464831195769523</v>
      </c>
      <c r="CL30" s="174"/>
      <c r="CM30" s="26">
        <v>193.36699999999999</v>
      </c>
      <c r="CN30" s="237">
        <f t="shared" ref="CN30:CN36" si="90">CM30/CM10*100</f>
        <v>26.16568111392268</v>
      </c>
      <c r="CO30" s="23">
        <f t="shared" ref="CO30:CO36" si="91">(CM30/CI30-1)*100</f>
        <v>8.2136661256925425</v>
      </c>
      <c r="CP30" s="174"/>
      <c r="CQ30" s="26">
        <v>211.40799999999999</v>
      </c>
      <c r="CR30" s="237">
        <f t="shared" ref="CR30:CR36" si="92">CQ30/CQ10*100</f>
        <v>27.722839791916094</v>
      </c>
      <c r="CS30" s="23">
        <f t="shared" ref="CS30:CS36" si="93">(CQ30/CM30-1)*100</f>
        <v>9.3299270299482373</v>
      </c>
      <c r="CT30" s="174"/>
      <c r="CU30" s="26">
        <v>218.744</v>
      </c>
      <c r="CV30" s="237">
        <f t="shared" ref="CV30:CV36" si="94">CU30/CU10*100</f>
        <v>28.737109000380979</v>
      </c>
      <c r="CW30" s="1467">
        <f t="shared" ref="CW30:CW36" si="95">(CU30/CQ30-1)*100</f>
        <v>3.4700673579050934</v>
      </c>
      <c r="CX30" s="174"/>
      <c r="CY30" s="200">
        <f t="shared" ref="CY30:CY31" si="96">CZ30/100*CY10</f>
        <v>229.69011322069736</v>
      </c>
      <c r="CZ30" s="1733">
        <v>27.4</v>
      </c>
      <c r="DA30" s="1467">
        <f t="shared" ref="DA30:DA36" si="97">(CY30/CU30-1)*100</f>
        <v>5.0040747269398667</v>
      </c>
      <c r="DB30" s="1631">
        <f>CW30+CS30</f>
        <v>12.799994387853332</v>
      </c>
      <c r="DC30" s="257">
        <f>CU30-CQ30</f>
        <v>7.3360000000000127</v>
      </c>
      <c r="DD30" s="261"/>
      <c r="DE30" s="261">
        <f>CS30+CO30</f>
        <v>17.543593155640778</v>
      </c>
      <c r="DF30" s="262"/>
      <c r="DG30" s="262"/>
      <c r="DH30" s="25"/>
      <c r="DI30" s="25"/>
      <c r="DJ30" s="25"/>
    </row>
    <row r="31" spans="1:117" outlineLevel="2">
      <c r="A31" s="170" t="str">
        <f>$A$11</f>
        <v>2Q</v>
      </c>
      <c r="B31" s="170" t="str">
        <f>$B$11</f>
        <v>Jul</v>
      </c>
      <c r="C31" s="170"/>
      <c r="D31" s="203">
        <v>8.9740000000000002</v>
      </c>
      <c r="E31" s="234">
        <f t="shared" si="49"/>
        <v>36.805840374046426</v>
      </c>
      <c r="F31" s="168"/>
      <c r="G31" s="170"/>
      <c r="H31" s="203">
        <v>11.382999999999999</v>
      </c>
      <c r="I31" s="234">
        <f t="shared" si="50"/>
        <v>38.094441283758904</v>
      </c>
      <c r="J31" s="168">
        <f t="shared" si="51"/>
        <v>26.844216625807871</v>
      </c>
      <c r="K31" s="170"/>
      <c r="L31" s="203">
        <f>+L11-L21-(4.659)</f>
        <v>8.7090000000000032</v>
      </c>
      <c r="M31" s="234">
        <f t="shared" si="52"/>
        <v>24.246895706887923</v>
      </c>
      <c r="N31" s="168">
        <f t="shared" si="53"/>
        <v>-23.491171044540071</v>
      </c>
      <c r="O31" s="170"/>
      <c r="P31" s="203">
        <f>+P11-P21-(4.526)</f>
        <v>9.5650000000000013</v>
      </c>
      <c r="Q31" s="234">
        <f t="shared" si="54"/>
        <v>23.128445691072642</v>
      </c>
      <c r="R31" s="168">
        <f t="shared" si="55"/>
        <v>9.8289126191296141</v>
      </c>
      <c r="S31" s="170"/>
      <c r="T31" s="203">
        <v>12.375999999999999</v>
      </c>
      <c r="U31" s="234">
        <f t="shared" si="56"/>
        <v>25.71208941890179</v>
      </c>
      <c r="V31" s="168">
        <f t="shared" si="57"/>
        <v>29.388395190799766</v>
      </c>
      <c r="W31" s="170"/>
      <c r="X31" s="203">
        <v>15.664</v>
      </c>
      <c r="Y31" s="234">
        <f t="shared" si="58"/>
        <v>22.947217298310896</v>
      </c>
      <c r="Z31" s="168">
        <f t="shared" si="59"/>
        <v>26.567550096961856</v>
      </c>
      <c r="AA31" s="170"/>
      <c r="AB31" s="203">
        <v>16.838000000000001</v>
      </c>
      <c r="AC31" s="234">
        <f t="shared" si="60"/>
        <v>25.233784917875557</v>
      </c>
      <c r="AD31" s="168">
        <f t="shared" si="61"/>
        <v>7.4948927477017424</v>
      </c>
      <c r="AE31" s="170"/>
      <c r="AF31" s="203">
        <v>20.497</v>
      </c>
      <c r="AG31" s="234">
        <f t="shared" si="62"/>
        <v>25.495366627277814</v>
      </c>
      <c r="AH31" s="168">
        <f t="shared" si="63"/>
        <v>21.73060933602564</v>
      </c>
      <c r="AI31" s="170"/>
      <c r="AJ31" s="203">
        <v>25.209</v>
      </c>
      <c r="AK31" s="234">
        <f t="shared" si="64"/>
        <v>24.959158820209698</v>
      </c>
      <c r="AL31" s="168">
        <f t="shared" si="65"/>
        <v>22.988730058057282</v>
      </c>
      <c r="AM31" s="170"/>
      <c r="AN31" s="203">
        <v>30.146999999999998</v>
      </c>
      <c r="AO31" s="234">
        <f t="shared" si="66"/>
        <v>24.533891063566596</v>
      </c>
      <c r="AP31" s="168">
        <f t="shared" si="67"/>
        <v>19.588242294418645</v>
      </c>
      <c r="AQ31" s="260"/>
      <c r="AR31" s="196">
        <v>29.422880674457833</v>
      </c>
      <c r="AS31" s="170" t="s">
        <v>533</v>
      </c>
      <c r="AT31" s="170"/>
      <c r="AU31" s="203">
        <v>42.898000000000003</v>
      </c>
      <c r="AV31" s="234">
        <f t="shared" si="68"/>
        <v>22.639378522724872</v>
      </c>
      <c r="AW31" s="168">
        <f t="shared" si="69"/>
        <v>42.296082528941547</v>
      </c>
      <c r="AX31" s="170"/>
      <c r="AY31" s="203">
        <v>55.371000000000002</v>
      </c>
      <c r="AZ31" s="234">
        <f t="shared" si="70"/>
        <v>21.851913241144157</v>
      </c>
      <c r="BA31" s="168">
        <f t="shared" si="71"/>
        <v>29.075947596624552</v>
      </c>
      <c r="BB31" s="170"/>
      <c r="BC31" s="203">
        <v>66.043000000000006</v>
      </c>
      <c r="BD31" s="234">
        <f t="shared" si="72"/>
        <v>23.12761986139467</v>
      </c>
      <c r="BE31" s="168">
        <f t="shared" si="73"/>
        <v>19.273626988856996</v>
      </c>
      <c r="BF31" s="170"/>
      <c r="BG31" s="203">
        <f>82.756</f>
        <v>82.756</v>
      </c>
      <c r="BH31" s="234">
        <f t="shared" si="74"/>
        <v>23.749817046397034</v>
      </c>
      <c r="BI31" s="168">
        <f t="shared" si="75"/>
        <v>25.30623987402145</v>
      </c>
      <c r="BJ31" s="170"/>
      <c r="BK31" s="203">
        <f>103.59</f>
        <v>103.59</v>
      </c>
      <c r="BL31" s="234">
        <f t="shared" si="76"/>
        <v>22.802364102620544</v>
      </c>
      <c r="BM31" s="168">
        <f t="shared" si="77"/>
        <v>25.17521388177293</v>
      </c>
      <c r="BN31" s="170"/>
      <c r="BO31" s="203">
        <v>108.65</v>
      </c>
      <c r="BP31" s="234">
        <f t="shared" si="78"/>
        <v>23.69032719470767</v>
      </c>
      <c r="BQ31" s="168">
        <f t="shared" si="79"/>
        <v>4.8846413746500561</v>
      </c>
      <c r="BR31" s="25"/>
      <c r="BS31" s="241">
        <v>127.91200000000001</v>
      </c>
      <c r="BT31" s="237">
        <f t="shared" si="80"/>
        <v>23.16579101309587</v>
      </c>
      <c r="BU31" s="23">
        <f t="shared" si="81"/>
        <v>17.728485964104923</v>
      </c>
      <c r="BV31" s="25"/>
      <c r="BW31" s="241">
        <v>143.095</v>
      </c>
      <c r="BX31" s="237">
        <f t="shared" si="82"/>
        <v>23.489734578064645</v>
      </c>
      <c r="BY31" s="23">
        <f t="shared" si="83"/>
        <v>11.869879292013263</v>
      </c>
      <c r="BZ31" s="25"/>
      <c r="CA31" s="241">
        <v>158.57599999999999</v>
      </c>
      <c r="CB31" s="237">
        <f t="shared" si="84"/>
        <v>23.448657265082385</v>
      </c>
      <c r="CC31" s="23">
        <f t="shared" si="85"/>
        <v>10.81868688633425</v>
      </c>
      <c r="CD31" s="174"/>
      <c r="CE31" s="241">
        <v>178.92599999999999</v>
      </c>
      <c r="CF31" s="237">
        <f t="shared" si="86"/>
        <v>23.58870648786327</v>
      </c>
      <c r="CG31" s="23">
        <f t="shared" si="87"/>
        <v>12.832963374028861</v>
      </c>
      <c r="CH31" s="174"/>
      <c r="CI31" s="241">
        <v>198.14099999999999</v>
      </c>
      <c r="CJ31" s="237">
        <f t="shared" si="88"/>
        <v>24.424069926397802</v>
      </c>
      <c r="CK31" s="23">
        <f t="shared" si="89"/>
        <v>10.739076489722009</v>
      </c>
      <c r="CL31" s="174"/>
      <c r="CM31" s="241">
        <v>214.35400000000001</v>
      </c>
      <c r="CN31" s="237">
        <f t="shared" si="90"/>
        <v>24.710534203306207</v>
      </c>
      <c r="CO31" s="23">
        <f t="shared" si="91"/>
        <v>8.1825568660701222</v>
      </c>
      <c r="CP31" s="174"/>
      <c r="CQ31" s="241">
        <v>224.29900000000001</v>
      </c>
      <c r="CR31" s="237">
        <f t="shared" si="92"/>
        <v>25.186061030712985</v>
      </c>
      <c r="CS31" s="23">
        <f t="shared" si="93"/>
        <v>4.6395215391361821</v>
      </c>
      <c r="CT31" s="174"/>
      <c r="CU31" s="241">
        <v>222.16300000000001</v>
      </c>
      <c r="CV31" s="237">
        <f t="shared" si="94"/>
        <v>25.450236043856844</v>
      </c>
      <c r="CW31" s="1467">
        <f t="shared" si="95"/>
        <v>-0.95230027775424775</v>
      </c>
      <c r="CX31" s="174"/>
      <c r="CY31" s="206">
        <f t="shared" si="96"/>
        <v>233.19633591816907</v>
      </c>
      <c r="CZ31" s="1733">
        <v>25.2</v>
      </c>
      <c r="DA31" s="1467">
        <f t="shared" si="97"/>
        <v>4.9663246887056145</v>
      </c>
      <c r="DB31" s="1631">
        <f>CW31+CS31</f>
        <v>3.6872212613819344</v>
      </c>
      <c r="DC31" s="257">
        <f>CU31-CQ31</f>
        <v>-2.1359999999999957</v>
      </c>
      <c r="DD31" s="1236"/>
      <c r="DE31" s="261">
        <f>CS31+CO31</f>
        <v>12.822078405206305</v>
      </c>
      <c r="DF31" s="262"/>
      <c r="DG31" s="262">
        <f>AVERAGE(CO31,CK31,CG31)</f>
        <v>10.584865576606997</v>
      </c>
      <c r="DH31" s="25"/>
      <c r="DI31" s="25"/>
      <c r="DJ31" s="25"/>
    </row>
    <row r="32" spans="1:117" outlineLevel="3">
      <c r="A32" s="170" t="str">
        <f>$A$12</f>
        <v>3Q</v>
      </c>
      <c r="B32" s="170" t="str">
        <f>$B$12</f>
        <v>Oct</v>
      </c>
      <c r="C32" s="170"/>
      <c r="D32" s="203">
        <v>10.138</v>
      </c>
      <c r="E32" s="234">
        <f t="shared" si="49"/>
        <v>32.259912174632468</v>
      </c>
      <c r="F32" s="168"/>
      <c r="G32" s="170"/>
      <c r="H32" s="203">
        <v>12.677</v>
      </c>
      <c r="I32" s="234">
        <f t="shared" si="50"/>
        <v>32.637351320735284</v>
      </c>
      <c r="J32" s="168">
        <f t="shared" si="51"/>
        <v>25.044387453146566</v>
      </c>
      <c r="K32" s="170"/>
      <c r="L32" s="203">
        <f>+L12-L22-(7.601)</f>
        <v>9.208000000000002</v>
      </c>
      <c r="M32" s="234">
        <f t="shared" si="52"/>
        <v>20.503685230132049</v>
      </c>
      <c r="N32" s="168">
        <f t="shared" si="53"/>
        <v>-27.364518419184336</v>
      </c>
      <c r="O32" s="170"/>
      <c r="P32" s="203">
        <f>+P12-P22-(7.791)</f>
        <v>9.7839999999999989</v>
      </c>
      <c r="Q32" s="234">
        <f t="shared" si="54"/>
        <v>20.211117767357308</v>
      </c>
      <c r="R32" s="168">
        <f t="shared" si="55"/>
        <v>6.2554300608166358</v>
      </c>
      <c r="S32" s="170"/>
      <c r="T32" s="203">
        <v>14.849</v>
      </c>
      <c r="U32" s="234">
        <f t="shared" si="56"/>
        <v>24.421090717715941</v>
      </c>
      <c r="V32" s="168">
        <f t="shared" si="57"/>
        <v>51.768192968111215</v>
      </c>
      <c r="W32" s="170"/>
      <c r="X32" s="203">
        <v>17.145</v>
      </c>
      <c r="Y32" s="234">
        <f t="shared" si="58"/>
        <v>22.585957054406535</v>
      </c>
      <c r="Z32" s="168">
        <f t="shared" si="59"/>
        <v>15.46232069499629</v>
      </c>
      <c r="AA32" s="170"/>
      <c r="AB32" s="203">
        <v>20.385999999999999</v>
      </c>
      <c r="AC32" s="234">
        <f t="shared" si="60"/>
        <v>26.444072589537043</v>
      </c>
      <c r="AD32" s="168">
        <f t="shared" si="61"/>
        <v>18.903470399533397</v>
      </c>
      <c r="AE32" s="170"/>
      <c r="AF32" s="203">
        <v>22.875</v>
      </c>
      <c r="AG32" s="234">
        <f t="shared" si="62"/>
        <v>24.634122702161342</v>
      </c>
      <c r="AH32" s="168">
        <f t="shared" si="63"/>
        <v>12.209359364269613</v>
      </c>
      <c r="AI32" s="170"/>
      <c r="AJ32" s="203">
        <v>26.082000000000001</v>
      </c>
      <c r="AK32" s="234">
        <f t="shared" si="64"/>
        <v>23.688082393330063</v>
      </c>
      <c r="AL32" s="168">
        <f t="shared" si="65"/>
        <v>14.019672131147543</v>
      </c>
      <c r="AM32" s="170"/>
      <c r="AN32" s="203">
        <v>33.332999999999998</v>
      </c>
      <c r="AO32" s="234">
        <f t="shared" si="66"/>
        <v>23.41935347886265</v>
      </c>
      <c r="AP32" s="168">
        <f t="shared" si="67"/>
        <v>27.800782148608217</v>
      </c>
      <c r="AQ32" s="170"/>
      <c r="AR32" s="196">
        <v>31.914251423999993</v>
      </c>
      <c r="AS32" s="170" t="s">
        <v>46</v>
      </c>
      <c r="AT32" s="170"/>
      <c r="AU32" s="203">
        <v>48.276000000000003</v>
      </c>
      <c r="AV32" s="234">
        <f t="shared" si="68"/>
        <v>22.313533900616122</v>
      </c>
      <c r="AW32" s="168">
        <f t="shared" si="69"/>
        <v>44.829448294482965</v>
      </c>
      <c r="AX32" s="263"/>
      <c r="AY32" s="203">
        <f>59.592</f>
        <v>59.591999999999999</v>
      </c>
      <c r="AZ32" s="234">
        <f t="shared" si="70"/>
        <v>20.634277582141337</v>
      </c>
      <c r="BA32" s="168">
        <f t="shared" si="71"/>
        <v>23.440218742232144</v>
      </c>
      <c r="BB32" s="263"/>
      <c r="BC32" s="203">
        <f>72.484</f>
        <v>72.483999999999995</v>
      </c>
      <c r="BD32" s="234">
        <f t="shared" si="72"/>
        <v>23.506672504094304</v>
      </c>
      <c r="BE32" s="168">
        <f t="shared" si="73"/>
        <v>21.633776345818223</v>
      </c>
      <c r="BF32" s="263"/>
      <c r="BG32" s="203">
        <v>88.611000000000004</v>
      </c>
      <c r="BH32" s="234">
        <f t="shared" si="74"/>
        <v>23.360487187598864</v>
      </c>
      <c r="BI32" s="168">
        <f t="shared" si="75"/>
        <v>22.249048065780052</v>
      </c>
      <c r="BJ32" s="263"/>
      <c r="BK32" s="203">
        <v>105.017</v>
      </c>
      <c r="BL32" s="234">
        <f t="shared" si="76"/>
        <v>21.9722441327913</v>
      </c>
      <c r="BM32" s="168">
        <f t="shared" si="77"/>
        <v>18.514631366308908</v>
      </c>
      <c r="BN32" s="263"/>
      <c r="BO32" s="203">
        <v>114.327</v>
      </c>
      <c r="BP32" s="234">
        <f t="shared" si="78"/>
        <v>22.598734927851353</v>
      </c>
      <c r="BQ32" s="168">
        <f t="shared" si="79"/>
        <v>8.8652313434967702</v>
      </c>
      <c r="BR32" s="244"/>
      <c r="BS32" s="241">
        <v>131.19300000000001</v>
      </c>
      <c r="BT32" s="237">
        <f t="shared" si="80"/>
        <v>22.872180923025429</v>
      </c>
      <c r="BU32" s="23">
        <f t="shared" si="81"/>
        <v>14.752420688026469</v>
      </c>
      <c r="BV32" s="244"/>
      <c r="BW32" s="241">
        <v>142.74199999999999</v>
      </c>
      <c r="BX32" s="237">
        <f t="shared" si="82"/>
        <v>23.402130983862691</v>
      </c>
      <c r="BY32" s="23">
        <f t="shared" si="83"/>
        <v>8.8030611389326996</v>
      </c>
      <c r="BZ32" s="244"/>
      <c r="CA32" s="241">
        <v>167.34100000000001</v>
      </c>
      <c r="CB32" s="237">
        <f t="shared" si="84"/>
        <v>24.152070247552189</v>
      </c>
      <c r="CC32" s="23">
        <f t="shared" si="85"/>
        <v>17.233189951100591</v>
      </c>
      <c r="CD32" s="174"/>
      <c r="CE32" s="241">
        <v>186.82599999999999</v>
      </c>
      <c r="CF32" s="237">
        <f t="shared" si="86"/>
        <v>24.136198095986174</v>
      </c>
      <c r="CG32" s="23">
        <f t="shared" si="87"/>
        <v>11.643888825810755</v>
      </c>
      <c r="CH32" s="174"/>
      <c r="CI32" s="207">
        <v>207.059</v>
      </c>
      <c r="CJ32" s="237">
        <f t="shared" si="88"/>
        <v>25.422544722334766</v>
      </c>
      <c r="CK32" s="23">
        <f t="shared" si="89"/>
        <v>10.829863081155722</v>
      </c>
      <c r="CL32" s="174"/>
      <c r="CM32" s="241">
        <v>207.863</v>
      </c>
      <c r="CN32" s="237">
        <f t="shared" si="90"/>
        <v>25.187638290086252</v>
      </c>
      <c r="CO32" s="23">
        <f>(CM32/CI32-1)*100</f>
        <v>0.3882951236121146</v>
      </c>
      <c r="CP32" s="174"/>
      <c r="CQ32" s="241">
        <v>229.59200000000001</v>
      </c>
      <c r="CR32" s="237">
        <f t="shared" si="92"/>
        <v>26.619640088998032</v>
      </c>
      <c r="CS32" s="23">
        <f t="shared" si="93"/>
        <v>10.453519866450511</v>
      </c>
      <c r="CT32" s="174"/>
      <c r="CU32" s="241">
        <v>224.858</v>
      </c>
      <c r="CV32" s="237">
        <f t="shared" si="94"/>
        <v>25.186441361419575</v>
      </c>
      <c r="CW32" s="1467">
        <f t="shared" si="95"/>
        <v>-2.0619185337468204</v>
      </c>
      <c r="CX32" s="174"/>
      <c r="CY32" s="206">
        <f>CZ32/100*CY12</f>
        <v>231.8775105448679</v>
      </c>
      <c r="CZ32" s="1732">
        <v>25.4</v>
      </c>
      <c r="DA32" s="1467">
        <f t="shared" si="97"/>
        <v>3.1217526371611903</v>
      </c>
      <c r="DB32" s="1631">
        <f>CW32+CS32</f>
        <v>8.39160133270369</v>
      </c>
      <c r="DC32" s="257">
        <f>CU32-CQ32</f>
        <v>-4.7340000000000089</v>
      </c>
      <c r="DD32" s="261"/>
      <c r="DE32" s="261">
        <f>CS32+CO32</f>
        <v>10.841814990062627</v>
      </c>
      <c r="DF32" s="262"/>
      <c r="DG32" s="262"/>
      <c r="DH32" s="25"/>
      <c r="DI32" s="25"/>
      <c r="DJ32" s="25"/>
    </row>
    <row r="33" spans="1:114" outlineLevel="3">
      <c r="A33" s="170" t="str">
        <f>$A$13</f>
        <v>4Q</v>
      </c>
      <c r="B33" s="170" t="str">
        <f>$B$13</f>
        <v>Jan</v>
      </c>
      <c r="C33" s="209"/>
      <c r="D33" s="210">
        <v>12.6</v>
      </c>
      <c r="E33" s="234">
        <f t="shared" si="49"/>
        <v>40.419593879318654</v>
      </c>
      <c r="F33" s="168"/>
      <c r="G33" s="170"/>
      <c r="H33" s="210">
        <f>47.716-H32-H31-H30</f>
        <v>13.157000000000002</v>
      </c>
      <c r="I33" s="234">
        <f t="shared" si="50"/>
        <v>36.151563444523823</v>
      </c>
      <c r="J33" s="168">
        <f t="shared" si="51"/>
        <v>4.420634920634936</v>
      </c>
      <c r="K33" s="170"/>
      <c r="L33" s="210">
        <f>+L13-L23-(4.375)</f>
        <v>10.3</v>
      </c>
      <c r="M33" s="234">
        <f t="shared" si="52"/>
        <v>24.509803921568629</v>
      </c>
      <c r="N33" s="168">
        <f t="shared" si="53"/>
        <v>-21.714676598008676</v>
      </c>
      <c r="O33" s="170"/>
      <c r="P33" s="210">
        <f>+P13-P23-(5.898)</f>
        <v>10.324000000000002</v>
      </c>
      <c r="Q33" s="234">
        <f t="shared" si="54"/>
        <v>22.314924889225118</v>
      </c>
      <c r="R33" s="168">
        <f t="shared" si="55"/>
        <v>0.23300970873787463</v>
      </c>
      <c r="S33" s="170"/>
      <c r="T33" s="210">
        <f>+T13-T23-8.461</f>
        <v>15.630999999999998</v>
      </c>
      <c r="U33" s="234">
        <f t="shared" si="56"/>
        <v>25.436112738397448</v>
      </c>
      <c r="V33" s="168">
        <f t="shared" si="57"/>
        <v>51.404494382022435</v>
      </c>
      <c r="W33" s="170"/>
      <c r="X33" s="210">
        <f>67.089-X32-X31-X30</f>
        <v>18.864000000000001</v>
      </c>
      <c r="Y33" s="234">
        <f t="shared" si="58"/>
        <v>25.01226481390631</v>
      </c>
      <c r="Z33" s="168">
        <f t="shared" si="59"/>
        <v>20.683257629070461</v>
      </c>
      <c r="AA33" s="170"/>
      <c r="AB33" s="210">
        <v>21.975000000000001</v>
      </c>
      <c r="AC33" s="234">
        <f t="shared" si="60"/>
        <v>25.682530035996447</v>
      </c>
      <c r="AD33" s="168">
        <f t="shared" si="61"/>
        <v>16.491730279898231</v>
      </c>
      <c r="AE33" s="170"/>
      <c r="AF33" s="210">
        <v>25.265000000000001</v>
      </c>
      <c r="AG33" s="234">
        <f t="shared" si="62"/>
        <v>24.32367382304804</v>
      </c>
      <c r="AH33" s="168">
        <f t="shared" si="63"/>
        <v>14.971558589306033</v>
      </c>
      <c r="AI33" s="170"/>
      <c r="AJ33" s="210">
        <v>30.099</v>
      </c>
      <c r="AK33" s="234">
        <f t="shared" si="64"/>
        <v>25.600265367048557</v>
      </c>
      <c r="AL33" s="168">
        <f t="shared" si="65"/>
        <v>19.13318820502672</v>
      </c>
      <c r="AM33" s="170"/>
      <c r="AN33" s="210">
        <v>42.014000000000003</v>
      </c>
      <c r="AO33" s="235">
        <f t="shared" si="66"/>
        <v>23.854919573252786</v>
      </c>
      <c r="AP33" s="168">
        <f t="shared" si="67"/>
        <v>39.586032758563405</v>
      </c>
      <c r="AQ33" s="170"/>
      <c r="AR33" s="196">
        <v>34.554530146824895</v>
      </c>
      <c r="AS33" s="170"/>
      <c r="AT33" s="170"/>
      <c r="AU33" s="210">
        <v>57.712000000000003</v>
      </c>
      <c r="AV33" s="234">
        <f t="shared" si="68"/>
        <v>22.935900136315045</v>
      </c>
      <c r="AW33" s="168">
        <f>(AU33/AN33-1)*100</f>
        <v>37.363735897557945</v>
      </c>
      <c r="AX33" s="263"/>
      <c r="AY33" s="210">
        <v>73.105000000000004</v>
      </c>
      <c r="AZ33" s="234">
        <f t="shared" si="70"/>
        <v>22.946492188995855</v>
      </c>
      <c r="BA33" s="168">
        <f t="shared" si="71"/>
        <v>26.672095924591076</v>
      </c>
      <c r="BB33" s="263"/>
      <c r="BC33" s="210">
        <v>84.188000000000002</v>
      </c>
      <c r="BD33" s="234">
        <f t="shared" si="72"/>
        <v>23.333961573853372</v>
      </c>
      <c r="BE33" s="168">
        <f t="shared" si="73"/>
        <v>15.160385746528959</v>
      </c>
      <c r="BF33" s="263"/>
      <c r="BG33" s="210">
        <v>103.861</v>
      </c>
      <c r="BH33" s="234">
        <f t="shared" si="74"/>
        <v>22.315974482768993</v>
      </c>
      <c r="BI33" s="168">
        <f t="shared" si="75"/>
        <v>23.36793842352829</v>
      </c>
      <c r="BJ33" s="263"/>
      <c r="BK33" s="210">
        <v>109.69799999999999</v>
      </c>
      <c r="BL33" s="234">
        <f t="shared" si="76"/>
        <v>21.590779368522156</v>
      </c>
      <c r="BM33" s="168">
        <f t="shared" si="77"/>
        <v>5.6200113613386948</v>
      </c>
      <c r="BN33" s="263"/>
      <c r="BO33" s="210">
        <v>126.999</v>
      </c>
      <c r="BP33" s="234">
        <f t="shared" si="78"/>
        <v>21.580375637433239</v>
      </c>
      <c r="BQ33" s="168">
        <f t="shared" si="79"/>
        <v>15.771481704315482</v>
      </c>
      <c r="BR33" s="244"/>
      <c r="BS33" s="245">
        <v>144.73699999999999</v>
      </c>
      <c r="BT33" s="237">
        <f t="shared" si="80"/>
        <v>21.654572928978592</v>
      </c>
      <c r="BU33" s="23">
        <f t="shared" si="81"/>
        <v>13.967039110544178</v>
      </c>
      <c r="BV33" s="244"/>
      <c r="BW33" s="245">
        <v>156.14500000000001</v>
      </c>
      <c r="BX33" s="237">
        <f t="shared" si="82"/>
        <v>21.370755822229036</v>
      </c>
      <c r="BY33" s="23">
        <f t="shared" si="83"/>
        <v>7.88188231067386</v>
      </c>
      <c r="BZ33" s="244"/>
      <c r="CA33" s="245">
        <v>181.76499999999999</v>
      </c>
      <c r="CB33" s="237">
        <f t="shared" si="84"/>
        <v>21.212867416223379</v>
      </c>
      <c r="CC33" s="23">
        <f t="shared" si="85"/>
        <v>16.407826059111706</v>
      </c>
      <c r="CD33" s="174"/>
      <c r="CE33" s="245">
        <v>202.916</v>
      </c>
      <c r="CF33" s="237">
        <f t="shared" si="86"/>
        <v>22.400420374937351</v>
      </c>
      <c r="CG33" s="23">
        <f t="shared" si="87"/>
        <v>11.636453662696344</v>
      </c>
      <c r="CH33" s="174"/>
      <c r="CI33" s="392">
        <v>225.655</v>
      </c>
      <c r="CJ33" s="237">
        <f t="shared" si="88"/>
        <v>22.319008866082978</v>
      </c>
      <c r="CK33" s="23">
        <f t="shared" si="89"/>
        <v>11.206114845551852</v>
      </c>
      <c r="CL33" s="174"/>
      <c r="CM33" s="392">
        <v>232.739</v>
      </c>
      <c r="CN33" s="237">
        <f t="shared" si="90"/>
        <v>22.966017568477</v>
      </c>
      <c r="CO33" s="23">
        <f>(CM33/CI33-1)*100</f>
        <v>3.139305577097784</v>
      </c>
      <c r="CP33" s="174"/>
      <c r="CQ33" s="392">
        <v>240.78700000000001</v>
      </c>
      <c r="CR33" s="237">
        <f t="shared" si="92"/>
        <v>23.373793146294066</v>
      </c>
      <c r="CS33" s="23">
        <f t="shared" si="93"/>
        <v>3.4579507517004116</v>
      </c>
      <c r="CT33" s="174"/>
      <c r="CU33" s="392">
        <f>249.85-2.061</f>
        <v>247.78899999999999</v>
      </c>
      <c r="CV33" s="237">
        <f t="shared" si="94"/>
        <v>22.751324694546692</v>
      </c>
      <c r="CW33" s="1467">
        <f t="shared" si="95"/>
        <v>2.9079643003982802</v>
      </c>
      <c r="CX33" s="174"/>
      <c r="CY33" s="212">
        <f>CZ33/100*CY13</f>
        <v>256.08625981781586</v>
      </c>
      <c r="CZ33" s="1732">
        <v>23.19</v>
      </c>
      <c r="DA33" s="1467">
        <f t="shared" si="97"/>
        <v>3.3485182222842358</v>
      </c>
      <c r="DB33" s="1632">
        <f>CW33+CS33</f>
        <v>6.3659150520986918</v>
      </c>
      <c r="DC33" s="257">
        <f>CU33-CQ33</f>
        <v>7.0019999999999811</v>
      </c>
      <c r="DD33" s="261"/>
      <c r="DE33" s="261">
        <f>CS33+CO33</f>
        <v>6.5972563287981956</v>
      </c>
      <c r="DF33" s="262"/>
      <c r="DG33" s="262"/>
      <c r="DH33" s="25"/>
      <c r="DI33" s="25"/>
      <c r="DJ33" s="25"/>
    </row>
    <row r="34" spans="1:114" outlineLevel="3">
      <c r="A34" s="170"/>
      <c r="B34" s="170" t="str">
        <f>$B$14</f>
        <v>Year</v>
      </c>
      <c r="C34" s="170"/>
      <c r="D34" s="214">
        <f>SUM(D30:D33)</f>
        <v>39.72</v>
      </c>
      <c r="E34" s="234">
        <f t="shared" si="49"/>
        <v>36.069414553082517</v>
      </c>
      <c r="F34" s="168"/>
      <c r="G34" s="170"/>
      <c r="H34" s="214">
        <f>SUM(H30:H33)</f>
        <v>47.716000000000001</v>
      </c>
      <c r="I34" s="234">
        <f t="shared" si="50"/>
        <v>35.866983372921617</v>
      </c>
      <c r="J34" s="168">
        <f t="shared" si="51"/>
        <v>20.130916414904341</v>
      </c>
      <c r="K34" s="170"/>
      <c r="L34" s="214">
        <f>SUM(L30:L33)</f>
        <v>35.731000000000009</v>
      </c>
      <c r="M34" s="234">
        <f t="shared" si="52"/>
        <v>22.831601681810636</v>
      </c>
      <c r="N34" s="168">
        <f t="shared" si="53"/>
        <v>-25.117361052896282</v>
      </c>
      <c r="O34" s="170"/>
      <c r="P34" s="214">
        <f>SUM(P30:P33)</f>
        <v>38.5</v>
      </c>
      <c r="Q34" s="234">
        <f t="shared" si="54"/>
        <v>22.220939628304283</v>
      </c>
      <c r="R34" s="168">
        <f t="shared" si="55"/>
        <v>7.7495731997424988</v>
      </c>
      <c r="S34" s="170"/>
      <c r="T34" s="214">
        <f>SUM(T30:T33)</f>
        <v>53.664000000000001</v>
      </c>
      <c r="U34" s="234">
        <f t="shared" si="56"/>
        <v>25.570724036880854</v>
      </c>
      <c r="V34" s="168">
        <f t="shared" si="57"/>
        <v>39.387012987012994</v>
      </c>
      <c r="W34" s="170"/>
      <c r="X34" s="214">
        <f>SUM(X30:X33)</f>
        <v>67.088999999999999</v>
      </c>
      <c r="Y34" s="234">
        <f t="shared" si="58"/>
        <v>24.122928449946603</v>
      </c>
      <c r="Z34" s="168">
        <f t="shared" si="59"/>
        <v>25.016771019677986</v>
      </c>
      <c r="AA34" s="170"/>
      <c r="AB34" s="214">
        <f>SUM(AB30:AB33)</f>
        <v>77.454000000000008</v>
      </c>
      <c r="AC34" s="234">
        <f t="shared" si="60"/>
        <v>26.225988968384844</v>
      </c>
      <c r="AD34" s="168">
        <f t="shared" si="61"/>
        <v>15.449626615391509</v>
      </c>
      <c r="AE34" s="170"/>
      <c r="AF34" s="214">
        <f>SUM(AF30:AF33)</f>
        <v>88.149000000000001</v>
      </c>
      <c r="AG34" s="234">
        <f t="shared" si="62"/>
        <v>25.260633084783844</v>
      </c>
      <c r="AH34" s="168">
        <f t="shared" si="63"/>
        <v>13.808195832365012</v>
      </c>
      <c r="AI34" s="170"/>
      <c r="AJ34" s="214">
        <f>SUM(AJ30:AJ33)</f>
        <v>105.39200000000001</v>
      </c>
      <c r="AK34" s="234">
        <f t="shared" si="64"/>
        <v>24.929864649417869</v>
      </c>
      <c r="AL34" s="168">
        <f t="shared" si="65"/>
        <v>19.561197517839112</v>
      </c>
      <c r="AM34" s="170"/>
      <c r="AN34" s="214">
        <f>SUM(AN30:AN33)</f>
        <v>132.767</v>
      </c>
      <c r="AO34" s="234">
        <f t="shared" si="66"/>
        <v>24.211605128738185</v>
      </c>
      <c r="AP34" s="168">
        <f t="shared" si="67"/>
        <v>25.974457264308469</v>
      </c>
      <c r="AQ34" s="169"/>
      <c r="AR34" s="196">
        <v>124.42649392799879</v>
      </c>
      <c r="AS34" s="170"/>
      <c r="AT34" s="170"/>
      <c r="AU34" s="214">
        <f>SUM(AU30:AU33)</f>
        <v>190.38400000000001</v>
      </c>
      <c r="AV34" s="234">
        <f t="shared" si="68"/>
        <v>23.000181214134706</v>
      </c>
      <c r="AW34" s="168">
        <f t="shared" si="69"/>
        <v>43.397079093449435</v>
      </c>
      <c r="AX34" s="170"/>
      <c r="AY34" s="214">
        <f>SUM(AY30:AY33)</f>
        <v>240.90700000000004</v>
      </c>
      <c r="AZ34" s="234">
        <f t="shared" si="70"/>
        <v>22.058919135212946</v>
      </c>
      <c r="BA34" s="168">
        <f>(AY34/AU34-1)*100</f>
        <v>26.537419110849658</v>
      </c>
      <c r="BB34" s="170"/>
      <c r="BC34" s="214">
        <f>SUM(BC30:BC33)</f>
        <v>287.93199999999996</v>
      </c>
      <c r="BD34" s="234">
        <f t="shared" si="72"/>
        <v>23.510084370511713</v>
      </c>
      <c r="BE34" s="168">
        <f t="shared" si="73"/>
        <v>19.519980739455445</v>
      </c>
      <c r="BF34" s="170"/>
      <c r="BG34" s="214">
        <f>SUM(BG30:BG33)</f>
        <v>351.827</v>
      </c>
      <c r="BH34" s="234">
        <f t="shared" si="74"/>
        <v>23.334973775041057</v>
      </c>
      <c r="BI34" s="168">
        <f t="shared" si="75"/>
        <v>22.19100343136575</v>
      </c>
      <c r="BJ34" s="170"/>
      <c r="BK34" s="214">
        <f>SUM(BK30:BK33)</f>
        <v>414.04300000000001</v>
      </c>
      <c r="BL34" s="234">
        <f t="shared" si="76"/>
        <v>22.568349378453718</v>
      </c>
      <c r="BM34" s="168">
        <f t="shared" si="77"/>
        <v>17.683691132289447</v>
      </c>
      <c r="BN34" s="170"/>
      <c r="BO34" s="214">
        <f>SUM(BO30:BO33)</f>
        <v>447.16100000000006</v>
      </c>
      <c r="BP34" s="234">
        <f t="shared" si="78"/>
        <v>23.075525785485201</v>
      </c>
      <c r="BQ34" s="168">
        <f t="shared" si="79"/>
        <v>7.9986861268032561</v>
      </c>
      <c r="BR34" s="25"/>
      <c r="BS34" s="32">
        <f>SUM(BS30:BS33)</f>
        <v>522.41700000000003</v>
      </c>
      <c r="BT34" s="237">
        <f t="shared" si="80"/>
        <v>22.972452422978392</v>
      </c>
      <c r="BU34" s="23">
        <f t="shared" si="81"/>
        <v>16.829732467724146</v>
      </c>
      <c r="BV34" s="25"/>
      <c r="BW34" s="32">
        <f>SUM(BW30:BW33)</f>
        <v>575.81099999999992</v>
      </c>
      <c r="BX34" s="237">
        <f t="shared" si="82"/>
        <v>23.27636701577855</v>
      </c>
      <c r="BY34" s="23">
        <f t="shared" si="83"/>
        <v>10.220570923227967</v>
      </c>
      <c r="BZ34" s="25"/>
      <c r="CA34" s="32">
        <f>SUM(CA30:CA33)</f>
        <v>657.24599999999998</v>
      </c>
      <c r="CB34" s="237">
        <f t="shared" si="84"/>
        <v>23.515693623263591</v>
      </c>
      <c r="CC34" s="23">
        <f t="shared" si="85"/>
        <v>14.142661394103296</v>
      </c>
      <c r="CD34" s="174"/>
      <c r="CE34" s="32">
        <f>SUM(CE30:CE33)</f>
        <v>734.51099999999997</v>
      </c>
      <c r="CF34" s="237">
        <f t="shared" si="86"/>
        <v>23.796704991369165</v>
      </c>
      <c r="CG34" s="23">
        <f t="shared" si="87"/>
        <v>11.75587223048904</v>
      </c>
      <c r="CH34" s="174"/>
      <c r="CI34" s="32">
        <f>SUM(CI30:CI33)</f>
        <v>809.54499999999996</v>
      </c>
      <c r="CJ34" s="237">
        <f t="shared" si="88"/>
        <v>24.361307306451216</v>
      </c>
      <c r="CK34" s="23">
        <f t="shared" si="89"/>
        <v>10.215503920295266</v>
      </c>
      <c r="CL34" s="174"/>
      <c r="CM34" s="32">
        <f>SUM(CM30:CM33)</f>
        <v>848.32300000000009</v>
      </c>
      <c r="CN34" s="237">
        <f t="shared" si="90"/>
        <v>24.623802731620891</v>
      </c>
      <c r="CO34" s="23">
        <f t="shared" si="91"/>
        <v>4.790098141548671</v>
      </c>
      <c r="CP34" s="174"/>
      <c r="CQ34" s="32">
        <f>SUM(CQ30:CQ33)</f>
        <v>906.08600000000001</v>
      </c>
      <c r="CR34" s="237">
        <f t="shared" si="92"/>
        <v>25.553825179917389</v>
      </c>
      <c r="CS34" s="23">
        <f t="shared" si="93"/>
        <v>6.8090809750531278</v>
      </c>
      <c r="CT34" s="174"/>
      <c r="CU34" s="32">
        <f>SUM(CU30:CU33)</f>
        <v>913.55400000000009</v>
      </c>
      <c r="CV34" s="237">
        <f t="shared" si="94"/>
        <v>25.264116787158457</v>
      </c>
      <c r="CW34" s="1467">
        <f t="shared" si="95"/>
        <v>0.82420432497578577</v>
      </c>
      <c r="CX34" s="174"/>
      <c r="CY34" s="32">
        <f>SUM(CY30:CY33)</f>
        <v>950.85021950155021</v>
      </c>
      <c r="CZ34" s="237">
        <f>CY34/CY14*100</f>
        <v>25.148999209433203</v>
      </c>
      <c r="DA34" s="1467">
        <f t="shared" si="97"/>
        <v>4.0825413168296798</v>
      </c>
      <c r="DB34" s="1632">
        <f>CW34+CS34</f>
        <v>7.6332853000289136</v>
      </c>
      <c r="DC34" s="257">
        <f>CU34-CQ34</f>
        <v>7.4680000000000746</v>
      </c>
      <c r="DD34" s="174"/>
      <c r="DE34" s="261"/>
      <c r="DF34" s="175"/>
      <c r="DG34" s="25"/>
      <c r="DH34" s="25"/>
      <c r="DI34" s="25">
        <v>9</v>
      </c>
      <c r="DJ34" s="25"/>
    </row>
    <row r="35" spans="1:114" hidden="1" outlineLevel="4">
      <c r="A35" s="170" t="str">
        <f>$A$15</f>
        <v>6 Mos</v>
      </c>
      <c r="B35" s="170"/>
      <c r="C35" s="170"/>
      <c r="D35" s="217">
        <f>SUM(D30:D31)</f>
        <v>16.981999999999999</v>
      </c>
      <c r="E35" s="234">
        <f t="shared" si="49"/>
        <v>35.735027987037576</v>
      </c>
      <c r="F35" s="168"/>
      <c r="G35" s="170"/>
      <c r="H35" s="217">
        <f>SUM(H30:H31)</f>
        <v>21.881999999999998</v>
      </c>
      <c r="I35" s="234">
        <f t="shared" si="50"/>
        <v>37.858131487889274</v>
      </c>
      <c r="J35" s="168">
        <f t="shared" si="51"/>
        <v>28.854080791426217</v>
      </c>
      <c r="K35" s="170"/>
      <c r="L35" s="217">
        <f>SUM(L30:L31)</f>
        <v>16.223000000000003</v>
      </c>
      <c r="M35" s="234">
        <f t="shared" si="52"/>
        <v>23.320635376985557</v>
      </c>
      <c r="N35" s="168">
        <f t="shared" si="53"/>
        <v>-25.86143862535415</v>
      </c>
      <c r="O35" s="170"/>
      <c r="P35" s="217">
        <f>SUM(P30:P31)</f>
        <v>18.392000000000003</v>
      </c>
      <c r="Q35" s="234">
        <f t="shared" si="54"/>
        <v>23.403659684931164</v>
      </c>
      <c r="R35" s="168">
        <f t="shared" si="55"/>
        <v>13.369906922270847</v>
      </c>
      <c r="S35" s="170"/>
      <c r="T35" s="217">
        <f>SUM(T30:T31)</f>
        <v>23.183999999999997</v>
      </c>
      <c r="U35" s="234">
        <f t="shared" si="56"/>
        <v>26.463034619730845</v>
      </c>
      <c r="V35" s="168">
        <f t="shared" si="57"/>
        <v>26.054806437581512</v>
      </c>
      <c r="W35" s="170"/>
      <c r="X35" s="217">
        <f>SUM(X30:X31)</f>
        <v>31.08</v>
      </c>
      <c r="Y35" s="234">
        <f t="shared" si="58"/>
        <v>24.514134275618375</v>
      </c>
      <c r="Z35" s="168">
        <f t="shared" si="59"/>
        <v>34.057971014492772</v>
      </c>
      <c r="AA35" s="170"/>
      <c r="AB35" s="217">
        <f>SUM(AB30:AB31)</f>
        <v>35.093000000000004</v>
      </c>
      <c r="AC35" s="234">
        <f t="shared" si="60"/>
        <v>26.449750523824601</v>
      </c>
      <c r="AD35" s="168">
        <f t="shared" si="61"/>
        <v>12.911840411840437</v>
      </c>
      <c r="AE35" s="170"/>
      <c r="AF35" s="217">
        <f>SUM(AF30:AF31)</f>
        <v>40.009</v>
      </c>
      <c r="AG35" s="234">
        <f t="shared" si="62"/>
        <v>26.28211444599912</v>
      </c>
      <c r="AH35" s="168">
        <f t="shared" si="63"/>
        <v>14.008491721995831</v>
      </c>
      <c r="AI35" s="170"/>
      <c r="AJ35" s="217">
        <f>SUM(AJ30:AJ31)</f>
        <v>49.210999999999999</v>
      </c>
      <c r="AK35" s="234">
        <f t="shared" si="64"/>
        <v>25.226707676534666</v>
      </c>
      <c r="AL35" s="168">
        <f t="shared" si="65"/>
        <v>22.999825039366129</v>
      </c>
      <c r="AM35" s="170"/>
      <c r="AN35" s="217">
        <f>SUM(AN30:AN31)</f>
        <v>57.42</v>
      </c>
      <c r="AO35" s="234">
        <f t="shared" si="66"/>
        <v>24.975316106077674</v>
      </c>
      <c r="AP35" s="168">
        <f t="shared" si="67"/>
        <v>16.68122980634412</v>
      </c>
      <c r="AQ35" s="169"/>
      <c r="AR35" s="170"/>
      <c r="AS35" s="170"/>
      <c r="AT35" s="170"/>
      <c r="AU35" s="217">
        <f>SUM(AU30:AU31)</f>
        <v>84.396000000000001</v>
      </c>
      <c r="AV35" s="234">
        <f t="shared" si="68"/>
        <v>23.458059781974239</v>
      </c>
      <c r="AW35" s="168">
        <f t="shared" si="69"/>
        <v>46.98014629049112</v>
      </c>
      <c r="AX35" s="170"/>
      <c r="AY35" s="217">
        <f>SUM(AY30:AY31)</f>
        <v>108.21000000000001</v>
      </c>
      <c r="AZ35" s="234">
        <f t="shared" si="70"/>
        <v>22.324366589164402</v>
      </c>
      <c r="BA35" s="168">
        <f t="shared" si="71"/>
        <v>28.216977107919817</v>
      </c>
      <c r="BB35" s="170"/>
      <c r="BC35" s="217">
        <f>SUM(BC30:BC31)</f>
        <v>131.26</v>
      </c>
      <c r="BD35" s="234">
        <f t="shared" si="72"/>
        <v>23.626355824510494</v>
      </c>
      <c r="BE35" s="168">
        <f t="shared" si="73"/>
        <v>21.301173643840656</v>
      </c>
      <c r="BF35" s="170"/>
      <c r="BG35" s="217">
        <f>SUM(BG30:BG31)</f>
        <v>159.35500000000002</v>
      </c>
      <c r="BH35" s="234">
        <f t="shared" si="74"/>
        <v>24.035698717784356</v>
      </c>
      <c r="BI35" s="168">
        <f t="shared" si="75"/>
        <v>21.404083498400151</v>
      </c>
      <c r="BJ35" s="170"/>
      <c r="BK35" s="217">
        <f>SUM(BK30:BK31)</f>
        <v>199.328</v>
      </c>
      <c r="BL35" s="234">
        <f t="shared" si="76"/>
        <v>23.489400615375914</v>
      </c>
      <c r="BM35" s="168">
        <f t="shared" si="77"/>
        <v>25.084245866147903</v>
      </c>
      <c r="BN35" s="170"/>
      <c r="BO35" s="217">
        <f>SUM(BO30:BO31)</f>
        <v>205.83500000000001</v>
      </c>
      <c r="BP35" s="234">
        <f t="shared" si="78"/>
        <v>24.404746378444006</v>
      </c>
      <c r="BQ35" s="168">
        <f t="shared" si="79"/>
        <v>3.2644686145448798</v>
      </c>
      <c r="BR35" s="25"/>
      <c r="BS35" s="34">
        <f>SUM(BS30:BS31)</f>
        <v>246.48700000000002</v>
      </c>
      <c r="BT35" s="237">
        <f t="shared" si="80"/>
        <v>23.881622291981557</v>
      </c>
      <c r="BU35" s="23">
        <f t="shared" si="81"/>
        <v>19.749799596764394</v>
      </c>
      <c r="BV35" s="25"/>
      <c r="BW35" s="34">
        <f>SUM(BW30:BW31)</f>
        <v>276.92399999999998</v>
      </c>
      <c r="BX35" s="237">
        <f t="shared" si="82"/>
        <v>24.437345570067066</v>
      </c>
      <c r="BY35" s="23">
        <f t="shared" si="83"/>
        <v>12.348318572581896</v>
      </c>
      <c r="BZ35" s="25"/>
      <c r="CA35" s="34">
        <f>SUM(CA30:CA31)</f>
        <v>308.14</v>
      </c>
      <c r="CB35" s="237">
        <f t="shared" si="84"/>
        <v>24.746245379252631</v>
      </c>
      <c r="CC35" s="23">
        <f t="shared" si="85"/>
        <v>11.272406869754882</v>
      </c>
      <c r="CD35" s="174"/>
      <c r="CE35" s="34">
        <f>SUM(CE30:CE31)</f>
        <v>344.76900000000001</v>
      </c>
      <c r="CF35" s="237">
        <f t="shared" si="86"/>
        <v>24.509046343181669</v>
      </c>
      <c r="CG35" s="23">
        <f t="shared" si="87"/>
        <v>11.887129226974768</v>
      </c>
      <c r="CH35" s="174"/>
      <c r="CI35" s="34">
        <f>SUM(CI30:CI31)</f>
        <v>376.83100000000002</v>
      </c>
      <c r="CJ35" s="237">
        <f t="shared" si="88"/>
        <v>25.16294806963046</v>
      </c>
      <c r="CK35" s="23">
        <f t="shared" si="89"/>
        <v>9.2995599952431895</v>
      </c>
      <c r="CL35" s="174"/>
      <c r="CM35" s="34">
        <f>SUM(CM30:CM31)</f>
        <v>407.721</v>
      </c>
      <c r="CN35" s="237">
        <f t="shared" si="90"/>
        <v>25.379932398364112</v>
      </c>
      <c r="CO35" s="23">
        <f t="shared" si="91"/>
        <v>8.1973086078374724</v>
      </c>
      <c r="CP35" s="174"/>
      <c r="CQ35" s="34">
        <f>SUM(CQ30:CQ31)</f>
        <v>435.70699999999999</v>
      </c>
      <c r="CR35" s="237">
        <f t="shared" si="92"/>
        <v>26.356248241987242</v>
      </c>
      <c r="CS35" s="23">
        <f t="shared" si="93"/>
        <v>6.8640074953215446</v>
      </c>
      <c r="CT35" s="174"/>
      <c r="CU35" s="34">
        <f>SUM(CU30:CU31)</f>
        <v>440.90700000000004</v>
      </c>
      <c r="CV35" s="237">
        <f t="shared" si="94"/>
        <v>26.98129453082116</v>
      </c>
      <c r="CW35" s="1467">
        <f t="shared" si="95"/>
        <v>1.1934625792103581</v>
      </c>
      <c r="CX35" s="174"/>
      <c r="CY35" s="34">
        <f>SUM(CY30:CY31)</f>
        <v>462.8864491388664</v>
      </c>
      <c r="CZ35" s="237">
        <f>CY35/CY15*100</f>
        <v>26.245677443304221</v>
      </c>
      <c r="DA35" s="1467">
        <f t="shared" si="97"/>
        <v>4.9850533420576992</v>
      </c>
      <c r="DB35" s="174"/>
      <c r="DC35" s="174"/>
      <c r="DD35" s="174"/>
      <c r="DE35" s="174"/>
      <c r="DF35" s="175"/>
      <c r="DG35" s="25"/>
      <c r="DH35" s="25"/>
      <c r="DI35" s="25"/>
      <c r="DJ35" s="25"/>
    </row>
    <row r="36" spans="1:114" hidden="1" outlineLevel="4">
      <c r="A36" s="170" t="str">
        <f>$A$16</f>
        <v>9 Mos</v>
      </c>
      <c r="B36" s="170"/>
      <c r="C36" s="170"/>
      <c r="D36" s="217">
        <f>SUM(D30:D32)</f>
        <v>27.119999999999997</v>
      </c>
      <c r="E36" s="234">
        <f t="shared" si="49"/>
        <v>34.351725186198507</v>
      </c>
      <c r="F36" s="168"/>
      <c r="G36" s="170"/>
      <c r="H36" s="217">
        <f>SUM(H30:H32)</f>
        <v>34.558999999999997</v>
      </c>
      <c r="I36" s="234">
        <f t="shared" si="50"/>
        <v>35.759814573373895</v>
      </c>
      <c r="J36" s="168">
        <f t="shared" si="51"/>
        <v>27.429941002949864</v>
      </c>
      <c r="K36" s="170"/>
      <c r="L36" s="217">
        <f>SUM(L30:L32)</f>
        <v>25.431000000000004</v>
      </c>
      <c r="M36" s="234">
        <f t="shared" si="52"/>
        <v>22.215524922689873</v>
      </c>
      <c r="N36" s="168">
        <f t="shared" si="53"/>
        <v>-26.412801296333789</v>
      </c>
      <c r="O36" s="170"/>
      <c r="P36" s="217">
        <f>SUM(P30:P32)</f>
        <v>28.176000000000002</v>
      </c>
      <c r="Q36" s="234">
        <f t="shared" si="54"/>
        <v>22.186700263789913</v>
      </c>
      <c r="R36" s="168">
        <f t="shared" si="55"/>
        <v>10.793912940898887</v>
      </c>
      <c r="S36" s="170"/>
      <c r="T36" s="217">
        <f>SUM(T30:T32)</f>
        <v>38.033000000000001</v>
      </c>
      <c r="U36" s="234">
        <f t="shared" si="56"/>
        <v>25.626461293821968</v>
      </c>
      <c r="V36" s="168">
        <f t="shared" si="57"/>
        <v>34.983674048835887</v>
      </c>
      <c r="W36" s="170"/>
      <c r="X36" s="217">
        <f>SUM(X30:X32)</f>
        <v>48.224999999999994</v>
      </c>
      <c r="Y36" s="234">
        <f t="shared" si="58"/>
        <v>23.792021470788477</v>
      </c>
      <c r="Z36" s="168">
        <f t="shared" si="59"/>
        <v>26.797780874503708</v>
      </c>
      <c r="AA36" s="170"/>
      <c r="AB36" s="217">
        <f>SUM(AB30:AB32)</f>
        <v>55.478999999999999</v>
      </c>
      <c r="AC36" s="234">
        <f t="shared" si="60"/>
        <v>26.447663858816124</v>
      </c>
      <c r="AD36" s="168">
        <f t="shared" si="61"/>
        <v>15.041990668740301</v>
      </c>
      <c r="AE36" s="170"/>
      <c r="AF36" s="217">
        <f>SUM(AF30:AF32)</f>
        <v>62.884</v>
      </c>
      <c r="AG36" s="234">
        <f t="shared" si="62"/>
        <v>25.657722940331638</v>
      </c>
      <c r="AH36" s="168">
        <f t="shared" si="63"/>
        <v>13.347392707150462</v>
      </c>
      <c r="AI36" s="170"/>
      <c r="AJ36" s="217">
        <f>SUM(AJ30:AJ32)</f>
        <v>75.293000000000006</v>
      </c>
      <c r="AK36" s="234">
        <f t="shared" si="64"/>
        <v>24.671588336102186</v>
      </c>
      <c r="AL36" s="168">
        <f t="shared" si="65"/>
        <v>19.733159468227225</v>
      </c>
      <c r="AM36" s="170"/>
      <c r="AN36" s="217">
        <f>SUM(AN30:AN32)</f>
        <v>90.753</v>
      </c>
      <c r="AO36" s="234">
        <f t="shared" si="66"/>
        <v>24.380369548514661</v>
      </c>
      <c r="AP36" s="168">
        <f t="shared" si="67"/>
        <v>20.533117288459746</v>
      </c>
      <c r="AQ36" s="169"/>
      <c r="AR36" s="170"/>
      <c r="AS36" s="170"/>
      <c r="AT36" s="170"/>
      <c r="AU36" s="217">
        <f>SUM(AU30:AU32)</f>
        <v>132.672</v>
      </c>
      <c r="AV36" s="234">
        <f t="shared" si="68"/>
        <v>23.028255922739259</v>
      </c>
      <c r="AW36" s="168">
        <f t="shared" si="69"/>
        <v>46.190208588145843</v>
      </c>
      <c r="AX36" s="170"/>
      <c r="AY36" s="217">
        <f>SUM(AY30:AY32)</f>
        <v>167.80200000000002</v>
      </c>
      <c r="AZ36" s="234">
        <f t="shared" si="70"/>
        <v>21.693354259370825</v>
      </c>
      <c r="BA36" s="168">
        <f t="shared" si="71"/>
        <v>26.478835021707692</v>
      </c>
      <c r="BB36" s="170"/>
      <c r="BC36" s="217">
        <f>SUM(BC30:BC32)</f>
        <v>203.74399999999997</v>
      </c>
      <c r="BD36" s="234">
        <f t="shared" si="72"/>
        <v>23.583637855776161</v>
      </c>
      <c r="BE36" s="168">
        <f t="shared" si="73"/>
        <v>21.41929178436488</v>
      </c>
      <c r="BF36" s="170"/>
      <c r="BG36" s="217">
        <f>SUM(BG30:BG32)</f>
        <v>247.96600000000001</v>
      </c>
      <c r="BH36" s="234">
        <f t="shared" si="74"/>
        <v>23.789974796438308</v>
      </c>
      <c r="BI36" s="168">
        <f t="shared" si="75"/>
        <v>21.704688236218029</v>
      </c>
      <c r="BJ36" s="170"/>
      <c r="BK36" s="217">
        <f>SUM(BK30:BK32)</f>
        <v>304.34500000000003</v>
      </c>
      <c r="BL36" s="234">
        <f t="shared" si="76"/>
        <v>22.942768405023596</v>
      </c>
      <c r="BM36" s="168">
        <f t="shared" si="77"/>
        <v>22.736584854375195</v>
      </c>
      <c r="BN36" s="170"/>
      <c r="BO36" s="217">
        <f>SUM(BO30:BO32)</f>
        <v>320.16200000000003</v>
      </c>
      <c r="BP36" s="234">
        <f t="shared" si="78"/>
        <v>23.727620241869619</v>
      </c>
      <c r="BQ36" s="168">
        <f t="shared" si="79"/>
        <v>5.1970625441521978</v>
      </c>
      <c r="BR36" s="25"/>
      <c r="BS36" s="34">
        <f>SUM(BS30:BS32)</f>
        <v>377.68000000000006</v>
      </c>
      <c r="BT36" s="237">
        <f t="shared" si="80"/>
        <v>23.521029923174272</v>
      </c>
      <c r="BU36" s="23">
        <f t="shared" si="81"/>
        <v>17.965280076961054</v>
      </c>
      <c r="BV36" s="25"/>
      <c r="BW36" s="34">
        <f>SUM(BW30:BW32)</f>
        <v>419.66599999999994</v>
      </c>
      <c r="BX36" s="237">
        <f t="shared" si="82"/>
        <v>24.07510987274209</v>
      </c>
      <c r="BY36" s="23">
        <f t="shared" si="83"/>
        <v>11.11681847066297</v>
      </c>
      <c r="BZ36" s="25"/>
      <c r="CA36" s="34">
        <f>SUM(CA30:CA32)</f>
        <v>475.48099999999999</v>
      </c>
      <c r="CB36" s="237">
        <f t="shared" si="84"/>
        <v>24.533825783785147</v>
      </c>
      <c r="CC36" s="23">
        <f t="shared" si="85"/>
        <v>13.29986227142539</v>
      </c>
      <c r="CD36" s="174"/>
      <c r="CE36" s="34">
        <f>SUM(CE30:CE32)</f>
        <v>531.59500000000003</v>
      </c>
      <c r="CF36" s="237">
        <f t="shared" si="86"/>
        <v>24.376705261951166</v>
      </c>
      <c r="CG36" s="23">
        <f t="shared" si="87"/>
        <v>11.801523089250686</v>
      </c>
      <c r="CH36" s="174"/>
      <c r="CI36" s="34">
        <f>SUM(CI30:CI32)</f>
        <v>583.89</v>
      </c>
      <c r="CJ36" s="237">
        <f t="shared" si="88"/>
        <v>25.254397320453464</v>
      </c>
      <c r="CK36" s="23">
        <f t="shared" si="89"/>
        <v>9.8373761980455008</v>
      </c>
      <c r="CL36" s="174"/>
      <c r="CM36" s="34">
        <f>SUM(CM30:CM32)</f>
        <v>615.58400000000006</v>
      </c>
      <c r="CN36" s="237">
        <f t="shared" si="90"/>
        <v>25.314673351624855</v>
      </c>
      <c r="CO36" s="23">
        <f t="shared" si="91"/>
        <v>5.4280772063231231</v>
      </c>
      <c r="CP36" s="174"/>
      <c r="CQ36" s="34">
        <f>SUM(CQ30:CQ32)</f>
        <v>665.29899999999998</v>
      </c>
      <c r="CR36" s="237">
        <f t="shared" si="92"/>
        <v>26.4465526809125</v>
      </c>
      <c r="CS36" s="23">
        <f t="shared" si="93"/>
        <v>8.0760708530436034</v>
      </c>
      <c r="CT36" s="174"/>
      <c r="CU36" s="34">
        <f>SUM(CU30:CU32)</f>
        <v>665.7650000000001</v>
      </c>
      <c r="CV36" s="237">
        <f t="shared" si="94"/>
        <v>26.347157281960669</v>
      </c>
      <c r="CW36" s="1467">
        <f t="shared" si="95"/>
        <v>7.0043694639565501E-2</v>
      </c>
      <c r="CX36" s="174"/>
      <c r="CY36" s="34">
        <f>SUM(CY30:CY32)</f>
        <v>694.76395968373436</v>
      </c>
      <c r="CZ36" s="237">
        <f>CY36/CY16*100</f>
        <v>25.957240490730467</v>
      </c>
      <c r="DA36" s="1467">
        <f t="shared" si="97"/>
        <v>4.3557350842615916</v>
      </c>
      <c r="DB36" s="174"/>
      <c r="DC36" s="174"/>
      <c r="DD36" s="174"/>
      <c r="DE36" s="174"/>
      <c r="DF36" s="175"/>
      <c r="DG36" s="25"/>
      <c r="DH36" s="25"/>
      <c r="DI36" s="25"/>
      <c r="DJ36" s="25"/>
    </row>
    <row r="37" spans="1:114" outlineLevel="3" collapsed="1">
      <c r="A37" s="170"/>
      <c r="B37" s="170"/>
      <c r="C37" s="170"/>
      <c r="D37" s="170"/>
      <c r="E37" s="170"/>
      <c r="F37" s="170"/>
      <c r="G37" s="170"/>
      <c r="H37" s="170"/>
      <c r="I37" s="170"/>
      <c r="J37" s="170"/>
      <c r="K37" s="170"/>
      <c r="L37" s="170"/>
      <c r="M37" s="170"/>
      <c r="N37" s="170"/>
      <c r="O37" s="170"/>
      <c r="P37" s="170"/>
      <c r="Q37" s="170"/>
      <c r="R37" s="170"/>
      <c r="S37" s="170"/>
      <c r="T37" s="170"/>
      <c r="U37" s="170"/>
      <c r="V37" s="170"/>
      <c r="W37" s="170"/>
      <c r="X37" s="170"/>
      <c r="Y37" s="170"/>
      <c r="Z37" s="170"/>
      <c r="AA37" s="170"/>
      <c r="AB37" s="170"/>
      <c r="AC37" s="170"/>
      <c r="AD37" s="170"/>
      <c r="AE37" s="170"/>
      <c r="AF37" s="170"/>
      <c r="AG37" s="170"/>
      <c r="AH37" s="170"/>
      <c r="AI37" s="170"/>
      <c r="AJ37" s="170"/>
      <c r="AK37" s="170"/>
      <c r="AL37" s="170"/>
      <c r="AM37" s="170"/>
      <c r="AN37" s="170"/>
      <c r="AO37" s="170"/>
      <c r="AP37" s="170"/>
      <c r="AQ37" s="170"/>
      <c r="AR37" s="170"/>
      <c r="AS37" s="170"/>
      <c r="AT37" s="170"/>
      <c r="AU37" s="170"/>
      <c r="AV37" s="170"/>
      <c r="AW37" s="263"/>
      <c r="AX37" s="170"/>
      <c r="AY37" s="170"/>
      <c r="AZ37" s="170"/>
      <c r="BA37" s="170"/>
      <c r="BB37" s="170"/>
      <c r="BC37" s="170"/>
      <c r="BD37" s="170"/>
      <c r="BE37" s="170"/>
      <c r="BF37" s="170"/>
      <c r="BG37" s="170"/>
      <c r="BH37" s="170"/>
      <c r="BI37" s="170"/>
      <c r="BJ37" s="170"/>
      <c r="BK37" s="170"/>
      <c r="BL37" s="170"/>
      <c r="BM37" s="170"/>
      <c r="BN37" s="170"/>
      <c r="BO37" s="170"/>
      <c r="BP37" s="263"/>
      <c r="BQ37" s="170"/>
      <c r="BR37" s="25"/>
      <c r="BS37" s="25"/>
      <c r="BT37" s="25"/>
      <c r="BU37" s="25"/>
      <c r="BV37" s="25"/>
      <c r="BW37" s="25"/>
      <c r="BX37" s="25"/>
      <c r="BY37" s="25"/>
      <c r="BZ37" s="25"/>
      <c r="CA37" s="25"/>
      <c r="CB37" s="25"/>
      <c r="CC37" s="25"/>
      <c r="CD37" s="174"/>
      <c r="CE37" s="174"/>
      <c r="CF37" s="174"/>
      <c r="CG37" s="174"/>
      <c r="CH37" s="174"/>
      <c r="CI37" s="19"/>
      <c r="CJ37" s="174"/>
      <c r="CK37" s="233"/>
      <c r="CL37" s="174"/>
      <c r="CM37" s="19"/>
      <c r="CN37" s="174"/>
      <c r="CO37" s="233"/>
      <c r="CP37" s="174"/>
      <c r="CQ37" s="19"/>
      <c r="CR37" s="174"/>
      <c r="CS37" s="1633"/>
      <c r="CT37" s="174"/>
      <c r="CU37" s="19"/>
      <c r="CV37" s="174"/>
      <c r="CW37" s="1468"/>
      <c r="CX37" s="174"/>
      <c r="CY37" s="19"/>
      <c r="CZ37" s="174"/>
      <c r="DA37" s="1468"/>
      <c r="DB37" s="174"/>
      <c r="DC37" s="174"/>
      <c r="DD37" s="233"/>
      <c r="DE37" s="174"/>
      <c r="DF37" s="175"/>
      <c r="DG37" s="25"/>
      <c r="DH37" s="25"/>
      <c r="DI37" s="25">
        <v>4</v>
      </c>
      <c r="DJ37" s="25"/>
    </row>
    <row r="38" spans="1:114" hidden="1" outlineLevel="4">
      <c r="A38" s="170"/>
      <c r="B38" s="170"/>
      <c r="C38" s="170"/>
      <c r="D38" s="170"/>
      <c r="E38" s="170"/>
      <c r="F38" s="170"/>
      <c r="G38" s="170"/>
      <c r="H38" s="170"/>
      <c r="I38" s="170"/>
      <c r="J38" s="170"/>
      <c r="K38" s="170"/>
      <c r="L38" s="170"/>
      <c r="M38" s="170"/>
      <c r="N38" s="170"/>
      <c r="O38" s="170"/>
      <c r="P38" s="170"/>
      <c r="Q38" s="170"/>
      <c r="R38" s="170"/>
      <c r="S38" s="170"/>
      <c r="T38" s="170"/>
      <c r="U38" s="170"/>
      <c r="V38" s="170"/>
      <c r="W38" s="170"/>
      <c r="X38" s="170"/>
      <c r="Y38" s="170"/>
      <c r="Z38" s="170"/>
      <c r="AA38" s="170"/>
      <c r="AB38" s="170"/>
      <c r="AC38" s="187"/>
      <c r="AD38" s="187"/>
      <c r="AE38" s="187"/>
      <c r="AF38" s="187"/>
      <c r="AG38" s="187"/>
      <c r="AH38" s="187"/>
      <c r="AI38" s="187"/>
      <c r="AJ38" s="186" t="s">
        <v>178</v>
      </c>
      <c r="AK38" s="187"/>
      <c r="AL38" s="187"/>
      <c r="AM38" s="187"/>
      <c r="AN38" s="187"/>
      <c r="AO38" s="187"/>
      <c r="AP38" s="187"/>
      <c r="AQ38" s="187"/>
      <c r="AR38" s="187"/>
      <c r="AS38" s="187"/>
      <c r="AT38" s="187"/>
      <c r="AU38" s="187"/>
      <c r="AV38" s="187"/>
      <c r="AW38" s="264"/>
      <c r="AX38" s="187"/>
      <c r="AY38" s="187"/>
      <c r="AZ38" s="187"/>
      <c r="BA38" s="187"/>
      <c r="BB38" s="187"/>
      <c r="BC38" s="187"/>
      <c r="BD38" s="187"/>
      <c r="BE38" s="187"/>
      <c r="BF38" s="187"/>
      <c r="BG38" s="187"/>
      <c r="BH38" s="187"/>
      <c r="BI38" s="187"/>
      <c r="BJ38" s="187"/>
      <c r="BK38" s="187"/>
      <c r="BL38" s="187"/>
      <c r="BM38" s="187"/>
      <c r="BN38" s="187"/>
      <c r="BO38" s="187"/>
      <c r="BP38" s="187"/>
      <c r="BQ38" s="187"/>
      <c r="BR38" s="188"/>
      <c r="BS38" s="188"/>
      <c r="BT38" s="188"/>
      <c r="BU38" s="188"/>
      <c r="BV38" s="188"/>
      <c r="BW38" s="188"/>
      <c r="BX38" s="188"/>
      <c r="BY38" s="188"/>
      <c r="BZ38" s="188"/>
      <c r="CA38" s="188"/>
      <c r="CB38" s="188"/>
      <c r="CC38" s="188"/>
      <c r="CD38" s="174"/>
      <c r="CE38" s="174"/>
      <c r="CF38" s="174"/>
      <c r="CG38" s="174"/>
      <c r="CH38" s="174"/>
      <c r="CI38" s="174"/>
      <c r="CJ38" s="174"/>
      <c r="CK38" s="174"/>
      <c r="CL38" s="174"/>
      <c r="CM38" s="19"/>
      <c r="CN38" s="174"/>
      <c r="CO38" s="174"/>
      <c r="CP38" s="174"/>
      <c r="CQ38" s="19"/>
      <c r="CR38" s="174"/>
      <c r="CS38" s="174"/>
      <c r="CT38" s="174"/>
      <c r="CU38" s="19"/>
      <c r="CV38" s="174"/>
      <c r="CW38" s="1463"/>
      <c r="CX38" s="174"/>
      <c r="CY38" s="19"/>
      <c r="CZ38" s="174"/>
      <c r="DA38" s="1463"/>
      <c r="DB38" s="174"/>
      <c r="DC38" s="174"/>
      <c r="DD38" s="174"/>
      <c r="DE38" s="174"/>
      <c r="DF38" s="175"/>
      <c r="DG38" s="25"/>
      <c r="DH38" s="25"/>
      <c r="DI38" s="25"/>
      <c r="DJ38" s="25"/>
    </row>
    <row r="39" spans="1:114" hidden="1" outlineLevel="4">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170"/>
      <c r="AK39" s="170"/>
      <c r="AL39" s="170"/>
      <c r="AM39" s="170"/>
      <c r="AN39" s="170"/>
      <c r="AO39" s="170"/>
      <c r="AP39" s="170"/>
      <c r="AQ39" s="170"/>
      <c r="AR39" s="170"/>
      <c r="AS39" s="170"/>
      <c r="AT39" s="170"/>
      <c r="AU39" s="170"/>
      <c r="AV39" s="234"/>
      <c r="AW39" s="170"/>
      <c r="AX39" s="170"/>
      <c r="AY39" s="170"/>
      <c r="AZ39" s="234"/>
      <c r="BA39" s="170"/>
      <c r="BB39" s="170"/>
      <c r="BC39" s="170"/>
      <c r="BD39" s="234"/>
      <c r="BE39" s="170"/>
      <c r="BF39" s="170"/>
      <c r="BG39" s="170"/>
      <c r="BH39" s="234"/>
      <c r="BI39" s="170"/>
      <c r="BJ39" s="170"/>
      <c r="BK39" s="170"/>
      <c r="BL39" s="234"/>
      <c r="BM39" s="170"/>
      <c r="BN39" s="170"/>
      <c r="BO39" s="170"/>
      <c r="BP39" s="234"/>
      <c r="BQ39" s="170"/>
      <c r="BR39" s="25"/>
      <c r="BS39" s="25"/>
      <c r="BT39" s="237"/>
      <c r="BU39" s="25"/>
      <c r="BV39" s="25"/>
      <c r="BW39" s="25"/>
      <c r="BX39" s="237"/>
      <c r="BY39" s="25"/>
      <c r="BZ39" s="25"/>
      <c r="CA39" s="25"/>
      <c r="CB39" s="237"/>
      <c r="CC39" s="25"/>
      <c r="CD39" s="174"/>
      <c r="CE39" s="174"/>
      <c r="CF39" s="174"/>
      <c r="CG39" s="174"/>
      <c r="CH39" s="174"/>
      <c r="CI39" s="174"/>
      <c r="CJ39" s="174"/>
      <c r="CK39" s="174"/>
      <c r="CL39" s="174"/>
      <c r="CM39" s="19"/>
      <c r="CN39" s="174"/>
      <c r="CO39" s="174"/>
      <c r="CP39" s="174"/>
      <c r="CQ39" s="19"/>
      <c r="CR39" s="174"/>
      <c r="CS39" s="174"/>
      <c r="CT39" s="174"/>
      <c r="CU39" s="19"/>
      <c r="CV39" s="174"/>
      <c r="CW39" s="1463"/>
      <c r="CX39" s="174"/>
      <c r="CY39" s="19"/>
      <c r="CZ39" s="174"/>
      <c r="DA39" s="1463"/>
      <c r="DB39" s="174"/>
      <c r="DC39" s="174"/>
      <c r="DD39" s="174"/>
      <c r="DE39" s="174"/>
      <c r="DF39" s="175"/>
      <c r="DG39" s="25"/>
      <c r="DH39" s="25"/>
      <c r="DI39" s="25"/>
      <c r="DJ39" s="25"/>
    </row>
    <row r="40" spans="1:114" hidden="1" outlineLevel="4">
      <c r="A40" s="170" t="str">
        <f>$A$10</f>
        <v>1Q</v>
      </c>
      <c r="B40" s="170" t="str">
        <f>$B$10</f>
        <v>Apr</v>
      </c>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70"/>
      <c r="AD40" s="170"/>
      <c r="AE40" s="170"/>
      <c r="AF40" s="170"/>
      <c r="AG40" s="170"/>
      <c r="AH40" s="170"/>
      <c r="AI40" s="170"/>
      <c r="AJ40" s="170"/>
      <c r="AK40" s="170"/>
      <c r="AL40" s="170"/>
      <c r="AM40" s="170"/>
      <c r="AN40" s="170"/>
      <c r="AO40" s="170"/>
      <c r="AP40" s="170"/>
      <c r="AQ40" s="170"/>
      <c r="AR40" s="170"/>
      <c r="AS40" s="170"/>
      <c r="AT40" s="170"/>
      <c r="AU40" s="265">
        <f>'yrP&amp;L'!$L$30/4</f>
        <v>10.159939661174294</v>
      </c>
      <c r="AV40" s="234">
        <f t="shared" ref="AV40:AV46" si="98">AU40/AU20*100</f>
        <v>10.119864995790962</v>
      </c>
      <c r="AW40" s="266" t="s">
        <v>538</v>
      </c>
      <c r="AX40" s="209"/>
      <c r="AY40" s="265">
        <f>'yrP&amp;L'!$M$30/4</f>
        <v>12.5</v>
      </c>
      <c r="AZ40" s="234">
        <f t="shared" ref="AZ40:AZ46" si="99">AY40/AY20*100</f>
        <v>9.3487300685074928</v>
      </c>
      <c r="BA40" s="168">
        <f>(AY40/AU40-1)*100</f>
        <v>23.032226734260352</v>
      </c>
      <c r="BB40" s="266" t="s">
        <v>538</v>
      </c>
      <c r="BC40" s="267">
        <f>+BC10*0.0016</f>
        <v>0.43201120000000004</v>
      </c>
      <c r="BD40" s="234">
        <f t="shared" ref="BD40:BD46" si="100">BC40/BC20*100</f>
        <v>0.24937294720011083</v>
      </c>
      <c r="BE40" s="168">
        <f t="shared" ref="BE40:BE46" si="101">(BC40/AY40-1)*100</f>
        <v>-96.543910400000001</v>
      </c>
      <c r="BF40" s="266" t="s">
        <v>538</v>
      </c>
      <c r="BG40" s="267">
        <f>+BG10*0.0016</f>
        <v>0.50327040000000001</v>
      </c>
      <c r="BH40" s="234">
        <f t="shared" ref="BH40:BH46" si="102">BG40/BG20*100</f>
        <v>0.24923136349905167</v>
      </c>
      <c r="BI40" s="168">
        <f t="shared" ref="BI40:BI46" si="103">(BG40/BC40-1)*100</f>
        <v>16.494757543322947</v>
      </c>
      <c r="BJ40" s="266" t="s">
        <v>538</v>
      </c>
      <c r="BK40" s="267">
        <f>+BK10*0.0016</f>
        <v>0.63086719999999996</v>
      </c>
      <c r="BL40" s="234">
        <f t="shared" ref="BL40:BL46" si="104">BK40/BK20*100</f>
        <v>0.26775682053545657</v>
      </c>
      <c r="BM40" s="168">
        <f t="shared" ref="BM40:BM46" si="105">(BK40/BG40-1)*100</f>
        <v>25.353527646370601</v>
      </c>
      <c r="BN40" s="266" t="s">
        <v>538</v>
      </c>
      <c r="BO40" s="267">
        <f>+BO10*0.0016</f>
        <v>0.61567360000000004</v>
      </c>
      <c r="BP40" s="234">
        <f t="shared" ref="BP40:BP46" si="106">BO40/BO20*100</f>
        <v>0.25494680961195243</v>
      </c>
      <c r="BQ40" s="168">
        <f t="shared" ref="BQ40:BQ46" si="107">(BO40/BK40-1)*100</f>
        <v>-2.408367402838496</v>
      </c>
      <c r="BR40" s="175" t="s">
        <v>538</v>
      </c>
      <c r="BS40" s="268">
        <f>+BS10*0.0016</f>
        <v>0.76793760000000011</v>
      </c>
      <c r="BT40" s="237">
        <f t="shared" ref="BT40:BT46" si="108">BS40/BS20*100</f>
        <v>0.27507391421151611</v>
      </c>
      <c r="BU40" s="23">
        <f t="shared" ref="BU40:BU46" si="109">(BS40/BO40-1)*100</f>
        <v>24.731286188006131</v>
      </c>
      <c r="BV40" s="175" t="s">
        <v>538</v>
      </c>
      <c r="BW40" s="268">
        <f>+BW10*0.0016</f>
        <v>0.83843040000000002</v>
      </c>
      <c r="BX40" s="237">
        <f t="shared" ref="BX40:BX46" si="110">BW40/BW20*100</f>
        <v>0.25518800562464622</v>
      </c>
      <c r="BY40" s="23">
        <f t="shared" ref="BY40:BY46" si="111">(BW40/BS40-1)*100</f>
        <v>9.1794958340364996</v>
      </c>
      <c r="BZ40" s="175" t="s">
        <v>538</v>
      </c>
      <c r="CA40" s="268">
        <f>+CA10*0.0016</f>
        <v>0.91028799999999999</v>
      </c>
      <c r="CB40" s="237">
        <f t="shared" ref="CB40:CB46" si="112">CA40/CA20*100</f>
        <v>0.24840647180659897</v>
      </c>
      <c r="CC40" s="23">
        <f t="shared" ref="CC40:CC46" si="113">(CA40/BW40-1)*100</f>
        <v>8.5704907646478432</v>
      </c>
      <c r="CD40" s="174"/>
      <c r="CE40" s="269">
        <f>('yrP&amp;L'!$U$30-CA42-CA43)/2</f>
        <v>0.55514400000000008</v>
      </c>
      <c r="CF40" s="237">
        <f t="shared" ref="CF40:CF46" si="114">CE40/CE20*100</f>
        <v>0.13561001348420004</v>
      </c>
      <c r="CG40" s="23">
        <f t="shared" ref="CG40:CG46" si="115">(CE40/CA40-1)*100</f>
        <v>-39.01446575149842</v>
      </c>
      <c r="CH40" s="174"/>
      <c r="CI40" s="269">
        <f>('yrP&amp;L'!$U$30-CE42-CE43)/2</f>
        <v>0.38878600000000008</v>
      </c>
      <c r="CJ40" s="237">
        <f t="shared" ref="CJ40:CJ46" si="116">CI40/CI20*100</f>
        <v>8.6821542701077961E-2</v>
      </c>
      <c r="CK40" s="23">
        <f t="shared" ref="CK40:CK46" si="117">(CI40/CE40-1)*100</f>
        <v>-29.966639286383344</v>
      </c>
      <c r="CL40" s="174"/>
      <c r="CM40" s="34">
        <f>('yrP&amp;L'!$U$30-CI42-CI43)/2</f>
        <v>0.34719650000000002</v>
      </c>
      <c r="CN40" s="237">
        <f t="shared" ref="CN40:CN46" si="118">CM40/CM20*100</f>
        <v>7.0484014056343122E-2</v>
      </c>
      <c r="CO40" s="23">
        <f t="shared" ref="CO40:CO46" si="119">(CM40/CI40-1)*100</f>
        <v>-10.697273049955513</v>
      </c>
      <c r="CP40" s="174"/>
      <c r="CQ40" s="34">
        <f>('yrP&amp;L'!$U$30-CM42-CM43)/2</f>
        <v>0.33679912499999998</v>
      </c>
      <c r="CR40" s="237">
        <f t="shared" ref="CR40:CR46" si="120">CQ40/CQ20*100</f>
        <v>6.7267533943429617E-2</v>
      </c>
      <c r="CS40" s="23">
        <f t="shared" ref="CS40:CS46" si="121">(CQ40/CM40-1)*100</f>
        <v>-2.9946658448458008</v>
      </c>
      <c r="CT40" s="174"/>
      <c r="CU40" s="34">
        <f>('yrP&amp;L'!$U$30-CQ42-CQ43)/2</f>
        <v>0.33419978124999994</v>
      </c>
      <c r="CV40" s="237">
        <f t="shared" ref="CV40:CV46" si="122">CU40/CU20*100</f>
        <v>6.4095391582439917E-2</v>
      </c>
      <c r="CW40" s="1467">
        <f t="shared" ref="CW40:CW46" si="123">(CU40/CQ40-1)*100</f>
        <v>-0.7717786529285231</v>
      </c>
      <c r="CX40" s="174"/>
      <c r="CY40" s="34">
        <f>('yrP&amp;L'!$U$30-CU42-CU43)/2</f>
        <v>0.33354994531249993</v>
      </c>
      <c r="CZ40" s="237">
        <f t="shared" ref="CZ40:CZ46" si="124">CY40/CY20*100</f>
        <v>5.9070011618990871E-2</v>
      </c>
      <c r="DA40" s="1467">
        <f t="shared" ref="DA40:DA46" si="125">(CY40/CU40-1)*100</f>
        <v>-0.1944453509423183</v>
      </c>
      <c r="DB40" s="174"/>
      <c r="DC40" s="174"/>
      <c r="DD40" s="174"/>
      <c r="DE40" s="174"/>
      <c r="DF40" s="175"/>
      <c r="DG40" s="25"/>
      <c r="DH40" s="25"/>
      <c r="DI40" s="25"/>
      <c r="DJ40" s="25"/>
    </row>
    <row r="41" spans="1:114" hidden="1" outlineLevel="4">
      <c r="A41" s="170" t="str">
        <f>$A$11</f>
        <v>2Q</v>
      </c>
      <c r="B41" s="170" t="str">
        <f>$B$11</f>
        <v>Jul</v>
      </c>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70"/>
      <c r="AB41" s="170"/>
      <c r="AC41" s="170"/>
      <c r="AD41" s="170"/>
      <c r="AE41" s="170"/>
      <c r="AF41" s="170"/>
      <c r="AG41" s="170"/>
      <c r="AH41" s="170"/>
      <c r="AI41" s="170"/>
      <c r="AJ41" s="170"/>
      <c r="AK41" s="170"/>
      <c r="AL41" s="170"/>
      <c r="AM41" s="170"/>
      <c r="AN41" s="170"/>
      <c r="AO41" s="170"/>
      <c r="AP41" s="170"/>
      <c r="AQ41" s="170"/>
      <c r="AR41" s="170"/>
      <c r="AS41" s="170"/>
      <c r="AT41" s="170"/>
      <c r="AU41" s="270">
        <f>'yrP&amp;L'!$L$30/4</f>
        <v>10.159939661174294</v>
      </c>
      <c r="AV41" s="234">
        <f t="shared" si="98"/>
        <v>9.0337876879895216</v>
      </c>
      <c r="AW41" s="266" t="s">
        <v>538</v>
      </c>
      <c r="AX41" s="209"/>
      <c r="AY41" s="270">
        <f>'yrP&amp;L'!$M$30/4</f>
        <v>12.5</v>
      </c>
      <c r="AZ41" s="234">
        <f t="shared" si="99"/>
        <v>8.4143353348232317</v>
      </c>
      <c r="BA41" s="168">
        <f t="shared" ref="BA41:BA46" si="126">(AY41/AU41-1)*100</f>
        <v>23.032226734260352</v>
      </c>
      <c r="BB41" s="266" t="s">
        <v>538</v>
      </c>
      <c r="BC41" s="271">
        <v>0.2</v>
      </c>
      <c r="BD41" s="234">
        <f t="shared" si="100"/>
        <v>0.11061518635893522</v>
      </c>
      <c r="BE41" s="168">
        <f t="shared" si="101"/>
        <v>-98.4</v>
      </c>
      <c r="BF41" s="266" t="s">
        <v>538</v>
      </c>
      <c r="BG41" s="271">
        <v>0.2</v>
      </c>
      <c r="BH41" s="234">
        <f t="shared" si="102"/>
        <v>9.1565867907078963E-2</v>
      </c>
      <c r="BI41" s="168">
        <f t="shared" si="103"/>
        <v>0</v>
      </c>
      <c r="BJ41" s="266" t="s">
        <v>538</v>
      </c>
      <c r="BK41" s="271">
        <v>0.2</v>
      </c>
      <c r="BL41" s="234">
        <f t="shared" si="104"/>
        <v>7.4686782306701269E-2</v>
      </c>
      <c r="BM41" s="168">
        <f t="shared" si="105"/>
        <v>0</v>
      </c>
      <c r="BN41" s="266" t="s">
        <v>538</v>
      </c>
      <c r="BO41" s="271">
        <v>0.2</v>
      </c>
      <c r="BP41" s="234">
        <f t="shared" si="106"/>
        <v>7.3655329883808712E-2</v>
      </c>
      <c r="BQ41" s="168">
        <f t="shared" si="107"/>
        <v>0</v>
      </c>
      <c r="BR41" s="175" t="s">
        <v>538</v>
      </c>
      <c r="BS41" s="269">
        <v>0.2</v>
      </c>
      <c r="BT41" s="237">
        <f t="shared" si="108"/>
        <v>6.3016340136997528E-2</v>
      </c>
      <c r="BU41" s="23">
        <f t="shared" si="109"/>
        <v>0</v>
      </c>
      <c r="BV41" s="175" t="s">
        <v>538</v>
      </c>
      <c r="BW41" s="269">
        <v>0.2</v>
      </c>
      <c r="BX41" s="237">
        <f t="shared" si="110"/>
        <v>5.2897318370445215E-2</v>
      </c>
      <c r="BY41" s="23">
        <f t="shared" si="111"/>
        <v>0</v>
      </c>
      <c r="BZ41" s="175" t="s">
        <v>538</v>
      </c>
      <c r="CA41" s="269">
        <v>0.2</v>
      </c>
      <c r="CB41" s="237">
        <f t="shared" si="112"/>
        <v>4.7420896017830255E-2</v>
      </c>
      <c r="CC41" s="23">
        <f t="shared" si="113"/>
        <v>0</v>
      </c>
      <c r="CD41" s="174"/>
      <c r="CE41" s="269">
        <f>('yrP&amp;L'!$U$30-CE40)/2</f>
        <v>0.22242799999999996</v>
      </c>
      <c r="CF41" s="237">
        <f t="shared" si="114"/>
        <v>4.8324393142449927E-2</v>
      </c>
      <c r="CG41" s="23">
        <f t="shared" si="115"/>
        <v>11.213999999999968</v>
      </c>
      <c r="CH41" s="174"/>
      <c r="CI41" s="269">
        <f>('yrP&amp;L'!$U$30-CI40)/2</f>
        <v>0.30560699999999996</v>
      </c>
      <c r="CJ41" s="237">
        <f t="shared" si="116"/>
        <v>6.0159450388291215E-2</v>
      </c>
      <c r="CK41" s="23">
        <f t="shared" si="117"/>
        <v>37.395921376805099</v>
      </c>
      <c r="CL41" s="174"/>
      <c r="CM41" s="34">
        <f>('yrP&amp;L'!$U$30-CM40)/2</f>
        <v>0.32640174999999999</v>
      </c>
      <c r="CN41" s="237">
        <f t="shared" si="118"/>
        <v>5.9415450846902272E-2</v>
      </c>
      <c r="CO41" s="23">
        <f t="shared" si="119"/>
        <v>6.8044089304237332</v>
      </c>
      <c r="CP41" s="174"/>
      <c r="CQ41" s="34">
        <f>('yrP&amp;L'!$U$30-CQ40)/2</f>
        <v>0.33160043750000001</v>
      </c>
      <c r="CR41" s="237">
        <f t="shared" si="120"/>
        <v>6.0504735365117135E-2</v>
      </c>
      <c r="CS41" s="23">
        <f t="shared" si="121"/>
        <v>1.5927266014964747</v>
      </c>
      <c r="CT41" s="174"/>
      <c r="CU41" s="34">
        <f>('yrP&amp;L'!$U$30-CU40)/2</f>
        <v>0.33290010937500003</v>
      </c>
      <c r="CV41" s="237">
        <f t="shared" si="122"/>
        <v>5.7836527060154144E-2</v>
      </c>
      <c r="CW41" s="1467">
        <f t="shared" si="123"/>
        <v>0.39193913156403415</v>
      </c>
      <c r="CX41" s="174"/>
      <c r="CY41" s="34">
        <f>('yrP&amp;L'!$U$30-CY40)/2</f>
        <v>0.33322502734375004</v>
      </c>
      <c r="CZ41" s="237">
        <f t="shared" si="124"/>
        <v>5.5915287644070069E-2</v>
      </c>
      <c r="DA41" s="1467">
        <f t="shared" si="125"/>
        <v>9.7602241513228272E-2</v>
      </c>
      <c r="DB41" s="174"/>
      <c r="DC41" s="174"/>
      <c r="DD41" s="174"/>
      <c r="DE41" s="174"/>
      <c r="DF41" s="175"/>
      <c r="DG41" s="25"/>
      <c r="DH41" s="25"/>
      <c r="DI41" s="25"/>
      <c r="DJ41" s="25"/>
    </row>
    <row r="42" spans="1:114" hidden="1" outlineLevel="4">
      <c r="A42" s="170" t="str">
        <f>$A$12</f>
        <v>3Q</v>
      </c>
      <c r="B42" s="170" t="str">
        <f>$B$12</f>
        <v>Oct</v>
      </c>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170"/>
      <c r="AK42" s="170"/>
      <c r="AL42" s="170"/>
      <c r="AM42" s="170"/>
      <c r="AN42" s="170"/>
      <c r="AO42" s="170"/>
      <c r="AP42" s="170"/>
      <c r="AQ42" s="170"/>
      <c r="AR42" s="170"/>
      <c r="AS42" s="170"/>
      <c r="AT42" s="170"/>
      <c r="AU42" s="270">
        <f>'yrP&amp;L'!$L$30/4</f>
        <v>10.159939661174294</v>
      </c>
      <c r="AV42" s="234">
        <f t="shared" si="98"/>
        <v>8.1347849482960033</v>
      </c>
      <c r="AW42" s="266" t="s">
        <v>538</v>
      </c>
      <c r="AX42" s="209"/>
      <c r="AY42" s="270">
        <f>'yrP&amp;L'!$M$30/4</f>
        <v>12.5</v>
      </c>
      <c r="AZ42" s="234">
        <f t="shared" si="99"/>
        <v>7.4161969741916343</v>
      </c>
      <c r="BA42" s="168">
        <f t="shared" si="126"/>
        <v>23.032226734260352</v>
      </c>
      <c r="BB42" s="266" t="s">
        <v>538</v>
      </c>
      <c r="BC42" s="271">
        <f>('yrP&amp;L'!$N$30-BC40-BC41)/2</f>
        <v>0.18399439999999997</v>
      </c>
      <c r="BD42" s="234">
        <f t="shared" si="100"/>
        <v>9.6632161632713057E-2</v>
      </c>
      <c r="BE42" s="168">
        <f t="shared" si="101"/>
        <v>-98.528044800000004</v>
      </c>
      <c r="BF42" s="266" t="s">
        <v>538</v>
      </c>
      <c r="BG42" s="271">
        <f>('yrP&amp;L'!$N$30-BG40-BG41)/2</f>
        <v>0.14836479999999999</v>
      </c>
      <c r="BH42" s="234">
        <f t="shared" si="102"/>
        <v>6.4680227742368618E-2</v>
      </c>
      <c r="BI42" s="168">
        <f t="shared" si="103"/>
        <v>-19.364502397899063</v>
      </c>
      <c r="BJ42" s="266" t="s">
        <v>538</v>
      </c>
      <c r="BK42" s="271">
        <f>('yrP&amp;L'!$N$30-BK40-BK41)/2</f>
        <v>8.4566400000000014E-2</v>
      </c>
      <c r="BL42" s="234">
        <f t="shared" si="104"/>
        <v>2.9928970083912272E-2</v>
      </c>
      <c r="BM42" s="168">
        <f t="shared" si="105"/>
        <v>-43.001035285997744</v>
      </c>
      <c r="BN42" s="266" t="s">
        <v>538</v>
      </c>
      <c r="BO42" s="271">
        <f>('yrP&amp;L'!$N$30-BO40-BO41)/2</f>
        <v>9.2163199999999973E-2</v>
      </c>
      <c r="BP42" s="234">
        <f t="shared" si="106"/>
        <v>3.1156004489337814E-2</v>
      </c>
      <c r="BQ42" s="168">
        <f t="shared" si="107"/>
        <v>8.9832368411094201</v>
      </c>
      <c r="BR42" s="175" t="s">
        <v>538</v>
      </c>
      <c r="BS42" s="269">
        <f>('yrP&amp;L'!$N$30-BS40-BS41)/2</f>
        <v>1.603119999999994E-2</v>
      </c>
      <c r="BT42" s="237">
        <f t="shared" si="108"/>
        <v>4.7485922647874969E-3</v>
      </c>
      <c r="BU42" s="23">
        <f t="shared" si="109"/>
        <v>-82.605638693100985</v>
      </c>
      <c r="BV42" s="175" t="s">
        <v>538</v>
      </c>
      <c r="BW42" s="269">
        <f>('yrP&amp;L'!$N$30-BW40-BW41)/2</f>
        <v>-1.9215200000000016E-2</v>
      </c>
      <c r="BX42" s="237">
        <f t="shared" si="110"/>
        <v>-4.8788117303541993E-3</v>
      </c>
      <c r="BY42" s="23">
        <f t="shared" si="111"/>
        <v>-219.8612705224817</v>
      </c>
      <c r="BZ42" s="175" t="s">
        <v>538</v>
      </c>
      <c r="CA42" s="269">
        <f>('yrP&amp;L'!$N$30-CA40-CA41)/2</f>
        <v>-5.5143999999999999E-2</v>
      </c>
      <c r="CB42" s="237">
        <f t="shared" si="112"/>
        <v>-1.2763544369426191E-2</v>
      </c>
      <c r="CC42" s="23">
        <f t="shared" si="113"/>
        <v>186.98113993088779</v>
      </c>
      <c r="CD42" s="174"/>
      <c r="CE42" s="269">
        <f>('yrP&amp;L'!$U$30-CE40-CE41)/2</f>
        <v>0.11121399999999998</v>
      </c>
      <c r="CF42" s="237">
        <f t="shared" si="114"/>
        <v>2.3084746888518026E-2</v>
      </c>
      <c r="CG42" s="23">
        <f t="shared" si="115"/>
        <v>-301.67923980850134</v>
      </c>
      <c r="CH42" s="174"/>
      <c r="CI42" s="269">
        <f>('yrP&amp;L'!$U$30-CI40-CI41)/2</f>
        <v>0.15280349999999998</v>
      </c>
      <c r="CJ42" s="237">
        <f t="shared" si="116"/>
        <v>2.877948039913663E-2</v>
      </c>
      <c r="CK42" s="23">
        <f t="shared" si="117"/>
        <v>37.395921376805099</v>
      </c>
      <c r="CL42" s="174"/>
      <c r="CM42" s="34">
        <f>('yrP&amp;L'!$U$30-CM40-CM41)/2</f>
        <v>0.163200875</v>
      </c>
      <c r="CN42" s="237">
        <f t="shared" si="118"/>
        <v>3.0387263299011296E-2</v>
      </c>
      <c r="CO42" s="23">
        <f t="shared" si="119"/>
        <v>6.8044089304237332</v>
      </c>
      <c r="CP42" s="174"/>
      <c r="CQ42" s="34">
        <f>('yrP&amp;L'!$U$30-CQ40-CQ41)/2</f>
        <v>0.16580021875000001</v>
      </c>
      <c r="CR42" s="237">
        <f t="shared" si="120"/>
        <v>2.9470669568107729E-2</v>
      </c>
      <c r="CS42" s="23">
        <f t="shared" si="121"/>
        <v>1.5927266014964747</v>
      </c>
      <c r="CT42" s="174"/>
      <c r="CU42" s="34">
        <f>('yrP&amp;L'!$U$30-CU40-CU41)/2</f>
        <v>0.16645005468750002</v>
      </c>
      <c r="CV42" s="237">
        <f t="shared" si="122"/>
        <v>2.7973482707956604E-2</v>
      </c>
      <c r="CW42" s="1467">
        <f t="shared" si="123"/>
        <v>0.39193913156403415</v>
      </c>
      <c r="CX42" s="174"/>
      <c r="CY42" s="34">
        <f>('yrP&amp;L'!$U$30-CY40-CY41)/2</f>
        <v>0.16661251367187502</v>
      </c>
      <c r="CZ42" s="237">
        <f t="shared" si="124"/>
        <v>2.7321607099950868E-2</v>
      </c>
      <c r="DA42" s="1467">
        <f t="shared" si="125"/>
        <v>9.7602241513228272E-2</v>
      </c>
      <c r="DB42" s="174"/>
      <c r="DC42" s="174"/>
      <c r="DD42" s="174"/>
      <c r="DE42" s="174"/>
      <c r="DF42" s="175"/>
      <c r="DG42" s="25"/>
      <c r="DH42" s="25"/>
      <c r="DI42" s="25"/>
      <c r="DJ42" s="25"/>
    </row>
    <row r="43" spans="1:114" hidden="1" outlineLevel="4">
      <c r="A43" s="170" t="str">
        <f>$A$13</f>
        <v>4Q</v>
      </c>
      <c r="B43" s="170" t="str">
        <f>$B$13</f>
        <v>Jan</v>
      </c>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170"/>
      <c r="AK43" s="170"/>
      <c r="AL43" s="170"/>
      <c r="AM43" s="170"/>
      <c r="AN43" s="170"/>
      <c r="AO43" s="170"/>
      <c r="AP43" s="170"/>
      <c r="AQ43" s="170"/>
      <c r="AR43" s="170"/>
      <c r="AS43" s="170"/>
      <c r="AT43" s="170"/>
      <c r="AU43" s="272">
        <f>'yrP&amp;L'!$L$30/4</f>
        <v>10.159939661174294</v>
      </c>
      <c r="AV43" s="234">
        <f t="shared" si="98"/>
        <v>6.7176263768731692</v>
      </c>
      <c r="AW43" s="266" t="s">
        <v>538</v>
      </c>
      <c r="AX43" s="209"/>
      <c r="AY43" s="272">
        <f>'yrP&amp;L'!$M$30/4</f>
        <v>12.5</v>
      </c>
      <c r="AZ43" s="234">
        <f t="shared" si="99"/>
        <v>6.4872046375728507</v>
      </c>
      <c r="BA43" s="168">
        <f t="shared" si="126"/>
        <v>23.032226734260352</v>
      </c>
      <c r="BB43" s="266" t="s">
        <v>538</v>
      </c>
      <c r="BC43" s="273">
        <f>('yrP&amp;L'!$N$30-BC40-BC41-BC42)</f>
        <v>0.18399439999999997</v>
      </c>
      <c r="BD43" s="234">
        <f t="shared" si="100"/>
        <v>8.057807771641784E-2</v>
      </c>
      <c r="BE43" s="168">
        <f t="shared" si="101"/>
        <v>-98.528044800000004</v>
      </c>
      <c r="BF43" s="266" t="s">
        <v>538</v>
      </c>
      <c r="BG43" s="273">
        <f>('yrP&amp;L'!$N$30-BG40-BG41-BG42)</f>
        <v>0.14836479999999999</v>
      </c>
      <c r="BH43" s="234">
        <f t="shared" si="102"/>
        <v>5.2757743964668105E-2</v>
      </c>
      <c r="BI43" s="168">
        <f t="shared" si="103"/>
        <v>-19.364502397899063</v>
      </c>
      <c r="BJ43" s="266" t="s">
        <v>538</v>
      </c>
      <c r="BK43" s="273">
        <f>('yrP&amp;L'!$N$30-BK40-BK41-BK42)</f>
        <v>8.4566400000000014E-2</v>
      </c>
      <c r="BL43" s="234">
        <f t="shared" si="104"/>
        <v>2.5229693364281328E-2</v>
      </c>
      <c r="BM43" s="168">
        <f t="shared" si="105"/>
        <v>-43.001035285997744</v>
      </c>
      <c r="BN43" s="266" t="s">
        <v>538</v>
      </c>
      <c r="BO43" s="273">
        <f>('yrP&amp;L'!$N$30-BO40-BO41-BO42)</f>
        <v>9.2163199999999973E-2</v>
      </c>
      <c r="BP43" s="234">
        <f t="shared" si="106"/>
        <v>2.6882904746348059E-2</v>
      </c>
      <c r="BQ43" s="168">
        <f t="shared" si="107"/>
        <v>8.9832368411094201</v>
      </c>
      <c r="BR43" s="175" t="s">
        <v>538</v>
      </c>
      <c r="BS43" s="274">
        <f>('yrP&amp;L'!$N$30-BS40-BS41-BS42)</f>
        <v>1.603119999999994E-2</v>
      </c>
      <c r="BT43" s="237">
        <f t="shared" si="108"/>
        <v>3.9747105347977939E-3</v>
      </c>
      <c r="BU43" s="23">
        <f t="shared" si="109"/>
        <v>-82.605638693100985</v>
      </c>
      <c r="BV43" s="175" t="s">
        <v>538</v>
      </c>
      <c r="BW43" s="274">
        <f>('yrP&amp;L'!$N$30-BW40-BW41-BW42)</f>
        <v>-1.9215200000000016E-2</v>
      </c>
      <c r="BX43" s="237">
        <f t="shared" si="110"/>
        <v>-3.7473331123115661E-3</v>
      </c>
      <c r="BY43" s="23">
        <f t="shared" si="111"/>
        <v>-219.8612705224817</v>
      </c>
      <c r="BZ43" s="175" t="s">
        <v>538</v>
      </c>
      <c r="CA43" s="274">
        <f>('yrP&amp;L'!$N$30-CA40-CA41-CA42)</f>
        <v>-5.5143999999999999E-2</v>
      </c>
      <c r="CB43" s="237">
        <f t="shared" si="112"/>
        <v>-1.0152721648915114E-2</v>
      </c>
      <c r="CC43" s="23">
        <f t="shared" si="113"/>
        <v>186.98113993088779</v>
      </c>
      <c r="CD43" s="174"/>
      <c r="CE43" s="274">
        <f>('yrP&amp;L'!$U$30-CE40-CE41-CE42)</f>
        <v>0.11121399999999998</v>
      </c>
      <c r="CF43" s="237">
        <f t="shared" si="114"/>
        <v>1.9380224552280809E-2</v>
      </c>
      <c r="CG43" s="23">
        <f t="shared" si="115"/>
        <v>-301.67923980850134</v>
      </c>
      <c r="CH43" s="174"/>
      <c r="CI43" s="274">
        <f>('yrP&amp;L'!$U$30-CI40-CI41-CI42)</f>
        <v>0.15280349999999998</v>
      </c>
      <c r="CJ43" s="237">
        <f t="shared" si="116"/>
        <v>2.3102794497185539E-2</v>
      </c>
      <c r="CK43" s="23">
        <f t="shared" si="117"/>
        <v>37.395921376805099</v>
      </c>
      <c r="CL43" s="174"/>
      <c r="CM43" s="275">
        <f>('yrP&amp;L'!$U$30-CM40-CM41-CM42)</f>
        <v>0.163200875</v>
      </c>
      <c r="CN43" s="237">
        <f t="shared" si="118"/>
        <v>2.4570378249309719E-2</v>
      </c>
      <c r="CO43" s="23">
        <f t="shared" si="119"/>
        <v>6.8044089304237332</v>
      </c>
      <c r="CP43" s="174"/>
      <c r="CQ43" s="275">
        <f>('yrP&amp;L'!$U$30-CQ40-CQ41-CQ42)</f>
        <v>0.16580021875000001</v>
      </c>
      <c r="CR43" s="237">
        <f t="shared" si="120"/>
        <v>2.4186651079572227E-2</v>
      </c>
      <c r="CS43" s="23">
        <f t="shared" si="121"/>
        <v>1.5927266014964747</v>
      </c>
      <c r="CT43" s="174"/>
      <c r="CU43" s="275">
        <f>('yrP&amp;L'!$U$30-CU40-CU41-CU42)</f>
        <v>0.16645005468750002</v>
      </c>
      <c r="CV43" s="237">
        <f t="shared" si="122"/>
        <v>2.2582635144714688E-2</v>
      </c>
      <c r="CW43" s="1467">
        <f t="shared" si="123"/>
        <v>0.39193913156403415</v>
      </c>
      <c r="CX43" s="174"/>
      <c r="CY43" s="275">
        <f>('yrP&amp;L'!$U$30-CY40-CY41-CY42)</f>
        <v>0.16661251367187502</v>
      </c>
      <c r="CZ43" s="237">
        <f t="shared" si="124"/>
        <v>2.2057992579556238E-2</v>
      </c>
      <c r="DA43" s="1467">
        <f t="shared" si="125"/>
        <v>9.7602241513228272E-2</v>
      </c>
      <c r="DB43" s="174"/>
      <c r="DC43" s="174"/>
      <c r="DD43" s="174"/>
      <c r="DE43" s="174"/>
      <c r="DF43" s="175"/>
      <c r="DG43" s="25"/>
      <c r="DH43" s="25"/>
      <c r="DI43" s="25"/>
      <c r="DJ43" s="25"/>
    </row>
    <row r="44" spans="1:114" hidden="1" outlineLevel="4">
      <c r="A44" s="170"/>
      <c r="B44" s="170" t="str">
        <f>$B$14</f>
        <v>Year</v>
      </c>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170"/>
      <c r="AK44" s="170"/>
      <c r="AL44" s="170"/>
      <c r="AM44" s="170"/>
      <c r="AN44" s="170"/>
      <c r="AO44" s="170"/>
      <c r="AP44" s="170"/>
      <c r="AQ44" s="170"/>
      <c r="AR44" s="170"/>
      <c r="AS44" s="170"/>
      <c r="AT44" s="170"/>
      <c r="AU44" s="214">
        <f>SUM(AU40:AU43)</f>
        <v>40.639758644697174</v>
      </c>
      <c r="AV44" s="234">
        <f t="shared" si="98"/>
        <v>8.3107890888951257</v>
      </c>
      <c r="AW44" s="168"/>
      <c r="AX44" s="209"/>
      <c r="AY44" s="214">
        <f>SUM(AY40:AY43)</f>
        <v>50</v>
      </c>
      <c r="AZ44" s="234">
        <f t="shared" si="99"/>
        <v>7.7699956954223852</v>
      </c>
      <c r="BA44" s="168">
        <f t="shared" si="126"/>
        <v>23.032226734260352</v>
      </c>
      <c r="BB44" s="170"/>
      <c r="BC44" s="276">
        <f>SUM(BC40:BC43)</f>
        <v>1</v>
      </c>
      <c r="BD44" s="234">
        <f t="shared" si="100"/>
        <v>0.12940025569490526</v>
      </c>
      <c r="BE44" s="168">
        <f t="shared" si="101"/>
        <v>-98</v>
      </c>
      <c r="BF44" s="170"/>
      <c r="BG44" s="276">
        <f>SUM(BG40:BG43)</f>
        <v>1</v>
      </c>
      <c r="BH44" s="234">
        <f t="shared" si="102"/>
        <v>0.10741692375117085</v>
      </c>
      <c r="BI44" s="168">
        <f t="shared" si="103"/>
        <v>0</v>
      </c>
      <c r="BJ44" s="170"/>
      <c r="BK44" s="276">
        <f>SUM(BK40:BK43)</f>
        <v>1</v>
      </c>
      <c r="BL44" s="234">
        <f t="shared" si="104"/>
        <v>8.9194926592575399E-2</v>
      </c>
      <c r="BM44" s="168">
        <f t="shared" si="105"/>
        <v>0</v>
      </c>
      <c r="BN44" s="170"/>
      <c r="BO44" s="276">
        <f>SUM(BO40:BO43)</f>
        <v>1</v>
      </c>
      <c r="BP44" s="234">
        <f t="shared" si="106"/>
        <v>8.6830428855488112E-2</v>
      </c>
      <c r="BQ44" s="168">
        <f t="shared" si="107"/>
        <v>0</v>
      </c>
      <c r="BR44" s="25"/>
      <c r="BS44" s="277">
        <f>SUM(BS40:BS43)</f>
        <v>1</v>
      </c>
      <c r="BT44" s="237">
        <f t="shared" si="108"/>
        <v>7.4767361355143475E-2</v>
      </c>
      <c r="BU44" s="23">
        <f t="shared" si="109"/>
        <v>0</v>
      </c>
      <c r="BV44" s="25"/>
      <c r="BW44" s="277">
        <f>SUM(BW40:BW43)</f>
        <v>0.99999999999999989</v>
      </c>
      <c r="BX44" s="237">
        <f t="shared" si="110"/>
        <v>6.1986096518550887E-2</v>
      </c>
      <c r="BY44" s="23">
        <f t="shared" si="111"/>
        <v>-1.1102230246251565E-14</v>
      </c>
      <c r="BZ44" s="25"/>
      <c r="CA44" s="277">
        <f>SUM(CA40:CA43)</f>
        <v>0.99999999999999989</v>
      </c>
      <c r="CB44" s="237">
        <f t="shared" si="112"/>
        <v>5.670882400643304E-2</v>
      </c>
      <c r="CC44" s="23">
        <f t="shared" si="113"/>
        <v>0</v>
      </c>
      <c r="CD44" s="174"/>
      <c r="CE44" s="277">
        <f>SUM(CE40:CE43)</f>
        <v>1</v>
      </c>
      <c r="CF44" s="237">
        <f t="shared" si="114"/>
        <v>5.1940874663552981E-2</v>
      </c>
      <c r="CG44" s="23">
        <f t="shared" si="115"/>
        <v>0</v>
      </c>
      <c r="CH44" s="174"/>
      <c r="CI44" s="277">
        <f>SUM(CI40:CI43)</f>
        <v>1</v>
      </c>
      <c r="CJ44" s="237">
        <f t="shared" si="116"/>
        <v>4.6551749019038267E-2</v>
      </c>
      <c r="CK44" s="23">
        <f t="shared" si="117"/>
        <v>0</v>
      </c>
      <c r="CL44" s="174"/>
      <c r="CM44" s="32">
        <f>SUM(CM40:CM43)</f>
        <v>1</v>
      </c>
      <c r="CN44" s="237">
        <f t="shared" si="118"/>
        <v>4.4578536682786267E-2</v>
      </c>
      <c r="CO44" s="23">
        <f t="shared" si="119"/>
        <v>0</v>
      </c>
      <c r="CP44" s="174"/>
      <c r="CQ44" s="32">
        <f>SUM(CQ40:CQ43)</f>
        <v>1</v>
      </c>
      <c r="CR44" s="237">
        <f t="shared" si="120"/>
        <v>4.3538078403371587E-2</v>
      </c>
      <c r="CS44" s="23">
        <f t="shared" si="121"/>
        <v>0</v>
      </c>
      <c r="CT44" s="174"/>
      <c r="CU44" s="32">
        <f>SUM(CU40:CU43)</f>
        <v>1</v>
      </c>
      <c r="CV44" s="237">
        <f t="shared" si="122"/>
        <v>4.1167561443614643E-2</v>
      </c>
      <c r="CW44" s="1467">
        <f t="shared" si="123"/>
        <v>0</v>
      </c>
      <c r="CX44" s="174"/>
      <c r="CY44" s="32">
        <f>SUM(CY40:CY43)</f>
        <v>1</v>
      </c>
      <c r="CZ44" s="237">
        <f t="shared" si="124"/>
        <v>3.9591837690309856E-2</v>
      </c>
      <c r="DA44" s="1467">
        <f t="shared" si="125"/>
        <v>0</v>
      </c>
      <c r="DB44" s="174"/>
      <c r="DC44" s="174"/>
      <c r="DD44" s="174"/>
      <c r="DE44" s="174"/>
      <c r="DF44" s="175"/>
      <c r="DG44" s="25"/>
      <c r="DH44" s="25"/>
      <c r="DI44" s="25"/>
      <c r="DJ44" s="25"/>
    </row>
    <row r="45" spans="1:114" hidden="1" outlineLevel="5">
      <c r="A45" s="170" t="str">
        <f>$A$15</f>
        <v>6 Mos</v>
      </c>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170"/>
      <c r="AK45" s="170"/>
      <c r="AL45" s="170"/>
      <c r="AM45" s="170"/>
      <c r="AN45" s="170"/>
      <c r="AO45" s="170"/>
      <c r="AP45" s="170"/>
      <c r="AQ45" s="170"/>
      <c r="AR45" s="170"/>
      <c r="AS45" s="170"/>
      <c r="AT45" s="170"/>
      <c r="AU45" s="217">
        <f>SUM(AU40:AU41)</f>
        <v>20.319879322348587</v>
      </c>
      <c r="AV45" s="234">
        <f t="shared" si="98"/>
        <v>9.5460342016652042</v>
      </c>
      <c r="AW45" s="168"/>
      <c r="AX45" s="209"/>
      <c r="AY45" s="217">
        <f>SUM(AY40:AY41)</f>
        <v>25</v>
      </c>
      <c r="AZ45" s="234">
        <f t="shared" si="99"/>
        <v>8.8569566079981854</v>
      </c>
      <c r="BA45" s="168">
        <f t="shared" si="126"/>
        <v>23.032226734260352</v>
      </c>
      <c r="BB45" s="170"/>
      <c r="BC45" s="217">
        <f>SUM(BC40:BC41)</f>
        <v>0.6320112</v>
      </c>
      <c r="BD45" s="234">
        <f t="shared" si="100"/>
        <v>0.17851104093818318</v>
      </c>
      <c r="BE45" s="168">
        <f t="shared" si="101"/>
        <v>-97.471955200000011</v>
      </c>
      <c r="BF45" s="170"/>
      <c r="BG45" s="217">
        <f>SUM(BG40:BG41)</f>
        <v>0.70327040000000007</v>
      </c>
      <c r="BH45" s="234">
        <f t="shared" si="102"/>
        <v>0.16730551372543423</v>
      </c>
      <c r="BI45" s="168">
        <f t="shared" si="103"/>
        <v>11.274990063467239</v>
      </c>
      <c r="BJ45" s="170"/>
      <c r="BK45" s="217">
        <f>SUM(BK40:BK41)</f>
        <v>0.83086719999999992</v>
      </c>
      <c r="BL45" s="234">
        <f t="shared" si="104"/>
        <v>0.16505207619433565</v>
      </c>
      <c r="BM45" s="168">
        <f t="shared" si="105"/>
        <v>18.143348561236159</v>
      </c>
      <c r="BN45" s="170"/>
      <c r="BO45" s="217">
        <f>SUM(BO40:BO41)</f>
        <v>0.8156736</v>
      </c>
      <c r="BP45" s="234">
        <f t="shared" si="106"/>
        <v>0.15899264364769033</v>
      </c>
      <c r="BQ45" s="168">
        <f t="shared" si="107"/>
        <v>-1.8286436147677887</v>
      </c>
      <c r="BR45" s="25"/>
      <c r="BS45" s="34">
        <f>SUM(BS40:BS41)</f>
        <v>0.96793760000000018</v>
      </c>
      <c r="BT45" s="237">
        <f t="shared" si="108"/>
        <v>0.16225508881859621</v>
      </c>
      <c r="BU45" s="23">
        <f t="shared" si="109"/>
        <v>18.667270829900605</v>
      </c>
      <c r="BV45" s="25"/>
      <c r="BW45" s="34">
        <f>SUM(BW40:BW41)</f>
        <v>1.0384304</v>
      </c>
      <c r="BX45" s="237">
        <f t="shared" si="110"/>
        <v>0.14695220372322737</v>
      </c>
      <c r="BY45" s="23">
        <f t="shared" si="111"/>
        <v>7.2827835182763589</v>
      </c>
      <c r="BZ45" s="25"/>
      <c r="CA45" s="34">
        <f>SUM(CA40:CA41)</f>
        <v>1.1102879999999999</v>
      </c>
      <c r="CB45" s="237">
        <f t="shared" si="112"/>
        <v>0.14086266788123916</v>
      </c>
      <c r="CC45" s="23">
        <f t="shared" si="113"/>
        <v>6.9198282330717564</v>
      </c>
      <c r="CD45" s="174"/>
      <c r="CE45" s="34">
        <f>SUM(CE40:CE41)</f>
        <v>0.77757200000000004</v>
      </c>
      <c r="CF45" s="237">
        <f t="shared" si="114"/>
        <v>8.941216513788898E-2</v>
      </c>
      <c r="CG45" s="23">
        <f t="shared" si="115"/>
        <v>-29.966639286383344</v>
      </c>
      <c r="CH45" s="174"/>
      <c r="CI45" s="34">
        <f>SUM(CI40:CI41)</f>
        <v>0.69439300000000004</v>
      </c>
      <c r="CJ45" s="237">
        <f t="shared" si="116"/>
        <v>7.2650905948352898E-2</v>
      </c>
      <c r="CK45" s="23">
        <f t="shared" si="117"/>
        <v>-10.697273049955502</v>
      </c>
      <c r="CL45" s="174"/>
      <c r="CM45" s="34">
        <f>SUM(CM40:CM41)</f>
        <v>0.67359824999999995</v>
      </c>
      <c r="CN45" s="237">
        <f t="shared" si="118"/>
        <v>6.4648220057891781E-2</v>
      </c>
      <c r="CO45" s="23">
        <f t="shared" si="119"/>
        <v>-2.9946658448458008</v>
      </c>
      <c r="CP45" s="174"/>
      <c r="CQ45" s="34">
        <f>SUM(CQ40:CQ41)</f>
        <v>0.66839956249999999</v>
      </c>
      <c r="CR45" s="237">
        <f t="shared" si="120"/>
        <v>6.3733399174058861E-2</v>
      </c>
      <c r="CS45" s="23">
        <f t="shared" si="121"/>
        <v>-0.7717786529285009</v>
      </c>
      <c r="CT45" s="174"/>
      <c r="CU45" s="34">
        <f>SUM(CU40:CU41)</f>
        <v>0.66709989062499997</v>
      </c>
      <c r="CV45" s="237">
        <f t="shared" si="122"/>
        <v>6.0811404453335369E-2</v>
      </c>
      <c r="CW45" s="1467">
        <f t="shared" si="123"/>
        <v>-0.1944453509423183</v>
      </c>
      <c r="CX45" s="174"/>
      <c r="CY45" s="34">
        <f>SUM(CY40:CY41)</f>
        <v>0.66677497265624996</v>
      </c>
      <c r="CZ45" s="237">
        <f t="shared" si="124"/>
        <v>5.745014137889512E-2</v>
      </c>
      <c r="DA45" s="1467">
        <f t="shared" si="125"/>
        <v>-4.8706044374491331E-2</v>
      </c>
      <c r="DB45" s="174"/>
      <c r="DC45" s="174"/>
      <c r="DD45" s="174"/>
      <c r="DE45" s="174"/>
      <c r="DF45" s="175"/>
      <c r="DG45" s="25"/>
      <c r="DH45" s="25"/>
      <c r="DI45" s="25"/>
      <c r="DJ45" s="25"/>
    </row>
    <row r="46" spans="1:114" hidden="1" outlineLevel="5">
      <c r="A46" s="170" t="str">
        <f>$A$16</f>
        <v>9 Mos</v>
      </c>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170"/>
      <c r="AK46" s="170"/>
      <c r="AL46" s="170"/>
      <c r="AM46" s="170"/>
      <c r="AN46" s="170"/>
      <c r="AO46" s="170"/>
      <c r="AP46" s="170"/>
      <c r="AQ46" s="170"/>
      <c r="AR46" s="170"/>
      <c r="AS46" s="170"/>
      <c r="AT46" s="170"/>
      <c r="AU46" s="217">
        <f>SUM(AU40:AU42)</f>
        <v>30.479818983522883</v>
      </c>
      <c r="AV46" s="234">
        <f t="shared" si="98"/>
        <v>9.024185726283358</v>
      </c>
      <c r="AW46" s="168"/>
      <c r="AX46" s="209"/>
      <c r="AY46" s="217">
        <f>SUM(AY40:AY42)</f>
        <v>37.5</v>
      </c>
      <c r="AZ46" s="234">
        <f t="shared" si="99"/>
        <v>8.3182864773498615</v>
      </c>
      <c r="BA46" s="168">
        <f t="shared" si="126"/>
        <v>23.032226734260352</v>
      </c>
      <c r="BB46" s="170"/>
      <c r="BC46" s="217">
        <f>SUM(BC40:BC42)</f>
        <v>0.8160056</v>
      </c>
      <c r="BD46" s="234">
        <f t="shared" si="100"/>
        <v>0.14987622439402482</v>
      </c>
      <c r="BE46" s="168">
        <f t="shared" si="101"/>
        <v>-97.823985066666665</v>
      </c>
      <c r="BF46" s="170"/>
      <c r="BG46" s="217">
        <f>SUM(BG40:BG42)</f>
        <v>0.85163520000000004</v>
      </c>
      <c r="BH46" s="234">
        <f t="shared" si="102"/>
        <v>0.13107464142963343</v>
      </c>
      <c r="BI46" s="168">
        <f t="shared" si="103"/>
        <v>4.3663425839234549</v>
      </c>
      <c r="BJ46" s="170"/>
      <c r="BK46" s="217">
        <f>SUM(BK40:BK42)</f>
        <v>0.91543359999999996</v>
      </c>
      <c r="BL46" s="234">
        <f t="shared" si="104"/>
        <v>0.11647419569084194</v>
      </c>
      <c r="BM46" s="168">
        <f t="shared" si="105"/>
        <v>7.491282652478426</v>
      </c>
      <c r="BN46" s="170"/>
      <c r="BO46" s="217">
        <f>SUM(BO40:BO42)</f>
        <v>0.9078368</v>
      </c>
      <c r="BP46" s="234">
        <f t="shared" si="106"/>
        <v>0.11223963265820844</v>
      </c>
      <c r="BQ46" s="168">
        <f t="shared" si="107"/>
        <v>-0.82985811313894819</v>
      </c>
      <c r="BR46" s="25"/>
      <c r="BS46" s="34">
        <f>SUM(BS40:BS42)</f>
        <v>0.98396880000000009</v>
      </c>
      <c r="BT46" s="237">
        <f t="shared" si="108"/>
        <v>0.10533283662615935</v>
      </c>
      <c r="BU46" s="23">
        <f t="shared" si="109"/>
        <v>8.3860887771899151</v>
      </c>
      <c r="BV46" s="25"/>
      <c r="BW46" s="34">
        <f>SUM(BW40:BW42)</f>
        <v>1.0192151999999999</v>
      </c>
      <c r="BX46" s="237">
        <f t="shared" si="110"/>
        <v>9.2614250859840347E-2</v>
      </c>
      <c r="BY46" s="23">
        <f t="shared" si="111"/>
        <v>3.5820647971764652</v>
      </c>
      <c r="BZ46" s="25"/>
      <c r="CA46" s="34">
        <f>SUM(CA40:CA42)</f>
        <v>1.0551439999999999</v>
      </c>
      <c r="CB46" s="237">
        <f t="shared" si="112"/>
        <v>8.6469564818328043E-2</v>
      </c>
      <c r="CC46" s="23">
        <f t="shared" si="113"/>
        <v>3.525143659552965</v>
      </c>
      <c r="CD46" s="174"/>
      <c r="CE46" s="34">
        <f>SUM(CE40:CE42)</f>
        <v>0.88878600000000008</v>
      </c>
      <c r="CF46" s="237">
        <f t="shared" si="114"/>
        <v>6.5767163701991926E-2</v>
      </c>
      <c r="CG46" s="23">
        <f t="shared" si="115"/>
        <v>-15.766378807063287</v>
      </c>
      <c r="CH46" s="174"/>
      <c r="CI46" s="34">
        <f>SUM(CI40:CI42)</f>
        <v>0.84719650000000002</v>
      </c>
      <c r="CJ46" s="237">
        <f t="shared" si="116"/>
        <v>5.6983500813861207E-2</v>
      </c>
      <c r="CK46" s="23">
        <f t="shared" si="117"/>
        <v>-4.6793603859646815</v>
      </c>
      <c r="CL46" s="174"/>
      <c r="CM46" s="34">
        <f>SUM(CM40:CM42)</f>
        <v>0.83679912499999998</v>
      </c>
      <c r="CN46" s="237">
        <f t="shared" si="118"/>
        <v>5.299504152591427E-2</v>
      </c>
      <c r="CO46" s="23">
        <f t="shared" si="119"/>
        <v>-1.2272684082146323</v>
      </c>
      <c r="CP46" s="174"/>
      <c r="CQ46" s="34">
        <f>SUM(CQ40:CQ42)</f>
        <v>0.83419978124999994</v>
      </c>
      <c r="CR46" s="237">
        <f t="shared" si="120"/>
        <v>5.1770658853486258E-2</v>
      </c>
      <c r="CS46" s="23">
        <f t="shared" si="121"/>
        <v>-0.31062935803142233</v>
      </c>
      <c r="CT46" s="174"/>
      <c r="CU46" s="34">
        <f>SUM(CU40:CU42)</f>
        <v>0.83354994531249993</v>
      </c>
      <c r="CV46" s="237">
        <f t="shared" si="122"/>
        <v>4.9263424162069601E-2</v>
      </c>
      <c r="CW46" s="1467">
        <f t="shared" si="123"/>
        <v>-7.7899317658203238E-2</v>
      </c>
      <c r="CX46" s="174"/>
      <c r="CY46" s="34">
        <f>SUM(CY40:CY42)</f>
        <v>0.83338748632812498</v>
      </c>
      <c r="CZ46" s="237">
        <f t="shared" si="124"/>
        <v>4.7072480233451917E-2</v>
      </c>
      <c r="DA46" s="1467">
        <f t="shared" si="125"/>
        <v>-1.9490012000900059E-2</v>
      </c>
      <c r="DB46" s="174"/>
      <c r="DC46" s="174"/>
      <c r="DD46" s="174"/>
      <c r="DE46" s="174"/>
      <c r="DF46" s="175"/>
      <c r="DG46" s="25"/>
      <c r="DH46" s="25"/>
      <c r="DI46" s="25"/>
      <c r="DJ46" s="25"/>
    </row>
    <row r="47" spans="1:114" hidden="1" outlineLevel="4" collapsed="1">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170"/>
      <c r="AK47" s="170"/>
      <c r="AL47" s="170"/>
      <c r="AM47" s="170"/>
      <c r="AN47" s="170"/>
      <c r="AO47" s="170"/>
      <c r="AP47" s="170"/>
      <c r="AQ47" s="170"/>
      <c r="AR47" s="170"/>
      <c r="AS47" s="170"/>
      <c r="AT47" s="170"/>
      <c r="AU47" s="170"/>
      <c r="AV47" s="170"/>
      <c r="AW47" s="263"/>
      <c r="AX47" s="170"/>
      <c r="AY47" s="170"/>
      <c r="AZ47" s="170"/>
      <c r="BA47" s="170"/>
      <c r="BB47" s="170"/>
      <c r="BC47" s="170"/>
      <c r="BD47" s="170"/>
      <c r="BE47" s="170"/>
      <c r="BF47" s="170"/>
      <c r="BG47" s="170"/>
      <c r="BH47" s="170"/>
      <c r="BI47" s="170"/>
      <c r="BJ47" s="170"/>
      <c r="BK47" s="170"/>
      <c r="BL47" s="170"/>
      <c r="BM47" s="170"/>
      <c r="BN47" s="170"/>
      <c r="BO47" s="170"/>
      <c r="BP47" s="170"/>
      <c r="BQ47" s="170"/>
      <c r="BR47" s="25"/>
      <c r="BS47" s="25"/>
      <c r="BT47" s="25"/>
      <c r="BU47" s="25"/>
      <c r="BV47" s="25"/>
      <c r="BW47" s="25"/>
      <c r="BX47" s="25"/>
      <c r="BY47" s="25"/>
      <c r="BZ47" s="25"/>
      <c r="CA47" s="25"/>
      <c r="CB47" s="25"/>
      <c r="CC47" s="25"/>
      <c r="CD47" s="174"/>
      <c r="CE47" s="174"/>
      <c r="CF47" s="174"/>
      <c r="CG47" s="174"/>
      <c r="CH47" s="174"/>
      <c r="CI47" s="174"/>
      <c r="CJ47" s="174"/>
      <c r="CK47" s="174"/>
      <c r="CL47" s="174"/>
      <c r="CM47" s="19"/>
      <c r="CN47" s="174"/>
      <c r="CO47" s="174"/>
      <c r="CP47" s="174"/>
      <c r="CQ47" s="19"/>
      <c r="CR47" s="174"/>
      <c r="CS47" s="174"/>
      <c r="CT47" s="174"/>
      <c r="CU47" s="19"/>
      <c r="CV47" s="174"/>
      <c r="CW47" s="1463"/>
      <c r="CX47" s="174"/>
      <c r="CY47" s="19"/>
      <c r="CZ47" s="174"/>
      <c r="DA47" s="1463"/>
      <c r="DB47" s="174"/>
      <c r="DC47" s="174"/>
      <c r="DD47" s="174"/>
      <c r="DE47" s="174"/>
      <c r="DF47" s="175"/>
      <c r="DG47" s="25"/>
      <c r="DH47" s="25"/>
      <c r="DI47" s="25"/>
      <c r="DJ47" s="25"/>
    </row>
    <row r="48" spans="1:114" outlineLevel="3" collapsed="1">
      <c r="A48" s="170"/>
      <c r="B48" s="170"/>
      <c r="C48" s="184"/>
      <c r="D48" s="184"/>
      <c r="E48" s="170"/>
      <c r="F48" s="170"/>
      <c r="G48" s="170"/>
      <c r="H48" s="278"/>
      <c r="I48" s="187"/>
      <c r="J48" s="187"/>
      <c r="K48" s="187"/>
      <c r="L48" s="278"/>
      <c r="M48" s="187"/>
      <c r="N48" s="187"/>
      <c r="O48" s="187"/>
      <c r="P48" s="278"/>
      <c r="Q48" s="187"/>
      <c r="R48" s="187"/>
      <c r="S48" s="187"/>
      <c r="T48" s="278"/>
      <c r="U48" s="187"/>
      <c r="V48" s="187"/>
      <c r="W48" s="187"/>
      <c r="X48" s="170"/>
      <c r="Y48" s="187"/>
      <c r="Z48" s="187"/>
      <c r="AA48" s="187"/>
      <c r="AB48" s="170"/>
      <c r="AC48" s="187"/>
      <c r="AD48" s="187"/>
      <c r="AE48" s="187"/>
      <c r="AF48" s="278"/>
      <c r="AG48" s="187"/>
      <c r="AH48" s="187"/>
      <c r="AI48" s="187"/>
      <c r="AJ48" s="278"/>
      <c r="AK48" s="187"/>
      <c r="AL48" s="187"/>
      <c r="AM48" s="187"/>
      <c r="AN48" s="278"/>
      <c r="AO48" s="187"/>
      <c r="AP48" s="187"/>
      <c r="AQ48" s="170"/>
      <c r="AR48" s="170"/>
      <c r="AS48" s="170"/>
      <c r="AT48" s="187"/>
      <c r="AU48" s="278" t="s">
        <v>484</v>
      </c>
      <c r="AV48" s="187"/>
      <c r="AW48" s="187"/>
      <c r="AX48" s="187"/>
      <c r="AY48" s="278" t="s">
        <v>484</v>
      </c>
      <c r="AZ48" s="187"/>
      <c r="BA48" s="187"/>
      <c r="BB48" s="187"/>
      <c r="BC48" s="278"/>
      <c r="BD48" s="187"/>
      <c r="BE48" s="187"/>
      <c r="BF48" s="187"/>
      <c r="BG48" s="278"/>
      <c r="BH48" s="187"/>
      <c r="BI48" s="187"/>
      <c r="BJ48" s="187"/>
      <c r="BK48" s="278"/>
      <c r="BL48" s="187"/>
      <c r="BM48" s="187"/>
      <c r="BN48" s="187"/>
      <c r="BO48" s="278"/>
      <c r="BP48" s="187"/>
      <c r="BQ48" s="187"/>
      <c r="BR48" s="188"/>
      <c r="BS48" s="189" t="str">
        <f>AY48</f>
        <v xml:space="preserve">4.  Operating Income (% Operating Margin) </v>
      </c>
      <c r="BT48" s="188"/>
      <c r="BU48" s="188"/>
      <c r="BV48" s="188"/>
      <c r="BW48" s="279"/>
      <c r="BX48" s="188"/>
      <c r="BY48" s="188"/>
      <c r="BZ48" s="188"/>
      <c r="CA48" s="279"/>
      <c r="CB48" s="188"/>
      <c r="CC48" s="188"/>
      <c r="CD48" s="174"/>
      <c r="CE48" s="174"/>
      <c r="CF48" s="255"/>
      <c r="CG48" s="174"/>
      <c r="CH48" s="174"/>
      <c r="CI48" s="174"/>
      <c r="CJ48" s="1004" t="str">
        <f>BS48</f>
        <v xml:space="preserve">4.  Operating Income (% Operating Margin) </v>
      </c>
      <c r="CK48" s="1004"/>
      <c r="CL48" s="1004"/>
      <c r="CM48" s="1004"/>
      <c r="CN48" s="1004"/>
      <c r="CO48" s="1004"/>
      <c r="CP48" s="1004"/>
      <c r="CQ48" s="1004"/>
      <c r="CR48" s="1004"/>
      <c r="CS48" s="1785"/>
      <c r="CT48" s="1004"/>
      <c r="CU48" s="1004"/>
      <c r="CV48" s="1004"/>
      <c r="CW48" s="1463"/>
      <c r="CX48" s="1004"/>
      <c r="CY48" s="1004"/>
      <c r="CZ48" s="1004"/>
      <c r="DA48" s="1463"/>
      <c r="DB48" s="174"/>
      <c r="DC48" s="174"/>
      <c r="DD48" s="174"/>
      <c r="DE48" s="174"/>
      <c r="DF48" s="175"/>
      <c r="DG48" s="25"/>
      <c r="DH48" s="25"/>
      <c r="DI48" s="25">
        <v>10</v>
      </c>
      <c r="DJ48" s="25"/>
    </row>
    <row r="49" spans="1:114" outlineLevel="3">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170"/>
      <c r="AK49" s="170"/>
      <c r="AL49" s="170"/>
      <c r="AM49" s="170"/>
      <c r="AN49" s="170"/>
      <c r="AO49" s="170"/>
      <c r="AP49" s="170"/>
      <c r="AQ49" s="170"/>
      <c r="AR49" s="170"/>
      <c r="AS49" s="170"/>
      <c r="AT49" s="170"/>
      <c r="AU49" s="170"/>
      <c r="AV49" s="170"/>
      <c r="AW49" s="170"/>
      <c r="AX49" s="170"/>
      <c r="AY49" s="170"/>
      <c r="AZ49" s="170"/>
      <c r="BA49" s="170"/>
      <c r="BB49" s="170"/>
      <c r="BC49" s="170"/>
      <c r="BD49" s="170"/>
      <c r="BE49" s="170"/>
      <c r="BF49" s="170"/>
      <c r="BG49" s="170"/>
      <c r="BH49" s="170"/>
      <c r="BI49" s="170"/>
      <c r="BJ49" s="170"/>
      <c r="BK49" s="170"/>
      <c r="BL49" s="170"/>
      <c r="BM49" s="170"/>
      <c r="BN49" s="170"/>
      <c r="BO49" s="170"/>
      <c r="BP49" s="170"/>
      <c r="BQ49" s="170"/>
      <c r="BR49" s="25"/>
      <c r="BS49" s="25"/>
      <c r="BT49" s="25"/>
      <c r="BU49" s="25"/>
      <c r="BV49" s="25"/>
      <c r="BW49" s="25"/>
      <c r="BX49" s="237"/>
      <c r="BY49" s="25"/>
      <c r="BZ49" s="25"/>
      <c r="CA49" s="25"/>
      <c r="CB49" s="237"/>
      <c r="CC49" s="25"/>
      <c r="CD49" s="174"/>
      <c r="CE49" s="174"/>
      <c r="CF49" s="174"/>
      <c r="CG49" s="174"/>
      <c r="CH49" s="174"/>
      <c r="CI49" s="174"/>
      <c r="CJ49" s="174"/>
      <c r="CK49" s="174"/>
      <c r="CL49" s="174"/>
      <c r="CM49" s="19"/>
      <c r="CN49" s="174"/>
      <c r="CO49" s="174"/>
      <c r="CP49" s="174"/>
      <c r="CQ49" s="19"/>
      <c r="CR49" s="174"/>
      <c r="CS49" s="174"/>
      <c r="CT49" s="174"/>
      <c r="CU49" s="19"/>
      <c r="CV49" s="174"/>
      <c r="CW49" s="1463"/>
      <c r="CX49" s="174"/>
      <c r="CY49" s="19"/>
      <c r="CZ49" s="174"/>
      <c r="DA49" s="1463"/>
      <c r="DB49" s="174"/>
      <c r="DC49" s="174"/>
      <c r="DD49" s="174"/>
      <c r="DE49" s="174"/>
      <c r="DF49" s="175"/>
      <c r="DG49" s="25"/>
      <c r="DH49" s="25"/>
      <c r="DI49" s="25">
        <v>5</v>
      </c>
      <c r="DJ49" s="25"/>
    </row>
    <row r="50" spans="1:114" outlineLevel="3">
      <c r="A50" s="170" t="str">
        <f>$A$10</f>
        <v>1Q</v>
      </c>
      <c r="B50" s="170" t="str">
        <f>$B$10</f>
        <v>Apr</v>
      </c>
      <c r="C50" s="170"/>
      <c r="D50" s="214">
        <f>D10-D20-D30</f>
        <v>3.397000000000002</v>
      </c>
      <c r="E50" s="234">
        <f t="shared" ref="E50:E56" si="127">D50/D10*100</f>
        <v>14.680207433016429</v>
      </c>
      <c r="F50" s="168"/>
      <c r="G50" s="170"/>
      <c r="H50" s="214">
        <f>H10-H20-H30</f>
        <v>3.6080000000000005</v>
      </c>
      <c r="I50" s="234">
        <f t="shared" ref="I50:I56" si="128">H50/H10*100</f>
        <v>12.923098964862639</v>
      </c>
      <c r="J50" s="168">
        <f t="shared" ref="J50:J56" si="129">IF(D50&lt;0,"       NM",(H50/D50-1)*100)</f>
        <v>6.2113629673240522</v>
      </c>
      <c r="K50" s="170"/>
      <c r="L50" s="214">
        <f>L10-L20-L30</f>
        <v>4.7210000000000001</v>
      </c>
      <c r="M50" s="234">
        <f t="shared" ref="M50:M56" si="130">L50/L10*100</f>
        <v>14.030968585609415</v>
      </c>
      <c r="N50" s="168">
        <f t="shared" ref="N50:N56" si="131">IF(H50&lt;0,"       NM",(L50/H50-1)*100)</f>
        <v>30.8481152993348</v>
      </c>
      <c r="O50" s="170"/>
      <c r="P50" s="214">
        <f>P10-P20-P30</f>
        <v>3.8469999999999995</v>
      </c>
      <c r="Q50" s="234">
        <f t="shared" ref="Q50:Q56" si="132">P50/P10*100</f>
        <v>10.333064732742411</v>
      </c>
      <c r="R50" s="168">
        <f t="shared" ref="R50:R56" si="133">IF(L50&lt;0,"       NM",(P50/L50-1)*100)</f>
        <v>-18.513026901080288</v>
      </c>
      <c r="S50" s="170"/>
      <c r="T50" s="214">
        <f>T10-T20-T30</f>
        <v>3.1660000000000004</v>
      </c>
      <c r="U50" s="234">
        <f t="shared" ref="U50:U56" si="134">T50/T10*100</f>
        <v>8.0200628229810533</v>
      </c>
      <c r="V50" s="168">
        <f t="shared" ref="V50:V56" si="135">IF(P50&lt;0,"       NM",(T50/P50-1)*100)</f>
        <v>-17.702105536781886</v>
      </c>
      <c r="W50" s="170"/>
      <c r="X50" s="214">
        <f>X10-X20-X30</f>
        <v>6.0659999999999989</v>
      </c>
      <c r="Y50" s="234">
        <f t="shared" ref="Y50:Y56" si="136">X50/X10*100</f>
        <v>10.36515557985749</v>
      </c>
      <c r="Z50" s="168">
        <f t="shared" ref="Z50:Z56" si="137">IF(T50&lt;0,"       NM",(X50/T50-1)*100)</f>
        <v>91.598231206569764</v>
      </c>
      <c r="AA50" s="170"/>
      <c r="AB50" s="214">
        <f>AB10-AB20-AB30</f>
        <v>5.0110000000000063</v>
      </c>
      <c r="AC50" s="234">
        <f t="shared" ref="AC50:AC56" si="138">AB50/AB10*100</f>
        <v>7.5981804397270754</v>
      </c>
      <c r="AD50" s="168">
        <f t="shared" ref="AD50:AD56" si="139">IF(X50&lt;0,"       NM",(AB50/X50-1)*100)</f>
        <v>-17.39202110121979</v>
      </c>
      <c r="AE50" s="170"/>
      <c r="AF50" s="214">
        <f>AF10-AF20-AF30</f>
        <v>2.0480000000000018</v>
      </c>
      <c r="AG50" s="234">
        <f t="shared" ref="AG50:AG56" si="140">AF50/AF10*100</f>
        <v>2.8510176239663694</v>
      </c>
      <c r="AH50" s="168">
        <f t="shared" ref="AH50:AH56" si="141">IF(AB50&lt;0,"       NM",(AF50/AB50-1)*100)</f>
        <v>-59.129914188784682</v>
      </c>
      <c r="AI50" s="170"/>
      <c r="AJ50" s="214">
        <f>AJ10-AJ20-AJ30</f>
        <v>8.1679999999999957</v>
      </c>
      <c r="AK50" s="234">
        <f t="shared" ref="AK50:AK56" si="142">AJ50/AJ10*100</f>
        <v>8.6825265216744221</v>
      </c>
      <c r="AL50" s="168">
        <f t="shared" ref="AL50:AL56" si="143">IF(AF50&lt;0,"       NM",(AJ50/AF50-1)*100)</f>
        <v>298.82812499999943</v>
      </c>
      <c r="AM50" s="170"/>
      <c r="AN50" s="214">
        <f>AN10-AN20-AN30</f>
        <v>10.660000000000007</v>
      </c>
      <c r="AO50" s="234">
        <f t="shared" ref="AO50:AO56" si="144">AN50/AN10*100</f>
        <v>9.9600104645513383</v>
      </c>
      <c r="AP50" s="168">
        <f t="shared" ref="AP50:AP56" si="145">IF(AJ50&lt;0,"       NM",(AN50/AJ50-1)*100)</f>
        <v>30.509304603330236</v>
      </c>
      <c r="AQ50" s="170"/>
      <c r="AR50" s="170"/>
      <c r="AS50" s="170"/>
      <c r="AT50" s="170"/>
      <c r="AU50" s="214">
        <f>AU10-AU20-AU30</f>
        <v>28.395999999999994</v>
      </c>
      <c r="AV50" s="234">
        <f t="shared" ref="AV50:AV56" si="146">AU50/AU10*100</f>
        <v>16.675083680779842</v>
      </c>
      <c r="AW50" s="168">
        <f t="shared" ref="AW50:AW56" si="147">IF(AN50&lt;0,"       NM",(AU50/AN50-1)*100)</f>
        <v>166.37898686679148</v>
      </c>
      <c r="AX50" s="170"/>
      <c r="AY50" s="214">
        <f>AY10-AY20-AY30</f>
        <v>44.777999999999992</v>
      </c>
      <c r="AZ50" s="234">
        <f t="shared" ref="AZ50:AZ56" si="148">AY50/AY10*100</f>
        <v>19.357181454663351</v>
      </c>
      <c r="BA50" s="168">
        <f t="shared" ref="BA50:BA56" si="149">IF(AU50&lt;0,"       NM",(AY50/AU50-1)*100)</f>
        <v>57.691224116072682</v>
      </c>
      <c r="BB50" s="170"/>
      <c r="BC50" s="214">
        <f>BC10-BC20-BC30</f>
        <v>31.551000000000002</v>
      </c>
      <c r="BD50" s="234">
        <f t="shared" ref="BD50:BD56" si="150">BC50/BC10*100</f>
        <v>11.685252604562105</v>
      </c>
      <c r="BE50" s="168">
        <f t="shared" ref="BE50:BE56" si="151">IF(AY50&lt;0,"       NM",(BC50/AY50-1)*100)</f>
        <v>-29.539059359506879</v>
      </c>
      <c r="BF50" s="170"/>
      <c r="BG50" s="214">
        <f>BG10-BG20-BG30</f>
        <v>36.015999999999977</v>
      </c>
      <c r="BH50" s="234">
        <f t="shared" ref="BH50:BH56" si="152">BG50/BG10*100</f>
        <v>11.450226359428244</v>
      </c>
      <c r="BI50" s="168">
        <f t="shared" ref="BI50:BI56" si="153">IF(BC50&lt;0,"       NM",(BG50/BC50-1)*100)</f>
        <v>14.151690913124693</v>
      </c>
      <c r="BJ50" s="170"/>
      <c r="BK50" s="214">
        <f>BK10-BK20-BK30</f>
        <v>62.941999999999979</v>
      </c>
      <c r="BL50" s="234">
        <f t="shared" ref="BL50:BL56" si="154">BK50/BK10*100</f>
        <v>15.963296237306357</v>
      </c>
      <c r="BM50" s="168">
        <f t="shared" ref="BM50:BM56" si="155">IF(BG50&lt;0,"       NM",(BK50/BG50-1)*100)</f>
        <v>74.761217236783708</v>
      </c>
      <c r="BN50" s="170"/>
      <c r="BO50" s="214">
        <f>BO10-BO20-BO30</f>
        <v>46.119999999999976</v>
      </c>
      <c r="BP50" s="234">
        <f t="shared" ref="BP50:BP56" si="156">BO50/BO10*100</f>
        <v>11.985571575588098</v>
      </c>
      <c r="BQ50" s="168">
        <f t="shared" ref="BQ50:BQ56" si="157">IF(BK50&lt;0,"       NM",(BO50/BK50-1)*100)</f>
        <v>-26.726192367576516</v>
      </c>
      <c r="BR50" s="25"/>
      <c r="BS50" s="32">
        <f>BS10-BS20-BS30</f>
        <v>82.210999999999999</v>
      </c>
      <c r="BT50" s="237">
        <f t="shared" ref="BT50:BT56" si="158">BS50/BS10*100</f>
        <v>17.128683372190658</v>
      </c>
      <c r="BU50" s="23">
        <f t="shared" ref="BU50:BU56" si="159">IF(BO50&lt;0,"       NM",(BS50/BO50-1)*100)</f>
        <v>78.254553339115446</v>
      </c>
      <c r="BV50" s="25"/>
      <c r="BW50" s="32">
        <f>BW10-BW20-BW30</f>
        <v>61.636000000000024</v>
      </c>
      <c r="BX50" s="237">
        <f t="shared" ref="BX50:BX56" si="160">BW50/BW10*100</f>
        <v>11.762168928989221</v>
      </c>
      <c r="BY50" s="23">
        <f t="shared" ref="BY50:BY56" si="161">IF(BS50&lt;0,"       NM",(BW50/BS50-1)*100)</f>
        <v>-25.027064504749941</v>
      </c>
      <c r="BZ50" s="25"/>
      <c r="CA50" s="32">
        <f>CA10-CA20-CA30</f>
        <v>52.914999999999935</v>
      </c>
      <c r="CB50" s="237">
        <f t="shared" ref="CB50:CB56" si="162">CA50/CA10*100</f>
        <v>9.3007927161513617</v>
      </c>
      <c r="CC50" s="23">
        <f t="shared" ref="CC50:CC56" si="163">IF(BW50&lt;0,"       NM",(CA50/BW50-1)*100)</f>
        <v>-14.149198520345397</v>
      </c>
      <c r="CD50" s="174"/>
      <c r="CE50" s="32">
        <f>CE10-CE20-CE30</f>
        <v>72.966000000000037</v>
      </c>
      <c r="CF50" s="237">
        <f t="shared" ref="CF50:CF56" si="164">CE50/CE10*100</f>
        <v>11.25711032634605</v>
      </c>
      <c r="CG50" s="23">
        <f t="shared" ref="CG50:CG56" si="165">IF(CA50&lt;0,"       NM",(CE50/CA50-1)*100)</f>
        <v>37.892847018803977</v>
      </c>
      <c r="CH50" s="174"/>
      <c r="CI50" s="32">
        <f>CI10-CI20-CI30</f>
        <v>59.82099999999997</v>
      </c>
      <c r="CJ50" s="237">
        <f t="shared" ref="CJ50:CJ56" si="166">CI50/CI10*100</f>
        <v>8.7163235272690134</v>
      </c>
      <c r="CK50" s="23">
        <f t="shared" ref="CK50:CK56" si="167">IF(CE50&lt;0,"       NM",(CI50/CE50-1)*100)</f>
        <v>-18.015239974782858</v>
      </c>
      <c r="CL50" s="174"/>
      <c r="CM50" s="32">
        <f>CM10-CM20-CM30</f>
        <v>53.054000000000002</v>
      </c>
      <c r="CN50" s="237">
        <f t="shared" ref="CN50:CN56" si="168">CM50/CM10*100</f>
        <v>7.1790638827620743</v>
      </c>
      <c r="CO50" s="23">
        <f t="shared" ref="CO50:CO56" si="169">IF(CI50&lt;0,"       NM",(CM50/CI50-1)*100)</f>
        <v>-11.312081041774579</v>
      </c>
      <c r="CP50" s="174"/>
      <c r="CQ50" s="291">
        <f>CQ10-CQ20-CQ30</f>
        <v>50.483000000000033</v>
      </c>
      <c r="CR50" s="237">
        <f t="shared" ref="CR50:CR56" si="170">CQ50/CQ10*100</f>
        <v>6.6200527946686085</v>
      </c>
      <c r="CS50" s="23">
        <f t="shared" ref="CS50:CS56" si="171">IF(CM50&lt;0,"       NM",(CQ50/CM50-1)*100)</f>
        <v>-4.8460059561955209</v>
      </c>
      <c r="CT50" s="174"/>
      <c r="CU50" s="32">
        <f>CU10-CU20-CU30</f>
        <v>21.036000000000087</v>
      </c>
      <c r="CV50" s="237">
        <f t="shared" ref="CV50:CV56" si="172">CU50/CU10*100</f>
        <v>2.7635675718283328</v>
      </c>
      <c r="CW50" s="1467">
        <f t="shared" ref="CW50:CW56" si="173">IF(CQ50&lt;0,"       NM",(CU50/CQ50-1)*100)</f>
        <v>-58.330527108135264</v>
      </c>
      <c r="CX50" s="174"/>
      <c r="CY50" s="32">
        <f>CY10-CY20-CY30</f>
        <v>43.92613844074657</v>
      </c>
      <c r="CZ50" s="237">
        <f t="shared" ref="CZ50:CZ56" si="174">CY50/CY10*100</f>
        <v>5.2400000000000073</v>
      </c>
      <c r="DA50" s="1467">
        <f t="shared" ref="DA50:DA56" si="175">IF(CU50&lt;0,"       NM",(CY50/CU50-1)*100)</f>
        <v>108.814120748937</v>
      </c>
      <c r="DB50" s="174"/>
      <c r="DC50" s="174"/>
      <c r="DD50" s="174"/>
      <c r="DE50" s="243"/>
      <c r="DF50" s="239"/>
      <c r="DG50" s="239"/>
      <c r="DH50" s="25"/>
      <c r="DI50" s="25">
        <f>AVERAGE(DI34:DI49)</f>
        <v>7</v>
      </c>
      <c r="DJ50" s="25"/>
    </row>
    <row r="51" spans="1:114" outlineLevel="3">
      <c r="A51" s="170" t="str">
        <f>$A$11</f>
        <v>2Q</v>
      </c>
      <c r="B51" s="170" t="str">
        <f>$B$11</f>
        <v>Jul</v>
      </c>
      <c r="C51" s="170"/>
      <c r="D51" s="217">
        <f>D11-D21-D31</f>
        <v>3.6700000000000017</v>
      </c>
      <c r="E51" s="234">
        <f t="shared" si="127"/>
        <v>15.052087605610703</v>
      </c>
      <c r="F51" s="168"/>
      <c r="G51" s="170"/>
      <c r="H51" s="217">
        <f>H11-H21-H31</f>
        <v>3.7010000000000005</v>
      </c>
      <c r="I51" s="234">
        <f t="shared" si="128"/>
        <v>12.385796994745826</v>
      </c>
      <c r="J51" s="168">
        <f t="shared" si="129"/>
        <v>0.84468664850132491</v>
      </c>
      <c r="K51" s="170"/>
      <c r="L51" s="217">
        <f>L11-L21-L31</f>
        <v>4.6589999999999989</v>
      </c>
      <c r="M51" s="234">
        <f t="shared" si="130"/>
        <v>12.971212205579372</v>
      </c>
      <c r="N51" s="168">
        <f t="shared" si="131"/>
        <v>25.884895974061028</v>
      </c>
      <c r="O51" s="170"/>
      <c r="P51" s="217">
        <f>P11-P21-P31</f>
        <v>4.5259999999999998</v>
      </c>
      <c r="Q51" s="234">
        <f t="shared" si="132"/>
        <v>10.943998452461551</v>
      </c>
      <c r="R51" s="168">
        <f t="shared" si="133"/>
        <v>-2.8546898476067617</v>
      </c>
      <c r="S51" s="170"/>
      <c r="T51" s="217">
        <f>T11-T21-T31</f>
        <v>5.3820000000000032</v>
      </c>
      <c r="U51" s="234">
        <f t="shared" si="134"/>
        <v>11.181517877547636</v>
      </c>
      <c r="V51" s="168">
        <f t="shared" si="135"/>
        <v>18.91294741493601</v>
      </c>
      <c r="W51" s="280"/>
      <c r="X51" s="217">
        <f>X11-X21-X31</f>
        <v>10.688000000000004</v>
      </c>
      <c r="Y51" s="234">
        <f t="shared" si="136"/>
        <v>15.657549698949627</v>
      </c>
      <c r="Z51" s="168">
        <f t="shared" si="137"/>
        <v>98.587885544407243</v>
      </c>
      <c r="AA51" s="170"/>
      <c r="AB51" s="217">
        <f>AB11-AB21-AB31</f>
        <v>3.0099999999999909</v>
      </c>
      <c r="AC51" s="234">
        <f t="shared" si="138"/>
        <v>4.5108500179834419</v>
      </c>
      <c r="AD51" s="168">
        <f t="shared" si="139"/>
        <v>-71.83757485029949</v>
      </c>
      <c r="AE51" s="170"/>
      <c r="AF51" s="217">
        <f>AF11-AF21-AF31</f>
        <v>5.4469999999999956</v>
      </c>
      <c r="AG51" s="234">
        <f t="shared" si="140"/>
        <v>6.7752969712046722</v>
      </c>
      <c r="AH51" s="168">
        <f t="shared" si="141"/>
        <v>80.963455149502067</v>
      </c>
      <c r="AI51" s="170"/>
      <c r="AJ51" s="217">
        <f>AJ11-AJ21-AJ31</f>
        <v>10.548000000000005</v>
      </c>
      <c r="AK51" s="234">
        <f t="shared" si="142"/>
        <v>10.443460955832125</v>
      </c>
      <c r="AL51" s="168">
        <f t="shared" si="143"/>
        <v>93.647879566734233</v>
      </c>
      <c r="AM51" s="170"/>
      <c r="AN51" s="217">
        <f>AN11-AN21-AN31</f>
        <v>15.501000000000012</v>
      </c>
      <c r="AO51" s="234">
        <f t="shared" si="144"/>
        <v>12.614848753651975</v>
      </c>
      <c r="AP51" s="168">
        <f t="shared" si="145"/>
        <v>46.956769055745198</v>
      </c>
      <c r="AQ51" s="170"/>
      <c r="AR51" s="247">
        <f>+(AK51-AG51)*100</f>
        <v>366.81639846274521</v>
      </c>
      <c r="AS51" s="170"/>
      <c r="AT51" s="170"/>
      <c r="AU51" s="217">
        <f>AU11-AU21-AU31</f>
        <v>34.120000000000012</v>
      </c>
      <c r="AV51" s="234">
        <f t="shared" si="146"/>
        <v>18.006797407696698</v>
      </c>
      <c r="AW51" s="168">
        <f t="shared" si="147"/>
        <v>120.11483130120628</v>
      </c>
      <c r="AX51" s="170"/>
      <c r="AY51" s="217">
        <f>AY11-AY21-AY31</f>
        <v>49.464999999999982</v>
      </c>
      <c r="AZ51" s="234">
        <f t="shared" si="148"/>
        <v>19.521137210330235</v>
      </c>
      <c r="BA51" s="168">
        <f t="shared" si="149"/>
        <v>44.973622508792403</v>
      </c>
      <c r="BB51" s="170"/>
      <c r="BC51" s="217">
        <f>BC11-BC21-BC31</f>
        <v>38.709000000000032</v>
      </c>
      <c r="BD51" s="234">
        <f t="shared" si="150"/>
        <v>13.555517423719801</v>
      </c>
      <c r="BE51" s="168">
        <f t="shared" si="151"/>
        <v>-21.744667947033157</v>
      </c>
      <c r="BF51" s="170"/>
      <c r="BG51" s="217">
        <f>BG11-BG21-BG31</f>
        <v>47.271000000000015</v>
      </c>
      <c r="BH51" s="234">
        <f t="shared" si="152"/>
        <v>13.566117279716691</v>
      </c>
      <c r="BI51" s="168">
        <f t="shared" si="153"/>
        <v>22.118887080523852</v>
      </c>
      <c r="BJ51" s="170"/>
      <c r="BK51" s="217">
        <f>BK11-BK21-BK31</f>
        <v>82.919999999999987</v>
      </c>
      <c r="BL51" s="234">
        <f t="shared" si="154"/>
        <v>18.252457103864224</v>
      </c>
      <c r="BM51" s="168">
        <f t="shared" si="155"/>
        <v>75.414101669099367</v>
      </c>
      <c r="BN51" s="170"/>
      <c r="BO51" s="217">
        <f>BO11-BO21-BO31</f>
        <v>78.440999999999946</v>
      </c>
      <c r="BP51" s="234">
        <f t="shared" si="156"/>
        <v>17.103478651450192</v>
      </c>
      <c r="BQ51" s="168">
        <f t="shared" si="157"/>
        <v>-5.4015918958032376</v>
      </c>
      <c r="BR51" s="25"/>
      <c r="BS51" s="34">
        <f>BS11-BS21-BS31</f>
        <v>106.869</v>
      </c>
      <c r="BT51" s="237">
        <f t="shared" si="158"/>
        <v>19.35475107713539</v>
      </c>
      <c r="BU51" s="23">
        <f t="shared" si="159"/>
        <v>36.241251386392406</v>
      </c>
      <c r="BV51" s="25"/>
      <c r="BW51" s="34">
        <f>BW11-BW21-BW31</f>
        <v>87.995000000000033</v>
      </c>
      <c r="BX51" s="237">
        <f t="shared" si="160"/>
        <v>14.444803761115338</v>
      </c>
      <c r="BY51" s="23">
        <f t="shared" si="161"/>
        <v>-17.660874528628479</v>
      </c>
      <c r="BZ51" s="25"/>
      <c r="CA51" s="34">
        <f>CA11-CA21-CA31</f>
        <v>95.938000000000017</v>
      </c>
      <c r="CB51" s="237">
        <f t="shared" si="162"/>
        <v>14.18636666770176</v>
      </c>
      <c r="CC51" s="23">
        <f>IF(BW51&lt;0,"       NM",(CA51/BW51-1)*100)</f>
        <v>9.0266492414341482</v>
      </c>
      <c r="CD51" s="174"/>
      <c r="CE51" s="34">
        <f>CE11-CE21-CE31</f>
        <v>119.31700000000001</v>
      </c>
      <c r="CF51" s="237">
        <f t="shared" si="164"/>
        <v>15.730154879740127</v>
      </c>
      <c r="CG51" s="23">
        <f t="shared" si="165"/>
        <v>24.368863224165583</v>
      </c>
      <c r="CH51" s="174"/>
      <c r="CI51" s="34">
        <f>CI11-CI21-CI31</f>
        <v>105.11700000000005</v>
      </c>
      <c r="CJ51" s="237">
        <f t="shared" si="166"/>
        <v>12.95736348586693</v>
      </c>
      <c r="CK51" s="23">
        <f t="shared" si="167"/>
        <v>-11.90107025821967</v>
      </c>
      <c r="CL51" s="174"/>
      <c r="CM51" s="34">
        <f>CM11-CM21-CM31</f>
        <v>103.751</v>
      </c>
      <c r="CN51" s="237">
        <f t="shared" si="168"/>
        <v>11.960320936988449</v>
      </c>
      <c r="CO51" s="23">
        <f t="shared" si="169"/>
        <v>-1.2995043618064028</v>
      </c>
      <c r="CP51" s="174"/>
      <c r="CQ51" s="34">
        <f>CQ11-CQ21-CQ31</f>
        <v>118.21199999999996</v>
      </c>
      <c r="CR51" s="237">
        <f t="shared" si="170"/>
        <v>13.273775837443067</v>
      </c>
      <c r="CS51" s="23">
        <f t="shared" si="171"/>
        <v>13.938178909118903</v>
      </c>
      <c r="CT51" s="174"/>
      <c r="CU51" s="34">
        <f>CU11-CU21-CU31</f>
        <v>75.180000000000064</v>
      </c>
      <c r="CV51" s="237">
        <f t="shared" si="172"/>
        <v>8.6123645511500975</v>
      </c>
      <c r="CW51" s="1467">
        <f t="shared" si="173"/>
        <v>-36.402395695868364</v>
      </c>
      <c r="CX51" s="174"/>
      <c r="CY51" s="34">
        <f>CY11-CY21-CY31</f>
        <v>96.239757680514259</v>
      </c>
      <c r="CZ51" s="237">
        <f t="shared" si="174"/>
        <v>10.400000000000004</v>
      </c>
      <c r="DA51" s="1467">
        <f t="shared" si="175"/>
        <v>28.012447034469503</v>
      </c>
      <c r="DB51" s="174"/>
      <c r="DC51" s="174"/>
      <c r="DD51" s="174"/>
      <c r="DE51" s="243"/>
      <c r="DF51" s="239"/>
      <c r="DG51" s="239"/>
      <c r="DH51" s="25"/>
      <c r="DI51" s="25"/>
      <c r="DJ51" s="25"/>
    </row>
    <row r="52" spans="1:114" outlineLevel="3">
      <c r="A52" s="170" t="str">
        <f>$A$12</f>
        <v>3Q</v>
      </c>
      <c r="B52" s="170" t="str">
        <f>$B$12</f>
        <v>Oct</v>
      </c>
      <c r="C52" s="170"/>
      <c r="D52" s="217">
        <f>D12-D22-D32</f>
        <v>6.5649999999999959</v>
      </c>
      <c r="E52" s="234">
        <f t="shared" si="127"/>
        <v>20.890345573728748</v>
      </c>
      <c r="F52" s="168"/>
      <c r="G52" s="170"/>
      <c r="H52" s="217">
        <f>H12-H22-H32</f>
        <v>6.9259999999999984</v>
      </c>
      <c r="I52" s="234">
        <f t="shared" si="128"/>
        <v>17.831213634725295</v>
      </c>
      <c r="J52" s="168">
        <f t="shared" si="129"/>
        <v>5.4988575780655413</v>
      </c>
      <c r="K52" s="170"/>
      <c r="L52" s="217">
        <f>L12-L22-L32</f>
        <v>7.6009999999999991</v>
      </c>
      <c r="M52" s="234">
        <f t="shared" si="130"/>
        <v>16.925337905542317</v>
      </c>
      <c r="N52" s="168">
        <f t="shared" si="131"/>
        <v>9.7458850707479172</v>
      </c>
      <c r="O52" s="170"/>
      <c r="P52" s="217">
        <f>P12-P22-P32</f>
        <v>7.7910000000000004</v>
      </c>
      <c r="Q52" s="234">
        <f t="shared" si="132"/>
        <v>16.094114730731889</v>
      </c>
      <c r="R52" s="168">
        <f t="shared" si="133"/>
        <v>2.4996710959084512</v>
      </c>
      <c r="S52" s="170"/>
      <c r="T52" s="217">
        <f>T12-T22-T32</f>
        <v>8.1070000000000029</v>
      </c>
      <c r="U52" s="234">
        <f t="shared" si="134"/>
        <v>13.333004407604768</v>
      </c>
      <c r="V52" s="168">
        <f t="shared" si="135"/>
        <v>4.0559620074445135</v>
      </c>
      <c r="W52" s="280"/>
      <c r="X52" s="217">
        <f>X12-X22-X32</f>
        <v>11.582000000000004</v>
      </c>
      <c r="Y52" s="234">
        <f t="shared" si="136"/>
        <v>15.257541825846404</v>
      </c>
      <c r="Z52" s="168">
        <f t="shared" si="137"/>
        <v>42.864191439496736</v>
      </c>
      <c r="AA52" s="170"/>
      <c r="AB52" s="217">
        <f>AB12-AB22-AB32</f>
        <v>4.1479999999999926</v>
      </c>
      <c r="AC52" s="234">
        <f t="shared" si="138"/>
        <v>5.3806540322475938</v>
      </c>
      <c r="AD52" s="168">
        <f t="shared" si="139"/>
        <v>-64.18580556035235</v>
      </c>
      <c r="AE52" s="170"/>
      <c r="AF52" s="217">
        <f>AF12-AF22-AF32</f>
        <v>8.3689999999999927</v>
      </c>
      <c r="AG52" s="234">
        <f t="shared" si="140"/>
        <v>9.0125889789896441</v>
      </c>
      <c r="AH52" s="168">
        <f t="shared" si="141"/>
        <v>101.75988428158166</v>
      </c>
      <c r="AI52" s="170"/>
      <c r="AJ52" s="217">
        <f>AJ12-AJ22-AJ32</f>
        <v>13.091999999999992</v>
      </c>
      <c r="AK52" s="234">
        <f t="shared" si="142"/>
        <v>11.890360198354307</v>
      </c>
      <c r="AL52" s="168">
        <f t="shared" si="143"/>
        <v>56.434460509021434</v>
      </c>
      <c r="AM52" s="170"/>
      <c r="AN52" s="217">
        <f>AN12-AN22-AN32</f>
        <v>23.477999999999994</v>
      </c>
      <c r="AO52" s="234">
        <f t="shared" si="144"/>
        <v>16.495352382825946</v>
      </c>
      <c r="AP52" s="168">
        <f t="shared" si="145"/>
        <v>79.330889092575688</v>
      </c>
      <c r="AQ52" s="234">
        <f>+AK52-AG52</f>
        <v>2.8777712193646625</v>
      </c>
      <c r="AR52" s="247">
        <f>+(AK52-AG52)*100</f>
        <v>287.77712193646624</v>
      </c>
      <c r="AS52" s="170"/>
      <c r="AT52" s="170"/>
      <c r="AU52" s="217">
        <f>AU12-AU22-AU32</f>
        <v>43.182000000000009</v>
      </c>
      <c r="AV52" s="234">
        <f t="shared" si="146"/>
        <v>19.959048407001521</v>
      </c>
      <c r="AW52" s="168">
        <f t="shared" si="147"/>
        <v>83.925376948632845</v>
      </c>
      <c r="AX52" s="263"/>
      <c r="AY52" s="217">
        <f>AY12-AY22-AY32</f>
        <v>60.658999999999978</v>
      </c>
      <c r="AZ52" s="234">
        <f t="shared" si="148"/>
        <v>21.003736136647717</v>
      </c>
      <c r="BA52" s="168">
        <f t="shared" si="149"/>
        <v>40.472882219443207</v>
      </c>
      <c r="BB52" s="263"/>
      <c r="BC52" s="217">
        <f>BC12-BC22-BC32</f>
        <v>45.464000000000013</v>
      </c>
      <c r="BD52" s="234">
        <f t="shared" si="150"/>
        <v>14.744045013053139</v>
      </c>
      <c r="BE52" s="168">
        <f t="shared" si="151"/>
        <v>-25.049868939481314</v>
      </c>
      <c r="BF52" s="263"/>
      <c r="BG52" s="217">
        <f>BG12-BG22-BG32</f>
        <v>61.326999999999984</v>
      </c>
      <c r="BH52" s="234">
        <f t="shared" si="152"/>
        <v>16.167615733417691</v>
      </c>
      <c r="BI52" s="168">
        <f t="shared" si="153"/>
        <v>34.89134260073898</v>
      </c>
      <c r="BJ52" s="263"/>
      <c r="BK52" s="217">
        <f>BK12-BK22-BK32</f>
        <v>90.378999999999962</v>
      </c>
      <c r="BL52" s="234">
        <f t="shared" si="154"/>
        <v>18.909599897897902</v>
      </c>
      <c r="BM52" s="168">
        <f t="shared" si="155"/>
        <v>47.372283007484441</v>
      </c>
      <c r="BN52" s="263"/>
      <c r="BO52" s="217">
        <f>BO12-BO22-BO32</f>
        <v>95.760999999999967</v>
      </c>
      <c r="BP52" s="234">
        <f t="shared" si="156"/>
        <v>18.928839691638657</v>
      </c>
      <c r="BQ52" s="168">
        <f t="shared" si="157"/>
        <v>5.9549231569280492</v>
      </c>
      <c r="BR52" s="244"/>
      <c r="BS52" s="34">
        <f>BS12-BS22-BS32</f>
        <v>104.79999999999998</v>
      </c>
      <c r="BT52" s="237">
        <f t="shared" si="158"/>
        <v>18.270826650301956</v>
      </c>
      <c r="BU52" s="23">
        <f t="shared" si="159"/>
        <v>9.4391244870041255</v>
      </c>
      <c r="BV52" s="244"/>
      <c r="BW52" s="34">
        <f>BW12-BW22-BW32</f>
        <v>73.360999999999962</v>
      </c>
      <c r="BX52" s="237">
        <f t="shared" si="160"/>
        <v>12.027320137781102</v>
      </c>
      <c r="BY52" s="23">
        <f t="shared" si="161"/>
        <v>-29.999045801526748</v>
      </c>
      <c r="BZ52" s="244"/>
      <c r="CA52" s="34">
        <f>CA12-CA22-CA32</f>
        <v>93.480000000000018</v>
      </c>
      <c r="CB52" s="237">
        <f t="shared" si="162"/>
        <v>13.491825235544063</v>
      </c>
      <c r="CC52" s="23">
        <f t="shared" si="163"/>
        <v>27.424653426207477</v>
      </c>
      <c r="CD52" s="174"/>
      <c r="CE52" s="34">
        <f>CE12-CE22-CE32</f>
        <v>105.45899999999997</v>
      </c>
      <c r="CF52" s="237">
        <f t="shared" si="164"/>
        <v>13.624331276185355</v>
      </c>
      <c r="CG52" s="23">
        <f t="shared" si="165"/>
        <v>12.814505776636675</v>
      </c>
      <c r="CH52" s="174"/>
      <c r="CI52" s="34">
        <f>CI12-CI22-CI32</f>
        <v>76.465000000000003</v>
      </c>
      <c r="CJ52" s="237">
        <f t="shared" si="166"/>
        <v>9.3883138728252735</v>
      </c>
      <c r="CK52" s="23">
        <f t="shared" si="167"/>
        <v>-27.493148996292383</v>
      </c>
      <c r="CL52" s="174"/>
      <c r="CM52" s="38">
        <f>CM12-CM22-CM32</f>
        <v>80.324999999999989</v>
      </c>
      <c r="CN52" s="237">
        <f t="shared" si="168"/>
        <v>9.7333197618199385</v>
      </c>
      <c r="CO52" s="23">
        <f t="shared" si="169"/>
        <v>5.0480612044726092</v>
      </c>
      <c r="CP52" s="174"/>
      <c r="CQ52" s="38">
        <f>CQ12-CQ22-CQ32</f>
        <v>70.304999999999922</v>
      </c>
      <c r="CR52" s="237">
        <f t="shared" si="170"/>
        <v>8.1513894058024867</v>
      </c>
      <c r="CS52" s="23">
        <f t="shared" si="171"/>
        <v>-12.474323062558446</v>
      </c>
      <c r="CT52" s="174"/>
      <c r="CU52" s="34">
        <f>CU12-CU22-CU32</f>
        <v>72.887999999999977</v>
      </c>
      <c r="CV52" s="237">
        <f t="shared" si="172"/>
        <v>8.1642162518173667</v>
      </c>
      <c r="CW52" s="1467">
        <f t="shared" si="173"/>
        <v>3.6739918924686199</v>
      </c>
      <c r="CX52" s="174"/>
      <c r="CY52" s="34">
        <f>CY12-CY22-CY32</f>
        <v>71.206479616140598</v>
      </c>
      <c r="CZ52" s="237">
        <f t="shared" si="174"/>
        <v>7.8000000000000069</v>
      </c>
      <c r="DA52" s="1467">
        <f t="shared" si="175"/>
        <v>-2.3069920753201911</v>
      </c>
      <c r="DB52" s="174"/>
      <c r="DC52" s="174"/>
      <c r="DD52" s="174"/>
      <c r="DE52" s="281"/>
      <c r="DF52" s="239"/>
      <c r="DG52" s="239"/>
      <c r="DH52" s="25"/>
      <c r="DI52" s="25"/>
      <c r="DJ52" s="25"/>
    </row>
    <row r="53" spans="1:114" outlineLevel="3">
      <c r="A53" s="170" t="str">
        <f>$A$13</f>
        <v>4Q</v>
      </c>
      <c r="B53" s="170" t="str">
        <f>$B$13</f>
        <v>Jan</v>
      </c>
      <c r="C53" s="209"/>
      <c r="D53" s="282">
        <f>D13-D23-D33</f>
        <v>3.9729999999999901</v>
      </c>
      <c r="E53" s="234">
        <f t="shared" si="127"/>
        <v>12.74500368908989</v>
      </c>
      <c r="F53" s="168"/>
      <c r="G53" s="170"/>
      <c r="H53" s="282">
        <f>H13-H23-H33</f>
        <v>5.6320000000000068</v>
      </c>
      <c r="I53" s="234">
        <f t="shared" si="128"/>
        <v>15.47507830961149</v>
      </c>
      <c r="J53" s="168">
        <f t="shared" si="129"/>
        <v>41.756858796879449</v>
      </c>
      <c r="K53" s="170"/>
      <c r="L53" s="282">
        <f>L13-L23-L33</f>
        <v>4.375</v>
      </c>
      <c r="M53" s="234">
        <f t="shared" si="130"/>
        <v>10.410717685132305</v>
      </c>
      <c r="N53" s="168">
        <f t="shared" si="131"/>
        <v>-22.318892045454643</v>
      </c>
      <c r="O53" s="170"/>
      <c r="P53" s="282">
        <f>P13-P23-P33</f>
        <v>5.8979999999999997</v>
      </c>
      <c r="Q53" s="234">
        <f t="shared" si="132"/>
        <v>12.748297849346157</v>
      </c>
      <c r="R53" s="168">
        <f t="shared" si="133"/>
        <v>34.811428571428557</v>
      </c>
      <c r="S53" s="170"/>
      <c r="T53" s="282">
        <f>T13-T23-T33</f>
        <v>8.4610000000000003</v>
      </c>
      <c r="U53" s="234">
        <f t="shared" si="134"/>
        <v>13.768469699928401</v>
      </c>
      <c r="V53" s="168">
        <f t="shared" si="135"/>
        <v>43.455408613089183</v>
      </c>
      <c r="W53" s="280"/>
      <c r="X53" s="282">
        <f>X13-X23-X33</f>
        <v>9.2290000000000028</v>
      </c>
      <c r="Y53" s="234">
        <f t="shared" si="136"/>
        <v>12.236969463928192</v>
      </c>
      <c r="Z53" s="168">
        <f t="shared" si="137"/>
        <v>9.0769412598983976</v>
      </c>
      <c r="AA53" s="170"/>
      <c r="AB53" s="282">
        <f>AB13-AB23-AB33</f>
        <v>5.708999999999989</v>
      </c>
      <c r="AC53" s="234">
        <f t="shared" si="138"/>
        <v>6.6721985881912831</v>
      </c>
      <c r="AD53" s="168">
        <f t="shared" si="139"/>
        <v>-38.140643623361278</v>
      </c>
      <c r="AE53" s="170"/>
      <c r="AF53" s="282">
        <f>AF13-AF23-AF33</f>
        <v>9.6340000000000003</v>
      </c>
      <c r="AG53" s="234">
        <f t="shared" si="140"/>
        <v>9.2750553576586103</v>
      </c>
      <c r="AH53" s="168">
        <f t="shared" si="141"/>
        <v>68.751094762655796</v>
      </c>
      <c r="AI53" s="170"/>
      <c r="AJ53" s="282">
        <f>AJ13-AJ23-AJ33</f>
        <v>13.590999999999998</v>
      </c>
      <c r="AK53" s="234">
        <f t="shared" si="142"/>
        <v>11.559626785061194</v>
      </c>
      <c r="AL53" s="168">
        <f t="shared" si="143"/>
        <v>41.073282125804411</v>
      </c>
      <c r="AM53" s="170"/>
      <c r="AN53" s="282">
        <f>AN13-AN23-AN33</f>
        <v>31.066999999999986</v>
      </c>
      <c r="AO53" s="234">
        <f t="shared" si="144"/>
        <v>17.639377026282762</v>
      </c>
      <c r="AP53" s="168">
        <f t="shared" si="145"/>
        <v>128.58509307630044</v>
      </c>
      <c r="AQ53" s="170"/>
      <c r="AR53" s="170"/>
      <c r="AS53" s="170"/>
      <c r="AT53" s="170"/>
      <c r="AU53" s="282">
        <f>AU13-AU23-AU33</f>
        <v>42.667999999999878</v>
      </c>
      <c r="AV53" s="234">
        <f t="shared" si="146"/>
        <v>16.95711441322927</v>
      </c>
      <c r="AW53" s="168">
        <f t="shared" si="147"/>
        <v>37.341874014226995</v>
      </c>
      <c r="AX53" s="170"/>
      <c r="AY53" s="282">
        <f>AY13-AY23-AY33</f>
        <v>52.796999999999983</v>
      </c>
      <c r="AZ53" s="234">
        <f t="shared" si="148"/>
        <v>16.572135258907238</v>
      </c>
      <c r="BA53" s="168">
        <f t="shared" si="149"/>
        <v>23.739101903065851</v>
      </c>
      <c r="BB53" s="170"/>
      <c r="BC53" s="282">
        <f>BC13-BC23-BC33</f>
        <v>48.265000000000001</v>
      </c>
      <c r="BD53" s="234">
        <f t="shared" si="150"/>
        <v>13.377365602722868</v>
      </c>
      <c r="BE53" s="168">
        <f t="shared" si="151"/>
        <v>-8.5838210504384449</v>
      </c>
      <c r="BF53" s="170"/>
      <c r="BG53" s="282">
        <f>BG13-BG23-BG33</f>
        <v>80.331000000000003</v>
      </c>
      <c r="BH53" s="234">
        <f t="shared" si="152"/>
        <v>17.260228056492004</v>
      </c>
      <c r="BI53" s="168">
        <f t="shared" si="153"/>
        <v>66.437376981249358</v>
      </c>
      <c r="BJ53" s="170"/>
      <c r="BK53" s="282">
        <f>BK13-BK23-BK33</f>
        <v>63.194000000000003</v>
      </c>
      <c r="BL53" s="234">
        <f t="shared" si="154"/>
        <v>12.43785403028669</v>
      </c>
      <c r="BM53" s="168">
        <f t="shared" si="155"/>
        <v>-21.332984775491404</v>
      </c>
      <c r="BN53" s="170"/>
      <c r="BO53" s="282">
        <f>BO13-BO23-BO33</f>
        <v>118.66200000000006</v>
      </c>
      <c r="BP53" s="234">
        <f t="shared" si="156"/>
        <v>20.163706280278618</v>
      </c>
      <c r="BQ53" s="168">
        <f t="shared" si="157"/>
        <v>87.774155774282463</v>
      </c>
      <c r="BR53" s="25"/>
      <c r="BS53" s="275">
        <f>BS13-BS23-BS33</f>
        <v>120.32300000000001</v>
      </c>
      <c r="BT53" s="237">
        <f t="shared" si="158"/>
        <v>18.001915049596796</v>
      </c>
      <c r="BU53" s="23">
        <f t="shared" si="159"/>
        <v>1.3997741484215176</v>
      </c>
      <c r="BV53" s="25"/>
      <c r="BW53" s="275">
        <f>BW13-BW23-BW33</f>
        <v>61.733000000000033</v>
      </c>
      <c r="BX53" s="237">
        <f t="shared" si="160"/>
        <v>8.4490753413408406</v>
      </c>
      <c r="BY53" s="23">
        <f t="shared" si="161"/>
        <v>-48.693932165920039</v>
      </c>
      <c r="BZ53" s="25"/>
      <c r="CA53" s="275">
        <f>CA13-CA23-CA33</f>
        <v>131.95200000000023</v>
      </c>
      <c r="CB53" s="237">
        <f t="shared" si="162"/>
        <v>15.399445885101709</v>
      </c>
      <c r="CC53" s="23">
        <f t="shared" si="163"/>
        <v>113.74629452642857</v>
      </c>
      <c r="CD53" s="174"/>
      <c r="CE53" s="275">
        <f>CE13-CE23-CE33</f>
        <v>129.089</v>
      </c>
      <c r="CF53" s="237">
        <f t="shared" si="164"/>
        <v>14.250467512568196</v>
      </c>
      <c r="CG53" s="23">
        <f t="shared" si="165"/>
        <v>-2.1697283860799499</v>
      </c>
      <c r="CH53" s="174"/>
      <c r="CI53" s="275">
        <f>CI13-CI23-CI33</f>
        <v>123.98199999999994</v>
      </c>
      <c r="CJ53" s="237">
        <f t="shared" si="166"/>
        <v>12.262769968468232</v>
      </c>
      <c r="CK53" s="23">
        <f t="shared" si="167"/>
        <v>-3.9561852675286446</v>
      </c>
      <c r="CL53" s="174"/>
      <c r="CM53" s="275">
        <f>CM13-CM23-CM33</f>
        <v>116.44899999999998</v>
      </c>
      <c r="CN53" s="237">
        <f t="shared" si="168"/>
        <v>11.490853616418296</v>
      </c>
      <c r="CO53" s="23">
        <f t="shared" si="169"/>
        <v>-6.0758819828684469</v>
      </c>
      <c r="CP53" s="174"/>
      <c r="CQ53" s="275">
        <f>CQ13-CQ23-CQ33</f>
        <v>103.86799999999985</v>
      </c>
      <c r="CR53" s="237">
        <f t="shared" si="170"/>
        <v>10.082725174196566</v>
      </c>
      <c r="CS53" s="23">
        <f t="shared" si="171"/>
        <v>-10.803871222595419</v>
      </c>
      <c r="CT53" s="174"/>
      <c r="CU53" s="275">
        <f>CU13-CU23-CU33</f>
        <v>104.2589999999999</v>
      </c>
      <c r="CV53" s="237">
        <f t="shared" si="172"/>
        <v>9.5727831393998173</v>
      </c>
      <c r="CW53" s="1467">
        <f t="shared" si="173"/>
        <v>0.37643932683795178</v>
      </c>
      <c r="CX53" s="174"/>
      <c r="CY53" s="275">
        <f>CY13-CY23-CY33</f>
        <v>92.871299916680982</v>
      </c>
      <c r="CZ53" s="237">
        <f t="shared" si="174"/>
        <v>8.4100000000000019</v>
      </c>
      <c r="DA53" s="1467">
        <f t="shared" si="175"/>
        <v>-10.922510366797045</v>
      </c>
      <c r="DB53" s="174"/>
      <c r="DC53" s="174"/>
      <c r="DD53" s="174"/>
      <c r="DE53" s="243"/>
      <c r="DF53" s="239"/>
      <c r="DG53" s="239"/>
      <c r="DH53" s="25"/>
      <c r="DI53" s="25"/>
      <c r="DJ53" s="25"/>
    </row>
    <row r="54" spans="1:114" outlineLevel="3">
      <c r="A54" s="170"/>
      <c r="B54" s="170" t="str">
        <f>$B$14</f>
        <v>Year</v>
      </c>
      <c r="C54" s="170"/>
      <c r="D54" s="214">
        <f>SUM(D50:D53)</f>
        <v>17.60499999999999</v>
      </c>
      <c r="E54" s="234">
        <f t="shared" si="127"/>
        <v>15.986959798766803</v>
      </c>
      <c r="F54" s="168"/>
      <c r="G54" s="170"/>
      <c r="H54" s="214">
        <f>SUM(H50:H53)</f>
        <v>19.867000000000004</v>
      </c>
      <c r="I54" s="234">
        <f t="shared" si="128"/>
        <v>14.933551820559851</v>
      </c>
      <c r="J54" s="168">
        <f t="shared" si="129"/>
        <v>12.848622550411903</v>
      </c>
      <c r="K54" s="170"/>
      <c r="L54" s="214">
        <f>SUM(L50:L53)</f>
        <v>21.355999999999998</v>
      </c>
      <c r="M54" s="234">
        <f t="shared" si="130"/>
        <v>13.646180781863027</v>
      </c>
      <c r="N54" s="168">
        <f t="shared" si="131"/>
        <v>7.4948406905924081</v>
      </c>
      <c r="O54" s="170"/>
      <c r="P54" s="214">
        <f>SUM(P50:P53)</f>
        <v>22.062000000000001</v>
      </c>
      <c r="Q54" s="234">
        <f t="shared" si="132"/>
        <v>12.733464157912962</v>
      </c>
      <c r="R54" s="168">
        <f t="shared" si="133"/>
        <v>3.3058625210713677</v>
      </c>
      <c r="S54" s="170"/>
      <c r="T54" s="214">
        <f>SUM(T50:T53)</f>
        <v>25.116000000000007</v>
      </c>
      <c r="U54" s="234">
        <f t="shared" si="134"/>
        <v>11.967693517261099</v>
      </c>
      <c r="V54" s="168">
        <f t="shared" si="135"/>
        <v>13.842806635844473</v>
      </c>
      <c r="W54" s="170"/>
      <c r="X54" s="214">
        <f>SUM(X50:X53)</f>
        <v>37.565000000000012</v>
      </c>
      <c r="Y54" s="234">
        <f t="shared" si="136"/>
        <v>13.507099632163911</v>
      </c>
      <c r="Z54" s="168">
        <f t="shared" si="137"/>
        <v>49.566013696448486</v>
      </c>
      <c r="AA54" s="170"/>
      <c r="AB54" s="214">
        <f>SUM(AB50:AB53)</f>
        <v>17.877999999999979</v>
      </c>
      <c r="AC54" s="234">
        <f t="shared" si="138"/>
        <v>6.0535057037310356</v>
      </c>
      <c r="AD54" s="168">
        <f t="shared" si="139"/>
        <v>-52.407826434180826</v>
      </c>
      <c r="AE54" s="170"/>
      <c r="AF54" s="214">
        <f>SUM(AF50:AF53)</f>
        <v>25.49799999999999</v>
      </c>
      <c r="AG54" s="234">
        <f t="shared" si="140"/>
        <v>7.3068965319608647</v>
      </c>
      <c r="AH54" s="168">
        <f t="shared" si="141"/>
        <v>42.622217250251815</v>
      </c>
      <c r="AI54" s="170"/>
      <c r="AJ54" s="214">
        <f>SUM(AJ50:AJ53)</f>
        <v>45.398999999999987</v>
      </c>
      <c r="AK54" s="234">
        <f t="shared" si="142"/>
        <v>10.73886941341773</v>
      </c>
      <c r="AL54" s="168">
        <f t="shared" si="143"/>
        <v>78.049258765393375</v>
      </c>
      <c r="AM54" s="170"/>
      <c r="AN54" s="214">
        <f>SUM(AN50:AN53)</f>
        <v>80.705999999999989</v>
      </c>
      <c r="AO54" s="234">
        <f t="shared" si="144"/>
        <v>14.717676858857576</v>
      </c>
      <c r="AP54" s="168">
        <f t="shared" si="145"/>
        <v>77.770435472147</v>
      </c>
      <c r="AQ54" s="170"/>
      <c r="AR54" s="170"/>
      <c r="AS54" s="170"/>
      <c r="AT54" s="170"/>
      <c r="AU54" s="214">
        <f>SUM(AU50:AU53)</f>
        <v>148.36599999999987</v>
      </c>
      <c r="AV54" s="234">
        <f t="shared" si="146"/>
        <v>17.924010872848068</v>
      </c>
      <c r="AW54" s="168">
        <f t="shared" si="147"/>
        <v>83.835154759249491</v>
      </c>
      <c r="AX54" s="263"/>
      <c r="AY54" s="214">
        <f>SUM(AY50:AY53)</f>
        <v>207.6989999999999</v>
      </c>
      <c r="AZ54" s="234">
        <f t="shared" si="148"/>
        <v>19.018191440948542</v>
      </c>
      <c r="BA54" s="168">
        <f t="shared" si="149"/>
        <v>39.990968281142635</v>
      </c>
      <c r="BB54" s="263"/>
      <c r="BC54" s="214">
        <f>SUM(BC50:BC53)</f>
        <v>163.98900000000003</v>
      </c>
      <c r="BD54" s="234">
        <f t="shared" si="150"/>
        <v>13.389950494685712</v>
      </c>
      <c r="BE54" s="168">
        <f t="shared" si="151"/>
        <v>-21.044877442837894</v>
      </c>
      <c r="BF54" s="263"/>
      <c r="BG54" s="214">
        <f>SUM(BG50:BG53)</f>
        <v>224.94499999999999</v>
      </c>
      <c r="BH54" s="234">
        <f t="shared" si="152"/>
        <v>14.919507814427574</v>
      </c>
      <c r="BI54" s="168">
        <f t="shared" si="153"/>
        <v>37.170785845392039</v>
      </c>
      <c r="BJ54" s="263"/>
      <c r="BK54" s="214">
        <f>SUM(BK50:BK53)</f>
        <v>299.43499999999995</v>
      </c>
      <c r="BL54" s="234">
        <f t="shared" si="154"/>
        <v>16.321381344781308</v>
      </c>
      <c r="BM54" s="168">
        <f t="shared" si="155"/>
        <v>33.114761386116577</v>
      </c>
      <c r="BN54" s="263"/>
      <c r="BO54" s="214">
        <f>SUM(BO50:BO53)</f>
        <v>338.98399999999992</v>
      </c>
      <c r="BP54" s="234">
        <f t="shared" si="156"/>
        <v>17.493104346906176</v>
      </c>
      <c r="BQ54" s="168">
        <f t="shared" si="157"/>
        <v>13.207874830931576</v>
      </c>
      <c r="BR54" s="244"/>
      <c r="BS54" s="32">
        <f>SUM(BS50:BS53)</f>
        <v>414.20299999999997</v>
      </c>
      <c r="BT54" s="237">
        <f t="shared" si="158"/>
        <v>18.213914767235593</v>
      </c>
      <c r="BU54" s="23">
        <f t="shared" si="159"/>
        <v>22.18954286927999</v>
      </c>
      <c r="BV54" s="244"/>
      <c r="BW54" s="32">
        <f>SUM(BW50:BW53)</f>
        <v>284.72500000000002</v>
      </c>
      <c r="BX54" s="237">
        <f t="shared" si="160"/>
        <v>11.50961617365342</v>
      </c>
      <c r="BY54" s="23">
        <f t="shared" si="161"/>
        <v>-31.259551475967086</v>
      </c>
      <c r="BZ54" s="244"/>
      <c r="CA54" s="32">
        <f>SUM(CA50:CA53)</f>
        <v>374.2850000000002</v>
      </c>
      <c r="CB54" s="237">
        <f t="shared" si="162"/>
        <v>13.391593692138434</v>
      </c>
      <c r="CC54" s="23">
        <f t="shared" si="163"/>
        <v>31.454912634998735</v>
      </c>
      <c r="CD54" s="174"/>
      <c r="CE54" s="32">
        <f>SUM(CE50:CE53)</f>
        <v>426.83100000000002</v>
      </c>
      <c r="CF54" s="237">
        <f t="shared" si="164"/>
        <v>13.828480973288476</v>
      </c>
      <c r="CG54" s="23">
        <f t="shared" si="165"/>
        <v>14.039034425638164</v>
      </c>
      <c r="CH54" s="174"/>
      <c r="CI54" s="32">
        <f>SUM(CI50:CI53)</f>
        <v>365.38499999999999</v>
      </c>
      <c r="CJ54" s="237">
        <f t="shared" si="166"/>
        <v>10.99538168992172</v>
      </c>
      <c r="CK54" s="23">
        <f t="shared" si="167"/>
        <v>-14.395861593932969</v>
      </c>
      <c r="CL54" s="174"/>
      <c r="CM54" s="32">
        <f>SUM(CM50:CM53)</f>
        <v>353.57899999999995</v>
      </c>
      <c r="CN54" s="237">
        <f t="shared" si="168"/>
        <v>10.263142159347066</v>
      </c>
      <c r="CO54" s="23">
        <f t="shared" si="169"/>
        <v>-3.2311123883027593</v>
      </c>
      <c r="CP54" s="174"/>
      <c r="CQ54" s="32">
        <f>SUM(CQ50:CQ53)</f>
        <v>342.86799999999977</v>
      </c>
      <c r="CR54" s="237">
        <f t="shared" si="170"/>
        <v>9.6697100846806041</v>
      </c>
      <c r="CS54" s="23">
        <f t="shared" si="171"/>
        <v>-3.0293088673253199</v>
      </c>
      <c r="CT54" s="174"/>
      <c r="CU54" s="32">
        <f>SUM(CU50:CU53)</f>
        <v>273.36300000000006</v>
      </c>
      <c r="CV54" s="237">
        <f t="shared" si="172"/>
        <v>7.5597882087845916</v>
      </c>
      <c r="CW54" s="1467">
        <f t="shared" si="173"/>
        <v>-20.271649731091777</v>
      </c>
      <c r="CX54" s="174"/>
      <c r="CY54" s="32">
        <f>SUM(CY50:CY53)</f>
        <v>304.24367565408238</v>
      </c>
      <c r="CZ54" s="237">
        <f t="shared" si="174"/>
        <v>8.046928739744688</v>
      </c>
      <c r="DA54" s="1467">
        <f t="shared" si="175"/>
        <v>11.296582073683092</v>
      </c>
      <c r="DB54" s="174"/>
      <c r="DC54" s="174"/>
      <c r="DD54" s="174"/>
      <c r="DE54" s="174"/>
      <c r="DF54" s="175"/>
      <c r="DG54" s="237"/>
      <c r="DH54" s="25"/>
      <c r="DI54" s="25"/>
      <c r="DJ54" s="25"/>
    </row>
    <row r="55" spans="1:114" outlineLevel="4">
      <c r="A55" s="170" t="str">
        <f>$A$15</f>
        <v>6 Mos</v>
      </c>
      <c r="B55" s="170"/>
      <c r="C55" s="170"/>
      <c r="D55" s="217">
        <f>SUM(D50:D51)</f>
        <v>7.0670000000000037</v>
      </c>
      <c r="E55" s="234">
        <f t="shared" si="127"/>
        <v>14.871007112495271</v>
      </c>
      <c r="F55" s="168"/>
      <c r="G55" s="170"/>
      <c r="H55" s="217">
        <f>SUM(H50:H51)</f>
        <v>7.3090000000000011</v>
      </c>
      <c r="I55" s="234">
        <f t="shared" si="128"/>
        <v>12.645328719723187</v>
      </c>
      <c r="J55" s="168">
        <f t="shared" si="129"/>
        <v>3.4243667751520768</v>
      </c>
      <c r="K55" s="170"/>
      <c r="L55" s="217">
        <f>SUM(L50:L51)</f>
        <v>9.379999999999999</v>
      </c>
      <c r="M55" s="234">
        <f t="shared" si="130"/>
        <v>13.483792136850425</v>
      </c>
      <c r="N55" s="168">
        <f t="shared" si="131"/>
        <v>28.33492953892458</v>
      </c>
      <c r="O55" s="170"/>
      <c r="P55" s="217">
        <f>SUM(P50:P51)</f>
        <v>8.3729999999999993</v>
      </c>
      <c r="Q55" s="234">
        <f t="shared" si="132"/>
        <v>10.654569516198812</v>
      </c>
      <c r="R55" s="168">
        <f t="shared" si="133"/>
        <v>-10.735607675906177</v>
      </c>
      <c r="S55" s="170"/>
      <c r="T55" s="217">
        <f>SUM(T50:T51)</f>
        <v>8.5480000000000036</v>
      </c>
      <c r="U55" s="234">
        <f t="shared" si="134"/>
        <v>9.7569884372610147</v>
      </c>
      <c r="V55" s="168">
        <f t="shared" si="135"/>
        <v>2.0900513555476508</v>
      </c>
      <c r="W55" s="170"/>
      <c r="X55" s="217">
        <f>SUM(X50:X51)</f>
        <v>16.754000000000005</v>
      </c>
      <c r="Y55" s="234">
        <f t="shared" si="136"/>
        <v>13.214601211509343</v>
      </c>
      <c r="Z55" s="168">
        <f t="shared" si="137"/>
        <v>95.999064108563374</v>
      </c>
      <c r="AA55" s="170"/>
      <c r="AB55" s="217">
        <f>SUM(AB50:AB51)</f>
        <v>8.0209999999999972</v>
      </c>
      <c r="AC55" s="234">
        <f t="shared" si="138"/>
        <v>6.0454634528708588</v>
      </c>
      <c r="AD55" s="168">
        <f t="shared" si="139"/>
        <v>-52.124865703712572</v>
      </c>
      <c r="AE55" s="170"/>
      <c r="AF55" s="217">
        <f>SUM(AF50:AF51)</f>
        <v>7.4949999999999974</v>
      </c>
      <c r="AG55" s="234">
        <f t="shared" si="140"/>
        <v>4.9235034060527223</v>
      </c>
      <c r="AH55" s="168">
        <f t="shared" si="141"/>
        <v>-6.5577858122428667</v>
      </c>
      <c r="AI55" s="170"/>
      <c r="AJ55" s="217">
        <f>SUM(AJ50:AJ51)</f>
        <v>18.716000000000001</v>
      </c>
      <c r="AK55" s="234">
        <f t="shared" si="142"/>
        <v>9.5942586184800724</v>
      </c>
      <c r="AL55" s="168">
        <f t="shared" si="143"/>
        <v>149.71314209472993</v>
      </c>
      <c r="AM55" s="170"/>
      <c r="AN55" s="217">
        <f>SUM(AN50:AN51)</f>
        <v>26.161000000000019</v>
      </c>
      <c r="AO55" s="234">
        <f t="shared" si="144"/>
        <v>11.378948879329476</v>
      </c>
      <c r="AP55" s="168">
        <f t="shared" si="145"/>
        <v>39.778798888651522</v>
      </c>
      <c r="AQ55" s="170"/>
      <c r="AR55" s="170"/>
      <c r="AS55" s="170"/>
      <c r="AT55" s="170"/>
      <c r="AU55" s="217">
        <f>SUM(AU50:AU51)</f>
        <v>62.516000000000005</v>
      </c>
      <c r="AV55" s="234">
        <f t="shared" si="146"/>
        <v>17.376464113582418</v>
      </c>
      <c r="AW55" s="168">
        <f t="shared" si="147"/>
        <v>138.96640036695831</v>
      </c>
      <c r="AX55" s="170"/>
      <c r="AY55" s="217">
        <f>SUM(AY50:AY51)</f>
        <v>94.242999999999967</v>
      </c>
      <c r="AZ55" s="234">
        <f t="shared" si="148"/>
        <v>19.442891419116716</v>
      </c>
      <c r="BA55" s="168">
        <f t="shared" si="149"/>
        <v>50.75020794676557</v>
      </c>
      <c r="BB55" s="170"/>
      <c r="BC55" s="217">
        <f>SUM(BC50:BC51)</f>
        <v>70.260000000000034</v>
      </c>
      <c r="BD55" s="234">
        <f t="shared" si="150"/>
        <v>12.646562244629806</v>
      </c>
      <c r="BE55" s="168">
        <f t="shared" si="151"/>
        <v>-25.448043886548543</v>
      </c>
      <c r="BF55" s="170"/>
      <c r="BG55" s="217">
        <f>SUM(BG50:BG51)</f>
        <v>83.286999999999992</v>
      </c>
      <c r="BH55" s="234">
        <f t="shared" si="152"/>
        <v>12.562274413153684</v>
      </c>
      <c r="BI55" s="168">
        <f t="shared" si="153"/>
        <v>18.541132934813476</v>
      </c>
      <c r="BJ55" s="170"/>
      <c r="BK55" s="217">
        <f>SUM(BK50:BK51)</f>
        <v>145.86199999999997</v>
      </c>
      <c r="BL55" s="234">
        <f t="shared" si="154"/>
        <v>17.188809161582721</v>
      </c>
      <c r="BM55" s="168">
        <f t="shared" si="155"/>
        <v>75.131773265935834</v>
      </c>
      <c r="BN55" s="170"/>
      <c r="BO55" s="217">
        <f>SUM(BO50:BO51)</f>
        <v>124.56099999999992</v>
      </c>
      <c r="BP55" s="234">
        <f t="shared" si="156"/>
        <v>14.768526313043756</v>
      </c>
      <c r="BQ55" s="168">
        <f t="shared" si="157"/>
        <v>-14.603529363370892</v>
      </c>
      <c r="BR55" s="25"/>
      <c r="BS55" s="34">
        <f>SUM(BS50:BS51)</f>
        <v>189.07999999999998</v>
      </c>
      <c r="BT55" s="237">
        <f t="shared" si="158"/>
        <v>18.319575243188776</v>
      </c>
      <c r="BU55" s="23">
        <f t="shared" si="159"/>
        <v>51.797111455431555</v>
      </c>
      <c r="BV55" s="25"/>
      <c r="BW55" s="34">
        <f>SUM(BW50:BW51)</f>
        <v>149.63100000000006</v>
      </c>
      <c r="BX55" s="237">
        <f t="shared" si="160"/>
        <v>13.204288739851751</v>
      </c>
      <c r="BY55" s="23">
        <f t="shared" si="161"/>
        <v>-20.863655595515084</v>
      </c>
      <c r="BZ55" s="25"/>
      <c r="CA55" s="34">
        <f>SUM(CA50:CA51)</f>
        <v>148.85299999999995</v>
      </c>
      <c r="CB55" s="237">
        <f t="shared" si="162"/>
        <v>11.954153512812002</v>
      </c>
      <c r="CC55" s="23">
        <f t="shared" si="163"/>
        <v>-0.51994573317033499</v>
      </c>
      <c r="CD55" s="174"/>
      <c r="CE55" s="34">
        <f>SUM(CE50:CE51)</f>
        <v>192.28300000000004</v>
      </c>
      <c r="CF55" s="237">
        <f t="shared" si="164"/>
        <v>13.669073953882172</v>
      </c>
      <c r="CG55" s="23">
        <f t="shared" si="165"/>
        <v>29.17643581251308</v>
      </c>
      <c r="CH55" s="174"/>
      <c r="CI55" s="34">
        <f>SUM(CI50:CI51)</f>
        <v>164.93800000000002</v>
      </c>
      <c r="CJ55" s="237">
        <f t="shared" si="166"/>
        <v>11.013760355991701</v>
      </c>
      <c r="CK55" s="23">
        <f t="shared" si="167"/>
        <v>-14.221226005419108</v>
      </c>
      <c r="CL55" s="174"/>
      <c r="CM55" s="34">
        <f>SUM(CM50:CM51)</f>
        <v>156.80500000000001</v>
      </c>
      <c r="CN55" s="237">
        <f t="shared" si="168"/>
        <v>9.7608420947792371</v>
      </c>
      <c r="CO55" s="23">
        <f t="shared" si="169"/>
        <v>-4.9309437485600682</v>
      </c>
      <c r="CP55" s="174"/>
      <c r="CQ55" s="34">
        <f>SUM(CQ50:CQ51)</f>
        <v>168.69499999999999</v>
      </c>
      <c r="CR55" s="237">
        <f t="shared" si="170"/>
        <v>10.20448901941451</v>
      </c>
      <c r="CS55" s="23">
        <f t="shared" si="171"/>
        <v>7.5826663690570895</v>
      </c>
      <c r="CT55" s="174"/>
      <c r="CU55" s="34">
        <f>SUM(CU50:CU51)</f>
        <v>96.21600000000015</v>
      </c>
      <c r="CV55" s="237">
        <f t="shared" si="172"/>
        <v>5.8879360830685208</v>
      </c>
      <c r="CW55" s="1467">
        <f t="shared" si="173"/>
        <v>-42.964521770058298</v>
      </c>
      <c r="CX55" s="174"/>
      <c r="CY55" s="34">
        <f>SUM(CY50:CY51)</f>
        <v>140.16589612126083</v>
      </c>
      <c r="CZ55" s="237">
        <f t="shared" si="174"/>
        <v>7.947411087522827</v>
      </c>
      <c r="DA55" s="1467">
        <f t="shared" si="175"/>
        <v>45.678365470670791</v>
      </c>
      <c r="DB55" s="174"/>
      <c r="DC55" s="174"/>
      <c r="DD55" s="1274"/>
      <c r="DE55" s="174"/>
      <c r="DF55" s="175"/>
      <c r="DG55" s="25"/>
      <c r="DH55" s="25"/>
      <c r="DI55" s="25"/>
      <c r="DJ55" s="25"/>
    </row>
    <row r="56" spans="1:114" outlineLevel="4">
      <c r="A56" s="170" t="str">
        <f>$A$16</f>
        <v>9 Mos</v>
      </c>
      <c r="B56" s="170"/>
      <c r="C56" s="170"/>
      <c r="D56" s="217">
        <f>SUM(D50:D52)</f>
        <v>13.632</v>
      </c>
      <c r="E56" s="234">
        <f t="shared" si="127"/>
        <v>17.267061863505091</v>
      </c>
      <c r="F56" s="168"/>
      <c r="G56" s="170"/>
      <c r="H56" s="217">
        <f>SUM(H50:H52)</f>
        <v>14.234999999999999</v>
      </c>
      <c r="I56" s="234">
        <f t="shared" si="128"/>
        <v>14.729620661824052</v>
      </c>
      <c r="J56" s="168">
        <f t="shared" si="129"/>
        <v>4.4234154929577496</v>
      </c>
      <c r="K56" s="170"/>
      <c r="L56" s="217">
        <f>SUM(L50:L52)</f>
        <v>16.980999999999998</v>
      </c>
      <c r="M56" s="234">
        <f t="shared" si="130"/>
        <v>14.833936090291244</v>
      </c>
      <c r="N56" s="168">
        <f t="shared" si="131"/>
        <v>19.290481208289421</v>
      </c>
      <c r="O56" s="170"/>
      <c r="P56" s="217">
        <f>SUM(P50:P52)</f>
        <v>16.164000000000001</v>
      </c>
      <c r="Q56" s="234">
        <f t="shared" si="132"/>
        <v>12.728060159848814</v>
      </c>
      <c r="R56" s="168">
        <f t="shared" si="133"/>
        <v>-4.8112596431305388</v>
      </c>
      <c r="S56" s="170"/>
      <c r="T56" s="217">
        <f>SUM(T50:T52)</f>
        <v>16.655000000000008</v>
      </c>
      <c r="U56" s="234">
        <f t="shared" si="134"/>
        <v>11.222062757305631</v>
      </c>
      <c r="V56" s="168">
        <f t="shared" si="135"/>
        <v>3.0376144518683867</v>
      </c>
      <c r="W56" s="170"/>
      <c r="X56" s="217">
        <f>SUM(X50:X52)</f>
        <v>28.336000000000009</v>
      </c>
      <c r="Y56" s="234">
        <f t="shared" si="136"/>
        <v>13.979693528175483</v>
      </c>
      <c r="Z56" s="168">
        <f t="shared" si="137"/>
        <v>70.135094566196315</v>
      </c>
      <c r="AA56" s="170"/>
      <c r="AB56" s="217">
        <f>SUM(AB50:AB52)</f>
        <v>12.16899999999999</v>
      </c>
      <c r="AC56" s="234">
        <f t="shared" si="138"/>
        <v>5.8011431622403649</v>
      </c>
      <c r="AD56" s="168">
        <f t="shared" si="139"/>
        <v>-57.054630152456284</v>
      </c>
      <c r="AE56" s="170"/>
      <c r="AF56" s="217">
        <f>SUM(AF50:AF52)</f>
        <v>15.86399999999999</v>
      </c>
      <c r="AG56" s="234">
        <f t="shared" si="140"/>
        <v>6.4727771249510351</v>
      </c>
      <c r="AH56" s="168">
        <f t="shared" si="141"/>
        <v>30.364039773194218</v>
      </c>
      <c r="AI56" s="170"/>
      <c r="AJ56" s="217">
        <f>SUM(AJ50:AJ52)</f>
        <v>31.807999999999993</v>
      </c>
      <c r="AK56" s="234">
        <f t="shared" si="142"/>
        <v>10.422667204052676</v>
      </c>
      <c r="AL56" s="168">
        <f t="shared" si="143"/>
        <v>100.504286434695</v>
      </c>
      <c r="AM56" s="170"/>
      <c r="AN56" s="217">
        <f>SUM(AN50:AN52)</f>
        <v>49.63900000000001</v>
      </c>
      <c r="AO56" s="234">
        <f t="shared" si="144"/>
        <v>13.335285489391199</v>
      </c>
      <c r="AP56" s="168">
        <f t="shared" si="145"/>
        <v>56.058224346076521</v>
      </c>
      <c r="AQ56" s="170"/>
      <c r="AR56" s="247">
        <f>+(AK56-AG56)*100</f>
        <v>394.98900791016405</v>
      </c>
      <c r="AS56" s="170"/>
      <c r="AT56" s="170"/>
      <c r="AU56" s="217">
        <f>SUM(AU50:AU52)</f>
        <v>105.69800000000001</v>
      </c>
      <c r="AV56" s="234">
        <f t="shared" si="146"/>
        <v>18.346302117415085</v>
      </c>
      <c r="AW56" s="168">
        <f t="shared" si="147"/>
        <v>112.93337899635362</v>
      </c>
      <c r="AX56" s="170"/>
      <c r="AY56" s="217">
        <f>SUM(AY50:AY52)</f>
        <v>154.90199999999993</v>
      </c>
      <c r="AZ56" s="234">
        <f t="shared" si="148"/>
        <v>20.025649047598108</v>
      </c>
      <c r="BA56" s="168">
        <f t="shared" si="149"/>
        <v>46.551495770970043</v>
      </c>
      <c r="BB56" s="170"/>
      <c r="BC56" s="217">
        <f>SUM(BC50:BC52)</f>
        <v>115.72400000000005</v>
      </c>
      <c r="BD56" s="234">
        <f t="shared" si="150"/>
        <v>13.395206274647803</v>
      </c>
      <c r="BE56" s="168">
        <f t="shared" si="151"/>
        <v>-25.29212017921002</v>
      </c>
      <c r="BF56" s="170"/>
      <c r="BG56" s="217">
        <f>SUM(BG50:BG52)</f>
        <v>144.61399999999998</v>
      </c>
      <c r="BH56" s="234">
        <f t="shared" si="152"/>
        <v>13.874335252462553</v>
      </c>
      <c r="BI56" s="168">
        <f t="shared" si="153"/>
        <v>24.964570875531365</v>
      </c>
      <c r="BJ56" s="170"/>
      <c r="BK56" s="217">
        <f>SUM(BK50:BK52)</f>
        <v>236.24099999999993</v>
      </c>
      <c r="BL56" s="234">
        <f t="shared" si="154"/>
        <v>17.808810891492147</v>
      </c>
      <c r="BM56" s="168">
        <f t="shared" si="155"/>
        <v>63.359702380129157</v>
      </c>
      <c r="BN56" s="170"/>
      <c r="BO56" s="217">
        <f>SUM(BO50:BO52)</f>
        <v>220.32199999999989</v>
      </c>
      <c r="BP56" s="234">
        <f t="shared" si="156"/>
        <v>16.328348607671103</v>
      </c>
      <c r="BQ56" s="168">
        <f t="shared" si="157"/>
        <v>-6.7384577613538887</v>
      </c>
      <c r="BR56" s="25"/>
      <c r="BS56" s="34">
        <f>SUM(BS50:BS52)</f>
        <v>293.88</v>
      </c>
      <c r="BT56" s="237">
        <f t="shared" si="158"/>
        <v>18.302161284215352</v>
      </c>
      <c r="BU56" s="23">
        <f t="shared" si="159"/>
        <v>33.386588720146037</v>
      </c>
      <c r="BV56" s="25"/>
      <c r="BW56" s="34">
        <f>SUM(BW50:BW52)</f>
        <v>222.99200000000002</v>
      </c>
      <c r="BX56" s="237">
        <f t="shared" si="160"/>
        <v>12.792451379769879</v>
      </c>
      <c r="BY56" s="23">
        <f t="shared" si="161"/>
        <v>-24.121410099360276</v>
      </c>
      <c r="BZ56" s="25"/>
      <c r="CA56" s="34">
        <f>SUM(CA50:CA52)</f>
        <v>242.33299999999997</v>
      </c>
      <c r="CB56" s="237">
        <f t="shared" si="162"/>
        <v>12.503876292979122</v>
      </c>
      <c r="CC56" s="23">
        <f t="shared" si="163"/>
        <v>8.6734053239577946</v>
      </c>
      <c r="CD56" s="174"/>
      <c r="CE56" s="34">
        <f>SUM(CE50:CE52)</f>
        <v>297.74200000000002</v>
      </c>
      <c r="CF56" s="237">
        <f t="shared" si="164"/>
        <v>13.653192708930414</v>
      </c>
      <c r="CG56" s="23">
        <f t="shared" si="165"/>
        <v>22.864818245967356</v>
      </c>
      <c r="CH56" s="174"/>
      <c r="CI56" s="34">
        <f>SUM(CI50:CI52)</f>
        <v>241.40300000000002</v>
      </c>
      <c r="CJ56" s="237">
        <f t="shared" si="166"/>
        <v>10.441157198015771</v>
      </c>
      <c r="CK56" s="23">
        <f t="shared" si="167"/>
        <v>-18.922086907456791</v>
      </c>
      <c r="CL56" s="174"/>
      <c r="CM56" s="34">
        <f>SUM(CM50:CM52)</f>
        <v>237.13</v>
      </c>
      <c r="CN56" s="237">
        <f t="shared" si="168"/>
        <v>9.7515018127027364</v>
      </c>
      <c r="CO56" s="23">
        <f t="shared" si="169"/>
        <v>-1.7700691375003741</v>
      </c>
      <c r="CP56" s="174"/>
      <c r="CQ56" s="34">
        <f>SUM(CQ50:CQ52)</f>
        <v>238.99999999999991</v>
      </c>
      <c r="CR56" s="237">
        <f t="shared" si="170"/>
        <v>9.5005795751054567</v>
      </c>
      <c r="CS56" s="23">
        <f t="shared" si="171"/>
        <v>0.78859697212496638</v>
      </c>
      <c r="CT56" s="174"/>
      <c r="CU56" s="34">
        <f>SUM(CU50:CU52)</f>
        <v>169.10400000000013</v>
      </c>
      <c r="CV56" s="237">
        <f t="shared" si="172"/>
        <v>6.6921656815973796</v>
      </c>
      <c r="CW56" s="1467">
        <f t="shared" si="173"/>
        <v>-29.245188284518754</v>
      </c>
      <c r="CX56" s="174"/>
      <c r="CY56" s="34">
        <f>SUM(CY50:CY52)</f>
        <v>211.37237573740143</v>
      </c>
      <c r="CZ56" s="237">
        <f t="shared" si="174"/>
        <v>7.8971332833821171</v>
      </c>
      <c r="DA56" s="1467">
        <f t="shared" si="175"/>
        <v>24.995491376550085</v>
      </c>
      <c r="DB56" s="174"/>
      <c r="DC56" s="174"/>
      <c r="DD56" s="174"/>
      <c r="DE56" s="174"/>
      <c r="DF56" s="175"/>
      <c r="DG56" s="25"/>
      <c r="DH56" s="25"/>
      <c r="DI56" s="25"/>
      <c r="DJ56" s="25"/>
    </row>
    <row r="57" spans="1:114" outlineLevel="3">
      <c r="A57" s="170"/>
      <c r="B57" s="170"/>
      <c r="C57" s="170"/>
      <c r="D57" s="170"/>
      <c r="E57" s="170"/>
      <c r="F57" s="170"/>
      <c r="G57" s="170"/>
      <c r="H57" s="170"/>
      <c r="I57" s="170"/>
      <c r="J57" s="170"/>
      <c r="K57" s="170"/>
      <c r="L57" s="170"/>
      <c r="M57" s="170"/>
      <c r="N57" s="170"/>
      <c r="O57" s="170"/>
      <c r="P57" s="170"/>
      <c r="Q57" s="170"/>
      <c r="R57" s="170"/>
      <c r="S57" s="170"/>
      <c r="T57" s="170"/>
      <c r="U57" s="170"/>
      <c r="V57" s="170"/>
      <c r="W57" s="170"/>
      <c r="X57" s="170"/>
      <c r="Y57" s="170"/>
      <c r="Z57" s="170"/>
      <c r="AA57" s="170"/>
      <c r="AB57" s="170"/>
      <c r="AC57" s="170"/>
      <c r="AD57" s="170"/>
      <c r="AE57" s="170"/>
      <c r="AF57" s="170"/>
      <c r="AG57" s="170"/>
      <c r="AH57" s="170"/>
      <c r="AI57" s="170"/>
      <c r="AJ57" s="170"/>
      <c r="AK57" s="234"/>
      <c r="AL57" s="170"/>
      <c r="AM57" s="170"/>
      <c r="AN57" s="170"/>
      <c r="AO57" s="170"/>
      <c r="AP57" s="170"/>
      <c r="AQ57" s="170"/>
      <c r="AR57" s="170"/>
      <c r="AS57" s="170"/>
      <c r="AT57" s="170"/>
      <c r="AU57" s="170"/>
      <c r="AV57" s="170"/>
      <c r="AW57" s="263"/>
      <c r="AX57" s="170"/>
      <c r="AY57" s="170"/>
      <c r="AZ57" s="170"/>
      <c r="BA57" s="170"/>
      <c r="BB57" s="170"/>
      <c r="BC57" s="170"/>
      <c r="BD57" s="234"/>
      <c r="BE57" s="170"/>
      <c r="BF57" s="170"/>
      <c r="BG57" s="170"/>
      <c r="BH57" s="263"/>
      <c r="BI57" s="170"/>
      <c r="BJ57" s="170"/>
      <c r="BK57" s="263"/>
      <c r="BL57" s="263"/>
      <c r="BM57" s="170"/>
      <c r="BN57" s="170"/>
      <c r="BO57" s="170"/>
      <c r="BP57" s="263"/>
      <c r="BQ57" s="170"/>
      <c r="BR57" s="25"/>
      <c r="BS57" s="224"/>
      <c r="BT57" s="244"/>
      <c r="BU57" s="283"/>
      <c r="BV57" s="25"/>
      <c r="BW57" s="25"/>
      <c r="BX57" s="244"/>
      <c r="BY57" s="25"/>
      <c r="BZ57" s="25"/>
      <c r="CA57" s="25"/>
      <c r="CB57" s="244"/>
      <c r="CC57" s="25"/>
      <c r="CD57" s="174"/>
      <c r="CE57" s="174"/>
      <c r="CF57" s="243"/>
      <c r="CG57" s="174"/>
      <c r="CH57" s="174"/>
      <c r="CI57" s="174"/>
      <c r="CJ57" s="243"/>
      <c r="CK57" s="174"/>
      <c r="CL57" s="174"/>
      <c r="CM57" s="19"/>
      <c r="CN57" s="243"/>
      <c r="CO57" s="174"/>
      <c r="CP57" s="174"/>
      <c r="CQ57" s="19"/>
      <c r="CR57" s="243"/>
      <c r="CS57" s="174"/>
      <c r="CT57" s="174"/>
      <c r="CU57" s="19"/>
      <c r="CV57" s="243"/>
      <c r="CW57" s="1463"/>
      <c r="CX57" s="174"/>
      <c r="CY57" s="19"/>
      <c r="CZ57" s="243"/>
      <c r="DA57" s="1463"/>
      <c r="DB57" s="174"/>
      <c r="DC57" s="174"/>
      <c r="DD57" s="174"/>
      <c r="DE57" s="174"/>
      <c r="DF57" s="175"/>
      <c r="DG57" s="237"/>
      <c r="DH57" s="25"/>
      <c r="DI57" s="25"/>
      <c r="DJ57" s="25"/>
    </row>
    <row r="58" spans="1:114" outlineLevel="3">
      <c r="A58" s="170"/>
      <c r="B58" s="170"/>
      <c r="C58" s="184"/>
      <c r="D58" s="185"/>
      <c r="E58" s="170"/>
      <c r="F58" s="170"/>
      <c r="G58" s="170"/>
      <c r="H58" s="186"/>
      <c r="I58" s="187"/>
      <c r="J58" s="187"/>
      <c r="K58" s="187"/>
      <c r="L58" s="186"/>
      <c r="M58" s="187"/>
      <c r="N58" s="187"/>
      <c r="O58" s="187"/>
      <c r="P58" s="186"/>
      <c r="Q58" s="187"/>
      <c r="R58" s="187"/>
      <c r="S58" s="187"/>
      <c r="T58" s="186"/>
      <c r="U58" s="187"/>
      <c r="V58" s="187"/>
      <c r="W58" s="187"/>
      <c r="X58" s="170"/>
      <c r="Y58" s="187"/>
      <c r="Z58" s="187"/>
      <c r="AA58" s="187"/>
      <c r="AB58" s="170"/>
      <c r="AC58" s="187"/>
      <c r="AD58" s="187"/>
      <c r="AE58" s="187"/>
      <c r="AF58" s="186"/>
      <c r="AG58" s="187"/>
      <c r="AH58" s="187"/>
      <c r="AI58" s="187"/>
      <c r="AJ58" s="186"/>
      <c r="AK58" s="187"/>
      <c r="AL58" s="187"/>
      <c r="AM58" s="187"/>
      <c r="AN58" s="186"/>
      <c r="AO58" s="187"/>
      <c r="AP58" s="187"/>
      <c r="AQ58" s="170"/>
      <c r="AR58" s="170"/>
      <c r="AS58" s="170"/>
      <c r="AT58" s="187"/>
      <c r="AU58" s="186" t="s">
        <v>666</v>
      </c>
      <c r="AV58" s="187"/>
      <c r="AW58" s="187"/>
      <c r="AX58" s="187"/>
      <c r="AY58" s="186" t="s">
        <v>666</v>
      </c>
      <c r="AZ58" s="187"/>
      <c r="BA58" s="187"/>
      <c r="BB58" s="187"/>
      <c r="BC58" s="186"/>
      <c r="BD58" s="187"/>
      <c r="BE58" s="187"/>
      <c r="BF58" s="187"/>
      <c r="BG58" s="186"/>
      <c r="BH58" s="187"/>
      <c r="BI58" s="187"/>
      <c r="BJ58" s="187"/>
      <c r="BK58" s="186"/>
      <c r="BL58" s="187"/>
      <c r="BM58" s="187"/>
      <c r="BN58" s="187"/>
      <c r="BO58" s="186"/>
      <c r="BP58" s="187"/>
      <c r="BQ58" s="187"/>
      <c r="BR58" s="188"/>
      <c r="BS58" s="189" t="str">
        <f>AY58</f>
        <v>5.  Net Interest and Other Income/(Expense)   (% of Sales)  (b)</v>
      </c>
      <c r="BT58" s="188"/>
      <c r="BU58" s="188"/>
      <c r="BV58" s="188"/>
      <c r="BW58" s="189"/>
      <c r="BX58" s="253"/>
      <c r="BY58" s="188"/>
      <c r="BZ58" s="188"/>
      <c r="CA58" s="189"/>
      <c r="CB58" s="253"/>
      <c r="CC58" s="188"/>
      <c r="CD58" s="174"/>
      <c r="CE58" s="174"/>
      <c r="CF58" s="174"/>
      <c r="CG58" s="174"/>
      <c r="CH58" s="174"/>
      <c r="CI58" s="174"/>
      <c r="CJ58" s="1004" t="str">
        <f>BS58</f>
        <v>5.  Net Interest and Other Income/(Expense)   (% of Sales)  (b)</v>
      </c>
      <c r="CK58" s="1004"/>
      <c r="CL58" s="1004"/>
      <c r="CM58" s="1004"/>
      <c r="CN58" s="1004"/>
      <c r="CO58" s="1004"/>
      <c r="CP58" s="1004"/>
      <c r="CQ58" s="1004"/>
      <c r="CR58" s="1004"/>
      <c r="CS58" s="174"/>
      <c r="CT58" s="1004"/>
      <c r="CU58" s="1004"/>
      <c r="CV58" s="1004"/>
      <c r="CW58" s="1463"/>
      <c r="CX58" s="1004"/>
      <c r="CY58" s="1004"/>
      <c r="CZ58" s="1004"/>
      <c r="DA58" s="1463"/>
      <c r="DB58" s="174"/>
      <c r="DC58" s="174"/>
      <c r="DD58" s="174"/>
      <c r="DE58" s="174"/>
      <c r="DF58" s="175"/>
      <c r="DG58" s="25"/>
      <c r="DH58" s="25"/>
      <c r="DI58" s="25"/>
      <c r="DJ58" s="25"/>
    </row>
    <row r="59" spans="1:114" outlineLevel="3">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170"/>
      <c r="AK59" s="170"/>
      <c r="AL59" s="170"/>
      <c r="AM59" s="170"/>
      <c r="AN59" s="170"/>
      <c r="AO59" s="170"/>
      <c r="AP59" s="170"/>
      <c r="AQ59" s="170"/>
      <c r="AR59" s="170"/>
      <c r="AS59" s="170"/>
      <c r="AT59" s="170"/>
      <c r="AU59" s="170"/>
      <c r="AV59" s="170"/>
      <c r="AW59" s="170"/>
      <c r="AX59" s="170"/>
      <c r="AY59" s="170"/>
      <c r="AZ59" s="170"/>
      <c r="BA59" s="170"/>
      <c r="BB59" s="170"/>
      <c r="BC59" s="170"/>
      <c r="BD59" s="170"/>
      <c r="BE59" s="170"/>
      <c r="BF59" s="170"/>
      <c r="BG59" s="170"/>
      <c r="BH59" s="170"/>
      <c r="BI59" s="170"/>
      <c r="BJ59" s="170"/>
      <c r="BK59" s="170"/>
      <c r="BL59" s="170"/>
      <c r="BM59" s="170"/>
      <c r="BN59" s="170"/>
      <c r="BO59" s="170"/>
      <c r="BP59" s="170"/>
      <c r="BQ59" s="170"/>
      <c r="BR59" s="25"/>
      <c r="BS59" s="25"/>
      <c r="BT59" s="25"/>
      <c r="BU59" s="25"/>
      <c r="BV59" s="25"/>
      <c r="BW59" s="25"/>
      <c r="BX59" s="25"/>
      <c r="BY59" s="25"/>
      <c r="BZ59" s="25"/>
      <c r="CA59" s="25"/>
      <c r="CB59" s="25"/>
      <c r="CC59" s="25"/>
      <c r="CD59" s="174"/>
      <c r="CE59" s="174"/>
      <c r="CF59" s="174"/>
      <c r="CG59" s="174"/>
      <c r="CH59" s="174"/>
      <c r="CI59" s="174"/>
      <c r="CJ59" s="174"/>
      <c r="CK59" s="174"/>
      <c r="CL59" s="174"/>
      <c r="CM59" s="174"/>
      <c r="CN59" s="174"/>
      <c r="CO59" s="174"/>
      <c r="CP59" s="174"/>
      <c r="CQ59" s="174"/>
      <c r="CR59" s="174"/>
      <c r="CS59" s="174"/>
      <c r="CT59" s="174"/>
      <c r="CU59" s="174"/>
      <c r="CV59" s="174"/>
      <c r="CW59" s="1463"/>
      <c r="CX59" s="174"/>
      <c r="CY59" s="174"/>
      <c r="CZ59" s="174"/>
      <c r="DA59" s="1463"/>
      <c r="DB59" s="174"/>
      <c r="DC59" s="174"/>
      <c r="DD59" s="174"/>
      <c r="DE59" s="174"/>
      <c r="DF59" s="175"/>
      <c r="DG59" s="25"/>
      <c r="DH59" s="25"/>
      <c r="DI59" s="25"/>
      <c r="DJ59" s="25"/>
    </row>
    <row r="60" spans="1:114" outlineLevel="3">
      <c r="A60" s="170" t="str">
        <f>$A$10</f>
        <v>1Q</v>
      </c>
      <c r="B60" s="170" t="str">
        <f>$B$10</f>
        <v>Apr</v>
      </c>
      <c r="C60" s="170"/>
      <c r="D60" s="193">
        <f>0.19-0.027</f>
        <v>0.16300000000000001</v>
      </c>
      <c r="E60" s="234">
        <f t="shared" ref="E60:E66" si="176">D60/D30*100</f>
        <v>2.035464535464536</v>
      </c>
      <c r="F60" s="259"/>
      <c r="G60" s="170"/>
      <c r="H60" s="193">
        <f>0.288+0.012</f>
        <v>0.3</v>
      </c>
      <c r="I60" s="234">
        <f t="shared" ref="I60:I66" si="177">H60/H10*100</f>
        <v>1.074537053619399</v>
      </c>
      <c r="J60" s="259"/>
      <c r="K60" s="170"/>
      <c r="L60" s="193">
        <f>0.361-0.057</f>
        <v>0.30399999999999999</v>
      </c>
      <c r="M60" s="234">
        <f t="shared" ref="M60:M66" si="178">L60/L10*100</f>
        <v>0.90349808303860668</v>
      </c>
      <c r="N60" s="259"/>
      <c r="O60" s="170"/>
      <c r="P60" s="193">
        <f>0.376-0.081</f>
        <v>0.29499999999999998</v>
      </c>
      <c r="Q60" s="234">
        <f t="shared" ref="Q60:Q66" si="179">P60/P10*100</f>
        <v>0.7923717432178351</v>
      </c>
      <c r="R60" s="259"/>
      <c r="S60" s="170"/>
      <c r="T60" s="193">
        <f>0.551-0.16</f>
        <v>0.39100000000000001</v>
      </c>
      <c r="U60" s="234">
        <f t="shared" ref="U60:U66" si="180">T60/T10*100</f>
        <v>0.99047522545344013</v>
      </c>
      <c r="V60" s="259"/>
      <c r="W60" s="259"/>
      <c r="X60" s="193">
        <v>-0.56399999999999995</v>
      </c>
      <c r="Y60" s="234">
        <f t="shared" ref="Y60:Y66" si="181">X60/X10*100</f>
        <v>-0.96372366420039968</v>
      </c>
      <c r="Z60" s="170"/>
      <c r="AA60" s="170"/>
      <c r="AB60" s="193">
        <v>0.1</v>
      </c>
      <c r="AC60" s="234">
        <f t="shared" ref="AC60:AC66" si="182">AB60/AB10*100</f>
        <v>0.15163002274450341</v>
      </c>
      <c r="AD60" s="170"/>
      <c r="AE60" s="170"/>
      <c r="AF60" s="193">
        <v>-0.113</v>
      </c>
      <c r="AG60" s="234">
        <f t="shared" ref="AG60:AG66" si="183">AF60/AF10*100</f>
        <v>-0.157307124759863</v>
      </c>
      <c r="AH60" s="170"/>
      <c r="AI60" s="170"/>
      <c r="AJ60" s="193">
        <v>-0.17699999999999999</v>
      </c>
      <c r="AK60" s="234">
        <f t="shared" ref="AK60:AK66" si="184">AJ60/AJ10*100</f>
        <v>-0.18814975444862553</v>
      </c>
      <c r="AL60" s="170"/>
      <c r="AM60" s="170"/>
      <c r="AN60" s="193">
        <v>8.4000000000000005E-2</v>
      </c>
      <c r="AO60" s="234">
        <f t="shared" ref="AO60:AO66" si="185">AN60/AN10*100</f>
        <v>7.8484134992712187E-2</v>
      </c>
      <c r="AP60" s="170"/>
      <c r="AQ60" s="170"/>
      <c r="AR60" s="170"/>
      <c r="AS60" s="170"/>
      <c r="AT60" s="170"/>
      <c r="AU60" s="193">
        <v>-4.3999999999999997E-2</v>
      </c>
      <c r="AV60" s="234">
        <f t="shared" ref="AV60:AV66" si="186">AU60/AU10*100</f>
        <v>-2.5838275882318396E-2</v>
      </c>
      <c r="AW60" s="170"/>
      <c r="AX60" s="170"/>
      <c r="AY60" s="193">
        <v>0.76400000000000001</v>
      </c>
      <c r="AZ60" s="234">
        <f t="shared" ref="AZ60:AZ66" si="187">AY60/AY10*100</f>
        <v>0.33027126337404089</v>
      </c>
      <c r="BA60" s="170"/>
      <c r="BB60" s="170"/>
      <c r="BC60" s="193">
        <v>1.4119999999999999</v>
      </c>
      <c r="BD60" s="234">
        <f t="shared" ref="BD60:BD66" si="188">BC60/BC10*100</f>
        <v>0.52294940501542553</v>
      </c>
      <c r="BE60" s="170"/>
      <c r="BF60" s="170"/>
      <c r="BG60" s="193">
        <v>1.802</v>
      </c>
      <c r="BH60" s="234">
        <f t="shared" ref="BH60:BH66" si="189">BG60/BG10*100</f>
        <v>0.57289282262576946</v>
      </c>
      <c r="BI60" s="170"/>
      <c r="BJ60" s="170"/>
      <c r="BK60" s="193">
        <v>3.22</v>
      </c>
      <c r="BL60" s="234">
        <f t="shared" ref="BL60:BL66" si="190">BK60/BK10*100</f>
        <v>0.81665364755054637</v>
      </c>
      <c r="BM60" s="170"/>
      <c r="BN60" s="170"/>
      <c r="BO60" s="193">
        <v>2.0910000000000002</v>
      </c>
      <c r="BP60" s="234">
        <f t="shared" ref="BP60:BP66" si="191">BO60/BO10*100</f>
        <v>0.5434048170978909</v>
      </c>
      <c r="BQ60" s="170"/>
      <c r="BR60" s="25"/>
      <c r="BS60" s="26">
        <v>0.42299999999999999</v>
      </c>
      <c r="BT60" s="237">
        <f t="shared" ref="BT60:BT66" si="192">BS60/BS10*100</f>
        <v>8.8132160738059961E-2</v>
      </c>
      <c r="BU60" s="25"/>
      <c r="BV60" s="25"/>
      <c r="BW60" s="26">
        <v>1.365</v>
      </c>
      <c r="BX60" s="237">
        <f t="shared" ref="BX60:BX66" si="193">BW60/BW10*100</f>
        <v>0.26048673807629108</v>
      </c>
      <c r="BY60" s="25"/>
      <c r="BZ60" s="25"/>
      <c r="CA60" s="26">
        <v>0.29899999999999999</v>
      </c>
      <c r="CB60" s="237">
        <f t="shared" ref="CB60:CB66" si="194">CA60/CA10*100</f>
        <v>5.2554795844831532E-2</v>
      </c>
      <c r="CC60" s="25"/>
      <c r="CD60" s="174"/>
      <c r="CE60" s="26">
        <v>-0.129</v>
      </c>
      <c r="CF60" s="237">
        <f t="shared" ref="CF60:CF66" si="195">CE60/CE10*100</f>
        <v>-1.9901971220823943E-2</v>
      </c>
      <c r="CG60" s="174"/>
      <c r="CH60" s="174"/>
      <c r="CI60" s="26">
        <v>-0.34399999999999997</v>
      </c>
      <c r="CJ60" s="237">
        <f t="shared" ref="CJ60:CJ66" si="196">CI60/CI10*100</f>
        <v>-5.0123122204251726E-2</v>
      </c>
      <c r="CK60" s="174"/>
      <c r="CL60" s="174"/>
      <c r="CM60" s="26">
        <v>-2.121</v>
      </c>
      <c r="CN60" s="237">
        <f t="shared" ref="CN60:CN66" si="197">CM60/CM10*100</f>
        <v>-0.287005588557665</v>
      </c>
      <c r="CO60" s="174"/>
      <c r="CP60" s="174"/>
      <c r="CQ60" s="26">
        <v>-1.577</v>
      </c>
      <c r="CR60" s="237">
        <f t="shared" ref="CR60:CR66" si="198">CQ60/CQ10*100</f>
        <v>-0.20679878884361844</v>
      </c>
      <c r="CS60" s="174"/>
      <c r="CT60" s="174"/>
      <c r="CU60" s="26">
        <v>0.31900000000000001</v>
      </c>
      <c r="CV60" s="237">
        <f t="shared" ref="CV60:CV66" si="199">CU60/CU10*100</f>
        <v>4.190806500348139E-2</v>
      </c>
      <c r="CW60" s="1463"/>
      <c r="CX60" s="174"/>
      <c r="CY60" s="26">
        <f>CU60</f>
        <v>0.31900000000000001</v>
      </c>
      <c r="CZ60" s="237">
        <f t="shared" ref="CZ60:CZ66" si="200">CY60/CY10*100</f>
        <v>3.8053879975241289E-2</v>
      </c>
      <c r="DA60" s="1463"/>
      <c r="DB60" s="174"/>
      <c r="DC60" s="174"/>
      <c r="DD60" s="174"/>
      <c r="DE60" s="174"/>
      <c r="DF60" s="175"/>
      <c r="DG60" s="25"/>
      <c r="DH60" s="25"/>
      <c r="DI60" s="25"/>
      <c r="DJ60" s="25"/>
    </row>
    <row r="61" spans="1:114" outlineLevel="3">
      <c r="A61" s="170" t="str">
        <f>$A$11</f>
        <v>2Q</v>
      </c>
      <c r="B61" s="170" t="str">
        <f>$B$11</f>
        <v>Jul</v>
      </c>
      <c r="C61" s="170"/>
      <c r="D61" s="203">
        <f>0.173+0.002</f>
        <v>0.17499999999999999</v>
      </c>
      <c r="E61" s="234">
        <f t="shared" si="176"/>
        <v>1.9500780031201246</v>
      </c>
      <c r="F61" s="170"/>
      <c r="G61" s="170"/>
      <c r="H61" s="203">
        <f>0.309-0.038</f>
        <v>0.27100000000000002</v>
      </c>
      <c r="I61" s="234">
        <f t="shared" si="177"/>
        <v>0.90693082560824612</v>
      </c>
      <c r="J61" s="170"/>
      <c r="K61" s="170"/>
      <c r="L61" s="203">
        <f>0.355-0.123</f>
        <v>0.23199999999999998</v>
      </c>
      <c r="M61" s="234">
        <f t="shared" si="178"/>
        <v>0.64591569686508155</v>
      </c>
      <c r="N61" s="170"/>
      <c r="O61" s="170"/>
      <c r="P61" s="203">
        <f>0.406-0.052</f>
        <v>0.35400000000000004</v>
      </c>
      <c r="Q61" s="234">
        <f t="shared" si="179"/>
        <v>0.85598220330786357</v>
      </c>
      <c r="R61" s="170"/>
      <c r="S61" s="170"/>
      <c r="T61" s="203">
        <f>0.547-0.095</f>
        <v>0.45200000000000007</v>
      </c>
      <c r="U61" s="234">
        <f t="shared" si="180"/>
        <v>0.93906467496312307</v>
      </c>
      <c r="V61" s="170"/>
      <c r="W61" s="170"/>
      <c r="X61" s="203">
        <v>-1.905</v>
      </c>
      <c r="Y61" s="234">
        <f t="shared" si="181"/>
        <v>-2.7907589985496846</v>
      </c>
      <c r="Z61" s="170"/>
      <c r="AA61" s="170"/>
      <c r="AB61" s="203">
        <v>-4.1000000000000002E-2</v>
      </c>
      <c r="AC61" s="234">
        <f t="shared" si="182"/>
        <v>-6.1443472005754708E-2</v>
      </c>
      <c r="AD61" s="170"/>
      <c r="AE61" s="170"/>
      <c r="AF61" s="203">
        <v>-0.14099999999999999</v>
      </c>
      <c r="AG61" s="234">
        <f t="shared" si="183"/>
        <v>-0.1753840412961005</v>
      </c>
      <c r="AH61" s="170"/>
      <c r="AI61" s="170"/>
      <c r="AJ61" s="203">
        <v>-3.5000000000000003E-2</v>
      </c>
      <c r="AK61" s="234">
        <f t="shared" si="184"/>
        <v>-3.4653122246314394E-2</v>
      </c>
      <c r="AL61" s="170"/>
      <c r="AM61" s="170"/>
      <c r="AN61" s="203">
        <v>0.41</v>
      </c>
      <c r="AO61" s="234">
        <f t="shared" si="185"/>
        <v>0.33366156951147058</v>
      </c>
      <c r="AP61" s="170"/>
      <c r="AQ61" s="170"/>
      <c r="AR61" s="170"/>
      <c r="AS61" s="170"/>
      <c r="AT61" s="170"/>
      <c r="AU61" s="203">
        <v>0.34599999999999997</v>
      </c>
      <c r="AV61" s="234">
        <f t="shared" si="186"/>
        <v>0.18260116949188318</v>
      </c>
      <c r="AW61" s="170"/>
      <c r="AX61" s="170"/>
      <c r="AY61" s="203">
        <v>1.3260000000000001</v>
      </c>
      <c r="AZ61" s="234">
        <f t="shared" si="187"/>
        <v>0.52329986739912859</v>
      </c>
      <c r="BA61" s="170"/>
      <c r="BB61" s="170"/>
      <c r="BC61" s="203">
        <v>1.75</v>
      </c>
      <c r="BD61" s="234">
        <f t="shared" si="188"/>
        <v>0.6128330747761408</v>
      </c>
      <c r="BE61" s="170"/>
      <c r="BF61" s="170"/>
      <c r="BG61" s="203">
        <v>2.0369999999999999</v>
      </c>
      <c r="BH61" s="234">
        <f t="shared" si="189"/>
        <v>0.58459057136051462</v>
      </c>
      <c r="BI61" s="170"/>
      <c r="BJ61" s="170"/>
      <c r="BK61" s="203">
        <v>2.4449999999999998</v>
      </c>
      <c r="BL61" s="234">
        <f t="shared" si="190"/>
        <v>0.53819654629700964</v>
      </c>
      <c r="BM61" s="170"/>
      <c r="BN61" s="170"/>
      <c r="BO61" s="203">
        <v>0.93899999999999995</v>
      </c>
      <c r="BP61" s="234">
        <f t="shared" si="191"/>
        <v>0.20474199020552694</v>
      </c>
      <c r="BQ61" s="170"/>
      <c r="BR61" s="25"/>
      <c r="BS61" s="241">
        <v>0.61599999999999999</v>
      </c>
      <c r="BT61" s="237">
        <f t="shared" si="192"/>
        <v>0.11156206817239238</v>
      </c>
      <c r="BU61" s="25"/>
      <c r="BV61" s="25"/>
      <c r="BW61" s="241">
        <v>0.93500000000000005</v>
      </c>
      <c r="BX61" s="237">
        <f t="shared" si="193"/>
        <v>0.15348476068688946</v>
      </c>
      <c r="BY61" s="25"/>
      <c r="BZ61" s="25"/>
      <c r="CA61" s="241">
        <v>0.14399999999999999</v>
      </c>
      <c r="CB61" s="237">
        <f t="shared" si="194"/>
        <v>2.1293301925712989E-2</v>
      </c>
      <c r="CC61" s="25"/>
      <c r="CD61" s="174"/>
      <c r="CE61" s="241">
        <v>0.20699999999999999</v>
      </c>
      <c r="CF61" s="237">
        <f t="shared" si="195"/>
        <v>2.7289841850752252E-2</v>
      </c>
      <c r="CG61" s="174"/>
      <c r="CH61" s="174"/>
      <c r="CI61" s="241">
        <v>-0.52300000000000002</v>
      </c>
      <c r="CJ61" s="237">
        <f t="shared" si="196"/>
        <v>-6.4468174539878437E-2</v>
      </c>
      <c r="CK61" s="174"/>
      <c r="CL61" s="174"/>
      <c r="CM61" s="241">
        <v>-0.59599999999999997</v>
      </c>
      <c r="CN61" s="237">
        <f t="shared" si="197"/>
        <v>-6.8706338044405499E-2</v>
      </c>
      <c r="CO61" s="174"/>
      <c r="CP61" s="174"/>
      <c r="CQ61" s="241">
        <v>1.071</v>
      </c>
      <c r="CR61" s="237">
        <f t="shared" si="198"/>
        <v>0.12026032823995474</v>
      </c>
      <c r="CS61" s="174"/>
      <c r="CT61" s="174"/>
      <c r="CU61" s="241">
        <v>1.736</v>
      </c>
      <c r="CV61" s="237">
        <f t="shared" si="199"/>
        <v>0.19887024289434099</v>
      </c>
      <c r="CW61" s="1463"/>
      <c r="CX61" s="174"/>
      <c r="CY61" s="241">
        <f t="shared" ref="CY61:CY62" si="201">CU61</f>
        <v>1.736</v>
      </c>
      <c r="CZ61" s="237">
        <f t="shared" si="200"/>
        <v>0.18759814483256432</v>
      </c>
      <c r="DA61" s="1463"/>
      <c r="DB61" s="174"/>
      <c r="DC61" s="174"/>
      <c r="DD61" s="174"/>
      <c r="DE61" s="174"/>
      <c r="DF61" s="175"/>
      <c r="DG61" s="25"/>
      <c r="DH61" s="25"/>
      <c r="DI61" s="25"/>
      <c r="DJ61" s="25"/>
    </row>
    <row r="62" spans="1:114" outlineLevel="3">
      <c r="A62" s="170" t="str">
        <f>$A$12</f>
        <v>3Q</v>
      </c>
      <c r="B62" s="170" t="str">
        <f>$B$12</f>
        <v>Oct</v>
      </c>
      <c r="C62" s="170"/>
      <c r="D62" s="203">
        <f>0.222+0.034</f>
        <v>0.25600000000000001</v>
      </c>
      <c r="E62" s="234">
        <f t="shared" si="176"/>
        <v>2.5251528901163938</v>
      </c>
      <c r="F62" s="170"/>
      <c r="G62" s="170"/>
      <c r="H62" s="203">
        <f>0.318-0.092</f>
        <v>0.22600000000000001</v>
      </c>
      <c r="I62" s="234">
        <f t="shared" si="177"/>
        <v>0.58184439524226361</v>
      </c>
      <c r="J62" s="170"/>
      <c r="K62" s="170"/>
      <c r="L62" s="203">
        <f>0.394-0.044</f>
        <v>0.35000000000000003</v>
      </c>
      <c r="M62" s="234">
        <f t="shared" si="178"/>
        <v>0.77935380435992796</v>
      </c>
      <c r="N62" s="170"/>
      <c r="O62" s="170"/>
      <c r="P62" s="203">
        <f>0.483-0.098</f>
        <v>0.38500000000000001</v>
      </c>
      <c r="Q62" s="234">
        <f t="shared" si="179"/>
        <v>0.79530665785287857</v>
      </c>
      <c r="R62" s="170"/>
      <c r="S62" s="170"/>
      <c r="T62" s="203">
        <f>0.524-0.098</f>
        <v>0.42600000000000005</v>
      </c>
      <c r="U62" s="234">
        <f t="shared" si="180"/>
        <v>0.70061180185514116</v>
      </c>
      <c r="V62" s="170"/>
      <c r="W62" s="170"/>
      <c r="X62" s="203">
        <v>-0.38800000000000001</v>
      </c>
      <c r="Y62" s="234">
        <f t="shared" si="181"/>
        <v>-0.51113160321433282</v>
      </c>
      <c r="Z62" s="170"/>
      <c r="AA62" s="170"/>
      <c r="AB62" s="203">
        <v>-0.21299999999999999</v>
      </c>
      <c r="AC62" s="234">
        <f t="shared" si="182"/>
        <v>-0.27629684398957077</v>
      </c>
      <c r="AD62" s="170"/>
      <c r="AE62" s="170"/>
      <c r="AF62" s="203">
        <v>-8.6999999999999994E-2</v>
      </c>
      <c r="AG62" s="234">
        <f t="shared" si="183"/>
        <v>-9.369043388363002E-2</v>
      </c>
      <c r="AH62" s="170"/>
      <c r="AI62" s="170"/>
      <c r="AJ62" s="203">
        <v>0.39700000000000002</v>
      </c>
      <c r="AK62" s="234">
        <f t="shared" si="184"/>
        <v>0.36056164060087553</v>
      </c>
      <c r="AL62" s="170"/>
      <c r="AM62" s="170"/>
      <c r="AN62" s="203">
        <v>0.19800000000000001</v>
      </c>
      <c r="AO62" s="234">
        <f t="shared" si="185"/>
        <v>0.13911235078795206</v>
      </c>
      <c r="AP62" s="170"/>
      <c r="AQ62" s="170"/>
      <c r="AR62" s="170"/>
      <c r="AS62" s="170"/>
      <c r="AT62" s="170"/>
      <c r="AU62" s="203">
        <v>0.57599999999999996</v>
      </c>
      <c r="AV62" s="234">
        <f t="shared" si="186"/>
        <v>0.26623157524970759</v>
      </c>
      <c r="AW62" s="170"/>
      <c r="AX62" s="170"/>
      <c r="AY62" s="203">
        <v>1.0209999999999999</v>
      </c>
      <c r="AZ62" s="234">
        <f t="shared" si="187"/>
        <v>0.35353063181914185</v>
      </c>
      <c r="BA62" s="170"/>
      <c r="BB62" s="170"/>
      <c r="BC62" s="203">
        <v>1.365</v>
      </c>
      <c r="BD62" s="234">
        <f t="shared" si="188"/>
        <v>0.44267159605000728</v>
      </c>
      <c r="BE62" s="170"/>
      <c r="BF62" s="170"/>
      <c r="BG62" s="203">
        <v>2.1509999999999998</v>
      </c>
      <c r="BH62" s="234">
        <f t="shared" si="189"/>
        <v>0.56706738373932297</v>
      </c>
      <c r="BI62" s="170"/>
      <c r="BJ62" s="170"/>
      <c r="BK62" s="203">
        <v>1.4370000000000001</v>
      </c>
      <c r="BL62" s="234">
        <f t="shared" si="190"/>
        <v>0.30065717758859134</v>
      </c>
      <c r="BM62" s="170"/>
      <c r="BN62" s="170"/>
      <c r="BO62" s="203">
        <v>1.8169999999999999</v>
      </c>
      <c r="BP62" s="234">
        <f t="shared" si="191"/>
        <v>0.35916188970152202</v>
      </c>
      <c r="BQ62" s="170"/>
      <c r="BR62" s="25"/>
      <c r="BS62" s="241">
        <v>0.876</v>
      </c>
      <c r="BT62" s="237">
        <f t="shared" si="192"/>
        <v>0.15272179528305835</v>
      </c>
      <c r="BU62" s="25"/>
      <c r="BV62" s="25"/>
      <c r="BW62" s="241">
        <v>2.0179999999999998</v>
      </c>
      <c r="BX62" s="237">
        <f t="shared" si="193"/>
        <v>0.33084516347980908</v>
      </c>
      <c r="BY62" s="25"/>
      <c r="BZ62" s="25"/>
      <c r="CA62" s="241">
        <v>0.128</v>
      </c>
      <c r="CB62" s="237">
        <f t="shared" si="194"/>
        <v>1.8474043968224645E-2</v>
      </c>
      <c r="CC62" s="25"/>
      <c r="CD62" s="174"/>
      <c r="CE62" s="241">
        <v>-0.186</v>
      </c>
      <c r="CF62" s="237">
        <f t="shared" si="195"/>
        <v>-2.4029486505376275E-2</v>
      </c>
      <c r="CG62" s="174"/>
      <c r="CH62" s="174"/>
      <c r="CI62" s="284">
        <v>-0.69299999999999995</v>
      </c>
      <c r="CJ62" s="237">
        <f t="shared" si="196"/>
        <v>-8.5086006851081059E-2</v>
      </c>
      <c r="CK62" s="174"/>
      <c r="CL62" s="174"/>
      <c r="CM62" s="241">
        <v>6.3E-2</v>
      </c>
      <c r="CN62" s="237">
        <f t="shared" si="197"/>
        <v>7.6339762837803454E-3</v>
      </c>
      <c r="CO62" s="174"/>
      <c r="CP62" s="174"/>
      <c r="CQ62" s="241">
        <v>0.85399999999999998</v>
      </c>
      <c r="CR62" s="237">
        <f t="shared" si="198"/>
        <v>9.9015525959111464E-2</v>
      </c>
      <c r="CS62" s="174"/>
      <c r="CT62" s="174"/>
      <c r="CU62" s="241">
        <v>-0.88200000000000001</v>
      </c>
      <c r="CV62" s="237">
        <f t="shared" si="199"/>
        <v>-9.8793199622748878E-2</v>
      </c>
      <c r="CW62" s="1463"/>
      <c r="CX62" s="174"/>
      <c r="CY62" s="241">
        <f t="shared" si="201"/>
        <v>-0.88200000000000001</v>
      </c>
      <c r="CZ62" s="237">
        <f t="shared" si="200"/>
        <v>-9.6614802993863866E-2</v>
      </c>
      <c r="DA62" s="1463"/>
      <c r="DB62" s="174"/>
      <c r="DC62" s="174"/>
      <c r="DD62" s="174"/>
      <c r="DE62" s="174"/>
      <c r="DF62" s="175"/>
      <c r="DG62" s="25"/>
      <c r="DH62" s="25"/>
      <c r="DI62" s="25"/>
      <c r="DJ62" s="25"/>
    </row>
    <row r="63" spans="1:114" outlineLevel="3">
      <c r="A63" s="170" t="str">
        <f>$A$13</f>
        <v>4Q</v>
      </c>
      <c r="B63" s="170" t="str">
        <f>$B$13</f>
        <v>Jan</v>
      </c>
      <c r="C63" s="209"/>
      <c r="D63" s="210">
        <f>+(1.078-0.004)-D62-D61-D60</f>
        <v>0.48</v>
      </c>
      <c r="E63" s="234">
        <f t="shared" si="176"/>
        <v>3.8095238095238093</v>
      </c>
      <c r="F63" s="170"/>
      <c r="G63" s="170"/>
      <c r="H63" s="210">
        <f>+(1.285-0.022)-H62-H61-H60</f>
        <v>0.46599999999999991</v>
      </c>
      <c r="I63" s="234">
        <f t="shared" si="177"/>
        <v>1.2804308402483922</v>
      </c>
      <c r="J63" s="170"/>
      <c r="K63" s="170"/>
      <c r="L63" s="210">
        <f>(1.506-0.193)-L62-L61-L60</f>
        <v>0.42699999999999988</v>
      </c>
      <c r="M63" s="234">
        <f t="shared" si="178"/>
        <v>1.0160860460689127</v>
      </c>
      <c r="N63" s="170"/>
      <c r="O63" s="170"/>
      <c r="P63" s="210">
        <f>0.506+0.022</f>
        <v>0.52800000000000002</v>
      </c>
      <c r="Q63" s="234">
        <f t="shared" si="179"/>
        <v>1.1412514860045391</v>
      </c>
      <c r="R63" s="170"/>
      <c r="S63" s="170"/>
      <c r="T63" s="210">
        <f>0.505-0.178</f>
        <v>0.32700000000000001</v>
      </c>
      <c r="U63" s="234">
        <f t="shared" si="180"/>
        <v>0.53212263229837931</v>
      </c>
      <c r="V63" s="170"/>
      <c r="W63" s="170"/>
      <c r="X63" s="210">
        <v>0.14099999999999999</v>
      </c>
      <c r="Y63" s="234">
        <f t="shared" si="181"/>
        <v>0.18695554170699691</v>
      </c>
      <c r="Z63" s="170"/>
      <c r="AA63" s="170"/>
      <c r="AB63" s="210">
        <v>6.3E-2</v>
      </c>
      <c r="AC63" s="234">
        <f t="shared" si="182"/>
        <v>7.3629096348931791E-2</v>
      </c>
      <c r="AD63" s="170"/>
      <c r="AE63" s="170"/>
      <c r="AF63" s="210">
        <v>6.5000000000000002E-2</v>
      </c>
      <c r="AG63" s="234">
        <f t="shared" si="183"/>
        <v>6.2578222778473094E-2</v>
      </c>
      <c r="AH63" s="170"/>
      <c r="AI63" s="170"/>
      <c r="AJ63" s="210">
        <v>0.48899999999999999</v>
      </c>
      <c r="AK63" s="234">
        <f t="shared" si="184"/>
        <v>0.41591181648847947</v>
      </c>
      <c r="AL63" s="170"/>
      <c r="AM63" s="170"/>
      <c r="AN63" s="210">
        <v>-9.4E-2</v>
      </c>
      <c r="AO63" s="234">
        <f t="shared" si="185"/>
        <v>-5.3371791304940297E-2</v>
      </c>
      <c r="AP63" s="170"/>
      <c r="AQ63" s="170"/>
      <c r="AR63" s="170"/>
      <c r="AS63" s="170"/>
      <c r="AT63" s="170"/>
      <c r="AU63" s="210">
        <v>0.94799999999999995</v>
      </c>
      <c r="AV63" s="234">
        <f t="shared" si="186"/>
        <v>0.37675411230292938</v>
      </c>
      <c r="AW63" s="170"/>
      <c r="AX63" s="170"/>
      <c r="AY63" s="210">
        <v>1.587</v>
      </c>
      <c r="AZ63" s="234">
        <f t="shared" si="187"/>
        <v>0.49813395942734995</v>
      </c>
      <c r="BA63" s="170"/>
      <c r="BB63" s="170"/>
      <c r="BC63" s="210">
        <v>1.6419999999999999</v>
      </c>
      <c r="BD63" s="234">
        <f t="shared" si="188"/>
        <v>0.45510482377853412</v>
      </c>
      <c r="BE63" s="170"/>
      <c r="BF63" s="170"/>
      <c r="BG63" s="210">
        <v>3.4590000000000001</v>
      </c>
      <c r="BH63" s="234">
        <f t="shared" si="189"/>
        <v>0.74321406240935439</v>
      </c>
      <c r="BI63" s="170"/>
      <c r="BJ63" s="170"/>
      <c r="BK63" s="210">
        <v>2.9529999999999998</v>
      </c>
      <c r="BL63" s="234">
        <f t="shared" si="190"/>
        <v>0.58120997169725908</v>
      </c>
      <c r="BM63" s="170"/>
      <c r="BN63" s="170"/>
      <c r="BO63" s="210">
        <v>0.57499999999999996</v>
      </c>
      <c r="BP63" s="234">
        <f t="shared" si="191"/>
        <v>9.7707194478099127E-2</v>
      </c>
      <c r="BQ63" s="170"/>
      <c r="BR63" s="25"/>
      <c r="BS63" s="245">
        <v>1.0900000000000001</v>
      </c>
      <c r="BT63" s="237">
        <f t="shared" si="192"/>
        <v>0.16307844222684362</v>
      </c>
      <c r="BU63" s="25"/>
      <c r="BV63" s="25"/>
      <c r="BW63" s="245">
        <v>-0.21199999999999999</v>
      </c>
      <c r="BX63" s="237">
        <f t="shared" si="193"/>
        <v>-2.9015339807951297E-2</v>
      </c>
      <c r="BY63" s="25"/>
      <c r="BZ63" s="25"/>
      <c r="CA63" s="245">
        <v>0.71599999999999997</v>
      </c>
      <c r="CB63" s="237">
        <f t="shared" si="194"/>
        <v>8.3560713393755343E-2</v>
      </c>
      <c r="CC63" s="25"/>
      <c r="CD63" s="174"/>
      <c r="CE63" s="245">
        <v>0.79500000000000004</v>
      </c>
      <c r="CF63" s="237">
        <f t="shared" si="195"/>
        <v>8.7762099578521144E-2</v>
      </c>
      <c r="CG63" s="174"/>
      <c r="CH63" s="174"/>
      <c r="CI63" s="399">
        <v>-0.375</v>
      </c>
      <c r="CJ63" s="237">
        <f t="shared" si="196"/>
        <v>-3.7090373910532083E-2</v>
      </c>
      <c r="CK63" s="174"/>
      <c r="CL63" s="174"/>
      <c r="CM63" s="399">
        <v>-0.89400000000000002</v>
      </c>
      <c r="CN63" s="237">
        <f t="shared" si="197"/>
        <v>-8.8217358097346973E-2</v>
      </c>
      <c r="CO63" s="174"/>
      <c r="CP63" s="174"/>
      <c r="CQ63" s="399">
        <v>-0.77600000000000002</v>
      </c>
      <c r="CR63" s="237">
        <f t="shared" si="198"/>
        <v>-7.5328250617866396E-2</v>
      </c>
      <c r="CS63" s="174"/>
      <c r="CT63" s="174"/>
      <c r="CU63" s="399">
        <v>0.30099999999999999</v>
      </c>
      <c r="CV63" s="237">
        <f t="shared" si="199"/>
        <v>2.763701670799977E-2</v>
      </c>
      <c r="CW63" s="1463"/>
      <c r="CX63" s="174"/>
      <c r="CY63" s="399">
        <v>-0.8</v>
      </c>
      <c r="CZ63" s="237">
        <f t="shared" si="200"/>
        <v>-7.2444339704903396E-2</v>
      </c>
      <c r="DA63" s="1463"/>
      <c r="DB63" s="174"/>
      <c r="DC63" s="174"/>
      <c r="DD63" s="174"/>
      <c r="DE63" s="174"/>
      <c r="DF63" s="175"/>
      <c r="DG63" s="25"/>
      <c r="DH63" s="25"/>
      <c r="DI63" s="25"/>
      <c r="DJ63" s="25"/>
    </row>
    <row r="64" spans="1:114" outlineLevel="3">
      <c r="A64" s="170"/>
      <c r="B64" s="170" t="str">
        <f>$B$14</f>
        <v>Year</v>
      </c>
      <c r="C64" s="170"/>
      <c r="D64" s="214">
        <f>SUM(D60:D63)</f>
        <v>1.0739999999999998</v>
      </c>
      <c r="E64" s="234">
        <f t="shared" si="176"/>
        <v>2.7039274924471295</v>
      </c>
      <c r="F64" s="170"/>
      <c r="G64" s="170"/>
      <c r="H64" s="214">
        <f>SUM(H60:H63)</f>
        <v>1.2629999999999999</v>
      </c>
      <c r="I64" s="234">
        <f t="shared" si="177"/>
        <v>0.94936708860759478</v>
      </c>
      <c r="J64" s="170"/>
      <c r="K64" s="170"/>
      <c r="L64" s="214">
        <f>SUM(L60:L63)</f>
        <v>1.3129999999999999</v>
      </c>
      <c r="M64" s="234">
        <f t="shared" si="178"/>
        <v>0.83898835767869251</v>
      </c>
      <c r="N64" s="170"/>
      <c r="O64" s="170"/>
      <c r="P64" s="214">
        <f>SUM(P60:P63)</f>
        <v>1.5620000000000001</v>
      </c>
      <c r="Q64" s="234">
        <f t="shared" si="179"/>
        <v>0.90153526491977376</v>
      </c>
      <c r="R64" s="170"/>
      <c r="S64" s="170"/>
      <c r="T64" s="214">
        <f>SUM(T60:T63)</f>
        <v>1.5960000000000001</v>
      </c>
      <c r="U64" s="234">
        <f t="shared" si="180"/>
        <v>0.7604888857122436</v>
      </c>
      <c r="V64" s="170"/>
      <c r="W64" s="170"/>
      <c r="X64" s="214">
        <f>SUM(X60:X63)</f>
        <v>-2.7159999999999997</v>
      </c>
      <c r="Y64" s="234">
        <f t="shared" si="181"/>
        <v>-0.9765814614922711</v>
      </c>
      <c r="Z64" s="170"/>
      <c r="AA64" s="170"/>
      <c r="AB64" s="214">
        <f>SUM(AB60:AB63)</f>
        <v>-9.0999999999999998E-2</v>
      </c>
      <c r="AC64" s="234">
        <f t="shared" si="182"/>
        <v>-3.0812675860807971E-2</v>
      </c>
      <c r="AD64" s="170"/>
      <c r="AE64" s="170"/>
      <c r="AF64" s="214">
        <f>SUM(AF60:AF63)</f>
        <v>-0.27599999999999997</v>
      </c>
      <c r="AG64" s="234">
        <f t="shared" si="183"/>
        <v>-7.9092612864585424E-2</v>
      </c>
      <c r="AH64" s="170"/>
      <c r="AI64" s="170"/>
      <c r="AJ64" s="214">
        <f>SUM(AJ60:AJ63)</f>
        <v>0.67400000000000004</v>
      </c>
      <c r="AK64" s="234">
        <f t="shared" si="184"/>
        <v>0.15943078007541031</v>
      </c>
      <c r="AL64" s="170"/>
      <c r="AM64" s="170"/>
      <c r="AN64" s="214">
        <f>SUM(AN60:AN63)</f>
        <v>0.59799999999999998</v>
      </c>
      <c r="AO64" s="234">
        <f t="shared" si="185"/>
        <v>0.10905224842758694</v>
      </c>
      <c r="AP64" s="170"/>
      <c r="AQ64" s="170"/>
      <c r="AR64" s="170"/>
      <c r="AS64" s="170"/>
      <c r="AT64" s="170"/>
      <c r="AU64" s="285">
        <f>SUM(AU60:AU63)</f>
        <v>1.8259999999999998</v>
      </c>
      <c r="AV64" s="234">
        <f t="shared" si="186"/>
        <v>0.22059800664451823</v>
      </c>
      <c r="AW64" s="170"/>
      <c r="AX64" s="170"/>
      <c r="AY64" s="214">
        <f>SUM(AY60:AY63)</f>
        <v>4.6979999999999995</v>
      </c>
      <c r="AZ64" s="234">
        <f t="shared" si="187"/>
        <v>0.43017762911509588</v>
      </c>
      <c r="BA64" s="170"/>
      <c r="BB64" s="170"/>
      <c r="BC64" s="214">
        <f>SUM(BC60:BC63)</f>
        <v>6.1690000000000005</v>
      </c>
      <c r="BD64" s="234">
        <f t="shared" si="188"/>
        <v>0.50370820360948698</v>
      </c>
      <c r="BE64" s="170"/>
      <c r="BF64" s="170"/>
      <c r="BG64" s="214">
        <f>SUM(BG60:BG63)</f>
        <v>9.4489999999999998</v>
      </c>
      <c r="BH64" s="234">
        <f t="shared" si="189"/>
        <v>0.62670621413468253</v>
      </c>
      <c r="BI64" s="170"/>
      <c r="BJ64" s="170"/>
      <c r="BK64" s="214">
        <f>SUM(BK60:BK63)</f>
        <v>10.055</v>
      </c>
      <c r="BL64" s="234">
        <f t="shared" si="190"/>
        <v>0.54807049750956327</v>
      </c>
      <c r="BM64" s="170"/>
      <c r="BN64" s="170"/>
      <c r="BO64" s="214">
        <f>SUM(BO60:BO63)</f>
        <v>5.4220000000000006</v>
      </c>
      <c r="BP64" s="234">
        <f t="shared" si="191"/>
        <v>0.2797996712792501</v>
      </c>
      <c r="BQ64" s="170"/>
      <c r="BR64" s="25"/>
      <c r="BS64" s="32">
        <f>SUM(BS60:BS63)</f>
        <v>3.0049999999999999</v>
      </c>
      <c r="BT64" s="237">
        <f t="shared" si="192"/>
        <v>0.13214007111378467</v>
      </c>
      <c r="BU64" s="25"/>
      <c r="BV64" s="25"/>
      <c r="BW64" s="32">
        <f>SUM(BW60:BW63)</f>
        <v>4.1059999999999999</v>
      </c>
      <c r="BX64" s="237">
        <f t="shared" si="193"/>
        <v>0.16597939769609601</v>
      </c>
      <c r="BY64" s="25"/>
      <c r="BZ64" s="25"/>
      <c r="CA64" s="32">
        <f>SUM(CA60:CA63)</f>
        <v>1.2869999999999999</v>
      </c>
      <c r="CB64" s="237">
        <f t="shared" si="194"/>
        <v>4.604774725618755E-2</v>
      </c>
      <c r="CC64" s="25"/>
      <c r="CD64" s="174"/>
      <c r="CE64" s="32">
        <f>SUM(CE60:CE63)</f>
        <v>0.68700000000000006</v>
      </c>
      <c r="CF64" s="237">
        <f t="shared" si="195"/>
        <v>2.225744247406862E-2</v>
      </c>
      <c r="CG64" s="174"/>
      <c r="CH64" s="174"/>
      <c r="CI64" s="32">
        <f>SUM(CI60:CI63)</f>
        <v>-1.9350000000000001</v>
      </c>
      <c r="CJ64" s="237">
        <f t="shared" si="196"/>
        <v>-5.8229165318769316E-2</v>
      </c>
      <c r="CK64" s="174"/>
      <c r="CL64" s="174"/>
      <c r="CM64" s="32">
        <f>SUM(CM60:CM63)</f>
        <v>-3.548</v>
      </c>
      <c r="CN64" s="237">
        <f t="shared" si="197"/>
        <v>-0.10298583451325841</v>
      </c>
      <c r="CO64" s="174"/>
      <c r="CP64" s="174"/>
      <c r="CQ64" s="32">
        <f>SUM(CQ60:CQ63)</f>
        <v>-0.42800000000000005</v>
      </c>
      <c r="CR64" s="237">
        <f t="shared" si="198"/>
        <v>-1.2070639185468756E-2</v>
      </c>
      <c r="CS64" s="174"/>
      <c r="CT64" s="174"/>
      <c r="CU64" s="32">
        <f>SUM(CU60:CU63)</f>
        <v>1.474</v>
      </c>
      <c r="CV64" s="237">
        <f t="shared" si="199"/>
        <v>4.0763116514482521E-2</v>
      </c>
      <c r="CW64" s="1463"/>
      <c r="CX64" s="174"/>
      <c r="CY64" s="32">
        <f>SUM(CY60:CY63)</f>
        <v>0.373</v>
      </c>
      <c r="CZ64" s="237">
        <f t="shared" si="200"/>
        <v>9.8654619967759195E-3</v>
      </c>
      <c r="DA64" s="1463"/>
      <c r="DB64" s="174"/>
      <c r="DC64" s="174"/>
      <c r="DD64" s="174"/>
      <c r="DE64" s="174"/>
      <c r="DF64" s="175"/>
      <c r="DG64" s="25"/>
      <c r="DH64" s="25"/>
      <c r="DI64" s="25"/>
      <c r="DJ64" s="25"/>
    </row>
    <row r="65" spans="1:114" hidden="1" outlineLevel="4">
      <c r="A65" s="170" t="str">
        <f>$A$15</f>
        <v>6 Mos</v>
      </c>
      <c r="B65" s="170"/>
      <c r="C65" s="170"/>
      <c r="D65" s="217">
        <f>SUM(D60:D61)</f>
        <v>0.33799999999999997</v>
      </c>
      <c r="E65" s="234">
        <f t="shared" si="176"/>
        <v>1.990342715816747</v>
      </c>
      <c r="F65" s="170"/>
      <c r="G65" s="170"/>
      <c r="H65" s="217">
        <f>SUM(H60:H61)</f>
        <v>0.57099999999999995</v>
      </c>
      <c r="I65" s="234">
        <f t="shared" si="177"/>
        <v>0.98788927335640131</v>
      </c>
      <c r="J65" s="170"/>
      <c r="K65" s="170"/>
      <c r="L65" s="217">
        <f>SUM(L60:L61)</f>
        <v>0.53600000000000003</v>
      </c>
      <c r="M65" s="234">
        <f t="shared" si="178"/>
        <v>0.77050240782002455</v>
      </c>
      <c r="N65" s="170"/>
      <c r="O65" s="170"/>
      <c r="P65" s="217">
        <f>SUM(P60:P61)</f>
        <v>0.64900000000000002</v>
      </c>
      <c r="Q65" s="234">
        <f t="shared" si="179"/>
        <v>0.8258468429491258</v>
      </c>
      <c r="R65" s="170"/>
      <c r="S65" s="170"/>
      <c r="T65" s="217">
        <f>SUM(T60:T61)</f>
        <v>0.84300000000000008</v>
      </c>
      <c r="U65" s="234">
        <f t="shared" si="180"/>
        <v>0.96222990788617602</v>
      </c>
      <c r="V65" s="170"/>
      <c r="W65" s="170"/>
      <c r="X65" s="217">
        <f>SUM(X60:X61)</f>
        <v>-2.4689999999999999</v>
      </c>
      <c r="Y65" s="234">
        <f t="shared" si="181"/>
        <v>-1.9474066128218073</v>
      </c>
      <c r="Z65" s="170"/>
      <c r="AA65" s="170"/>
      <c r="AB65" s="217">
        <f>SUM(AB60:AB61)</f>
        <v>5.9000000000000004E-2</v>
      </c>
      <c r="AC65" s="234">
        <f t="shared" si="182"/>
        <v>4.446856298708151E-2</v>
      </c>
      <c r="AD65" s="170"/>
      <c r="AE65" s="170"/>
      <c r="AF65" s="217">
        <f>SUM(AF60:AF61)</f>
        <v>-0.254</v>
      </c>
      <c r="AG65" s="234">
        <f t="shared" si="183"/>
        <v>-0.16685388460805764</v>
      </c>
      <c r="AH65" s="170"/>
      <c r="AI65" s="170"/>
      <c r="AJ65" s="217">
        <f>SUM(AJ60:AJ61)</f>
        <v>-0.21199999999999999</v>
      </c>
      <c r="AK65" s="234">
        <f t="shared" si="184"/>
        <v>-0.10867615019864155</v>
      </c>
      <c r="AL65" s="170"/>
      <c r="AM65" s="170"/>
      <c r="AN65" s="217">
        <f>SUM(AN60:AN61)</f>
        <v>0.49399999999999999</v>
      </c>
      <c r="AO65" s="234">
        <f t="shared" si="185"/>
        <v>0.214869490707112</v>
      </c>
      <c r="AP65" s="170"/>
      <c r="AQ65" s="170"/>
      <c r="AR65" s="170"/>
      <c r="AS65" s="170"/>
      <c r="AT65" s="170"/>
      <c r="AU65" s="217">
        <f>SUM(AU60:AU61)</f>
        <v>0.30199999999999999</v>
      </c>
      <c r="AV65" s="234">
        <f t="shared" si="186"/>
        <v>8.394158555092919E-2</v>
      </c>
      <c r="AW65" s="170"/>
      <c r="AX65" s="170"/>
      <c r="AY65" s="217">
        <f>SUM(AY60:AY61)</f>
        <v>2.09</v>
      </c>
      <c r="AZ65" s="234">
        <f t="shared" si="187"/>
        <v>0.43117943047180102</v>
      </c>
      <c r="BA65" s="170"/>
      <c r="BB65" s="170"/>
      <c r="BC65" s="217">
        <f>SUM(BC60:BC61)</f>
        <v>3.1619999999999999</v>
      </c>
      <c r="BD65" s="234">
        <f t="shared" si="188"/>
        <v>0.56914929999316</v>
      </c>
      <c r="BE65" s="170"/>
      <c r="BF65" s="170"/>
      <c r="BG65" s="217">
        <f>SUM(BG60:BG61)</f>
        <v>3.839</v>
      </c>
      <c r="BH65" s="234">
        <f t="shared" si="189"/>
        <v>0.57904080435238381</v>
      </c>
      <c r="BI65" s="170"/>
      <c r="BJ65" s="170"/>
      <c r="BK65" s="217">
        <f>SUM(BK60:BK61)</f>
        <v>5.665</v>
      </c>
      <c r="BL65" s="234">
        <f t="shared" si="190"/>
        <v>0.66758034238092268</v>
      </c>
      <c r="BM65" s="170"/>
      <c r="BN65" s="170"/>
      <c r="BO65" s="217">
        <f>SUM(BO60:BO61)</f>
        <v>3.0300000000000002</v>
      </c>
      <c r="BP65" s="234">
        <f t="shared" si="191"/>
        <v>0.35925076652019983</v>
      </c>
      <c r="BQ65" s="170"/>
      <c r="BR65" s="25"/>
      <c r="BS65" s="34">
        <f>SUM(BS60:BS61)</f>
        <v>1.0389999999999999</v>
      </c>
      <c r="BT65" s="237">
        <f t="shared" si="192"/>
        <v>0.10066658915629965</v>
      </c>
      <c r="BU65" s="25"/>
      <c r="BV65" s="25"/>
      <c r="BW65" s="34">
        <f>SUM(BW60:BW61)</f>
        <v>2.2999999999999998</v>
      </c>
      <c r="BX65" s="237">
        <f t="shared" si="193"/>
        <v>0.20296505471231904</v>
      </c>
      <c r="BY65" s="25"/>
      <c r="BZ65" s="25"/>
      <c r="CA65" s="34">
        <f>SUM(CA60:CA61)</f>
        <v>0.44299999999999995</v>
      </c>
      <c r="CB65" s="237">
        <f t="shared" si="194"/>
        <v>3.5576642769549277E-2</v>
      </c>
      <c r="CC65" s="25"/>
      <c r="CD65" s="174"/>
      <c r="CE65" s="34">
        <f>SUM(CE60:CE61)</f>
        <v>7.7999999999999986E-2</v>
      </c>
      <c r="CF65" s="237">
        <f t="shared" si="195"/>
        <v>5.5448883593599476E-3</v>
      </c>
      <c r="CG65" s="174"/>
      <c r="CH65" s="174"/>
      <c r="CI65" s="34">
        <f>SUM(CI60:CI61)</f>
        <v>-0.86699999999999999</v>
      </c>
      <c r="CJ65" s="237">
        <f t="shared" si="196"/>
        <v>-5.7894058547119549E-2</v>
      </c>
      <c r="CK65" s="174"/>
      <c r="CL65" s="174"/>
      <c r="CM65" s="34">
        <f>SUM(CM60:CM61)</f>
        <v>-2.7170000000000001</v>
      </c>
      <c r="CN65" s="237">
        <f t="shared" si="197"/>
        <v>-0.16912858627923336</v>
      </c>
      <c r="CO65" s="174"/>
      <c r="CP65" s="174"/>
      <c r="CQ65" s="34">
        <f>SUM(CQ60:CQ61)</f>
        <v>-0.50600000000000001</v>
      </c>
      <c r="CR65" s="237">
        <f t="shared" si="198"/>
        <v>-3.0608325343511916E-2</v>
      </c>
      <c r="CS65" s="174"/>
      <c r="CT65" s="174"/>
      <c r="CU65" s="34">
        <f>SUM(CU60:CU61)</f>
        <v>2.0550000000000002</v>
      </c>
      <c r="CV65" s="237">
        <f t="shared" si="199"/>
        <v>0.125755681494822</v>
      </c>
      <c r="CW65" s="1463"/>
      <c r="CX65" s="174"/>
      <c r="CY65" s="34">
        <f>SUM(CY60:CY61)</f>
        <v>2.0550000000000002</v>
      </c>
      <c r="CZ65" s="237">
        <f t="shared" si="200"/>
        <v>0.11651857004310287</v>
      </c>
      <c r="DA65" s="1463"/>
      <c r="DB65" s="174"/>
      <c r="DC65" s="174"/>
      <c r="DD65" s="174"/>
      <c r="DE65" s="174"/>
      <c r="DF65" s="175"/>
      <c r="DG65" s="25"/>
      <c r="DH65" s="25"/>
      <c r="DI65" s="25"/>
      <c r="DJ65" s="25"/>
    </row>
    <row r="66" spans="1:114" hidden="1" outlineLevel="4">
      <c r="A66" s="170" t="str">
        <f>$A$16</f>
        <v>9 Mos</v>
      </c>
      <c r="B66" s="170"/>
      <c r="C66" s="170"/>
      <c r="D66" s="217">
        <f>SUM(D60:D62)</f>
        <v>0.59399999999999997</v>
      </c>
      <c r="E66" s="234">
        <f t="shared" si="176"/>
        <v>2.1902654867256639</v>
      </c>
      <c r="F66" s="170"/>
      <c r="G66" s="170"/>
      <c r="H66" s="217">
        <f>SUM(H60:H62)</f>
        <v>0.79699999999999993</v>
      </c>
      <c r="I66" s="234">
        <f t="shared" si="177"/>
        <v>0.8246931975745535</v>
      </c>
      <c r="J66" s="170"/>
      <c r="K66" s="170"/>
      <c r="L66" s="217">
        <f>SUM(L60:L62)</f>
        <v>0.88600000000000012</v>
      </c>
      <c r="M66" s="234">
        <f t="shared" si="178"/>
        <v>0.77397487639114582</v>
      </c>
      <c r="N66" s="170"/>
      <c r="O66" s="170"/>
      <c r="P66" s="217">
        <f>SUM(P60:P62)</f>
        <v>1.034</v>
      </c>
      <c r="Q66" s="234">
        <f t="shared" si="179"/>
        <v>0.8142052836725856</v>
      </c>
      <c r="R66" s="170"/>
      <c r="S66" s="170"/>
      <c r="T66" s="217">
        <f>SUM(T60:T62)</f>
        <v>1.2690000000000001</v>
      </c>
      <c r="U66" s="234">
        <f t="shared" si="180"/>
        <v>0.85504639081482092</v>
      </c>
      <c r="V66" s="170"/>
      <c r="W66" s="170"/>
      <c r="X66" s="217">
        <f>SUM(X60:X62)</f>
        <v>-2.8569999999999998</v>
      </c>
      <c r="Y66" s="234">
        <f t="shared" si="181"/>
        <v>-1.4095138484612273</v>
      </c>
      <c r="Z66" s="170"/>
      <c r="AA66" s="170"/>
      <c r="AB66" s="217">
        <f>SUM(AB60:AB62)</f>
        <v>-0.154</v>
      </c>
      <c r="AC66" s="234">
        <f t="shared" si="182"/>
        <v>-7.3414088831047483E-2</v>
      </c>
      <c r="AD66" s="170"/>
      <c r="AE66" s="170"/>
      <c r="AF66" s="217">
        <f>SUM(AF60:AF62)</f>
        <v>-0.34099999999999997</v>
      </c>
      <c r="AG66" s="234">
        <f t="shared" si="183"/>
        <v>-0.13913369891630764</v>
      </c>
      <c r="AH66" s="170"/>
      <c r="AI66" s="170"/>
      <c r="AJ66" s="217">
        <f>SUM(AJ60:AJ62)</f>
        <v>0.18500000000000003</v>
      </c>
      <c r="AK66" s="234">
        <f t="shared" si="184"/>
        <v>6.0619763353550848E-2</v>
      </c>
      <c r="AL66" s="170"/>
      <c r="AM66" s="170"/>
      <c r="AN66" s="217">
        <f>SUM(AN60:AN62)</f>
        <v>0.69199999999999995</v>
      </c>
      <c r="AO66" s="234">
        <f t="shared" si="185"/>
        <v>0.18590256771205518</v>
      </c>
      <c r="AP66" s="170"/>
      <c r="AQ66" s="170"/>
      <c r="AR66" s="170"/>
      <c r="AS66" s="170"/>
      <c r="AT66" s="170"/>
      <c r="AU66" s="217">
        <f>SUM(AU60:AU62)</f>
        <v>0.87799999999999989</v>
      </c>
      <c r="AV66" s="234">
        <f t="shared" si="186"/>
        <v>0.1523969541437912</v>
      </c>
      <c r="AW66" s="170"/>
      <c r="AX66" s="170"/>
      <c r="AY66" s="217">
        <f>SUM(AY60:AY62)</f>
        <v>3.1109999999999998</v>
      </c>
      <c r="AZ66" s="234">
        <f t="shared" si="187"/>
        <v>0.40218844293216183</v>
      </c>
      <c r="BA66" s="170"/>
      <c r="BB66" s="170"/>
      <c r="BC66" s="217">
        <f>SUM(BC60:BC62)</f>
        <v>4.5270000000000001</v>
      </c>
      <c r="BD66" s="234">
        <f t="shared" si="188"/>
        <v>0.52400624594146916</v>
      </c>
      <c r="BE66" s="170"/>
      <c r="BF66" s="170"/>
      <c r="BG66" s="217">
        <f>SUM(BG60:BG62)</f>
        <v>5.99</v>
      </c>
      <c r="BH66" s="234">
        <f t="shared" si="189"/>
        <v>0.57468342043129084</v>
      </c>
      <c r="BI66" s="170"/>
      <c r="BJ66" s="170"/>
      <c r="BK66" s="217">
        <f>SUM(BK60:BK62)</f>
        <v>7.1020000000000003</v>
      </c>
      <c r="BL66" s="234">
        <f t="shared" si="190"/>
        <v>0.53537774963438722</v>
      </c>
      <c r="BM66" s="170"/>
      <c r="BN66" s="170"/>
      <c r="BO66" s="217">
        <f>SUM(BO60:BO62)</f>
        <v>4.8470000000000004</v>
      </c>
      <c r="BP66" s="234">
        <f t="shared" si="191"/>
        <v>0.35921744402003375</v>
      </c>
      <c r="BQ66" s="170"/>
      <c r="BR66" s="25"/>
      <c r="BS66" s="34">
        <f>SUM(BS60:BS62)</f>
        <v>1.915</v>
      </c>
      <c r="BT66" s="237">
        <f t="shared" si="192"/>
        <v>0.1192617356038941</v>
      </c>
      <c r="BU66" s="25"/>
      <c r="BV66" s="25"/>
      <c r="BW66" s="34">
        <f>SUM(BW60:BW62)</f>
        <v>4.3179999999999996</v>
      </c>
      <c r="BX66" s="237">
        <f t="shared" si="193"/>
        <v>0.24771204822525614</v>
      </c>
      <c r="BY66" s="25"/>
      <c r="BZ66" s="25"/>
      <c r="CA66" s="34">
        <f>SUM(CA60:CA62)</f>
        <v>0.57099999999999995</v>
      </c>
      <c r="CB66" s="237">
        <f t="shared" si="194"/>
        <v>2.9462406536836003E-2</v>
      </c>
      <c r="CC66" s="25"/>
      <c r="CD66" s="174"/>
      <c r="CE66" s="34">
        <f>SUM(CE60:CE62)</f>
        <v>-0.10800000000000001</v>
      </c>
      <c r="CF66" s="237">
        <f t="shared" si="195"/>
        <v>-4.952424624555773E-3</v>
      </c>
      <c r="CG66" s="174"/>
      <c r="CH66" s="174"/>
      <c r="CI66" s="34">
        <f>SUM(CI60:CI62)</f>
        <v>-1.56</v>
      </c>
      <c r="CJ66" s="237">
        <f t="shared" si="196"/>
        <v>-6.7473085375511499E-2</v>
      </c>
      <c r="CK66" s="174"/>
      <c r="CL66" s="174"/>
      <c r="CM66" s="34">
        <f>SUM(CM60:CM62)</f>
        <v>-2.6539999999999999</v>
      </c>
      <c r="CN66" s="237">
        <f t="shared" si="197"/>
        <v>-0.1091404959765237</v>
      </c>
      <c r="CO66" s="174"/>
      <c r="CP66" s="174"/>
      <c r="CQ66" s="34">
        <f>SUM(CQ60:CQ62)</f>
        <v>0.34799999999999998</v>
      </c>
      <c r="CR66" s="237">
        <f t="shared" si="198"/>
        <v>1.3833479883417155E-2</v>
      </c>
      <c r="CS66" s="174"/>
      <c r="CT66" s="174"/>
      <c r="CU66" s="34">
        <f>SUM(CU60:CU62)</f>
        <v>1.173</v>
      </c>
      <c r="CV66" s="237">
        <f t="shared" si="199"/>
        <v>4.6420607108724345E-2</v>
      </c>
      <c r="CW66" s="1463"/>
      <c r="CX66" s="174"/>
      <c r="CY66" s="34">
        <f>SUM(CY60:CY62)</f>
        <v>1.173</v>
      </c>
      <c r="CZ66" s="237">
        <f t="shared" si="200"/>
        <v>4.3824730214110548E-2</v>
      </c>
      <c r="DA66" s="1463"/>
      <c r="DB66" s="174"/>
      <c r="DC66" s="174"/>
      <c r="DD66" s="174"/>
      <c r="DE66" s="174"/>
      <c r="DF66" s="175"/>
      <c r="DG66" s="25"/>
      <c r="DH66" s="25"/>
      <c r="DI66" s="25"/>
      <c r="DJ66" s="25"/>
    </row>
    <row r="67" spans="1:114" outlineLevel="3" collapsed="1">
      <c r="A67" s="170"/>
      <c r="B67" s="170"/>
      <c r="C67" s="170"/>
      <c r="D67" s="170"/>
      <c r="E67" s="170"/>
      <c r="F67" s="170"/>
      <c r="G67" s="170"/>
      <c r="H67" s="170"/>
      <c r="I67" s="170"/>
      <c r="J67" s="170"/>
      <c r="K67" s="170"/>
      <c r="L67" s="170"/>
      <c r="M67" s="170"/>
      <c r="N67" s="170"/>
      <c r="O67" s="170"/>
      <c r="P67" s="170"/>
      <c r="Q67" s="170"/>
      <c r="R67" s="170"/>
      <c r="S67" s="170"/>
      <c r="T67" s="170"/>
      <c r="U67" s="170"/>
      <c r="V67" s="170"/>
      <c r="W67" s="170"/>
      <c r="X67" s="170"/>
      <c r="Y67" s="170"/>
      <c r="Z67" s="170"/>
      <c r="AA67" s="170"/>
      <c r="AB67" s="170"/>
      <c r="AC67" s="170"/>
      <c r="AD67" s="170"/>
      <c r="AE67" s="170"/>
      <c r="AF67" s="170"/>
      <c r="AG67" s="170"/>
      <c r="AH67" s="170"/>
      <c r="AI67" s="170"/>
      <c r="AJ67" s="170"/>
      <c r="AK67" s="170"/>
      <c r="AL67" s="170"/>
      <c r="AM67" s="170"/>
      <c r="AN67" s="170"/>
      <c r="AO67" s="170"/>
      <c r="AP67" s="170"/>
      <c r="AQ67" s="170"/>
      <c r="AR67" s="170"/>
      <c r="AS67" s="170"/>
      <c r="AT67" s="170"/>
      <c r="AU67" s="170"/>
      <c r="AV67" s="170"/>
      <c r="AW67" s="170"/>
      <c r="AX67" s="170"/>
      <c r="AY67" s="170"/>
      <c r="AZ67" s="170"/>
      <c r="BA67" s="170"/>
      <c r="BB67" s="170"/>
      <c r="BC67" s="170"/>
      <c r="BD67" s="170"/>
      <c r="BE67" s="170"/>
      <c r="BF67" s="170"/>
      <c r="BG67" s="170"/>
      <c r="BH67" s="170"/>
      <c r="BI67" s="170"/>
      <c r="BJ67" s="170"/>
      <c r="BK67" s="170"/>
      <c r="BL67" s="170"/>
      <c r="BM67" s="170"/>
      <c r="BN67" s="170"/>
      <c r="BO67" s="170"/>
      <c r="BP67" s="170"/>
      <c r="BQ67" s="170"/>
      <c r="BR67" s="25"/>
      <c r="BS67" s="25"/>
      <c r="BT67" s="25"/>
      <c r="BU67" s="25"/>
      <c r="BV67" s="25"/>
      <c r="BW67" s="25"/>
      <c r="BX67" s="25"/>
      <c r="BY67" s="25"/>
      <c r="BZ67" s="25"/>
      <c r="CA67" s="25"/>
      <c r="CB67" s="25"/>
      <c r="CC67" s="25"/>
      <c r="CD67" s="174"/>
      <c r="CE67" s="174"/>
      <c r="CF67" s="174"/>
      <c r="CG67" s="174"/>
      <c r="CH67" s="174"/>
      <c r="CI67" s="174"/>
      <c r="CJ67" s="174"/>
      <c r="CK67" s="174"/>
      <c r="CL67" s="174"/>
      <c r="CM67" s="174"/>
      <c r="CN67" s="174"/>
      <c r="CO67" s="174"/>
      <c r="CP67" s="174"/>
      <c r="CQ67" s="174"/>
      <c r="CR67" s="174"/>
      <c r="CS67" s="174"/>
      <c r="CT67" s="174"/>
      <c r="CU67" s="174"/>
      <c r="CV67" s="174"/>
      <c r="CW67" s="1463"/>
      <c r="CX67" s="174"/>
      <c r="CY67" s="174"/>
      <c r="CZ67" s="174"/>
      <c r="DA67" s="1463"/>
      <c r="DB67" s="174"/>
      <c r="DC67" s="174"/>
      <c r="DD67" s="174"/>
      <c r="DE67" s="174"/>
      <c r="DF67" s="175"/>
      <c r="DG67" s="25"/>
      <c r="DH67" s="25"/>
      <c r="DI67" s="25"/>
      <c r="DJ67" s="25"/>
    </row>
    <row r="68" spans="1:114" outlineLevel="2">
      <c r="A68" s="170"/>
      <c r="B68" s="170"/>
      <c r="C68" s="184"/>
      <c r="D68" s="184"/>
      <c r="E68" s="170"/>
      <c r="F68" s="170"/>
      <c r="G68" s="170"/>
      <c r="H68" s="278"/>
      <c r="I68" s="187"/>
      <c r="J68" s="187"/>
      <c r="K68" s="187"/>
      <c r="L68" s="278"/>
      <c r="M68" s="187"/>
      <c r="N68" s="187"/>
      <c r="O68" s="187"/>
      <c r="P68" s="278"/>
      <c r="Q68" s="187"/>
      <c r="R68" s="187"/>
      <c r="S68" s="187"/>
      <c r="T68" s="278"/>
      <c r="U68" s="187"/>
      <c r="V68" s="187"/>
      <c r="W68" s="187"/>
      <c r="X68" s="170"/>
      <c r="Y68" s="187"/>
      <c r="Z68" s="187"/>
      <c r="AA68" s="187"/>
      <c r="AB68" s="170"/>
      <c r="AC68" s="187"/>
      <c r="AD68" s="187"/>
      <c r="AE68" s="187"/>
      <c r="AF68" s="278"/>
      <c r="AG68" s="187"/>
      <c r="AH68" s="187"/>
      <c r="AI68" s="187"/>
      <c r="AJ68" s="278"/>
      <c r="AK68" s="187"/>
      <c r="AL68" s="187"/>
      <c r="AM68" s="187"/>
      <c r="AN68" s="278"/>
      <c r="AO68" s="187"/>
      <c r="AP68" s="187"/>
      <c r="AQ68" s="170"/>
      <c r="AR68" s="170"/>
      <c r="AS68" s="170"/>
      <c r="AT68" s="187"/>
      <c r="AU68" s="278" t="s">
        <v>485</v>
      </c>
      <c r="AV68" s="187"/>
      <c r="AW68" s="187"/>
      <c r="AX68" s="187"/>
      <c r="AY68" s="278" t="s">
        <v>485</v>
      </c>
      <c r="AZ68" s="187"/>
      <c r="BA68" s="187"/>
      <c r="BB68" s="187"/>
      <c r="BC68" s="278"/>
      <c r="BD68" s="187"/>
      <c r="BE68" s="187"/>
      <c r="BF68" s="187"/>
      <c r="BG68" s="278"/>
      <c r="BH68" s="187"/>
      <c r="BI68" s="187"/>
      <c r="BJ68" s="187"/>
      <c r="BK68" s="278"/>
      <c r="BL68" s="187"/>
      <c r="BM68" s="187"/>
      <c r="BN68" s="187"/>
      <c r="BO68" s="278"/>
      <c r="BP68" s="187"/>
      <c r="BQ68" s="187"/>
      <c r="BR68" s="188"/>
      <c r="BS68" s="189" t="str">
        <f>AY68</f>
        <v>6.  Pretax Income/(Loss)   (% Pretax Margin)/% Change</v>
      </c>
      <c r="BT68" s="188"/>
      <c r="BU68" s="188"/>
      <c r="BV68" s="188"/>
      <c r="BW68" s="279"/>
      <c r="BX68" s="188"/>
      <c r="BY68" s="188"/>
      <c r="BZ68" s="188"/>
      <c r="CA68" s="279"/>
      <c r="CB68" s="188"/>
      <c r="CC68" s="188"/>
      <c r="CD68" s="174"/>
      <c r="CE68" s="174"/>
      <c r="CF68" s="174"/>
      <c r="CG68" s="174"/>
      <c r="CH68" s="174"/>
      <c r="CI68" s="174"/>
      <c r="CJ68" s="1004" t="str">
        <f>BS68</f>
        <v>6.  Pretax Income/(Loss)   (% Pretax Margin)/% Change</v>
      </c>
      <c r="CK68" s="1004"/>
      <c r="CL68" s="1004"/>
      <c r="CM68" s="1004"/>
      <c r="CN68" s="1004"/>
      <c r="CO68" s="1004"/>
      <c r="CP68" s="1004"/>
      <c r="CQ68" s="1004"/>
      <c r="CR68" s="1004"/>
      <c r="CS68" s="174"/>
      <c r="CT68" s="1004"/>
      <c r="CU68" s="1004"/>
      <c r="CV68" s="1004"/>
      <c r="CW68" s="1463"/>
      <c r="CX68" s="1004"/>
      <c r="CY68" s="1004"/>
      <c r="CZ68" s="1004"/>
      <c r="DA68" s="1463"/>
      <c r="DB68" s="174"/>
      <c r="DC68" s="174"/>
      <c r="DD68" s="174"/>
      <c r="DE68" s="174"/>
      <c r="DF68" s="175"/>
      <c r="DG68" s="25"/>
      <c r="DH68" s="25"/>
      <c r="DI68" s="25"/>
      <c r="DJ68" s="25"/>
    </row>
    <row r="69" spans="1:114" outlineLevel="2">
      <c r="A69" s="170"/>
      <c r="B69" s="170"/>
      <c r="C69" s="170"/>
      <c r="D69" s="170"/>
      <c r="E69" s="170"/>
      <c r="F69" s="170"/>
      <c r="G69" s="170"/>
      <c r="H69" s="170"/>
      <c r="I69" s="170"/>
      <c r="J69" s="170"/>
      <c r="K69" s="170"/>
      <c r="L69" s="170"/>
      <c r="M69" s="170"/>
      <c r="N69" s="170"/>
      <c r="O69" s="170"/>
      <c r="P69" s="170"/>
      <c r="Q69" s="170"/>
      <c r="R69" s="170"/>
      <c r="S69" s="170"/>
      <c r="T69" s="170"/>
      <c r="U69" s="170"/>
      <c r="V69" s="170"/>
      <c r="W69" s="170"/>
      <c r="X69" s="170"/>
      <c r="Y69" s="170"/>
      <c r="Z69" s="170"/>
      <c r="AA69" s="170"/>
      <c r="AB69" s="170"/>
      <c r="AC69" s="170"/>
      <c r="AD69" s="170"/>
      <c r="AE69" s="170"/>
      <c r="AF69" s="170"/>
      <c r="AG69" s="170"/>
      <c r="AH69" s="170"/>
      <c r="AI69" s="170"/>
      <c r="AJ69" s="170"/>
      <c r="AK69" s="170"/>
      <c r="AL69" s="170"/>
      <c r="AM69" s="170"/>
      <c r="AN69" s="170"/>
      <c r="AO69" s="170"/>
      <c r="AP69" s="170"/>
      <c r="AQ69" s="170"/>
      <c r="AR69" s="170"/>
      <c r="AS69" s="170"/>
      <c r="AT69" s="170"/>
      <c r="AU69" s="170"/>
      <c r="AV69" s="170"/>
      <c r="AW69" s="170"/>
      <c r="AX69" s="170"/>
      <c r="AY69" s="170"/>
      <c r="AZ69" s="170"/>
      <c r="BA69" s="170"/>
      <c r="BB69" s="170"/>
      <c r="BC69" s="170"/>
      <c r="BD69" s="170"/>
      <c r="BE69" s="170"/>
      <c r="BF69" s="170"/>
      <c r="BG69" s="170"/>
      <c r="BH69" s="170"/>
      <c r="BI69" s="170"/>
      <c r="BJ69" s="170"/>
      <c r="BK69" s="170"/>
      <c r="BL69" s="170"/>
      <c r="BM69" s="170"/>
      <c r="BN69" s="170"/>
      <c r="BO69" s="170"/>
      <c r="BP69" s="170"/>
      <c r="BQ69" s="170"/>
      <c r="BR69" s="25"/>
      <c r="BS69" s="25"/>
      <c r="BT69" s="25"/>
      <c r="BU69" s="25"/>
      <c r="BV69" s="25"/>
      <c r="BW69" s="25"/>
      <c r="BX69" s="25"/>
      <c r="BY69" s="25"/>
      <c r="BZ69" s="25"/>
      <c r="CA69" s="25"/>
      <c r="CB69" s="25"/>
      <c r="CC69" s="25"/>
      <c r="CD69" s="174"/>
      <c r="CE69" s="174"/>
      <c r="CF69" s="174"/>
      <c r="CG69" s="174"/>
      <c r="CH69" s="174"/>
      <c r="CI69" s="174"/>
      <c r="CJ69" s="174"/>
      <c r="CK69" s="174"/>
      <c r="CL69" s="174"/>
      <c r="CM69" s="174"/>
      <c r="CN69" s="174"/>
      <c r="CO69" s="174"/>
      <c r="CP69" s="174"/>
      <c r="CQ69" s="174"/>
      <c r="CR69" s="174"/>
      <c r="CS69" s="174"/>
      <c r="CT69" s="174"/>
      <c r="CU69" s="174"/>
      <c r="CV69" s="174"/>
      <c r="CW69" s="1463"/>
      <c r="CX69" s="174"/>
      <c r="CY69" s="174"/>
      <c r="CZ69" s="174"/>
      <c r="DA69" s="1463"/>
      <c r="DB69" s="174"/>
      <c r="DC69" s="174"/>
      <c r="DD69" s="174"/>
      <c r="DE69" s="174"/>
      <c r="DF69" s="175"/>
      <c r="DG69" s="25"/>
      <c r="DH69" s="25"/>
      <c r="DI69" s="25"/>
      <c r="DJ69" s="25"/>
    </row>
    <row r="70" spans="1:114" outlineLevel="2">
      <c r="A70" s="170" t="str">
        <f>$A$10</f>
        <v>1Q</v>
      </c>
      <c r="B70" s="170" t="str">
        <f>$B$10</f>
        <v>Apr</v>
      </c>
      <c r="C70" s="170"/>
      <c r="D70" s="214">
        <f>D50+D60</f>
        <v>3.5600000000000018</v>
      </c>
      <c r="E70" s="234">
        <f t="shared" ref="E70:E76" si="202">D70/D10*100</f>
        <v>15.38461538461539</v>
      </c>
      <c r="F70" s="168"/>
      <c r="G70" s="170"/>
      <c r="H70" s="214">
        <f>H50+H60</f>
        <v>3.9080000000000004</v>
      </c>
      <c r="I70" s="234">
        <f t="shared" ref="I70:I76" si="203">H70/H10*100</f>
        <v>13.997636018482037</v>
      </c>
      <c r="J70" s="168">
        <f t="shared" ref="J70:J76" si="204">IF(D70&lt;0,"       NM",(H70/D70-1)*100)</f>
        <v>9.7752808988763604</v>
      </c>
      <c r="K70" s="170"/>
      <c r="L70" s="214">
        <f>L50+L60</f>
        <v>5.0250000000000004</v>
      </c>
      <c r="M70" s="234">
        <f t="shared" ref="M70:M76" si="205">L70/L10*100</f>
        <v>14.934466668648025</v>
      </c>
      <c r="N70" s="168">
        <f t="shared" ref="N70:N76" si="206">IF(H70&lt;0,"       NM",(L70/H70-1)*100)</f>
        <v>28.582395087001021</v>
      </c>
      <c r="O70" s="170"/>
      <c r="P70" s="214">
        <f>P50+P60</f>
        <v>4.1419999999999995</v>
      </c>
      <c r="Q70" s="234">
        <f t="shared" ref="Q70:Q76" si="207">P70/P10*100</f>
        <v>11.125436475960248</v>
      </c>
      <c r="R70" s="168">
        <f t="shared" ref="R70:R76" si="208">IF(L70&lt;0,"       NM",(P70/L70-1)*100)</f>
        <v>-17.572139303482604</v>
      </c>
      <c r="S70" s="170"/>
      <c r="T70" s="214">
        <f>T50+T60</f>
        <v>3.5570000000000004</v>
      </c>
      <c r="U70" s="234">
        <f t="shared" ref="U70:U76" si="209">T70/T10*100</f>
        <v>9.0105380484344924</v>
      </c>
      <c r="V70" s="168">
        <f t="shared" ref="V70:V76" si="210">IF(P70&lt;0,"       NM",(T70/P70-1)*100)</f>
        <v>-14.123611781747925</v>
      </c>
      <c r="W70" s="170"/>
      <c r="X70" s="214">
        <f>X50+X60</f>
        <v>5.5019999999999989</v>
      </c>
      <c r="Y70" s="234">
        <f t="shared" ref="Y70:Y76" si="211">X70/X10*100</f>
        <v>9.4014319156570902</v>
      </c>
      <c r="Z70" s="168">
        <f t="shared" ref="Z70:Z76" si="212">IF(T70&lt;0,"       NM",(X70/T70-1)*100)</f>
        <v>54.680910879954972</v>
      </c>
      <c r="AA70" s="170"/>
      <c r="AB70" s="214">
        <f>AB50+AB60</f>
        <v>5.111000000000006</v>
      </c>
      <c r="AC70" s="234">
        <f t="shared" ref="AC70:AC76" si="213">AB70/AB10*100</f>
        <v>7.7498104624715776</v>
      </c>
      <c r="AD70" s="168">
        <f t="shared" ref="AD70:AD76" si="214">IF(X70&lt;0,"       NM",(AB70/X70-1)*100)</f>
        <v>-7.1065067248272111</v>
      </c>
      <c r="AE70" s="170"/>
      <c r="AF70" s="214">
        <f>AF50+AF60</f>
        <v>1.9350000000000018</v>
      </c>
      <c r="AG70" s="234">
        <f t="shared" ref="AG70:AG76" si="215">AF70/AF10*100</f>
        <v>2.6937104992065062</v>
      </c>
      <c r="AH70" s="168">
        <f t="shared" ref="AH70:AH76" si="216">IF(AB70&lt;0,"       NM",(AF70/AB70-1)*100)</f>
        <v>-62.140481314811204</v>
      </c>
      <c r="AI70" s="170"/>
      <c r="AJ70" s="214">
        <f>AJ50+AJ60</f>
        <v>7.9909999999999961</v>
      </c>
      <c r="AK70" s="234">
        <f t="shared" ref="AK70:AK76" si="217">AJ70/AJ10*100</f>
        <v>8.4943767672257984</v>
      </c>
      <c r="AL70" s="168">
        <f t="shared" ref="AL70:AL76" si="218">IF(AF70&lt;0,"       NM",(AJ70/AF70-1)*100)</f>
        <v>312.97157622738956</v>
      </c>
      <c r="AM70" s="170"/>
      <c r="AN70" s="214">
        <f>AN50+AN60</f>
        <v>10.744000000000007</v>
      </c>
      <c r="AO70" s="234">
        <f t="shared" ref="AO70:AO76" si="219">AN70/AN10*100</f>
        <v>10.038494599544052</v>
      </c>
      <c r="AP70" s="168">
        <f t="shared" ref="AP70:AP76" si="220">IF(AJ70&lt;0,"       NM",(AN70/AJ70-1)*100)</f>
        <v>34.45125766487314</v>
      </c>
      <c r="AQ70" s="170"/>
      <c r="AR70" s="170"/>
      <c r="AS70" s="170"/>
      <c r="AT70" s="170"/>
      <c r="AU70" s="214">
        <f>AU50+AU60</f>
        <v>28.351999999999993</v>
      </c>
      <c r="AV70" s="234">
        <f t="shared" ref="AV70:AV76" si="221">AU70/AU10*100</f>
        <v>16.649245404897524</v>
      </c>
      <c r="AW70" s="168">
        <f t="shared" ref="AW70:AW76" si="222">IF(AN70&lt;0,"       NM",(AU70/AN70-1)*100)</f>
        <v>163.88682055100497</v>
      </c>
      <c r="AX70" s="170"/>
      <c r="AY70" s="214">
        <f>AY50+AY60</f>
        <v>45.541999999999994</v>
      </c>
      <c r="AZ70" s="234">
        <f t="shared" ref="AZ70:AZ76" si="223">AY70/AY10*100</f>
        <v>19.687452718037392</v>
      </c>
      <c r="BA70" s="168">
        <f t="shared" ref="BA70:BA76" si="224">IF(AU70&lt;0,"       NM",(AY70/AU70-1)*100)</f>
        <v>60.630643340857816</v>
      </c>
      <c r="BB70" s="170"/>
      <c r="BC70" s="214">
        <f>BC50+BC60</f>
        <v>32.963000000000001</v>
      </c>
      <c r="BD70" s="234">
        <f t="shared" ref="BD70:BD76" si="225">BC70/BC10*100</f>
        <v>12.20820200957753</v>
      </c>
      <c r="BE70" s="168">
        <f t="shared" ref="BE70:BE76" si="226">IF(AY70&lt;0,"       NM",(BC70/AY70-1)*100)</f>
        <v>-27.620657854288332</v>
      </c>
      <c r="BF70" s="170"/>
      <c r="BG70" s="214">
        <f>BG50+BG60</f>
        <v>37.817999999999977</v>
      </c>
      <c r="BH70" s="234">
        <f t="shared" ref="BH70:BH76" si="227">BG70/BG10*100</f>
        <v>12.023119182054014</v>
      </c>
      <c r="BI70" s="168">
        <f t="shared" ref="BI70:BI76" si="228">IF(BC70&lt;0,"       NM",(BG70/BC70-1)*100)</f>
        <v>14.728635136364932</v>
      </c>
      <c r="BJ70" s="170"/>
      <c r="BK70" s="214">
        <f>BK50+BK60</f>
        <v>66.161999999999978</v>
      </c>
      <c r="BL70" s="234">
        <f t="shared" ref="BL70:BL76" si="229">BK70/BK10*100</f>
        <v>16.779949884856904</v>
      </c>
      <c r="BM70" s="168">
        <f t="shared" ref="BM70:BM76" si="230">IF(BG70&lt;0,"       NM",(BK70/BG70-1)*100)</f>
        <v>74.948437252102224</v>
      </c>
      <c r="BN70" s="170"/>
      <c r="BO70" s="214">
        <f>BO50+BO60</f>
        <v>48.210999999999977</v>
      </c>
      <c r="BP70" s="234">
        <f t="shared" ref="BP70:BP76" si="231">BO70/BO10*100</f>
        <v>12.528976392685989</v>
      </c>
      <c r="BQ70" s="168">
        <f t="shared" ref="BQ70:BQ76" si="232">IF(BK70&lt;0,"       NM",(BO70/BK70-1)*100)</f>
        <v>-27.131888395151304</v>
      </c>
      <c r="BR70" s="25"/>
      <c r="BS70" s="32">
        <f>BS50+BS60</f>
        <v>82.634</v>
      </c>
      <c r="BT70" s="237">
        <f t="shared" ref="BT70:BT76" si="233">BS70/BS10*100</f>
        <v>17.216815532928717</v>
      </c>
      <c r="BU70" s="23">
        <f t="shared" ref="BU70:BU76" si="234">IF(BO70&lt;0,"       NM",(BS70/BO70-1)*100)</f>
        <v>71.400717678538172</v>
      </c>
      <c r="BV70" s="25"/>
      <c r="BW70" s="32">
        <f>BW50+BW60</f>
        <v>63.001000000000026</v>
      </c>
      <c r="BX70" s="237">
        <f t="shared" ref="BX70:BX76" si="235">BW70/BW10*100</f>
        <v>12.022655667065512</v>
      </c>
      <c r="BY70" s="23">
        <f t="shared" ref="BY70:BY76" si="236">IF(BS70&lt;0,"       NM",(BW70/BS70-1)*100)</f>
        <v>-23.758985405523113</v>
      </c>
      <c r="BZ70" s="25"/>
      <c r="CA70" s="32">
        <f>CA50+CA60</f>
        <v>53.213999999999935</v>
      </c>
      <c r="CB70" s="237">
        <f t="shared" ref="CB70:CB76" si="237">CA70/CA10*100</f>
        <v>9.3533475119961942</v>
      </c>
      <c r="CC70" s="23">
        <f t="shared" ref="CC70:CC76" si="238">IF(BW70&lt;0,"       NM",(CA70/BW70-1)*100)</f>
        <v>-15.534674052792951</v>
      </c>
      <c r="CD70" s="174"/>
      <c r="CE70" s="32">
        <f>CE50+CE60</f>
        <v>72.837000000000032</v>
      </c>
      <c r="CF70" s="237">
        <f t="shared" ref="CF70:CF76" si="239">CE70/CE10*100</f>
        <v>11.237208355125224</v>
      </c>
      <c r="CG70" s="23">
        <f t="shared" ref="CG70:CG76" si="240">IF(CA70&lt;0,"       NM",(CE70/CA70-1)*100)</f>
        <v>36.875634231593409</v>
      </c>
      <c r="CH70" s="174"/>
      <c r="CI70" s="32">
        <f>CI50+CI60</f>
        <v>59.476999999999968</v>
      </c>
      <c r="CJ70" s="237">
        <f t="shared" ref="CJ70:CJ76" si="241">CI70/CI10*100</f>
        <v>8.6662004050647621</v>
      </c>
      <c r="CK70" s="23">
        <f t="shared" ref="CK70:CK76" si="242">IF(CE70&lt;0,"       NM",(CI70/CE70-1)*100)</f>
        <v>-18.34232601562401</v>
      </c>
      <c r="CL70" s="174"/>
      <c r="CM70" s="34">
        <f>CM50+CM60</f>
        <v>50.933</v>
      </c>
      <c r="CN70" s="237">
        <f t="shared" ref="CN70:CN76" si="243">CM70/CM10*100</f>
        <v>6.8920582942044089</v>
      </c>
      <c r="CO70" s="23">
        <f t="shared" ref="CO70:CO76" si="244">IF(CI70&lt;0,"       NM",(CM70/CI70-1)*100)</f>
        <v>-14.365216806496584</v>
      </c>
      <c r="CP70" s="174"/>
      <c r="CQ70" s="32">
        <f>CQ50+CQ60</f>
        <v>48.906000000000034</v>
      </c>
      <c r="CR70" s="237">
        <f t="shared" ref="CR70:CR76" si="245">CQ70/CQ10*100</f>
        <v>6.4132540058249905</v>
      </c>
      <c r="CS70" s="23">
        <f t="shared" ref="CS70:CS76" si="246">IF(CM70&lt;0,"       NM",(CQ70/CM70-1)*100)</f>
        <v>-3.9797380872910848</v>
      </c>
      <c r="CT70" s="174"/>
      <c r="CU70" s="32">
        <f>CU50+CU60</f>
        <v>21.355000000000086</v>
      </c>
      <c r="CV70" s="237">
        <f t="shared" ref="CV70:CV76" si="247">CU70/CU10*100</f>
        <v>2.8054756368318139</v>
      </c>
      <c r="CW70" s="1467">
        <f t="shared" ref="CW70:CW76" si="248">IF(CQ70&lt;0,"       NM",(CU70/CQ70-1)*100)</f>
        <v>-56.334601071443032</v>
      </c>
      <c r="CX70" s="174"/>
      <c r="CY70" s="32">
        <f>CY50+CY60</f>
        <v>44.245138440746572</v>
      </c>
      <c r="CZ70" s="237">
        <f t="shared" ref="CZ70:CZ76" si="249">CY70/CY10*100</f>
        <v>5.278053879975249</v>
      </c>
      <c r="DA70" s="1467">
        <f t="shared" ref="DA70:DA76" si="250">IF(CU70&lt;0,"       NM",(CY70/CU70-1)*100)</f>
        <v>107.18866045772137</v>
      </c>
      <c r="DB70" s="174"/>
      <c r="DC70" s="174"/>
      <c r="DD70" s="174"/>
      <c r="DE70" s="174"/>
      <c r="DF70" s="175"/>
      <c r="DG70" s="25"/>
      <c r="DH70" s="25"/>
      <c r="DI70" s="25"/>
      <c r="DJ70" s="25"/>
    </row>
    <row r="71" spans="1:114" outlineLevel="2">
      <c r="A71" s="170" t="str">
        <f>$A$11</f>
        <v>2Q</v>
      </c>
      <c r="B71" s="170" t="str">
        <f>$B$11</f>
        <v>Jul</v>
      </c>
      <c r="C71" s="170"/>
      <c r="D71" s="217">
        <f>D51+D61</f>
        <v>3.8450000000000015</v>
      </c>
      <c r="E71" s="234">
        <f t="shared" si="202"/>
        <v>15.769830202608487</v>
      </c>
      <c r="F71" s="170"/>
      <c r="G71" s="170"/>
      <c r="H71" s="217">
        <f>H51+H61</f>
        <v>3.9720000000000004</v>
      </c>
      <c r="I71" s="234">
        <f t="shared" si="203"/>
        <v>13.292727820354072</v>
      </c>
      <c r="J71" s="168">
        <f t="shared" si="204"/>
        <v>3.3029908972691535</v>
      </c>
      <c r="K71" s="170"/>
      <c r="L71" s="217">
        <f>L51+L61</f>
        <v>4.8909999999999991</v>
      </c>
      <c r="M71" s="234">
        <f t="shared" si="205"/>
        <v>13.617127902444453</v>
      </c>
      <c r="N71" s="168">
        <f t="shared" si="206"/>
        <v>23.136958710976806</v>
      </c>
      <c r="O71" s="170"/>
      <c r="P71" s="217">
        <f>P51+P61</f>
        <v>4.88</v>
      </c>
      <c r="Q71" s="234">
        <f t="shared" si="207"/>
        <v>11.799980655769415</v>
      </c>
      <c r="R71" s="168">
        <f t="shared" si="208"/>
        <v>-0.22490288284602311</v>
      </c>
      <c r="S71" s="170"/>
      <c r="T71" s="217">
        <f>T51+T61</f>
        <v>5.8340000000000032</v>
      </c>
      <c r="U71" s="234">
        <f t="shared" si="209"/>
        <v>12.120582552510758</v>
      </c>
      <c r="V71" s="168">
        <f t="shared" si="210"/>
        <v>19.549180327868921</v>
      </c>
      <c r="W71" s="170"/>
      <c r="X71" s="217">
        <f>X51+X61</f>
        <v>8.7830000000000048</v>
      </c>
      <c r="Y71" s="234">
        <f t="shared" si="211"/>
        <v>12.866790700399944</v>
      </c>
      <c r="Z71" s="168">
        <f t="shared" si="212"/>
        <v>50.548508741858079</v>
      </c>
      <c r="AA71" s="170"/>
      <c r="AB71" s="217">
        <f>AB51+AB61</f>
        <v>2.968999999999991</v>
      </c>
      <c r="AC71" s="234">
        <f t="shared" si="213"/>
        <v>4.4494065459776877</v>
      </c>
      <c r="AD71" s="168">
        <f t="shared" si="214"/>
        <v>-66.196060571558817</v>
      </c>
      <c r="AE71" s="170"/>
      <c r="AF71" s="217">
        <f>AF51+AF61</f>
        <v>5.3059999999999956</v>
      </c>
      <c r="AG71" s="234">
        <f t="shared" si="215"/>
        <v>6.5999129299085721</v>
      </c>
      <c r="AH71" s="168">
        <f t="shared" si="216"/>
        <v>78.713371505557816</v>
      </c>
      <c r="AI71" s="170"/>
      <c r="AJ71" s="217">
        <f>AJ51+AJ61</f>
        <v>10.513000000000005</v>
      </c>
      <c r="AK71" s="234">
        <f t="shared" si="217"/>
        <v>10.408807833585811</v>
      </c>
      <c r="AL71" s="168">
        <f t="shared" si="218"/>
        <v>98.134187712024385</v>
      </c>
      <c r="AM71" s="170"/>
      <c r="AN71" s="217">
        <f>AN51+AN61</f>
        <v>15.911000000000012</v>
      </c>
      <c r="AO71" s="234">
        <f t="shared" si="219"/>
        <v>12.948510323163445</v>
      </c>
      <c r="AP71" s="168">
        <f t="shared" si="220"/>
        <v>51.345952630077086</v>
      </c>
      <c r="AQ71" s="170"/>
      <c r="AR71" s="170"/>
      <c r="AS71" s="170"/>
      <c r="AT71" s="170"/>
      <c r="AU71" s="217">
        <f>AU51+AU61</f>
        <v>34.466000000000008</v>
      </c>
      <c r="AV71" s="234">
        <f t="shared" si="221"/>
        <v>18.18939857718858</v>
      </c>
      <c r="AW71" s="168">
        <f t="shared" si="222"/>
        <v>116.61743447929096</v>
      </c>
      <c r="AX71" s="170"/>
      <c r="AY71" s="217">
        <f>AY51+AY61</f>
        <v>50.790999999999983</v>
      </c>
      <c r="AZ71" s="234">
        <f t="shared" si="223"/>
        <v>20.044437077729359</v>
      </c>
      <c r="BA71" s="168">
        <f t="shared" si="224"/>
        <v>47.365519642546182</v>
      </c>
      <c r="BB71" s="170"/>
      <c r="BC71" s="217">
        <f>BC51+BC61</f>
        <v>40.459000000000032</v>
      </c>
      <c r="BD71" s="234">
        <f t="shared" si="225"/>
        <v>14.168350498495943</v>
      </c>
      <c r="BE71" s="168">
        <f t="shared" si="226"/>
        <v>-20.342186607863511</v>
      </c>
      <c r="BF71" s="170"/>
      <c r="BG71" s="217">
        <f>BG51+BG61</f>
        <v>49.308000000000014</v>
      </c>
      <c r="BH71" s="234">
        <f t="shared" si="227"/>
        <v>14.150707851077204</v>
      </c>
      <c r="BI71" s="168">
        <f t="shared" si="228"/>
        <v>21.871524259126463</v>
      </c>
      <c r="BJ71" s="170"/>
      <c r="BK71" s="217">
        <f>BK51+BK61</f>
        <v>85.364999999999981</v>
      </c>
      <c r="BL71" s="234">
        <f t="shared" si="229"/>
        <v>18.790653650161236</v>
      </c>
      <c r="BM71" s="168">
        <f t="shared" si="230"/>
        <v>73.126064735945405</v>
      </c>
      <c r="BN71" s="170"/>
      <c r="BO71" s="217">
        <f>BO51+BO61</f>
        <v>79.379999999999939</v>
      </c>
      <c r="BP71" s="234">
        <f t="shared" si="231"/>
        <v>17.308220641655716</v>
      </c>
      <c r="BQ71" s="168">
        <f t="shared" si="232"/>
        <v>-7.0110701107011568</v>
      </c>
      <c r="BR71" s="25"/>
      <c r="BS71" s="34">
        <f>BS51+BS61</f>
        <v>107.485</v>
      </c>
      <c r="BT71" s="237">
        <f t="shared" si="233"/>
        <v>19.466313145307783</v>
      </c>
      <c r="BU71" s="23">
        <f t="shared" si="234"/>
        <v>35.405643738977169</v>
      </c>
      <c r="BV71" s="25"/>
      <c r="BW71" s="34">
        <f>BW51+BW61</f>
        <v>88.930000000000035</v>
      </c>
      <c r="BX71" s="237">
        <f t="shared" si="235"/>
        <v>14.598288521802228</v>
      </c>
      <c r="BY71" s="23">
        <f t="shared" si="236"/>
        <v>-17.262873889379883</v>
      </c>
      <c r="BZ71" s="25"/>
      <c r="CA71" s="34">
        <f>CA51+CA61</f>
        <v>96.082000000000022</v>
      </c>
      <c r="CB71" s="237">
        <f t="shared" si="237"/>
        <v>14.207659969627473</v>
      </c>
      <c r="CC71" s="23">
        <f t="shared" si="238"/>
        <v>8.0422804452940255</v>
      </c>
      <c r="CD71" s="174"/>
      <c r="CE71" s="34">
        <f>CE51+CE61</f>
        <v>119.524</v>
      </c>
      <c r="CF71" s="237">
        <f t="shared" si="239"/>
        <v>15.757444721590879</v>
      </c>
      <c r="CG71" s="23">
        <f t="shared" si="240"/>
        <v>24.397910118440478</v>
      </c>
      <c r="CH71" s="174"/>
      <c r="CI71" s="34">
        <f>CI51+CI61</f>
        <v>104.59400000000005</v>
      </c>
      <c r="CJ71" s="237">
        <f t="shared" si="241"/>
        <v>12.892895311327052</v>
      </c>
      <c r="CK71" s="23">
        <f t="shared" si="242"/>
        <v>-12.491215153441948</v>
      </c>
      <c r="CL71" s="174"/>
      <c r="CM71" s="34">
        <f>CM51+CM61</f>
        <v>103.155</v>
      </c>
      <c r="CN71" s="237">
        <f t="shared" si="243"/>
        <v>11.891614598944043</v>
      </c>
      <c r="CO71" s="23">
        <f t="shared" si="244"/>
        <v>-1.3757959347572957</v>
      </c>
      <c r="CP71" s="174"/>
      <c r="CQ71" s="34">
        <f>CQ51+CQ61</f>
        <v>119.28299999999996</v>
      </c>
      <c r="CR71" s="237">
        <f t="shared" si="245"/>
        <v>13.394036165683021</v>
      </c>
      <c r="CS71" s="23">
        <f t="shared" si="246"/>
        <v>15.63472444379812</v>
      </c>
      <c r="CT71" s="174"/>
      <c r="CU71" s="34">
        <f>CU51+CU61</f>
        <v>76.916000000000068</v>
      </c>
      <c r="CV71" s="237">
        <f t="shared" si="247"/>
        <v>8.8112347940444398</v>
      </c>
      <c r="CW71" s="1467">
        <f t="shared" si="248"/>
        <v>-35.518053704215944</v>
      </c>
      <c r="CX71" s="174"/>
      <c r="CY71" s="34">
        <f>CY51+CY61</f>
        <v>97.975757680514263</v>
      </c>
      <c r="CZ71" s="237">
        <f t="shared" si="249"/>
        <v>10.587598144832569</v>
      </c>
      <c r="DA71" s="1467">
        <f t="shared" si="250"/>
        <v>27.380203963433058</v>
      </c>
      <c r="DB71" s="174"/>
      <c r="DC71" s="174"/>
      <c r="DD71" s="174"/>
      <c r="DE71" s="174"/>
      <c r="DF71" s="175"/>
      <c r="DG71" s="25"/>
      <c r="DH71" s="25"/>
      <c r="DI71" s="25"/>
      <c r="DJ71" s="25"/>
    </row>
    <row r="72" spans="1:114" outlineLevel="2">
      <c r="A72" s="170" t="str">
        <f>$A$12</f>
        <v>3Q</v>
      </c>
      <c r="B72" s="170" t="str">
        <f>$B$12</f>
        <v>Oct</v>
      </c>
      <c r="C72" s="170"/>
      <c r="D72" s="217">
        <f>D52+D62</f>
        <v>6.8209999999999962</v>
      </c>
      <c r="E72" s="234">
        <f t="shared" si="202"/>
        <v>21.704957678355491</v>
      </c>
      <c r="F72" s="170"/>
      <c r="G72" s="170"/>
      <c r="H72" s="217">
        <f>H52+H62</f>
        <v>7.1519999999999984</v>
      </c>
      <c r="I72" s="234">
        <f t="shared" si="203"/>
        <v>18.413058029967559</v>
      </c>
      <c r="J72" s="168">
        <f t="shared" si="204"/>
        <v>4.8526609001612986</v>
      </c>
      <c r="K72" s="170"/>
      <c r="L72" s="217">
        <f>L52+L62</f>
        <v>7.9509999999999987</v>
      </c>
      <c r="M72" s="234">
        <f t="shared" si="205"/>
        <v>17.704691709902246</v>
      </c>
      <c r="N72" s="168">
        <f t="shared" si="206"/>
        <v>11.171700223713653</v>
      </c>
      <c r="O72" s="170"/>
      <c r="P72" s="217">
        <f>P52+P62</f>
        <v>8.1760000000000002</v>
      </c>
      <c r="Q72" s="234">
        <f t="shared" si="207"/>
        <v>16.889421388584768</v>
      </c>
      <c r="R72" s="168">
        <f t="shared" si="208"/>
        <v>2.8298327254433486</v>
      </c>
      <c r="S72" s="170"/>
      <c r="T72" s="217">
        <f>T52+T62</f>
        <v>8.533000000000003</v>
      </c>
      <c r="U72" s="234">
        <f t="shared" si="209"/>
        <v>14.033616209459909</v>
      </c>
      <c r="V72" s="168">
        <f t="shared" si="210"/>
        <v>4.3664383561644149</v>
      </c>
      <c r="W72" s="170"/>
      <c r="X72" s="217">
        <f>X52+X62</f>
        <v>11.194000000000004</v>
      </c>
      <c r="Y72" s="234">
        <f t="shared" si="211"/>
        <v>14.74641022263207</v>
      </c>
      <c r="Z72" s="168">
        <f t="shared" si="212"/>
        <v>31.184811906715115</v>
      </c>
      <c r="AA72" s="170"/>
      <c r="AB72" s="217">
        <f>AB52+AB62</f>
        <v>3.9349999999999925</v>
      </c>
      <c r="AC72" s="234">
        <f t="shared" si="213"/>
        <v>5.1043571882580236</v>
      </c>
      <c r="AD72" s="168">
        <f t="shared" si="214"/>
        <v>-64.847239592638999</v>
      </c>
      <c r="AE72" s="170"/>
      <c r="AF72" s="217">
        <f>AF52+AF62</f>
        <v>8.2819999999999929</v>
      </c>
      <c r="AG72" s="234">
        <f t="shared" si="215"/>
        <v>8.9188985451060141</v>
      </c>
      <c r="AH72" s="168">
        <f t="shared" si="216"/>
        <v>110.4701397712836</v>
      </c>
      <c r="AI72" s="170"/>
      <c r="AJ72" s="217">
        <f>AJ52+AJ62</f>
        <v>13.488999999999992</v>
      </c>
      <c r="AK72" s="234">
        <f t="shared" si="217"/>
        <v>12.250921838955183</v>
      </c>
      <c r="AL72" s="168">
        <f t="shared" si="218"/>
        <v>62.871287128712908</v>
      </c>
      <c r="AM72" s="170"/>
      <c r="AN72" s="217">
        <f>AN52+AN62</f>
        <v>23.675999999999995</v>
      </c>
      <c r="AO72" s="234">
        <f t="shared" si="219"/>
        <v>16.6344647336139</v>
      </c>
      <c r="AP72" s="168">
        <f t="shared" si="220"/>
        <v>75.520794721625094</v>
      </c>
      <c r="AQ72" s="170"/>
      <c r="AR72" s="170"/>
      <c r="AS72" s="170"/>
      <c r="AT72" s="170"/>
      <c r="AU72" s="217">
        <f>AU52+AU62</f>
        <v>43.75800000000001</v>
      </c>
      <c r="AV72" s="234">
        <f t="shared" si="221"/>
        <v>20.22527998225123</v>
      </c>
      <c r="AW72" s="168">
        <f t="shared" si="222"/>
        <v>84.82007095793216</v>
      </c>
      <c r="AX72" s="170"/>
      <c r="AY72" s="217">
        <f>AY52+AY62</f>
        <v>61.679999999999978</v>
      </c>
      <c r="AZ72" s="234">
        <f t="shared" si="223"/>
        <v>21.357266768466861</v>
      </c>
      <c r="BA72" s="168">
        <f t="shared" si="224"/>
        <v>40.957082133552646</v>
      </c>
      <c r="BB72" s="170"/>
      <c r="BC72" s="217">
        <f>BC52+BC62</f>
        <v>46.829000000000015</v>
      </c>
      <c r="BD72" s="234">
        <f t="shared" si="225"/>
        <v>15.186716609103149</v>
      </c>
      <c r="BE72" s="168">
        <f t="shared" si="226"/>
        <v>-24.077496757457794</v>
      </c>
      <c r="BF72" s="170"/>
      <c r="BG72" s="217">
        <f>BG52+BG62</f>
        <v>63.47799999999998</v>
      </c>
      <c r="BH72" s="234">
        <f t="shared" si="227"/>
        <v>16.734683117157012</v>
      </c>
      <c r="BI72" s="168">
        <f t="shared" si="228"/>
        <v>35.552755770996527</v>
      </c>
      <c r="BJ72" s="170"/>
      <c r="BK72" s="217">
        <f>BK52+BK62</f>
        <v>91.81599999999996</v>
      </c>
      <c r="BL72" s="234">
        <f t="shared" si="229"/>
        <v>19.210257075486496</v>
      </c>
      <c r="BM72" s="168">
        <f t="shared" si="230"/>
        <v>44.642238255773627</v>
      </c>
      <c r="BN72" s="170"/>
      <c r="BO72" s="217">
        <f>BO52+BO62</f>
        <v>97.57799999999996</v>
      </c>
      <c r="BP72" s="234">
        <f t="shared" si="231"/>
        <v>19.288001581340179</v>
      </c>
      <c r="BQ72" s="168">
        <f t="shared" si="232"/>
        <v>6.2755946675960628</v>
      </c>
      <c r="BR72" s="25"/>
      <c r="BS72" s="34">
        <f>BS52+BS62</f>
        <v>105.67599999999999</v>
      </c>
      <c r="BT72" s="237">
        <f t="shared" si="233"/>
        <v>18.423548445585013</v>
      </c>
      <c r="BU72" s="23">
        <f t="shared" si="234"/>
        <v>8.2990018241817065</v>
      </c>
      <c r="BV72" s="25"/>
      <c r="BW72" s="34">
        <f>BW52+BW62</f>
        <v>75.378999999999962</v>
      </c>
      <c r="BX72" s="237">
        <f t="shared" si="235"/>
        <v>12.358165301260911</v>
      </c>
      <c r="BY72" s="23">
        <f t="shared" si="236"/>
        <v>-28.66970740754763</v>
      </c>
      <c r="BZ72" s="25"/>
      <c r="CA72" s="34">
        <f>CA52+CA62</f>
        <v>93.608000000000018</v>
      </c>
      <c r="CB72" s="237">
        <f t="shared" si="237"/>
        <v>13.510299279512287</v>
      </c>
      <c r="CC72" s="23">
        <f t="shared" si="238"/>
        <v>24.183127926876267</v>
      </c>
      <c r="CD72" s="174"/>
      <c r="CE72" s="34">
        <f>CE52+CE62</f>
        <v>105.27299999999997</v>
      </c>
      <c r="CF72" s="237">
        <f t="shared" si="239"/>
        <v>13.600301789679978</v>
      </c>
      <c r="CG72" s="23">
        <f t="shared" si="240"/>
        <v>12.46154174856844</v>
      </c>
      <c r="CH72" s="174"/>
      <c r="CI72" s="34">
        <f>CI52+CI62</f>
        <v>75.772000000000006</v>
      </c>
      <c r="CJ72" s="237">
        <f t="shared" si="241"/>
        <v>9.3032278659741916</v>
      </c>
      <c r="CK72" s="23">
        <f t="shared" si="242"/>
        <v>-28.023329818661924</v>
      </c>
      <c r="CL72" s="174"/>
      <c r="CM72" s="38">
        <f>CM52+CM62</f>
        <v>80.387999999999991</v>
      </c>
      <c r="CN72" s="237">
        <f t="shared" si="243"/>
        <v>9.7409537381037197</v>
      </c>
      <c r="CO72" s="23">
        <f t="shared" si="244"/>
        <v>6.0919600907986871</v>
      </c>
      <c r="CP72" s="174"/>
      <c r="CQ72" s="34">
        <f>CQ52+CQ62</f>
        <v>71.158999999999921</v>
      </c>
      <c r="CR72" s="237">
        <f t="shared" si="245"/>
        <v>8.2504049317615973</v>
      </c>
      <c r="CS72" s="23">
        <f t="shared" si="246"/>
        <v>-11.48056923919002</v>
      </c>
      <c r="CT72" s="174"/>
      <c r="CU72" s="34">
        <f>CU52+CU62</f>
        <v>72.005999999999972</v>
      </c>
      <c r="CV72" s="237">
        <f t="shared" si="247"/>
        <v>8.0654230521946175</v>
      </c>
      <c r="CW72" s="1467">
        <f t="shared" si="248"/>
        <v>1.1902921626218088</v>
      </c>
      <c r="CX72" s="174"/>
      <c r="CY72" s="34">
        <f>CY52+CY62</f>
        <v>70.324479616140593</v>
      </c>
      <c r="CZ72" s="237">
        <f t="shared" si="249"/>
        <v>7.703385197006142</v>
      </c>
      <c r="DA72" s="1467">
        <f t="shared" si="250"/>
        <v>-2.3352503733846897</v>
      </c>
      <c r="DB72" s="174"/>
      <c r="DC72" s="174"/>
      <c r="DD72" s="174"/>
      <c r="DE72" s="174"/>
      <c r="DF72" s="175"/>
      <c r="DG72" s="25"/>
      <c r="DH72" s="25"/>
      <c r="DI72" s="25"/>
      <c r="DJ72" s="25"/>
    </row>
    <row r="73" spans="1:114" outlineLevel="2">
      <c r="A73" s="170" t="str">
        <f>$A$13</f>
        <v>4Q</v>
      </c>
      <c r="B73" s="170" t="str">
        <f>$B$13</f>
        <v>Jan</v>
      </c>
      <c r="C73" s="209"/>
      <c r="D73" s="282">
        <f>D53+D63</f>
        <v>4.4529999999999905</v>
      </c>
      <c r="E73" s="234">
        <f t="shared" si="202"/>
        <v>14.284797741635366</v>
      </c>
      <c r="F73" s="170"/>
      <c r="G73" s="170"/>
      <c r="H73" s="282">
        <f>H53+H63</f>
        <v>6.098000000000007</v>
      </c>
      <c r="I73" s="234">
        <f t="shared" si="203"/>
        <v>16.755509149859886</v>
      </c>
      <c r="J73" s="168">
        <f t="shared" si="204"/>
        <v>36.941387828430727</v>
      </c>
      <c r="K73" s="170"/>
      <c r="L73" s="282">
        <f>L53+L63</f>
        <v>4.8019999999999996</v>
      </c>
      <c r="M73" s="234">
        <f t="shared" si="205"/>
        <v>11.426803731201217</v>
      </c>
      <c r="N73" s="168">
        <f t="shared" si="206"/>
        <v>-21.252869793374973</v>
      </c>
      <c r="O73" s="170"/>
      <c r="P73" s="282">
        <f>P53+P63</f>
        <v>6.4260000000000002</v>
      </c>
      <c r="Q73" s="234">
        <f t="shared" si="207"/>
        <v>13.889549335350699</v>
      </c>
      <c r="R73" s="168">
        <f t="shared" si="208"/>
        <v>33.8192419825073</v>
      </c>
      <c r="S73" s="170"/>
      <c r="T73" s="282">
        <f>T53+T63</f>
        <v>8.7880000000000003</v>
      </c>
      <c r="U73" s="234">
        <f t="shared" si="209"/>
        <v>14.300592332226781</v>
      </c>
      <c r="V73" s="168">
        <f t="shared" si="210"/>
        <v>36.756924992219119</v>
      </c>
      <c r="W73" s="170"/>
      <c r="X73" s="282">
        <f>X53+X63</f>
        <v>9.3700000000000028</v>
      </c>
      <c r="Y73" s="234">
        <f t="shared" si="211"/>
        <v>12.423925005635189</v>
      </c>
      <c r="Z73" s="168">
        <f t="shared" si="212"/>
        <v>6.6226672735548719</v>
      </c>
      <c r="AA73" s="170"/>
      <c r="AB73" s="282">
        <f>AB53+AB63</f>
        <v>5.7719999999999887</v>
      </c>
      <c r="AC73" s="234">
        <f t="shared" si="213"/>
        <v>6.745827684540215</v>
      </c>
      <c r="AD73" s="168">
        <f t="shared" si="214"/>
        <v>-38.399146211312839</v>
      </c>
      <c r="AE73" s="170"/>
      <c r="AF73" s="282">
        <f>AF53+AF63</f>
        <v>9.6989999999999998</v>
      </c>
      <c r="AG73" s="234">
        <f t="shared" si="215"/>
        <v>9.3376335804370836</v>
      </c>
      <c r="AH73" s="168">
        <f t="shared" si="216"/>
        <v>68.035343035343359</v>
      </c>
      <c r="AI73" s="170"/>
      <c r="AJ73" s="282">
        <f>AJ53+AJ63</f>
        <v>14.079999999999998</v>
      </c>
      <c r="AK73" s="234">
        <f t="shared" si="217"/>
        <v>11.975538601549674</v>
      </c>
      <c r="AL73" s="168">
        <f t="shared" si="218"/>
        <v>45.169605113929244</v>
      </c>
      <c r="AM73" s="170"/>
      <c r="AN73" s="282">
        <f>AN53+AN63</f>
        <v>30.972999999999985</v>
      </c>
      <c r="AO73" s="234">
        <f t="shared" si="219"/>
        <v>17.586005234977819</v>
      </c>
      <c r="AP73" s="168">
        <f t="shared" si="220"/>
        <v>119.97869318181809</v>
      </c>
      <c r="AQ73" s="170"/>
      <c r="AR73" s="170"/>
      <c r="AS73" s="170"/>
      <c r="AT73" s="170"/>
      <c r="AU73" s="282">
        <f>AU53+AU63</f>
        <v>43.615999999999879</v>
      </c>
      <c r="AV73" s="234">
        <f t="shared" si="221"/>
        <v>17.333868525532196</v>
      </c>
      <c r="AW73" s="168">
        <f t="shared" si="222"/>
        <v>40.819423368740203</v>
      </c>
      <c r="AX73" s="170"/>
      <c r="AY73" s="282">
        <f>AY53+AY63</f>
        <v>54.383999999999986</v>
      </c>
      <c r="AZ73" s="234">
        <f t="shared" si="223"/>
        <v>17.070269218334591</v>
      </c>
      <c r="BA73" s="168">
        <f t="shared" si="224"/>
        <v>24.68818782098343</v>
      </c>
      <c r="BB73" s="170"/>
      <c r="BC73" s="282">
        <f>BC53+BC63</f>
        <v>49.907000000000004</v>
      </c>
      <c r="BD73" s="234">
        <f t="shared" si="225"/>
        <v>13.832470426501404</v>
      </c>
      <c r="BE73" s="168">
        <f t="shared" si="226"/>
        <v>-8.2322006472491651</v>
      </c>
      <c r="BF73" s="170"/>
      <c r="BG73" s="282">
        <f>BG53+BG63</f>
        <v>83.79</v>
      </c>
      <c r="BH73" s="234">
        <f t="shared" si="227"/>
        <v>18.003442118901358</v>
      </c>
      <c r="BI73" s="168">
        <f t="shared" si="228"/>
        <v>67.892279640130653</v>
      </c>
      <c r="BJ73" s="170"/>
      <c r="BK73" s="282">
        <f>BK53+BK63</f>
        <v>66.147000000000006</v>
      </c>
      <c r="BL73" s="234">
        <f t="shared" si="229"/>
        <v>13.019064001983949</v>
      </c>
      <c r="BM73" s="168">
        <f t="shared" si="230"/>
        <v>-21.056211958467596</v>
      </c>
      <c r="BN73" s="170"/>
      <c r="BO73" s="282">
        <f>BO53+BO63</f>
        <v>119.23700000000007</v>
      </c>
      <c r="BP73" s="234">
        <f t="shared" si="231"/>
        <v>20.261413474756719</v>
      </c>
      <c r="BQ73" s="168">
        <f t="shared" si="232"/>
        <v>80.260631623505319</v>
      </c>
      <c r="BR73" s="25"/>
      <c r="BS73" s="275">
        <f>BS53+BS63</f>
        <v>121.41300000000001</v>
      </c>
      <c r="BT73" s="237">
        <f t="shared" si="233"/>
        <v>18.16499349182364</v>
      </c>
      <c r="BU73" s="23">
        <f t="shared" si="234"/>
        <v>1.8249368903947127</v>
      </c>
      <c r="BV73" s="25"/>
      <c r="BW73" s="275">
        <f>BW53+BW63</f>
        <v>61.521000000000029</v>
      </c>
      <c r="BX73" s="237">
        <f t="shared" si="235"/>
        <v>8.4200600015328888</v>
      </c>
      <c r="BY73" s="23">
        <f t="shared" si="236"/>
        <v>-49.329149267376614</v>
      </c>
      <c r="BZ73" s="25"/>
      <c r="CA73" s="275">
        <f>CA53+CA63</f>
        <v>132.66800000000023</v>
      </c>
      <c r="CB73" s="237">
        <f t="shared" si="237"/>
        <v>15.483006598495464</v>
      </c>
      <c r="CC73" s="23">
        <f t="shared" si="238"/>
        <v>115.64668974821632</v>
      </c>
      <c r="CD73" s="174"/>
      <c r="CE73" s="275">
        <f>CE53+CE63</f>
        <v>129.88399999999999</v>
      </c>
      <c r="CF73" s="237">
        <f t="shared" si="239"/>
        <v>14.338229612146716</v>
      </c>
      <c r="CG73" s="23">
        <f>IF(CA73&lt;0,"       NM",(CE73/CA73-1)*100)</f>
        <v>-2.0984713721471926</v>
      </c>
      <c r="CH73" s="174"/>
      <c r="CI73" s="275">
        <f>CI53+CI63</f>
        <v>123.60699999999994</v>
      </c>
      <c r="CJ73" s="237">
        <f t="shared" si="241"/>
        <v>12.225679594557699</v>
      </c>
      <c r="CK73" s="23">
        <f t="shared" si="242"/>
        <v>-4.8327738597518159</v>
      </c>
      <c r="CL73" s="174"/>
      <c r="CM73" s="275">
        <f>CM53+CM63</f>
        <v>115.55499999999998</v>
      </c>
      <c r="CN73" s="237">
        <f t="shared" si="243"/>
        <v>11.402636258320948</v>
      </c>
      <c r="CO73" s="23">
        <f t="shared" si="244"/>
        <v>-6.5141941799412351</v>
      </c>
      <c r="CP73" s="174"/>
      <c r="CQ73" s="275">
        <f>CQ53+CQ63</f>
        <v>103.09199999999986</v>
      </c>
      <c r="CR73" s="237">
        <f t="shared" si="245"/>
        <v>10.0073969235787</v>
      </c>
      <c r="CS73" s="23">
        <f t="shared" si="246"/>
        <v>-10.785340314136239</v>
      </c>
      <c r="CT73" s="174"/>
      <c r="CU73" s="275">
        <f>CU53+CU63</f>
        <v>104.5599999999999</v>
      </c>
      <c r="CV73" s="237">
        <f t="shared" si="247"/>
        <v>9.600420156107818</v>
      </c>
      <c r="CW73" s="1467">
        <f t="shared" si="248"/>
        <v>1.4239708221782887</v>
      </c>
      <c r="CX73" s="174"/>
      <c r="CY73" s="275">
        <f>CY53+CY63</f>
        <v>92.071299916680985</v>
      </c>
      <c r="CZ73" s="237">
        <f t="shared" si="249"/>
        <v>8.3375556602951004</v>
      </c>
      <c r="DA73" s="1467">
        <f t="shared" si="250"/>
        <v>-11.944051342118334</v>
      </c>
      <c r="DB73" s="174"/>
      <c r="DC73" s="174"/>
      <c r="DD73" s="174"/>
      <c r="DE73" s="174"/>
      <c r="DF73" s="175"/>
      <c r="DG73" s="25"/>
      <c r="DH73" s="25"/>
      <c r="DI73" s="25"/>
      <c r="DJ73" s="25"/>
    </row>
    <row r="74" spans="1:114" outlineLevel="2">
      <c r="A74" s="170"/>
      <c r="B74" s="170" t="str">
        <f>$B$14</f>
        <v>Year</v>
      </c>
      <c r="C74" s="170"/>
      <c r="D74" s="214">
        <f>SUM(D70:D73)</f>
        <v>18.678999999999988</v>
      </c>
      <c r="E74" s="234">
        <f t="shared" si="202"/>
        <v>16.962250615232325</v>
      </c>
      <c r="F74" s="170"/>
      <c r="G74" s="170"/>
      <c r="H74" s="214">
        <f>SUM(H70:H73)</f>
        <v>21.130000000000006</v>
      </c>
      <c r="I74" s="234">
        <f t="shared" si="203"/>
        <v>15.882918909167449</v>
      </c>
      <c r="J74" s="168">
        <f t="shared" si="204"/>
        <v>13.121687456502062</v>
      </c>
      <c r="K74" s="170"/>
      <c r="L74" s="214">
        <f>SUM(L70:L73)</f>
        <v>22.668999999999997</v>
      </c>
      <c r="M74" s="234">
        <f t="shared" si="205"/>
        <v>14.485169139541718</v>
      </c>
      <c r="N74" s="168">
        <f t="shared" si="206"/>
        <v>7.2834831992427462</v>
      </c>
      <c r="O74" s="170"/>
      <c r="P74" s="214">
        <f>SUM(P70:P73)</f>
        <v>23.624000000000002</v>
      </c>
      <c r="Q74" s="234">
        <f t="shared" si="207"/>
        <v>13.634999422832738</v>
      </c>
      <c r="R74" s="168">
        <f t="shared" si="208"/>
        <v>4.2128016233623278</v>
      </c>
      <c r="S74" s="170"/>
      <c r="T74" s="214">
        <f>SUM(T70:T73)</f>
        <v>26.712000000000007</v>
      </c>
      <c r="U74" s="234">
        <f t="shared" si="209"/>
        <v>12.728182402973342</v>
      </c>
      <c r="V74" s="168">
        <f t="shared" si="210"/>
        <v>13.071452759905199</v>
      </c>
      <c r="W74" s="170"/>
      <c r="X74" s="214">
        <f>SUM(X70:X73)</f>
        <v>34.849000000000011</v>
      </c>
      <c r="Y74" s="234">
        <f t="shared" si="211"/>
        <v>12.530518170671638</v>
      </c>
      <c r="Z74" s="168">
        <f t="shared" si="212"/>
        <v>30.461964660077868</v>
      </c>
      <c r="AA74" s="170"/>
      <c r="AB74" s="214">
        <f>SUM(AB70:AB73)</f>
        <v>17.786999999999978</v>
      </c>
      <c r="AC74" s="234">
        <f t="shared" si="213"/>
        <v>6.0226930278702273</v>
      </c>
      <c r="AD74" s="168">
        <f t="shared" si="214"/>
        <v>-48.959797985595074</v>
      </c>
      <c r="AE74" s="170"/>
      <c r="AF74" s="214">
        <f>SUM(AF70:AF73)</f>
        <v>25.221999999999991</v>
      </c>
      <c r="AG74" s="234">
        <f t="shared" si="215"/>
        <v>7.2278039190962788</v>
      </c>
      <c r="AH74" s="168">
        <f t="shared" si="216"/>
        <v>41.800191150840639</v>
      </c>
      <c r="AI74" s="170"/>
      <c r="AJ74" s="214">
        <f>SUM(AJ70:AJ73)</f>
        <v>46.072999999999993</v>
      </c>
      <c r="AK74" s="234">
        <f t="shared" si="217"/>
        <v>10.898300193493142</v>
      </c>
      <c r="AL74" s="168">
        <f t="shared" si="218"/>
        <v>82.669891364681661</v>
      </c>
      <c r="AM74" s="170"/>
      <c r="AN74" s="214">
        <f>SUM(AN70:AN73)</f>
        <v>81.304000000000002</v>
      </c>
      <c r="AO74" s="234">
        <f t="shared" si="219"/>
        <v>14.826729107285164</v>
      </c>
      <c r="AP74" s="168">
        <f t="shared" si="220"/>
        <v>76.467779393571107</v>
      </c>
      <c r="AQ74" s="170"/>
      <c r="AR74" s="170"/>
      <c r="AS74" s="170"/>
      <c r="AT74" s="170"/>
      <c r="AU74" s="214">
        <f>SUM(AU70:AU73)</f>
        <v>150.19199999999989</v>
      </c>
      <c r="AV74" s="234">
        <f t="shared" si="221"/>
        <v>18.144608879492587</v>
      </c>
      <c r="AW74" s="168">
        <f t="shared" si="222"/>
        <v>84.728918626389714</v>
      </c>
      <c r="AX74" s="170"/>
      <c r="AY74" s="214">
        <f>SUM(AY70:AY73)</f>
        <v>212.39699999999993</v>
      </c>
      <c r="AZ74" s="234">
        <f t="shared" si="223"/>
        <v>19.448369070063642</v>
      </c>
      <c r="BA74" s="168">
        <f t="shared" si="224"/>
        <v>41.416986257590338</v>
      </c>
      <c r="BB74" s="170"/>
      <c r="BC74" s="214">
        <f>SUM(BC70:BC73)</f>
        <v>170.15800000000004</v>
      </c>
      <c r="BD74" s="234">
        <f t="shared" si="225"/>
        <v>13.8936586982952</v>
      </c>
      <c r="BE74" s="168">
        <f t="shared" si="226"/>
        <v>-19.886815727152406</v>
      </c>
      <c r="BF74" s="170"/>
      <c r="BG74" s="214">
        <f>SUM(BG70:BG73)</f>
        <v>234.39400000000001</v>
      </c>
      <c r="BH74" s="234">
        <f t="shared" si="227"/>
        <v>15.546214028562257</v>
      </c>
      <c r="BI74" s="168">
        <f t="shared" si="228"/>
        <v>37.750796318715516</v>
      </c>
      <c r="BJ74" s="170"/>
      <c r="BK74" s="214">
        <f>SUM(BK70:BK73)</f>
        <v>309.4899999999999</v>
      </c>
      <c r="BL74" s="234">
        <f t="shared" si="229"/>
        <v>16.869451842290868</v>
      </c>
      <c r="BM74" s="168">
        <f t="shared" si="230"/>
        <v>32.038362756725803</v>
      </c>
      <c r="BN74" s="170"/>
      <c r="BO74" s="214">
        <f>SUM(BO70:BO73)</f>
        <v>344.40599999999995</v>
      </c>
      <c r="BP74" s="234">
        <f t="shared" si="231"/>
        <v>17.772904018185429</v>
      </c>
      <c r="BQ74" s="168">
        <f t="shared" si="232"/>
        <v>11.281786164334884</v>
      </c>
      <c r="BR74" s="25"/>
      <c r="BS74" s="32">
        <f>SUM(BS70:BS73)</f>
        <v>417.20799999999997</v>
      </c>
      <c r="BT74" s="237">
        <f t="shared" si="233"/>
        <v>18.346054838349378</v>
      </c>
      <c r="BU74" s="23">
        <f t="shared" si="234"/>
        <v>21.138423836983101</v>
      </c>
      <c r="BV74" s="25"/>
      <c r="BW74" s="32">
        <f>SUM(BW70:BW73)</f>
        <v>288.83100000000007</v>
      </c>
      <c r="BX74" s="237">
        <f t="shared" si="235"/>
        <v>11.675595571349518</v>
      </c>
      <c r="BY74" s="23">
        <f t="shared" si="236"/>
        <v>-30.770502962551028</v>
      </c>
      <c r="BZ74" s="25"/>
      <c r="CA74" s="32">
        <f>SUM(CA70:CA73)</f>
        <v>375.57200000000023</v>
      </c>
      <c r="CB74" s="237">
        <f t="shared" si="237"/>
        <v>13.437641439394623</v>
      </c>
      <c r="CC74" s="23">
        <f t="shared" si="238"/>
        <v>30.031748669637317</v>
      </c>
      <c r="CD74" s="174"/>
      <c r="CE74" s="32">
        <f>SUM(CE70:CE73)</f>
        <v>427.51800000000003</v>
      </c>
      <c r="CF74" s="237">
        <f t="shared" si="239"/>
        <v>13.850738415762546</v>
      </c>
      <c r="CG74" s="23">
        <f t="shared" si="240"/>
        <v>13.831169522754561</v>
      </c>
      <c r="CH74" s="174"/>
      <c r="CI74" s="32">
        <f>SUM(CI70:CI73)</f>
        <v>363.44999999999993</v>
      </c>
      <c r="CJ74" s="237">
        <f>CI74/CI14*100</f>
        <v>10.937152524602949</v>
      </c>
      <c r="CK74" s="23">
        <f t="shared" si="242"/>
        <v>-14.986035675690868</v>
      </c>
      <c r="CL74" s="174"/>
      <c r="CM74" s="32">
        <f>SUM(CM70:CM73)</f>
        <v>350.03099999999995</v>
      </c>
      <c r="CN74" s="237">
        <f t="shared" si="243"/>
        <v>10.160156324833808</v>
      </c>
      <c r="CO74" s="23">
        <f t="shared" si="244"/>
        <v>-3.692117210070156</v>
      </c>
      <c r="CP74" s="174"/>
      <c r="CQ74" s="32">
        <f>SUM(CQ70:CQ73)</f>
        <v>342.43999999999977</v>
      </c>
      <c r="CR74" s="237">
        <f t="shared" si="245"/>
        <v>9.6576394454951355</v>
      </c>
      <c r="CS74" s="23">
        <f t="shared" si="246"/>
        <v>-2.1686650610946434</v>
      </c>
      <c r="CT74" s="174"/>
      <c r="CU74" s="32">
        <f>SUM(CU70:CU73)</f>
        <v>274.83700000000005</v>
      </c>
      <c r="CV74" s="237">
        <f t="shared" si="247"/>
        <v>7.6005513252990733</v>
      </c>
      <c r="CW74" s="1467">
        <f t="shared" si="248"/>
        <v>-19.741560565354444</v>
      </c>
      <c r="CX74" s="174"/>
      <c r="CY74" s="32">
        <f>SUM(CY70:CY73)</f>
        <v>304.61667565408243</v>
      </c>
      <c r="CZ74" s="237">
        <f t="shared" si="249"/>
        <v>8.0567942017414662</v>
      </c>
      <c r="DA74" s="1467">
        <f t="shared" si="250"/>
        <v>10.835395399484927</v>
      </c>
      <c r="DB74" s="174"/>
      <c r="DC74" s="174"/>
      <c r="DD74" s="174"/>
      <c r="DE74" s="174"/>
      <c r="DF74" s="175"/>
      <c r="DG74" s="25"/>
      <c r="DH74" s="25"/>
      <c r="DI74" s="25"/>
      <c r="DJ74" s="25"/>
    </row>
    <row r="75" spans="1:114" outlineLevel="1">
      <c r="A75" s="170" t="str">
        <f>$A$15</f>
        <v>6 Mos</v>
      </c>
      <c r="B75" s="170"/>
      <c r="C75" s="170"/>
      <c r="D75" s="217">
        <f>SUM(D70:D71)</f>
        <v>7.4050000000000029</v>
      </c>
      <c r="E75" s="234">
        <f t="shared" si="202"/>
        <v>15.582256639030348</v>
      </c>
      <c r="F75" s="170"/>
      <c r="G75" s="170"/>
      <c r="H75" s="217">
        <f>SUM(H70:H71)</f>
        <v>7.8800000000000008</v>
      </c>
      <c r="I75" s="234">
        <f t="shared" si="203"/>
        <v>13.633217993079585</v>
      </c>
      <c r="J75" s="168">
        <f t="shared" si="204"/>
        <v>6.4145847400404854</v>
      </c>
      <c r="K75" s="170"/>
      <c r="L75" s="217">
        <f>SUM(L70:L71)</f>
        <v>9.9160000000000004</v>
      </c>
      <c r="M75" s="234">
        <f t="shared" si="205"/>
        <v>14.254294544670454</v>
      </c>
      <c r="N75" s="168">
        <f t="shared" si="206"/>
        <v>25.837563451776635</v>
      </c>
      <c r="O75" s="170"/>
      <c r="P75" s="217">
        <f>SUM(P70:P71)</f>
        <v>9.0219999999999985</v>
      </c>
      <c r="Q75" s="234">
        <f t="shared" si="207"/>
        <v>11.480416359147938</v>
      </c>
      <c r="R75" s="168">
        <f t="shared" si="208"/>
        <v>-9.0157321500605292</v>
      </c>
      <c r="S75" s="170"/>
      <c r="T75" s="217">
        <f>SUM(T70:T71)</f>
        <v>9.3910000000000036</v>
      </c>
      <c r="U75" s="234">
        <f t="shared" si="209"/>
        <v>10.719218345147191</v>
      </c>
      <c r="V75" s="168">
        <f t="shared" si="210"/>
        <v>4.0900022168034234</v>
      </c>
      <c r="W75" s="170"/>
      <c r="X75" s="217">
        <f>SUM(X70:X71)</f>
        <v>14.285000000000004</v>
      </c>
      <c r="Y75" s="234">
        <f t="shared" si="211"/>
        <v>11.267194598687535</v>
      </c>
      <c r="Z75" s="168">
        <f t="shared" si="212"/>
        <v>52.113725907784023</v>
      </c>
      <c r="AA75" s="170"/>
      <c r="AB75" s="217">
        <f>SUM(AB70:AB71)</f>
        <v>8.0799999999999965</v>
      </c>
      <c r="AC75" s="234">
        <f t="shared" si="213"/>
        <v>6.0899320158579391</v>
      </c>
      <c r="AD75" s="168">
        <f t="shared" si="214"/>
        <v>-43.437171858592968</v>
      </c>
      <c r="AE75" s="170"/>
      <c r="AF75" s="217">
        <f>SUM(AF70:AF71)</f>
        <v>7.2409999999999979</v>
      </c>
      <c r="AG75" s="234">
        <f t="shared" si="215"/>
        <v>4.7566495214446647</v>
      </c>
      <c r="AH75" s="168">
        <f t="shared" si="216"/>
        <v>-10.383663366336627</v>
      </c>
      <c r="AI75" s="170"/>
      <c r="AJ75" s="217">
        <f>SUM(AJ70:AJ71)</f>
        <v>18.504000000000001</v>
      </c>
      <c r="AK75" s="234">
        <f t="shared" si="217"/>
        <v>9.4855824682814305</v>
      </c>
      <c r="AL75" s="168">
        <f t="shared" si="218"/>
        <v>155.5448142521752</v>
      </c>
      <c r="AM75" s="170"/>
      <c r="AN75" s="217">
        <f>SUM(AN70:AN71)</f>
        <v>26.655000000000019</v>
      </c>
      <c r="AO75" s="234">
        <f t="shared" si="219"/>
        <v>11.593818370036587</v>
      </c>
      <c r="AP75" s="168">
        <f t="shared" si="220"/>
        <v>44.049935149157029</v>
      </c>
      <c r="AQ75" s="170"/>
      <c r="AR75" s="170"/>
      <c r="AS75" s="170"/>
      <c r="AT75" s="170"/>
      <c r="AU75" s="217">
        <f>SUM(AU70:AU71)</f>
        <v>62.817999999999998</v>
      </c>
      <c r="AV75" s="234">
        <f t="shared" si="221"/>
        <v>17.460405699133343</v>
      </c>
      <c r="AW75" s="168">
        <f t="shared" si="222"/>
        <v>135.67060589007673</v>
      </c>
      <c r="AX75" s="170"/>
      <c r="AY75" s="217">
        <f>SUM(AY70:AY71)</f>
        <v>96.33299999999997</v>
      </c>
      <c r="AZ75" s="234">
        <f t="shared" si="223"/>
        <v>19.874070849588517</v>
      </c>
      <c r="BA75" s="168">
        <f t="shared" si="224"/>
        <v>53.352542264955872</v>
      </c>
      <c r="BB75" s="170"/>
      <c r="BC75" s="217">
        <f>SUM(BC70:BC71)</f>
        <v>73.422000000000025</v>
      </c>
      <c r="BD75" s="234">
        <f t="shared" si="225"/>
        <v>13.215711544622966</v>
      </c>
      <c r="BE75" s="168">
        <f t="shared" si="226"/>
        <v>-23.783127277256966</v>
      </c>
      <c r="BF75" s="170"/>
      <c r="BG75" s="217">
        <f>SUM(BG70:BG71)</f>
        <v>87.125999999999991</v>
      </c>
      <c r="BH75" s="234">
        <f t="shared" si="227"/>
        <v>13.141315217506067</v>
      </c>
      <c r="BI75" s="168">
        <f t="shared" si="228"/>
        <v>18.664705401650682</v>
      </c>
      <c r="BJ75" s="170"/>
      <c r="BK75" s="217">
        <f>SUM(BK70:BK71)</f>
        <v>151.52699999999996</v>
      </c>
      <c r="BL75" s="234">
        <f t="shared" si="229"/>
        <v>17.856389503963644</v>
      </c>
      <c r="BM75" s="168">
        <f t="shared" si="230"/>
        <v>73.917085600165251</v>
      </c>
      <c r="BN75" s="170"/>
      <c r="BO75" s="217">
        <f>SUM(BO70:BO71)</f>
        <v>127.59099999999992</v>
      </c>
      <c r="BP75" s="234">
        <f t="shared" si="231"/>
        <v>15.127777079563955</v>
      </c>
      <c r="BQ75" s="168">
        <f t="shared" si="232"/>
        <v>-15.796524711767567</v>
      </c>
      <c r="BR75" s="25"/>
      <c r="BS75" s="34">
        <f>SUM(BS70:BS71)</f>
        <v>190.119</v>
      </c>
      <c r="BT75" s="237">
        <f t="shared" si="233"/>
        <v>18.420241832345077</v>
      </c>
      <c r="BU75" s="23">
        <f t="shared" si="234"/>
        <v>49.006591373999832</v>
      </c>
      <c r="BV75" s="25"/>
      <c r="BW75" s="34">
        <f>SUM(BW70:BW71)</f>
        <v>151.93100000000007</v>
      </c>
      <c r="BX75" s="237">
        <f t="shared" si="235"/>
        <v>13.407253794564072</v>
      </c>
      <c r="BY75" s="23">
        <f t="shared" si="236"/>
        <v>-20.086366959641033</v>
      </c>
      <c r="BZ75" s="25"/>
      <c r="CA75" s="34">
        <f>SUM(CA70:CA71)</f>
        <v>149.29599999999996</v>
      </c>
      <c r="CB75" s="237">
        <f t="shared" si="237"/>
        <v>11.989730155581555</v>
      </c>
      <c r="CC75" s="23">
        <f t="shared" si="238"/>
        <v>-1.7343399306264717</v>
      </c>
      <c r="CD75" s="174"/>
      <c r="CE75" s="34">
        <f>SUM(CE70:CE71)</f>
        <v>192.36100000000005</v>
      </c>
      <c r="CF75" s="237">
        <f t="shared" si="239"/>
        <v>13.674618842241532</v>
      </c>
      <c r="CG75" s="23">
        <f t="shared" si="240"/>
        <v>28.845380988104232</v>
      </c>
      <c r="CH75" s="174"/>
      <c r="CI75" s="34">
        <f>SUM(CI70:CI71)</f>
        <v>164.07100000000003</v>
      </c>
      <c r="CJ75" s="237">
        <f t="shared" si="241"/>
        <v>10.955866297444583</v>
      </c>
      <c r="CK75" s="23">
        <f t="shared" si="242"/>
        <v>-14.706723296302272</v>
      </c>
      <c r="CL75" s="174"/>
      <c r="CM75" s="34">
        <f>SUM(CM70:CM71)</f>
        <v>154.08799999999999</v>
      </c>
      <c r="CN75" s="237">
        <f t="shared" si="243"/>
        <v>9.5917135085000016</v>
      </c>
      <c r="CO75" s="23">
        <f t="shared" si="244"/>
        <v>-6.0845609522706789</v>
      </c>
      <c r="CP75" s="174"/>
      <c r="CQ75" s="34">
        <f>SUM(CQ70:CQ71)</f>
        <v>168.18899999999999</v>
      </c>
      <c r="CR75" s="237">
        <f t="shared" si="245"/>
        <v>10.173880694070998</v>
      </c>
      <c r="CS75" s="23">
        <f t="shared" si="246"/>
        <v>9.151264212657706</v>
      </c>
      <c r="CT75" s="174"/>
      <c r="CU75" s="34">
        <f>SUM(CU70:CU71)</f>
        <v>98.271000000000157</v>
      </c>
      <c r="CV75" s="237">
        <f t="shared" si="247"/>
        <v>6.013691764563343</v>
      </c>
      <c r="CW75" s="1467">
        <f t="shared" si="248"/>
        <v>-41.571089666981699</v>
      </c>
      <c r="CX75" s="174"/>
      <c r="CY75" s="34">
        <f>SUM(CY70:CY71)</f>
        <v>142.22089612126084</v>
      </c>
      <c r="CZ75" s="237">
        <f t="shared" si="249"/>
        <v>8.0639296575659305</v>
      </c>
      <c r="DA75" s="1467">
        <f t="shared" si="250"/>
        <v>44.723159549877998</v>
      </c>
      <c r="DB75" s="174"/>
      <c r="DC75" s="174"/>
      <c r="DD75" s="174"/>
      <c r="DE75" s="174"/>
      <c r="DF75" s="175"/>
      <c r="DG75" s="25"/>
      <c r="DH75" s="25"/>
      <c r="DI75" s="25"/>
      <c r="DJ75" s="25"/>
    </row>
    <row r="76" spans="1:114" outlineLevel="1">
      <c r="A76" s="170" t="str">
        <f>$A$16</f>
        <v>9 Mos</v>
      </c>
      <c r="B76" s="170"/>
      <c r="C76" s="170"/>
      <c r="D76" s="217">
        <f>SUM(D70:D72)</f>
        <v>14.225999999999999</v>
      </c>
      <c r="E76" s="234">
        <f t="shared" si="202"/>
        <v>18.019455844353242</v>
      </c>
      <c r="F76" s="170"/>
      <c r="G76" s="170"/>
      <c r="H76" s="217">
        <f>SUM(H70:H72)</f>
        <v>15.032</v>
      </c>
      <c r="I76" s="234">
        <f t="shared" si="203"/>
        <v>15.554313859398604</v>
      </c>
      <c r="J76" s="168">
        <f t="shared" si="204"/>
        <v>5.6656825530718491</v>
      </c>
      <c r="K76" s="170"/>
      <c r="L76" s="217">
        <f>SUM(L70:L72)</f>
        <v>17.866999999999997</v>
      </c>
      <c r="M76" s="234">
        <f t="shared" si="205"/>
        <v>15.60791096668239</v>
      </c>
      <c r="N76" s="168">
        <f t="shared" si="206"/>
        <v>18.859765832889821</v>
      </c>
      <c r="O76" s="170"/>
      <c r="P76" s="217">
        <f>SUM(P70:P72)</f>
        <v>17.198</v>
      </c>
      <c r="Q76" s="234">
        <f t="shared" si="207"/>
        <v>13.542265443521398</v>
      </c>
      <c r="R76" s="168">
        <f t="shared" si="208"/>
        <v>-3.7443331281132641</v>
      </c>
      <c r="S76" s="170"/>
      <c r="T76" s="217">
        <f>SUM(T70:T72)</f>
        <v>17.924000000000007</v>
      </c>
      <c r="U76" s="234">
        <f t="shared" si="209"/>
        <v>12.077109148120451</v>
      </c>
      <c r="V76" s="168">
        <f t="shared" si="210"/>
        <v>4.2214210954762521</v>
      </c>
      <c r="W76" s="170"/>
      <c r="X76" s="217">
        <f>SUM(X70:X72)</f>
        <v>25.479000000000006</v>
      </c>
      <c r="Y76" s="234">
        <f t="shared" si="211"/>
        <v>12.570179679714252</v>
      </c>
      <c r="Z76" s="168">
        <f t="shared" si="212"/>
        <v>42.15018968980138</v>
      </c>
      <c r="AA76" s="170"/>
      <c r="AB76" s="217">
        <f>SUM(AB70:AB72)</f>
        <v>12.01499999999999</v>
      </c>
      <c r="AC76" s="234">
        <f t="shared" si="213"/>
        <v>5.7277290734093169</v>
      </c>
      <c r="AD76" s="168">
        <f t="shared" si="214"/>
        <v>-52.843518191451835</v>
      </c>
      <c r="AE76" s="170"/>
      <c r="AF76" s="217">
        <f>SUM(AF70:AF72)</f>
        <v>15.522999999999991</v>
      </c>
      <c r="AG76" s="234">
        <f t="shared" si="215"/>
        <v>6.333643426034727</v>
      </c>
      <c r="AH76" s="168">
        <f t="shared" si="216"/>
        <v>29.196837286724953</v>
      </c>
      <c r="AI76" s="170"/>
      <c r="AJ76" s="217">
        <f>SUM(AJ70:AJ72)</f>
        <v>31.992999999999995</v>
      </c>
      <c r="AK76" s="234">
        <f t="shared" si="217"/>
        <v>10.483286967406228</v>
      </c>
      <c r="AL76" s="168">
        <f t="shared" si="218"/>
        <v>106.10062487921157</v>
      </c>
      <c r="AM76" s="170"/>
      <c r="AN76" s="217">
        <f>SUM(AN70:AN72)</f>
        <v>50.331000000000017</v>
      </c>
      <c r="AO76" s="234">
        <f t="shared" si="219"/>
        <v>13.521188057103256</v>
      </c>
      <c r="AP76" s="168">
        <f t="shared" si="220"/>
        <v>57.318788484981177</v>
      </c>
      <c r="AQ76" s="170"/>
      <c r="AR76" s="170"/>
      <c r="AS76" s="170"/>
      <c r="AT76" s="170"/>
      <c r="AU76" s="217">
        <f>SUM(AU70:AU72)</f>
        <v>106.57600000000001</v>
      </c>
      <c r="AV76" s="234">
        <f t="shared" si="221"/>
        <v>18.498699071558878</v>
      </c>
      <c r="AW76" s="168">
        <f t="shared" si="222"/>
        <v>111.75021358606023</v>
      </c>
      <c r="AX76" s="170"/>
      <c r="AY76" s="217">
        <f>SUM(AY70:AY72)</f>
        <v>158.01299999999995</v>
      </c>
      <c r="AZ76" s="234">
        <f t="shared" si="223"/>
        <v>20.427837490530269</v>
      </c>
      <c r="BA76" s="168">
        <f t="shared" si="224"/>
        <v>48.263211229545043</v>
      </c>
      <c r="BB76" s="170"/>
      <c r="BC76" s="217">
        <f>SUM(BC70:BC72)</f>
        <v>120.25100000000003</v>
      </c>
      <c r="BD76" s="234">
        <f t="shared" si="225"/>
        <v>13.919212520589269</v>
      </c>
      <c r="BE76" s="168">
        <f t="shared" si="226"/>
        <v>-23.898033706087428</v>
      </c>
      <c r="BF76" s="170"/>
      <c r="BG76" s="217">
        <f>SUM(BG70:BG72)</f>
        <v>150.60399999999998</v>
      </c>
      <c r="BH76" s="234">
        <f t="shared" si="227"/>
        <v>14.449018672893843</v>
      </c>
      <c r="BI76" s="168">
        <f t="shared" si="228"/>
        <v>25.241370134136055</v>
      </c>
      <c r="BJ76" s="170"/>
      <c r="BK76" s="217">
        <f>SUM(BK70:BK72)</f>
        <v>243.3429999999999</v>
      </c>
      <c r="BL76" s="234">
        <f t="shared" si="229"/>
        <v>18.344188641126532</v>
      </c>
      <c r="BM76" s="168">
        <f t="shared" si="230"/>
        <v>61.57804573583698</v>
      </c>
      <c r="BN76" s="170"/>
      <c r="BO76" s="217">
        <f>SUM(BO70:BO72)</f>
        <v>225.16899999999987</v>
      </c>
      <c r="BP76" s="234">
        <f t="shared" si="231"/>
        <v>16.687566051691135</v>
      </c>
      <c r="BQ76" s="168">
        <f t="shared" si="232"/>
        <v>-7.4684704306267502</v>
      </c>
      <c r="BR76" s="25"/>
      <c r="BS76" s="34">
        <f>SUM(BS70:BS72)</f>
        <v>295.79499999999996</v>
      </c>
      <c r="BT76" s="237">
        <f t="shared" si="233"/>
        <v>18.421423019819244</v>
      </c>
      <c r="BU76" s="23">
        <f t="shared" si="234"/>
        <v>31.365774151859327</v>
      </c>
      <c r="BV76" s="25"/>
      <c r="BW76" s="34">
        <f>SUM(BW70:BW72)</f>
        <v>227.31000000000003</v>
      </c>
      <c r="BX76" s="237">
        <f t="shared" si="235"/>
        <v>13.040163427995136</v>
      </c>
      <c r="BY76" s="23">
        <f t="shared" si="236"/>
        <v>-23.152859243732969</v>
      </c>
      <c r="BZ76" s="25"/>
      <c r="CA76" s="34">
        <f>SUM(CA70:CA72)</f>
        <v>242.904</v>
      </c>
      <c r="CB76" s="237">
        <f t="shared" si="237"/>
        <v>12.533338699515959</v>
      </c>
      <c r="CC76" s="23">
        <f t="shared" si="238"/>
        <v>6.860234921472852</v>
      </c>
      <c r="CD76" s="174"/>
      <c r="CE76" s="34">
        <f>SUM(CE70:CE72)</f>
        <v>297.63400000000001</v>
      </c>
      <c r="CF76" s="237">
        <f t="shared" si="239"/>
        <v>13.64824028430586</v>
      </c>
      <c r="CG76" s="23">
        <f t="shared" si="240"/>
        <v>22.531535092052835</v>
      </c>
      <c r="CH76" s="174"/>
      <c r="CI76" s="34">
        <f>SUM(CI70:CI72)</f>
        <v>239.84300000000002</v>
      </c>
      <c r="CJ76" s="237">
        <f t="shared" si="241"/>
        <v>10.373684112640259</v>
      </c>
      <c r="CK76" s="23">
        <f t="shared" si="242"/>
        <v>-19.416800499942877</v>
      </c>
      <c r="CL76" s="174"/>
      <c r="CM76" s="34">
        <f>SUM(CM70:CM72)</f>
        <v>234.476</v>
      </c>
      <c r="CN76" s="237">
        <f t="shared" si="243"/>
        <v>9.6423613167262126</v>
      </c>
      <c r="CO76" s="23">
        <f t="shared" si="244"/>
        <v>-2.2377138378022354</v>
      </c>
      <c r="CP76" s="174"/>
      <c r="CQ76" s="34">
        <f>SUM(CQ70:CQ72)</f>
        <v>239.3479999999999</v>
      </c>
      <c r="CR76" s="237">
        <f t="shared" si="245"/>
        <v>9.5144130549888732</v>
      </c>
      <c r="CS76" s="23">
        <f t="shared" si="246"/>
        <v>2.0778245961206698</v>
      </c>
      <c r="CT76" s="174"/>
      <c r="CU76" s="34">
        <f>SUM(CU70:CU72)</f>
        <v>170.27700000000013</v>
      </c>
      <c r="CV76" s="237">
        <f t="shared" si="247"/>
        <v>6.7385862887061059</v>
      </c>
      <c r="CW76" s="1467">
        <f t="shared" si="248"/>
        <v>-28.857980847970232</v>
      </c>
      <c r="CX76" s="174"/>
      <c r="CY76" s="34">
        <f>SUM(CY70:CY72)</f>
        <v>212.54537573740143</v>
      </c>
      <c r="CZ76" s="237">
        <f t="shared" si="249"/>
        <v>7.9409580135962274</v>
      </c>
      <c r="DA76" s="1467">
        <f t="shared" si="250"/>
        <v>24.823303051734101</v>
      </c>
      <c r="DB76" s="174"/>
      <c r="DC76" s="174"/>
      <c r="DD76" s="174"/>
      <c r="DE76" s="174"/>
      <c r="DF76" s="175"/>
      <c r="DG76" s="25"/>
      <c r="DH76" s="25"/>
      <c r="DI76" s="25"/>
      <c r="DJ76" s="25"/>
    </row>
    <row r="77" spans="1:114">
      <c r="A77" s="170"/>
      <c r="B77" s="170"/>
      <c r="C77" s="170"/>
      <c r="D77" s="170"/>
      <c r="E77" s="170"/>
      <c r="F77" s="170"/>
      <c r="G77" s="170"/>
      <c r="H77" s="170"/>
      <c r="I77" s="170"/>
      <c r="J77" s="170"/>
      <c r="K77" s="170"/>
      <c r="L77" s="170"/>
      <c r="M77" s="170"/>
      <c r="N77" s="170"/>
      <c r="O77" s="170"/>
      <c r="P77" s="170"/>
      <c r="Q77" s="170"/>
      <c r="R77" s="170"/>
      <c r="S77" s="170"/>
      <c r="T77" s="170"/>
      <c r="U77" s="170"/>
      <c r="V77" s="170"/>
      <c r="W77" s="170"/>
      <c r="X77" s="170"/>
      <c r="Y77" s="170"/>
      <c r="Z77" s="170"/>
      <c r="AA77" s="170"/>
      <c r="AB77" s="170"/>
      <c r="AC77" s="170"/>
      <c r="AD77" s="170"/>
      <c r="AE77" s="170"/>
      <c r="AF77" s="170"/>
      <c r="AG77" s="170"/>
      <c r="AH77" s="170"/>
      <c r="AI77" s="170"/>
      <c r="AJ77" s="170"/>
      <c r="AK77" s="170"/>
      <c r="AL77" s="170"/>
      <c r="AM77" s="170"/>
      <c r="AN77" s="170"/>
      <c r="AO77" s="170"/>
      <c r="AP77" s="170"/>
      <c r="AQ77" s="170"/>
      <c r="AR77" s="170"/>
      <c r="AS77" s="170"/>
      <c r="AT77" s="170"/>
      <c r="AU77" s="170"/>
      <c r="AV77" s="170"/>
      <c r="AW77" s="170"/>
      <c r="AX77" s="170"/>
      <c r="AY77" s="170"/>
      <c r="AZ77" s="170"/>
      <c r="BA77" s="170"/>
      <c r="BB77" s="170"/>
      <c r="BC77" s="170"/>
      <c r="BD77" s="170"/>
      <c r="BE77" s="170"/>
      <c r="BF77" s="170"/>
      <c r="BG77" s="170"/>
      <c r="BH77" s="170"/>
      <c r="BI77" s="170"/>
      <c r="BJ77" s="170"/>
      <c r="BK77" s="170"/>
      <c r="BL77" s="170"/>
      <c r="BM77" s="170"/>
      <c r="BN77" s="170"/>
      <c r="BO77" s="170"/>
      <c r="BP77" s="170"/>
      <c r="BQ77" s="170"/>
      <c r="BR77" s="25"/>
      <c r="BS77" s="25"/>
      <c r="BT77" s="25"/>
      <c r="BU77" s="25"/>
      <c r="BV77" s="25"/>
      <c r="BW77" s="25"/>
      <c r="BX77" s="25"/>
      <c r="BY77" s="25"/>
      <c r="BZ77" s="25"/>
      <c r="CA77" s="25"/>
      <c r="CB77" s="25"/>
      <c r="CC77" s="25"/>
      <c r="CD77" s="174"/>
      <c r="CE77" s="174"/>
      <c r="CF77" s="174"/>
      <c r="CG77" s="174"/>
      <c r="CH77" s="174"/>
      <c r="CI77" s="174"/>
      <c r="CJ77" s="174"/>
      <c r="CK77" s="174"/>
      <c r="CL77" s="174"/>
      <c r="CM77" s="174"/>
      <c r="CN77" s="174"/>
      <c r="CO77" s="174"/>
      <c r="CP77" s="174"/>
      <c r="CQ77" s="174"/>
      <c r="CR77" s="174"/>
      <c r="CS77" s="174"/>
      <c r="CT77" s="174"/>
      <c r="CU77" s="174"/>
      <c r="CV77" s="174"/>
      <c r="CW77" s="1463"/>
      <c r="CX77" s="174"/>
      <c r="CY77" s="174"/>
      <c r="CZ77" s="174"/>
      <c r="DA77" s="1463"/>
      <c r="DB77" s="174"/>
      <c r="DC77" s="174"/>
      <c r="DD77" s="174"/>
      <c r="DE77" s="174"/>
      <c r="DF77" s="175"/>
      <c r="DG77" s="25"/>
      <c r="DH77" s="25"/>
      <c r="DI77" s="25"/>
      <c r="DJ77" s="25"/>
    </row>
    <row r="78" spans="1:114">
      <c r="A78" s="170"/>
      <c r="B78" s="170"/>
      <c r="C78" s="184"/>
      <c r="D78" s="185"/>
      <c r="E78" s="170"/>
      <c r="F78" s="170"/>
      <c r="G78" s="170"/>
      <c r="H78" s="186"/>
      <c r="I78" s="187"/>
      <c r="J78" s="187"/>
      <c r="K78" s="187"/>
      <c r="L78" s="186"/>
      <c r="M78" s="187"/>
      <c r="N78" s="187"/>
      <c r="O78" s="187"/>
      <c r="P78" s="186"/>
      <c r="Q78" s="187"/>
      <c r="R78" s="187"/>
      <c r="S78" s="187"/>
      <c r="T78" s="186"/>
      <c r="U78" s="187"/>
      <c r="V78" s="187"/>
      <c r="W78" s="187"/>
      <c r="X78" s="170"/>
      <c r="Y78" s="187"/>
      <c r="Z78" s="187"/>
      <c r="AA78" s="187"/>
      <c r="AB78" s="170"/>
      <c r="AC78" s="187"/>
      <c r="AD78" s="187"/>
      <c r="AE78" s="187"/>
      <c r="AF78" s="186"/>
      <c r="AG78" s="187"/>
      <c r="AH78" s="187"/>
      <c r="AI78" s="187"/>
      <c r="AJ78" s="186"/>
      <c r="AK78" s="187"/>
      <c r="AL78" s="187"/>
      <c r="AM78" s="187"/>
      <c r="AN78" s="186"/>
      <c r="AO78" s="187"/>
      <c r="AP78" s="187"/>
      <c r="AQ78" s="170"/>
      <c r="AR78" s="170"/>
      <c r="AS78" s="170"/>
      <c r="AT78" s="187"/>
      <c r="AU78" s="186" t="s">
        <v>486</v>
      </c>
      <c r="AV78" s="187"/>
      <c r="AW78" s="187"/>
      <c r="AX78" s="187"/>
      <c r="AY78" s="186" t="s">
        <v>486</v>
      </c>
      <c r="AZ78" s="187"/>
      <c r="BA78" s="187"/>
      <c r="BB78" s="187"/>
      <c r="BC78" s="186"/>
      <c r="BD78" s="187"/>
      <c r="BE78" s="187"/>
      <c r="BF78" s="187"/>
      <c r="BG78" s="186"/>
      <c r="BH78" s="187"/>
      <c r="BI78" s="187"/>
      <c r="BJ78" s="187"/>
      <c r="BK78" s="186"/>
      <c r="BL78" s="187"/>
      <c r="BM78" s="187"/>
      <c r="BN78" s="187"/>
      <c r="BO78" s="186"/>
      <c r="BP78" s="187"/>
      <c r="BQ78" s="187"/>
      <c r="BR78" s="188"/>
      <c r="BS78" s="189" t="str">
        <f>AY78</f>
        <v>7.  Income Taxes/(Credit)   (% Tax Rate)</v>
      </c>
      <c r="BT78" s="188"/>
      <c r="BU78" s="188"/>
      <c r="BV78" s="188"/>
      <c r="BW78" s="189"/>
      <c r="BX78" s="188"/>
      <c r="BY78" s="188"/>
      <c r="BZ78" s="188"/>
      <c r="CA78" s="189"/>
      <c r="CB78" s="188"/>
      <c r="CC78" s="188"/>
      <c r="CD78" s="174"/>
      <c r="CE78" s="174"/>
      <c r="CF78" s="174"/>
      <c r="CG78" s="174"/>
      <c r="CH78" s="174"/>
      <c r="CI78" s="174"/>
      <c r="CJ78" s="1004" t="str">
        <f>BS78</f>
        <v>7.  Income Taxes/(Credit)   (% Tax Rate)</v>
      </c>
      <c r="CK78" s="1004"/>
      <c r="CL78" s="1004"/>
      <c r="CM78" s="1004"/>
      <c r="CN78" s="1004"/>
      <c r="CO78" s="1004"/>
      <c r="CP78" s="1004"/>
      <c r="CQ78" s="1004"/>
      <c r="CR78" s="1004"/>
      <c r="CS78" s="174"/>
      <c r="CT78" s="1004"/>
      <c r="CU78" s="1004"/>
      <c r="CV78" s="1004"/>
      <c r="CW78" s="1463"/>
      <c r="CX78" s="1004"/>
      <c r="CY78" s="1004"/>
      <c r="CZ78" s="1004"/>
      <c r="DA78" s="1463"/>
      <c r="DB78" s="174"/>
      <c r="DC78" s="174"/>
      <c r="DD78" s="174"/>
      <c r="DE78" s="174"/>
      <c r="DF78" s="175"/>
      <c r="DG78" s="25"/>
      <c r="DH78" s="25"/>
      <c r="DI78" s="25"/>
      <c r="DJ78" s="25"/>
    </row>
    <row r="79" spans="1:114">
      <c r="A79" s="170"/>
      <c r="B79" s="170"/>
      <c r="C79" s="170"/>
      <c r="D79" s="170"/>
      <c r="E79" s="170"/>
      <c r="F79" s="170"/>
      <c r="G79" s="170"/>
      <c r="H79" s="170"/>
      <c r="I79" s="170"/>
      <c r="J79" s="170"/>
      <c r="K79" s="170"/>
      <c r="L79" s="170"/>
      <c r="M79" s="170"/>
      <c r="N79" s="170"/>
      <c r="O79" s="170"/>
      <c r="P79" s="170"/>
      <c r="Q79" s="170"/>
      <c r="R79" s="170"/>
      <c r="S79" s="170"/>
      <c r="T79" s="170"/>
      <c r="U79" s="170"/>
      <c r="V79" s="170"/>
      <c r="W79" s="170"/>
      <c r="X79" s="170"/>
      <c r="Y79" s="170"/>
      <c r="Z79" s="170"/>
      <c r="AA79" s="170"/>
      <c r="AB79" s="170"/>
      <c r="AC79" s="170"/>
      <c r="AD79" s="170"/>
      <c r="AE79" s="170"/>
      <c r="AF79" s="170"/>
      <c r="AG79" s="170"/>
      <c r="AH79" s="170"/>
      <c r="AI79" s="170"/>
      <c r="AJ79" s="170"/>
      <c r="AK79" s="170"/>
      <c r="AL79" s="170"/>
      <c r="AM79" s="170"/>
      <c r="AN79" s="170"/>
      <c r="AO79" s="170"/>
      <c r="AP79" s="170"/>
      <c r="AQ79" s="170"/>
      <c r="AR79" s="170"/>
      <c r="AS79" s="170"/>
      <c r="AT79" s="170"/>
      <c r="AU79" s="170"/>
      <c r="AV79" s="170"/>
      <c r="AW79" s="170"/>
      <c r="AX79" s="170"/>
      <c r="AY79" s="170"/>
      <c r="AZ79" s="170"/>
      <c r="BA79" s="170"/>
      <c r="BB79" s="170"/>
      <c r="BC79" s="170"/>
      <c r="BD79" s="170"/>
      <c r="BE79" s="170"/>
      <c r="BF79" s="170"/>
      <c r="BG79" s="170"/>
      <c r="BH79" s="170"/>
      <c r="BI79" s="170"/>
      <c r="BJ79" s="170"/>
      <c r="BK79" s="170"/>
      <c r="BL79" s="170"/>
      <c r="BM79" s="170"/>
      <c r="BN79" s="170"/>
      <c r="BO79" s="170"/>
      <c r="BP79" s="170"/>
      <c r="BQ79" s="170"/>
      <c r="BR79" s="25"/>
      <c r="BS79" s="25"/>
      <c r="BT79" s="25"/>
      <c r="BU79" s="25"/>
      <c r="BV79" s="25"/>
      <c r="BW79" s="25"/>
      <c r="BX79" s="25"/>
      <c r="BY79" s="25"/>
      <c r="BZ79" s="25"/>
      <c r="CA79" s="25"/>
      <c r="CB79" s="25"/>
      <c r="CC79" s="25"/>
      <c r="CD79" s="174"/>
      <c r="CE79" s="174"/>
      <c r="CF79" s="174"/>
      <c r="CG79" s="174"/>
      <c r="CH79" s="174"/>
      <c r="CI79" s="174"/>
      <c r="CJ79" s="174"/>
      <c r="CK79" s="174"/>
      <c r="CL79" s="174"/>
      <c r="CM79" s="174"/>
      <c r="CN79" s="174"/>
      <c r="CO79" s="174"/>
      <c r="CP79" s="174"/>
      <c r="CQ79" s="174"/>
      <c r="CR79" s="174"/>
      <c r="CS79" s="174"/>
      <c r="CT79" s="174"/>
      <c r="CU79" s="174"/>
      <c r="CV79" s="174"/>
      <c r="CW79" s="1463"/>
      <c r="CX79" s="174"/>
      <c r="CY79" s="174"/>
      <c r="CZ79" s="174"/>
      <c r="DA79" s="1463"/>
      <c r="DB79" s="174"/>
      <c r="DC79" s="174"/>
      <c r="DD79" s="174"/>
      <c r="DE79" s="174"/>
      <c r="DF79" s="175"/>
      <c r="DG79" s="25"/>
      <c r="DH79" s="25"/>
      <c r="DI79" s="25"/>
      <c r="DJ79" s="25"/>
    </row>
    <row r="80" spans="1:114">
      <c r="A80" s="170" t="str">
        <f>$A$10</f>
        <v>1Q</v>
      </c>
      <c r="B80" s="170" t="str">
        <f>$B$10</f>
        <v>Apr</v>
      </c>
      <c r="C80" s="170"/>
      <c r="D80" s="193">
        <v>1.4950000000000001</v>
      </c>
      <c r="E80" s="234">
        <f>D80/D70*100</f>
        <v>41.994382022471896</v>
      </c>
      <c r="F80" s="259"/>
      <c r="G80" s="170"/>
      <c r="H80" s="193">
        <v>1.641</v>
      </c>
      <c r="I80" s="234">
        <f t="shared" ref="I80:I86" si="251">H80/H70*100</f>
        <v>41.990788126919135</v>
      </c>
      <c r="J80" s="259"/>
      <c r="K80" s="170"/>
      <c r="L80" s="193">
        <v>2.0979999999999999</v>
      </c>
      <c r="M80" s="234">
        <f t="shared" ref="M80:M86" si="252">L80/L70*100</f>
        <v>41.751243781094523</v>
      </c>
      <c r="N80" s="259"/>
      <c r="O80" s="170"/>
      <c r="P80" s="193">
        <v>1.7190000000000001</v>
      </c>
      <c r="Q80" s="234">
        <f t="shared" ref="Q80:Q86" si="253">P80/P70*100</f>
        <v>41.501690004828596</v>
      </c>
      <c r="R80" s="259"/>
      <c r="S80" s="170"/>
      <c r="T80" s="193">
        <v>1.4570000000000001</v>
      </c>
      <c r="U80" s="234">
        <f t="shared" ref="U80:U86" si="254">T80/T70*100</f>
        <v>40.961484396963733</v>
      </c>
      <c r="V80" s="259"/>
      <c r="W80" s="259"/>
      <c r="X80" s="193">
        <v>2.4980000000000002</v>
      </c>
      <c r="Y80" s="234">
        <f t="shared" ref="Y80:Y86" si="255">X80/X70*100</f>
        <v>45.401672119229389</v>
      </c>
      <c r="Z80" s="170"/>
      <c r="AA80" s="170"/>
      <c r="AB80" s="193">
        <v>2.121</v>
      </c>
      <c r="AC80" s="234">
        <f t="shared" ref="AC80:AC86" si="256">AB80/AB70*100</f>
        <v>41.498728233222415</v>
      </c>
      <c r="AD80" s="170"/>
      <c r="AE80" s="170"/>
      <c r="AF80" s="193">
        <v>0.78400000000000003</v>
      </c>
      <c r="AG80" s="234">
        <f t="shared" ref="AG80:AG86" si="257">AF80/AF70*100</f>
        <v>40.516795865633036</v>
      </c>
      <c r="AH80" s="170"/>
      <c r="AI80" s="170"/>
      <c r="AJ80" s="193">
        <v>3.2360000000000002</v>
      </c>
      <c r="AK80" s="234">
        <f t="shared" ref="AK80:AK86" si="258">AJ80/AJ70*100</f>
        <v>40.495557502189989</v>
      </c>
      <c r="AL80" s="170"/>
      <c r="AM80" s="170"/>
      <c r="AN80" s="193">
        <v>4.351</v>
      </c>
      <c r="AO80" s="234">
        <v>40.5</v>
      </c>
      <c r="AP80" s="170"/>
      <c r="AQ80" s="170"/>
      <c r="AR80" s="170"/>
      <c r="AS80" s="170"/>
      <c r="AT80" s="170"/>
      <c r="AU80" s="193">
        <v>11.483000000000001</v>
      </c>
      <c r="AV80" s="234">
        <f t="shared" ref="AV80:AV86" si="259">AU80/AU70*100</f>
        <v>40.501551918735899</v>
      </c>
      <c r="AW80" s="170"/>
      <c r="AX80" s="170"/>
      <c r="AY80" s="286">
        <v>18.102</v>
      </c>
      <c r="AZ80" s="234">
        <f t="shared" ref="AZ80:AZ86" si="260">AY80/AY70*100</f>
        <v>39.747924992314793</v>
      </c>
      <c r="BA80" s="263"/>
      <c r="BB80" s="170"/>
      <c r="BC80" s="286">
        <v>12.664</v>
      </c>
      <c r="BD80" s="234">
        <f t="shared" ref="BD80:BD86" si="261">BC80/BC70*100</f>
        <v>38.418833237266028</v>
      </c>
      <c r="BE80" s="263"/>
      <c r="BF80" s="170"/>
      <c r="BG80" s="286">
        <v>8.4510000000000005</v>
      </c>
      <c r="BH80" s="234">
        <f t="shared" ref="BH80:BH86" si="262">BG80/BG70*100</f>
        <v>22.346501665873408</v>
      </c>
      <c r="BI80" s="263"/>
      <c r="BJ80" s="170"/>
      <c r="BK80" s="286">
        <v>23.605</v>
      </c>
      <c r="BL80" s="234">
        <f t="shared" ref="BL80:BL86" si="263">BK80/BK70*100</f>
        <v>35.677579275112613</v>
      </c>
      <c r="BM80" s="263"/>
      <c r="BN80" s="170"/>
      <c r="BO80" s="286">
        <v>17.405999999999999</v>
      </c>
      <c r="BP80" s="234">
        <f t="shared" ref="BP80:BP86" si="264">BO80/BO70*100</f>
        <v>36.103793740017856</v>
      </c>
      <c r="BQ80" s="263"/>
      <c r="BR80" s="25"/>
      <c r="BS80" s="287">
        <v>29.677</v>
      </c>
      <c r="BT80" s="237">
        <f t="shared" ref="BT80:BT86" si="265">BS80/BS70*100</f>
        <v>35.913788513202796</v>
      </c>
      <c r="BU80" s="244"/>
      <c r="BV80" s="25"/>
      <c r="BW80" s="287">
        <v>22.580999999999985</v>
      </c>
      <c r="BX80" s="237">
        <f t="shared" ref="BX80:BX86" si="266">BW80/BW70*100</f>
        <v>35.842288217647301</v>
      </c>
      <c r="BY80" s="244"/>
      <c r="BZ80" s="25"/>
      <c r="CA80" s="287">
        <v>19.257000000000001</v>
      </c>
      <c r="CB80" s="237">
        <f t="shared" ref="CB80:CB86" si="267">CA80/CA70*100</f>
        <v>36.187845303867448</v>
      </c>
      <c r="CC80" s="244"/>
      <c r="CD80" s="174"/>
      <c r="CE80" s="287">
        <v>25.779</v>
      </c>
      <c r="CF80" s="237">
        <f t="shared" ref="CF80:CF86" si="268">CE80/CE70*100</f>
        <v>35.392726224309058</v>
      </c>
      <c r="CG80" s="174"/>
      <c r="CH80" s="174"/>
      <c r="CI80" s="26">
        <v>21.998999999999999</v>
      </c>
      <c r="CJ80" s="237">
        <f t="shared" ref="CJ80:CJ86" si="269">CI80/CI70*100</f>
        <v>36.987406896783646</v>
      </c>
      <c r="CK80" s="174"/>
      <c r="CL80" s="174"/>
      <c r="CM80" s="26">
        <v>18.157</v>
      </c>
      <c r="CN80" s="237">
        <f t="shared" ref="CN80:CN86" si="270">CM80/CM70*100</f>
        <v>35.648793513046549</v>
      </c>
      <c r="CO80" s="174"/>
      <c r="CP80" s="174"/>
      <c r="CQ80" s="26">
        <v>19.344000000000001</v>
      </c>
      <c r="CR80" s="237">
        <f t="shared" ref="CR80:CR86" si="271">CQ80/CQ70*100</f>
        <v>39.553429027113211</v>
      </c>
      <c r="CS80" s="174"/>
      <c r="CT80" s="174"/>
      <c r="CU80" s="26">
        <v>9.4169999999999998</v>
      </c>
      <c r="CV80" s="237">
        <f t="shared" ref="CV80:CV86" si="272">CU80/CU70*100</f>
        <v>44.097401077030959</v>
      </c>
      <c r="CW80" s="1463"/>
      <c r="CX80" s="174"/>
      <c r="CY80" s="200">
        <f t="shared" ref="CY80:CY81" si="273">CY70*CZ80/100</f>
        <v>11.061284610186641</v>
      </c>
      <c r="CZ80" s="1727">
        <v>25</v>
      </c>
      <c r="DA80" s="1463"/>
      <c r="DB80" s="174"/>
      <c r="DC80" s="243"/>
      <c r="DD80" s="174"/>
      <c r="DE80" s="174"/>
      <c r="DF80" s="175"/>
      <c r="DG80" s="25"/>
      <c r="DH80" s="25"/>
      <c r="DI80" s="25"/>
      <c r="DJ80" s="25"/>
    </row>
    <row r="81" spans="1:114">
      <c r="A81" s="170" t="str">
        <f>$A$11</f>
        <v>2Q</v>
      </c>
      <c r="B81" s="170" t="str">
        <f>$B$11</f>
        <v>Jul</v>
      </c>
      <c r="C81" s="170"/>
      <c r="D81" s="203">
        <v>1.615</v>
      </c>
      <c r="E81" s="234">
        <f>D81/D71*100</f>
        <v>42.002600780234047</v>
      </c>
      <c r="F81" s="170"/>
      <c r="G81" s="170"/>
      <c r="H81" s="203">
        <v>1.6679999999999999</v>
      </c>
      <c r="I81" s="234">
        <f t="shared" si="251"/>
        <v>41.993957703927485</v>
      </c>
      <c r="J81" s="170"/>
      <c r="K81" s="170"/>
      <c r="L81" s="203">
        <v>2.0419999999999998</v>
      </c>
      <c r="M81" s="234">
        <f t="shared" si="252"/>
        <v>41.750153342874675</v>
      </c>
      <c r="N81" s="170"/>
      <c r="O81" s="170"/>
      <c r="P81" s="203">
        <v>2.0249999999999999</v>
      </c>
      <c r="Q81" s="234">
        <f t="shared" si="253"/>
        <v>41.495901639344261</v>
      </c>
      <c r="R81" s="170"/>
      <c r="S81" s="170"/>
      <c r="T81" s="203">
        <v>2.3919999999999999</v>
      </c>
      <c r="U81" s="234">
        <f t="shared" si="254"/>
        <v>41.00102845389096</v>
      </c>
      <c r="V81" s="170"/>
      <c r="W81" s="170"/>
      <c r="X81" s="203">
        <v>4.63</v>
      </c>
      <c r="Y81" s="234">
        <f t="shared" si="255"/>
        <v>52.715473072981865</v>
      </c>
      <c r="Z81" s="170"/>
      <c r="AA81" s="170"/>
      <c r="AB81" s="203">
        <v>1.232</v>
      </c>
      <c r="AC81" s="234">
        <f t="shared" si="256"/>
        <v>41.495453014483118</v>
      </c>
      <c r="AD81" s="170"/>
      <c r="AE81" s="170"/>
      <c r="AF81" s="203">
        <v>2.149</v>
      </c>
      <c r="AG81" s="234">
        <f t="shared" si="257"/>
        <v>40.501319261213752</v>
      </c>
      <c r="AH81" s="170"/>
      <c r="AI81" s="170"/>
      <c r="AJ81" s="203">
        <v>4.258</v>
      </c>
      <c r="AK81" s="234">
        <f t="shared" si="258"/>
        <v>40.502235327689505</v>
      </c>
      <c r="AL81" s="170"/>
      <c r="AM81" s="170"/>
      <c r="AN81" s="203">
        <v>6.444</v>
      </c>
      <c r="AO81" s="234">
        <f t="shared" ref="AO81:AO86" si="274">AN81/AN71*100</f>
        <v>40.500282823204046</v>
      </c>
      <c r="AP81" s="170"/>
      <c r="AQ81" s="170"/>
      <c r="AR81" s="170"/>
      <c r="AS81" s="170"/>
      <c r="AT81" s="170"/>
      <c r="AU81" s="203">
        <v>13.958</v>
      </c>
      <c r="AV81" s="234">
        <f t="shared" si="259"/>
        <v>40.497881970637721</v>
      </c>
      <c r="AW81" s="170"/>
      <c r="AX81" s="170"/>
      <c r="AY81" s="203">
        <v>20.190000000000001</v>
      </c>
      <c r="AZ81" s="234">
        <f t="shared" si="260"/>
        <v>39.751137012462856</v>
      </c>
      <c r="BA81" s="263"/>
      <c r="BB81" s="170"/>
      <c r="BC81" s="288">
        <v>14.797000000000001</v>
      </c>
      <c r="BD81" s="234">
        <f t="shared" si="261"/>
        <v>36.572826812328501</v>
      </c>
      <c r="BE81" s="263"/>
      <c r="BF81" s="170"/>
      <c r="BG81" s="288">
        <v>17.442</v>
      </c>
      <c r="BH81" s="234">
        <f t="shared" si="262"/>
        <v>35.373570211730339</v>
      </c>
      <c r="BI81" s="263"/>
      <c r="BJ81" s="170"/>
      <c r="BK81" s="288">
        <v>28.376999999999999</v>
      </c>
      <c r="BL81" s="234">
        <f t="shared" si="263"/>
        <v>33.241960991038489</v>
      </c>
      <c r="BM81" s="263"/>
      <c r="BN81" s="170"/>
      <c r="BO81" s="288">
        <v>30.359000000000002</v>
      </c>
      <c r="BP81" s="234">
        <f t="shared" si="264"/>
        <v>38.245149911816611</v>
      </c>
      <c r="BQ81" s="234"/>
      <c r="BR81" s="25"/>
      <c r="BS81" s="289">
        <v>35.828000000000003</v>
      </c>
      <c r="BT81" s="237">
        <f t="shared" si="265"/>
        <v>33.333023212541285</v>
      </c>
      <c r="BU81" s="237"/>
      <c r="BV81" s="25"/>
      <c r="BW81" s="289">
        <v>32.237000000000002</v>
      </c>
      <c r="BX81" s="237">
        <f>BW81/BW71*100</f>
        <v>36.249859440008983</v>
      </c>
      <c r="BY81" s="237"/>
      <c r="BZ81" s="25"/>
      <c r="CA81" s="289">
        <v>34.79</v>
      </c>
      <c r="CB81" s="237">
        <f t="shared" si="267"/>
        <v>36.208655107096007</v>
      </c>
      <c r="CC81" s="237"/>
      <c r="CD81" s="174"/>
      <c r="CE81" s="289">
        <v>43.161000000000001</v>
      </c>
      <c r="CF81" s="237">
        <f t="shared" si="268"/>
        <v>36.110739265754162</v>
      </c>
      <c r="CG81" s="174"/>
      <c r="CH81" s="174"/>
      <c r="CI81" s="289">
        <v>37.085000000000001</v>
      </c>
      <c r="CJ81" s="237">
        <f t="shared" si="269"/>
        <v>35.456144711933746</v>
      </c>
      <c r="CK81" s="174"/>
      <c r="CL81" s="174"/>
      <c r="CM81" s="289">
        <v>36.314</v>
      </c>
      <c r="CN81" s="237">
        <f t="shared" si="270"/>
        <v>35.203334787455773</v>
      </c>
      <c r="CO81" s="174"/>
      <c r="CP81" s="174"/>
      <c r="CQ81" s="289">
        <v>42.368000000000002</v>
      </c>
      <c r="CR81" s="237">
        <f t="shared" si="271"/>
        <v>35.518892046645391</v>
      </c>
      <c r="CS81" s="174"/>
      <c r="CT81" s="174"/>
      <c r="CU81" s="289">
        <v>27.001000000000001</v>
      </c>
      <c r="CV81" s="237">
        <f t="shared" si="272"/>
        <v>35.104529616724712</v>
      </c>
      <c r="CW81" s="1463"/>
      <c r="CX81" s="174"/>
      <c r="CY81" s="1460">
        <f t="shared" si="273"/>
        <v>24.493939420128569</v>
      </c>
      <c r="CZ81" s="1727">
        <v>25</v>
      </c>
      <c r="DA81" s="1463"/>
      <c r="DB81" s="174"/>
      <c r="DC81" s="243"/>
      <c r="DD81" s="174"/>
      <c r="DE81" s="174"/>
      <c r="DF81" s="175"/>
      <c r="DG81" s="25"/>
      <c r="DH81" s="25"/>
      <c r="DI81" s="25"/>
      <c r="DJ81" s="25"/>
    </row>
    <row r="82" spans="1:114">
      <c r="A82" s="170" t="str">
        <f>$A$12</f>
        <v>3Q</v>
      </c>
      <c r="B82" s="170" t="str">
        <f>$B$12</f>
        <v>Oct</v>
      </c>
      <c r="C82" s="170"/>
      <c r="D82" s="203">
        <v>2.8650000000000002</v>
      </c>
      <c r="E82" s="234">
        <f>D82/D72*100</f>
        <v>42.002638909250869</v>
      </c>
      <c r="F82" s="170"/>
      <c r="G82" s="170"/>
      <c r="H82" s="203">
        <v>3.004</v>
      </c>
      <c r="I82" s="234">
        <f t="shared" si="251"/>
        <v>42.002237136465332</v>
      </c>
      <c r="J82" s="170"/>
      <c r="K82" s="170"/>
      <c r="L82" s="203">
        <v>3.319</v>
      </c>
      <c r="M82" s="234">
        <f t="shared" si="252"/>
        <v>41.7431769588731</v>
      </c>
      <c r="N82" s="170"/>
      <c r="O82" s="170"/>
      <c r="P82" s="203">
        <v>3.3929999999999998</v>
      </c>
      <c r="Q82" s="234">
        <f t="shared" si="253"/>
        <v>41.499510763209393</v>
      </c>
      <c r="R82" s="170"/>
      <c r="S82" s="170"/>
      <c r="T82" s="203">
        <v>3.4980000000000002</v>
      </c>
      <c r="U82" s="234">
        <f t="shared" si="254"/>
        <v>40.993788819875768</v>
      </c>
      <c r="V82" s="170"/>
      <c r="W82" s="170"/>
      <c r="X82" s="203">
        <v>5.0350000000000001</v>
      </c>
      <c r="Y82" s="234">
        <f t="shared" si="255"/>
        <v>44.97945327854206</v>
      </c>
      <c r="Z82" s="170"/>
      <c r="AA82" s="170"/>
      <c r="AB82" s="203">
        <v>1.5740000000000001</v>
      </c>
      <c r="AC82" s="234">
        <f t="shared" si="256"/>
        <v>40.000000000000078</v>
      </c>
      <c r="AD82" s="170"/>
      <c r="AE82" s="170"/>
      <c r="AF82" s="203">
        <v>3.3540000000000001</v>
      </c>
      <c r="AG82" s="234">
        <f t="shared" si="257"/>
        <v>40.497464380584432</v>
      </c>
      <c r="AH82" s="170"/>
      <c r="AI82" s="170"/>
      <c r="AJ82" s="203">
        <v>5.4630000000000001</v>
      </c>
      <c r="AK82" s="234">
        <f t="shared" si="258"/>
        <v>40.499666394840268</v>
      </c>
      <c r="AL82" s="170"/>
      <c r="AM82" s="170"/>
      <c r="AN82" s="203">
        <v>9.5890000000000004</v>
      </c>
      <c r="AO82" s="234">
        <f t="shared" si="274"/>
        <v>40.500929211015382</v>
      </c>
      <c r="AP82" s="170"/>
      <c r="AQ82" s="170"/>
      <c r="AR82" s="170"/>
      <c r="AS82" s="170"/>
      <c r="AT82" s="170"/>
      <c r="AU82" s="203">
        <v>17.722000000000001</v>
      </c>
      <c r="AV82" s="234">
        <f t="shared" si="259"/>
        <v>40.500022852964022</v>
      </c>
      <c r="AW82" s="170"/>
      <c r="AX82" s="170"/>
      <c r="AY82" s="203">
        <v>24.518000000000001</v>
      </c>
      <c r="AZ82" s="234">
        <f t="shared" si="260"/>
        <v>39.750324254215322</v>
      </c>
      <c r="BA82" s="170"/>
      <c r="BB82" s="170"/>
      <c r="BC82" s="288">
        <v>12.315</v>
      </c>
      <c r="BD82" s="234">
        <f t="shared" si="261"/>
        <v>26.297806914518773</v>
      </c>
      <c r="BE82" s="170"/>
      <c r="BF82" s="170"/>
      <c r="BG82" s="288">
        <v>18.096</v>
      </c>
      <c r="BH82" s="234">
        <f t="shared" si="262"/>
        <v>28.507514414442809</v>
      </c>
      <c r="BI82" s="170"/>
      <c r="BJ82" s="170"/>
      <c r="BK82" s="288">
        <v>32.542000000000002</v>
      </c>
      <c r="BL82" s="234">
        <f t="shared" si="263"/>
        <v>35.442624379193191</v>
      </c>
      <c r="BM82" s="170"/>
      <c r="BN82" s="170"/>
      <c r="BO82" s="288">
        <v>35.186</v>
      </c>
      <c r="BP82" s="234">
        <f t="shared" si="264"/>
        <v>36.05935764209147</v>
      </c>
      <c r="BQ82" s="170"/>
      <c r="BR82" s="25"/>
      <c r="BS82" s="289">
        <v>32.57</v>
      </c>
      <c r="BT82" s="237">
        <f t="shared" si="265"/>
        <v>30.820621522389192</v>
      </c>
      <c r="BU82" s="237"/>
      <c r="BV82" s="25"/>
      <c r="BW82" s="289">
        <v>24.7</v>
      </c>
      <c r="BX82" s="237">
        <f t="shared" si="266"/>
        <v>32.767746985234631</v>
      </c>
      <c r="BY82" s="25"/>
      <c r="BZ82" s="25"/>
      <c r="CA82" s="289">
        <v>34.119999999999997</v>
      </c>
      <c r="CB82" s="237">
        <f t="shared" si="267"/>
        <v>36.449876078967606</v>
      </c>
      <c r="CC82" s="25"/>
      <c r="CD82" s="174"/>
      <c r="CE82" s="289">
        <v>35.015999999999998</v>
      </c>
      <c r="CF82" s="237">
        <f t="shared" si="268"/>
        <v>33.262089994585516</v>
      </c>
      <c r="CG82" s="174"/>
      <c r="CH82" s="174"/>
      <c r="CI82" s="290">
        <v>28.629000000000001</v>
      </c>
      <c r="CJ82" s="237">
        <f t="shared" si="269"/>
        <v>37.783086100406479</v>
      </c>
      <c r="CK82" s="174"/>
      <c r="CL82" s="174"/>
      <c r="CM82" s="289">
        <v>28.393999999999998</v>
      </c>
      <c r="CN82" s="237">
        <f t="shared" si="270"/>
        <v>35.321192217743949</v>
      </c>
      <c r="CO82" s="174"/>
      <c r="CP82" s="174"/>
      <c r="CQ82" s="289">
        <v>23.803999999999998</v>
      </c>
      <c r="CR82" s="237">
        <f t="shared" si="271"/>
        <v>33.451847271603064</v>
      </c>
      <c r="CS82" s="174"/>
      <c r="CT82" s="174"/>
      <c r="CU82" s="289">
        <v>26.914000000000001</v>
      </c>
      <c r="CV82" s="237">
        <f t="shared" si="272"/>
        <v>37.37744076882484</v>
      </c>
      <c r="CW82" s="1463"/>
      <c r="CX82" s="174"/>
      <c r="CY82" s="1460">
        <f>CY72*CZ82/100</f>
        <v>19.339231894438662</v>
      </c>
      <c r="CZ82" s="238">
        <v>27.5</v>
      </c>
      <c r="DA82" s="1463"/>
      <c r="DB82" s="174"/>
      <c r="DC82" s="243"/>
      <c r="DD82" s="174"/>
      <c r="DE82" s="174"/>
      <c r="DF82" s="175"/>
      <c r="DG82" s="25"/>
      <c r="DH82" s="25"/>
      <c r="DI82" s="25"/>
      <c r="DJ82" s="25"/>
    </row>
    <row r="83" spans="1:114">
      <c r="A83" s="170" t="str">
        <f>$A$13</f>
        <v>4Q</v>
      </c>
      <c r="B83" s="170" t="str">
        <f>$B$13</f>
        <v>Jan</v>
      </c>
      <c r="C83" s="209"/>
      <c r="D83" s="210">
        <f>7.833-D82-D81-D80</f>
        <v>1.8579999999999997</v>
      </c>
      <c r="E83" s="234">
        <f>D83/D73*100</f>
        <v>41.724679991017375</v>
      </c>
      <c r="F83" s="170"/>
      <c r="G83" s="170"/>
      <c r="H83" s="210">
        <f>8.822-H82-H81-H80</f>
        <v>2.5089999999999995</v>
      </c>
      <c r="I83" s="234">
        <f t="shared" si="251"/>
        <v>41.144637586093744</v>
      </c>
      <c r="J83" s="170"/>
      <c r="K83" s="170"/>
      <c r="L83" s="210">
        <f>9.409-L82-L81-L80</f>
        <v>1.9500000000000011</v>
      </c>
      <c r="M83" s="234">
        <f t="shared" si="252"/>
        <v>40.608079966680577</v>
      </c>
      <c r="N83" s="170"/>
      <c r="O83" s="170"/>
      <c r="P83" s="210">
        <f>9.745-P82-P81-P80</f>
        <v>2.6079999999999997</v>
      </c>
      <c r="Q83" s="234">
        <f t="shared" si="253"/>
        <v>40.585122938064103</v>
      </c>
      <c r="R83" s="170"/>
      <c r="S83" s="170"/>
      <c r="T83" s="210">
        <v>3.6030000000000002</v>
      </c>
      <c r="U83" s="234">
        <f t="shared" si="254"/>
        <v>40.999089667728725</v>
      </c>
      <c r="V83" s="170"/>
      <c r="W83" s="170"/>
      <c r="X83" s="210">
        <v>4.0060000000000002</v>
      </c>
      <c r="Y83" s="234">
        <f t="shared" si="255"/>
        <v>42.753468516542149</v>
      </c>
      <c r="Z83" s="170"/>
      <c r="AA83" s="170"/>
      <c r="AB83" s="210">
        <v>2.3650000000000002</v>
      </c>
      <c r="AC83" s="234">
        <f t="shared" si="256"/>
        <v>40.973665973666058</v>
      </c>
      <c r="AD83" s="170"/>
      <c r="AE83" s="170"/>
      <c r="AF83" s="210">
        <v>3.9279999999999999</v>
      </c>
      <c r="AG83" s="234">
        <f t="shared" si="257"/>
        <v>40.499020517579133</v>
      </c>
      <c r="AH83" s="170"/>
      <c r="AI83" s="170"/>
      <c r="AJ83" s="210">
        <v>5.7030000000000003</v>
      </c>
      <c r="AK83" s="234">
        <f t="shared" si="258"/>
        <v>40.504261363636367</v>
      </c>
      <c r="AL83" s="170"/>
      <c r="AM83" s="170"/>
      <c r="AN83" s="210">
        <v>12.544</v>
      </c>
      <c r="AO83" s="234">
        <f t="shared" si="274"/>
        <v>40.499790139799202</v>
      </c>
      <c r="AP83" s="170"/>
      <c r="AQ83" s="170"/>
      <c r="AR83" s="170"/>
      <c r="AS83" s="170"/>
      <c r="AT83" s="170"/>
      <c r="AU83" s="210">
        <v>16.54</v>
      </c>
      <c r="AV83" s="234">
        <f t="shared" si="259"/>
        <v>37.921863536317055</v>
      </c>
      <c r="AW83" s="263"/>
      <c r="AX83" s="170"/>
      <c r="AY83" s="210">
        <v>18.791</v>
      </c>
      <c r="AZ83" s="234">
        <f t="shared" si="260"/>
        <v>34.552441894674914</v>
      </c>
      <c r="BA83" s="170"/>
      <c r="BB83" s="170"/>
      <c r="BC83" s="210">
        <v>14.176</v>
      </c>
      <c r="BD83" s="234">
        <f t="shared" si="261"/>
        <v>28.404832989360209</v>
      </c>
      <c r="BE83" s="263"/>
      <c r="BF83" s="170"/>
      <c r="BG83" s="210">
        <v>30.175000000000001</v>
      </c>
      <c r="BH83" s="234">
        <f t="shared" si="262"/>
        <v>36.012650674304808</v>
      </c>
      <c r="BI83" s="170"/>
      <c r="BJ83" s="170"/>
      <c r="BK83" s="210">
        <v>25.602</v>
      </c>
      <c r="BL83" s="234">
        <f t="shared" si="263"/>
        <v>38.70470316114109</v>
      </c>
      <c r="BM83" s="170"/>
      <c r="BN83" s="170"/>
      <c r="BO83" s="210">
        <v>41.561999999999998</v>
      </c>
      <c r="BP83" s="234">
        <f t="shared" si="264"/>
        <v>34.856630072880037</v>
      </c>
      <c r="BQ83" s="170"/>
      <c r="BR83" s="25"/>
      <c r="BS83" s="245">
        <v>46.174999999999997</v>
      </c>
      <c r="BT83" s="237">
        <f t="shared" si="265"/>
        <v>38.03134754927396</v>
      </c>
      <c r="BU83" s="25"/>
      <c r="BV83" s="25"/>
      <c r="BW83" s="245">
        <v>24.062000000000001</v>
      </c>
      <c r="BX83" s="237">
        <f t="shared" si="266"/>
        <v>39.111847986866252</v>
      </c>
      <c r="BY83" s="25"/>
      <c r="BZ83" s="25"/>
      <c r="CA83" s="245">
        <v>50.091000000000008</v>
      </c>
      <c r="CB83" s="237">
        <f t="shared" si="267"/>
        <v>37.756655712002832</v>
      </c>
      <c r="CC83" s="25"/>
      <c r="CD83" s="174"/>
      <c r="CE83" s="245">
        <v>41.201999999999998</v>
      </c>
      <c r="CF83" s="237">
        <f t="shared" si="268"/>
        <v>31.722152074158483</v>
      </c>
      <c r="CG83" s="174"/>
      <c r="CH83" s="174"/>
      <c r="CI83" s="400">
        <v>43.308999999999997</v>
      </c>
      <c r="CJ83" s="237">
        <f t="shared" si="269"/>
        <v>35.037659679468</v>
      </c>
      <c r="CK83" s="174"/>
      <c r="CL83" s="174"/>
      <c r="CM83" s="400">
        <v>42.677</v>
      </c>
      <c r="CN83" s="237">
        <f t="shared" si="270"/>
        <v>36.932196789407648</v>
      </c>
      <c r="CO83" s="174"/>
      <c r="CP83" s="174"/>
      <c r="CQ83" s="400">
        <f>34.463+1.694</f>
        <v>36.157000000000004</v>
      </c>
      <c r="CR83" s="237">
        <f t="shared" si="271"/>
        <v>35.072556551429848</v>
      </c>
      <c r="CS83" s="174"/>
      <c r="CT83" s="174"/>
      <c r="CU83" s="400">
        <f>89.771-64.705+4.45</f>
        <v>29.516000000000002</v>
      </c>
      <c r="CV83" s="237">
        <f t="shared" si="272"/>
        <v>28.228768171384878</v>
      </c>
      <c r="CW83" s="1463"/>
      <c r="CX83" s="174"/>
      <c r="CY83" s="275">
        <f>CY73*CZ83/100</f>
        <v>22.097111980003437</v>
      </c>
      <c r="CZ83" s="238">
        <v>24</v>
      </c>
      <c r="DA83" s="1463"/>
      <c r="DB83" s="174"/>
      <c r="DC83" s="243"/>
      <c r="DD83" s="174"/>
      <c r="DE83" s="174"/>
      <c r="DF83" s="175"/>
      <c r="DG83" s="25"/>
      <c r="DH83" s="25"/>
      <c r="DI83" s="25"/>
      <c r="DJ83" s="25"/>
    </row>
    <row r="84" spans="1:114">
      <c r="A84" s="170"/>
      <c r="B84" s="170" t="str">
        <f>$B$14</f>
        <v>Year</v>
      </c>
      <c r="C84" s="170"/>
      <c r="D84" s="214">
        <f>SUM(D80:D83)</f>
        <v>7.8330000000000002</v>
      </c>
      <c r="E84" s="234">
        <f>D84/D$10*100</f>
        <v>33.850475367329302</v>
      </c>
      <c r="F84" s="170"/>
      <c r="G84" s="170"/>
      <c r="H84" s="214">
        <f>SUM(H80:H83)</f>
        <v>8.8219999999999992</v>
      </c>
      <c r="I84" s="234">
        <f t="shared" si="251"/>
        <v>41.751064836725021</v>
      </c>
      <c r="J84" s="170"/>
      <c r="K84" s="170"/>
      <c r="L84" s="214">
        <f>SUM(L80:L83)</f>
        <v>9.4090000000000007</v>
      </c>
      <c r="M84" s="234">
        <f t="shared" si="252"/>
        <v>41.506021438969526</v>
      </c>
      <c r="N84" s="170"/>
      <c r="O84" s="170"/>
      <c r="P84" s="214">
        <f>SUM(P80:P83)</f>
        <v>9.7449999999999992</v>
      </c>
      <c r="Q84" s="234">
        <f t="shared" si="253"/>
        <v>41.250423298340664</v>
      </c>
      <c r="R84" s="170"/>
      <c r="S84" s="170"/>
      <c r="T84" s="214">
        <f>SUM(T80:T83)</f>
        <v>10.950000000000001</v>
      </c>
      <c r="U84" s="234">
        <f t="shared" si="254"/>
        <v>40.992812219227311</v>
      </c>
      <c r="V84" s="170"/>
      <c r="W84" s="170"/>
      <c r="X84" s="214">
        <f>SUM(X80:X83)</f>
        <v>16.169</v>
      </c>
      <c r="Y84" s="234">
        <f t="shared" si="255"/>
        <v>46.397314126660724</v>
      </c>
      <c r="Z84" s="170"/>
      <c r="AA84" s="170"/>
      <c r="AB84" s="214">
        <f>SUM(AB80:AB83)</f>
        <v>7.2919999999999998</v>
      </c>
      <c r="AC84" s="234">
        <f t="shared" si="256"/>
        <v>40.996233204025465</v>
      </c>
      <c r="AD84" s="170"/>
      <c r="AE84" s="170"/>
      <c r="AF84" s="214">
        <f>SUM(AF80:AF83)</f>
        <v>10.215</v>
      </c>
      <c r="AG84" s="234">
        <f t="shared" si="257"/>
        <v>40.500356831337733</v>
      </c>
      <c r="AH84" s="170"/>
      <c r="AI84" s="170"/>
      <c r="AJ84" s="214">
        <f>SUM(AJ80:AJ83)</f>
        <v>18.66</v>
      </c>
      <c r="AK84" s="234">
        <f t="shared" si="258"/>
        <v>40.500944153842823</v>
      </c>
      <c r="AL84" s="170"/>
      <c r="AM84" s="170"/>
      <c r="AN84" s="214">
        <f>SUM(AN80:AN83)</f>
        <v>32.927999999999997</v>
      </c>
      <c r="AO84" s="234">
        <f t="shared" si="274"/>
        <v>40.499852405785688</v>
      </c>
      <c r="AP84" s="170"/>
      <c r="AQ84" s="170"/>
      <c r="AR84" s="170"/>
      <c r="AS84" s="170"/>
      <c r="AT84" s="170"/>
      <c r="AU84" s="214">
        <f>SUM(AU80:AU83)</f>
        <v>59.703000000000003</v>
      </c>
      <c r="AV84" s="234">
        <f t="shared" si="259"/>
        <v>39.751118568232691</v>
      </c>
      <c r="AW84" s="170"/>
      <c r="AX84" s="170"/>
      <c r="AY84" s="214">
        <f>SUM(AY80:AY83)</f>
        <v>81.600999999999999</v>
      </c>
      <c r="AZ84" s="234">
        <f t="shared" si="260"/>
        <v>38.419092548388171</v>
      </c>
      <c r="BA84" s="170"/>
      <c r="BB84" s="170"/>
      <c r="BC84" s="214">
        <f>SUM(BC80:BC83)</f>
        <v>53.951999999999998</v>
      </c>
      <c r="BD84" s="234">
        <f t="shared" si="261"/>
        <v>31.70700172780591</v>
      </c>
      <c r="BE84" s="170"/>
      <c r="BF84" s="170"/>
      <c r="BG84" s="214">
        <f>SUM(BG80:BG83)</f>
        <v>74.164000000000001</v>
      </c>
      <c r="BH84" s="234">
        <f t="shared" si="262"/>
        <v>31.640741657209652</v>
      </c>
      <c r="BI84" s="170"/>
      <c r="BJ84" s="170"/>
      <c r="BK84" s="214">
        <f>SUM(BK80:BK83)</f>
        <v>110.126</v>
      </c>
      <c r="BL84" s="234">
        <f t="shared" si="263"/>
        <v>35.583055995347195</v>
      </c>
      <c r="BM84" s="170"/>
      <c r="BN84" s="170"/>
      <c r="BO84" s="214">
        <f>SUM(BO80:BO83)</f>
        <v>124.51299999999999</v>
      </c>
      <c r="BP84" s="234">
        <f t="shared" si="264"/>
        <v>36.152970621882318</v>
      </c>
      <c r="BQ84" s="170"/>
      <c r="BR84" s="25"/>
      <c r="BS84" s="32">
        <f>SUM(BS80:BS83)</f>
        <v>144.25</v>
      </c>
      <c r="BT84" s="237">
        <f t="shared" si="265"/>
        <v>34.575080055991258</v>
      </c>
      <c r="BU84" s="25"/>
      <c r="BV84" s="25"/>
      <c r="BW84" s="32">
        <f>SUM(BW80:BW83)</f>
        <v>103.57999999999998</v>
      </c>
      <c r="BX84" s="237">
        <f t="shared" si="266"/>
        <v>35.861801537923547</v>
      </c>
      <c r="BY84" s="25"/>
      <c r="BZ84" s="25"/>
      <c r="CA84" s="32">
        <f>SUM(CA80:CA83)</f>
        <v>138.25800000000001</v>
      </c>
      <c r="CB84" s="237">
        <f t="shared" si="267"/>
        <v>36.812648440245795</v>
      </c>
      <c r="CC84" s="25"/>
      <c r="CD84" s="174"/>
      <c r="CE84" s="32">
        <f>SUM(CE80:CE83)</f>
        <v>145.15799999999999</v>
      </c>
      <c r="CF84" s="237">
        <f t="shared" si="268"/>
        <v>33.953658091589119</v>
      </c>
      <c r="CG84" s="174"/>
      <c r="CH84" s="174"/>
      <c r="CI84" s="32">
        <f>SUM(CI80:CI83)</f>
        <v>131.02199999999999</v>
      </c>
      <c r="CJ84" s="237">
        <f t="shared" si="269"/>
        <v>36.049525381758158</v>
      </c>
      <c r="CK84" s="174"/>
      <c r="CL84" s="174"/>
      <c r="CM84" s="32">
        <f>SUM(CM80:CM83)</f>
        <v>125.542</v>
      </c>
      <c r="CN84" s="237">
        <f t="shared" si="270"/>
        <v>35.865966157283218</v>
      </c>
      <c r="CO84" s="174"/>
      <c r="CP84" s="174"/>
      <c r="CQ84" s="32">
        <f>SUM(CQ80:CQ83)</f>
        <v>121.673</v>
      </c>
      <c r="CR84" s="237">
        <f t="shared" si="271"/>
        <v>35.531187945333514</v>
      </c>
      <c r="CS84" s="174"/>
      <c r="CT84" s="174"/>
      <c r="CU84" s="32">
        <f>SUM(CU80:CU83)</f>
        <v>92.847999999999999</v>
      </c>
      <c r="CV84" s="237">
        <f t="shared" si="272"/>
        <v>33.782933156743809</v>
      </c>
      <c r="CW84" s="1463"/>
      <c r="CX84" s="174"/>
      <c r="CY84" s="32">
        <f>SUM(CY80:CY83)</f>
        <v>76.991567904757304</v>
      </c>
      <c r="CZ84" s="237">
        <f>CY84/CY74*100</f>
        <v>25.274902544136367</v>
      </c>
      <c r="DA84" s="1463"/>
      <c r="DB84" s="174"/>
      <c r="DC84" s="174"/>
      <c r="DD84" s="174"/>
      <c r="DE84" s="174"/>
      <c r="DF84" s="175"/>
      <c r="DG84" s="25"/>
      <c r="DH84" s="25"/>
      <c r="DI84" s="25"/>
      <c r="DJ84" s="25"/>
    </row>
    <row r="85" spans="1:114" hidden="1" outlineLevel="1">
      <c r="A85" s="170" t="str">
        <f>$A$15</f>
        <v>6 Mos</v>
      </c>
      <c r="B85" s="170"/>
      <c r="C85" s="170"/>
      <c r="D85" s="217">
        <f>SUM(D80:D81)</f>
        <v>3.1100000000000003</v>
      </c>
      <c r="E85" s="234">
        <f>D85/D$10*100</f>
        <v>13.439930855661194</v>
      </c>
      <c r="F85" s="170"/>
      <c r="G85" s="170"/>
      <c r="H85" s="217">
        <f>SUM(H80:H81)</f>
        <v>3.3090000000000002</v>
      </c>
      <c r="I85" s="234">
        <f t="shared" si="251"/>
        <v>41.992385786802025</v>
      </c>
      <c r="J85" s="170"/>
      <c r="K85" s="170"/>
      <c r="L85" s="217">
        <f>SUM(L80:L81)</f>
        <v>4.1399999999999997</v>
      </c>
      <c r="M85" s="234">
        <f t="shared" si="252"/>
        <v>41.750705929810401</v>
      </c>
      <c r="N85" s="170"/>
      <c r="O85" s="170"/>
      <c r="P85" s="217">
        <f>SUM(P80:P81)</f>
        <v>3.7439999999999998</v>
      </c>
      <c r="Q85" s="234">
        <f t="shared" si="253"/>
        <v>41.498559077809801</v>
      </c>
      <c r="R85" s="170"/>
      <c r="S85" s="170"/>
      <c r="T85" s="217">
        <f>SUM(T80:T81)</f>
        <v>3.8490000000000002</v>
      </c>
      <c r="U85" s="234">
        <f t="shared" si="254"/>
        <v>40.986050473857937</v>
      </c>
      <c r="V85" s="170"/>
      <c r="W85" s="170"/>
      <c r="X85" s="217">
        <f>SUM(X80:X81)</f>
        <v>7.1280000000000001</v>
      </c>
      <c r="Y85" s="234">
        <f t="shared" si="255"/>
        <v>49.898494924746224</v>
      </c>
      <c r="Z85" s="170"/>
      <c r="AA85" s="170"/>
      <c r="AB85" s="217">
        <f>SUM(AB80:AB81)</f>
        <v>3.3529999999999998</v>
      </c>
      <c r="AC85" s="234">
        <f t="shared" si="256"/>
        <v>41.497524752475265</v>
      </c>
      <c r="AD85" s="170"/>
      <c r="AE85" s="170"/>
      <c r="AF85" s="217">
        <f>SUM(AF80:AF81)</f>
        <v>2.9329999999999998</v>
      </c>
      <c r="AG85" s="234">
        <f t="shared" si="257"/>
        <v>40.505455047645363</v>
      </c>
      <c r="AH85" s="170"/>
      <c r="AI85" s="170"/>
      <c r="AJ85" s="217">
        <f>SUM(AJ80:AJ81)</f>
        <v>7.4939999999999998</v>
      </c>
      <c r="AK85" s="234">
        <f t="shared" si="258"/>
        <v>40.499351491569385</v>
      </c>
      <c r="AL85" s="170"/>
      <c r="AM85" s="170"/>
      <c r="AN85" s="217">
        <f>SUM(AN80:AN81)</f>
        <v>10.795</v>
      </c>
      <c r="AO85" s="234">
        <f t="shared" si="274"/>
        <v>40.498968298630622</v>
      </c>
      <c r="AP85" s="170"/>
      <c r="AQ85" s="170"/>
      <c r="AR85" s="170"/>
      <c r="AS85" s="170"/>
      <c r="AT85" s="170"/>
      <c r="AU85" s="217">
        <f>SUM(AU80:AU81)</f>
        <v>25.441000000000003</v>
      </c>
      <c r="AV85" s="234">
        <f t="shared" si="259"/>
        <v>40.499538348880897</v>
      </c>
      <c r="AW85" s="170"/>
      <c r="AX85" s="170"/>
      <c r="AY85" s="217">
        <f>SUM(AY80:AY81)</f>
        <v>38.292000000000002</v>
      </c>
      <c r="AZ85" s="234">
        <f t="shared" si="260"/>
        <v>39.749618510790711</v>
      </c>
      <c r="BA85" s="170"/>
      <c r="BB85" s="170"/>
      <c r="BC85" s="217">
        <f>SUM(BC80:BC81)</f>
        <v>27.460999999999999</v>
      </c>
      <c r="BD85" s="234">
        <f t="shared" si="261"/>
        <v>37.401596251804619</v>
      </c>
      <c r="BE85" s="170"/>
      <c r="BF85" s="170"/>
      <c r="BG85" s="217">
        <f>SUM(BG80:BG81)</f>
        <v>25.893000000000001</v>
      </c>
      <c r="BH85" s="234">
        <f t="shared" si="262"/>
        <v>29.719027615178025</v>
      </c>
      <c r="BI85" s="170"/>
      <c r="BJ85" s="170"/>
      <c r="BK85" s="217">
        <f>SUM(BK80:BK81)</f>
        <v>51.981999999999999</v>
      </c>
      <c r="BL85" s="234">
        <f t="shared" si="263"/>
        <v>34.305437314801992</v>
      </c>
      <c r="BM85" s="170"/>
      <c r="BN85" s="170"/>
      <c r="BO85" s="217">
        <f>SUM(BO80:BO81)</f>
        <v>47.765000000000001</v>
      </c>
      <c r="BP85" s="234">
        <f t="shared" si="264"/>
        <v>37.43602605199429</v>
      </c>
      <c r="BQ85" s="170"/>
      <c r="BR85" s="25"/>
      <c r="BS85" s="34">
        <f>SUM(BS80:BS81)</f>
        <v>65.504999999999995</v>
      </c>
      <c r="BT85" s="237">
        <f t="shared" si="265"/>
        <v>34.454736244141827</v>
      </c>
      <c r="BU85" s="25"/>
      <c r="BV85" s="25"/>
      <c r="BW85" s="34">
        <f>SUM(BW80:BW81)</f>
        <v>54.817999999999984</v>
      </c>
      <c r="BX85" s="237">
        <f t="shared" si="266"/>
        <v>36.08085249224974</v>
      </c>
      <c r="BY85" s="25"/>
      <c r="BZ85" s="25"/>
      <c r="CA85" s="34">
        <f>SUM(CA80:CA81)</f>
        <v>54.046999999999997</v>
      </c>
      <c r="CB85" s="237">
        <f t="shared" si="267"/>
        <v>36.201237809452365</v>
      </c>
      <c r="CC85" s="25"/>
      <c r="CD85" s="174"/>
      <c r="CE85" s="34">
        <f>SUM(CE80:CE81)</f>
        <v>68.94</v>
      </c>
      <c r="CF85" s="237">
        <f t="shared" si="268"/>
        <v>35.838865466492678</v>
      </c>
      <c r="CG85" s="174"/>
      <c r="CH85" s="174"/>
      <c r="CI85" s="34">
        <f>SUM(CI80:CI81)</f>
        <v>59.084000000000003</v>
      </c>
      <c r="CJ85" s="237">
        <f t="shared" si="269"/>
        <v>36.011239036758475</v>
      </c>
      <c r="CK85" s="174"/>
      <c r="CL85" s="174"/>
      <c r="CM85" s="34">
        <f>SUM(CM80:CM81)</f>
        <v>54.471000000000004</v>
      </c>
      <c r="CN85" s="237">
        <f t="shared" si="270"/>
        <v>35.350578889984945</v>
      </c>
      <c r="CO85" s="174"/>
      <c r="CP85" s="174"/>
      <c r="CQ85" s="34">
        <f>SUM(CQ80:CQ81)</f>
        <v>61.712000000000003</v>
      </c>
      <c r="CR85" s="237">
        <f t="shared" si="271"/>
        <v>36.692054771715156</v>
      </c>
      <c r="CS85" s="174"/>
      <c r="CT85" s="174"/>
      <c r="CU85" s="34">
        <f>SUM(CU80:CU81)</f>
        <v>36.417999999999999</v>
      </c>
      <c r="CV85" s="237">
        <f t="shared" si="272"/>
        <v>37.058745713384354</v>
      </c>
      <c r="CW85" s="1463"/>
      <c r="CX85" s="174"/>
      <c r="CY85" s="34">
        <f>SUM(CY80:CY81)</f>
        <v>35.555224030315209</v>
      </c>
      <c r="CZ85" s="237">
        <f>CY85/CY75*100</f>
        <v>25</v>
      </c>
      <c r="DA85" s="1463"/>
      <c r="DB85" s="174"/>
      <c r="DC85" s="174"/>
      <c r="DD85" s="174"/>
      <c r="DE85" s="174"/>
      <c r="DF85" s="175"/>
      <c r="DG85" s="25"/>
      <c r="DH85" s="25"/>
      <c r="DI85" s="25"/>
      <c r="DJ85" s="25"/>
    </row>
    <row r="86" spans="1:114" hidden="1" outlineLevel="1">
      <c r="A86" s="170" t="str">
        <f>$A$16</f>
        <v>9 Mos</v>
      </c>
      <c r="B86" s="170"/>
      <c r="C86" s="170"/>
      <c r="D86" s="217">
        <f>SUM(D80:D82)</f>
        <v>5.9750000000000005</v>
      </c>
      <c r="E86" s="234">
        <f>D86/D$10*100</f>
        <v>25.821089023336214</v>
      </c>
      <c r="F86" s="170"/>
      <c r="G86" s="170"/>
      <c r="H86" s="217">
        <f>SUM(H80:H82)</f>
        <v>6.3130000000000006</v>
      </c>
      <c r="I86" s="234">
        <f t="shared" si="251"/>
        <v>41.997072911122942</v>
      </c>
      <c r="J86" s="170"/>
      <c r="K86" s="170"/>
      <c r="L86" s="217">
        <f>SUM(L80:L82)</f>
        <v>7.4589999999999996</v>
      </c>
      <c r="M86" s="234">
        <f t="shared" si="252"/>
        <v>41.747355459786199</v>
      </c>
      <c r="N86" s="170"/>
      <c r="O86" s="170"/>
      <c r="P86" s="217">
        <f>SUM(P80:P82)</f>
        <v>7.1369999999999996</v>
      </c>
      <c r="Q86" s="234">
        <f t="shared" si="253"/>
        <v>41.499011512966618</v>
      </c>
      <c r="R86" s="170"/>
      <c r="S86" s="170"/>
      <c r="T86" s="217">
        <f>SUM(T80:T82)</f>
        <v>7.3470000000000004</v>
      </c>
      <c r="U86" s="234">
        <f t="shared" si="254"/>
        <v>40.989734434278056</v>
      </c>
      <c r="V86" s="170"/>
      <c r="W86" s="170"/>
      <c r="X86" s="217">
        <f>SUM(X80:X82)</f>
        <v>12.163</v>
      </c>
      <c r="Y86" s="234">
        <f t="shared" si="255"/>
        <v>47.737352329369273</v>
      </c>
      <c r="Z86" s="170"/>
      <c r="AA86" s="170"/>
      <c r="AB86" s="217">
        <f>SUM(AB80:AB82)</f>
        <v>4.9269999999999996</v>
      </c>
      <c r="AC86" s="234">
        <f t="shared" si="256"/>
        <v>41.007074490220589</v>
      </c>
      <c r="AD86" s="170"/>
      <c r="AE86" s="170"/>
      <c r="AF86" s="217">
        <f>SUM(AF80:AF82)</f>
        <v>6.2869999999999999</v>
      </c>
      <c r="AG86" s="234">
        <f t="shared" si="257"/>
        <v>40.501191779939468</v>
      </c>
      <c r="AH86" s="170"/>
      <c r="AI86" s="170"/>
      <c r="AJ86" s="217">
        <f>SUM(AJ80:AJ82)</f>
        <v>12.957000000000001</v>
      </c>
      <c r="AK86" s="234">
        <f t="shared" si="258"/>
        <v>40.499484262182364</v>
      </c>
      <c r="AL86" s="170"/>
      <c r="AM86" s="170"/>
      <c r="AN86" s="217">
        <f>SUM(AN80:AN82)</f>
        <v>20.384</v>
      </c>
      <c r="AO86" s="234">
        <f t="shared" si="274"/>
        <v>40.499890723411006</v>
      </c>
      <c r="AP86" s="170"/>
      <c r="AQ86" s="170"/>
      <c r="AR86" s="170"/>
      <c r="AS86" s="170"/>
      <c r="AT86" s="170"/>
      <c r="AU86" s="217">
        <f>SUM(AU80:AU82)</f>
        <v>43.163000000000004</v>
      </c>
      <c r="AV86" s="234">
        <f t="shared" si="259"/>
        <v>40.499737276685181</v>
      </c>
      <c r="AW86" s="170"/>
      <c r="AX86" s="170"/>
      <c r="AY86" s="217">
        <f>SUM(AY80:AY82)</f>
        <v>62.81</v>
      </c>
      <c r="AZ86" s="234">
        <f t="shared" si="260"/>
        <v>39.749893996063626</v>
      </c>
      <c r="BA86" s="170"/>
      <c r="BB86" s="170"/>
      <c r="BC86" s="217">
        <f>SUM(BC80:BC82)</f>
        <v>39.775999999999996</v>
      </c>
      <c r="BD86" s="234">
        <f t="shared" si="261"/>
        <v>33.077479605159198</v>
      </c>
      <c r="BE86" s="170"/>
      <c r="BF86" s="170"/>
      <c r="BG86" s="217">
        <f>SUM(BG80:BG82)</f>
        <v>43.989000000000004</v>
      </c>
      <c r="BH86" s="234">
        <f t="shared" si="262"/>
        <v>29.208387559427379</v>
      </c>
      <c r="BI86" s="170"/>
      <c r="BJ86" s="170"/>
      <c r="BK86" s="217">
        <f>SUM(BK80:BK82)</f>
        <v>84.524000000000001</v>
      </c>
      <c r="BL86" s="234">
        <f t="shared" si="263"/>
        <v>34.7345105468413</v>
      </c>
      <c r="BM86" s="170"/>
      <c r="BN86" s="170"/>
      <c r="BO86" s="217">
        <f>SUM(BO80:BO82)</f>
        <v>82.950999999999993</v>
      </c>
      <c r="BP86" s="234">
        <f t="shared" si="264"/>
        <v>36.83944059795089</v>
      </c>
      <c r="BQ86" s="170"/>
      <c r="BR86" s="25"/>
      <c r="BS86" s="34">
        <f>SUM(BS80:BS82)</f>
        <v>98.074999999999989</v>
      </c>
      <c r="BT86" s="237">
        <f t="shared" si="265"/>
        <v>33.156408999475993</v>
      </c>
      <c r="BU86" s="25"/>
      <c r="BV86" s="25"/>
      <c r="BW86" s="34">
        <f>SUM(BW80:BW82)</f>
        <v>79.517999999999986</v>
      </c>
      <c r="BX86" s="237">
        <f t="shared" si="266"/>
        <v>34.982182922000781</v>
      </c>
      <c r="BY86" s="25"/>
      <c r="BZ86" s="25"/>
      <c r="CA86" s="34">
        <f>SUM(CA80:CA82)</f>
        <v>88.167000000000002</v>
      </c>
      <c r="CB86" s="237">
        <f t="shared" si="267"/>
        <v>36.297055626914336</v>
      </c>
      <c r="CC86" s="25"/>
      <c r="CD86" s="174"/>
      <c r="CE86" s="34">
        <f>SUM(CE80:CE82)</f>
        <v>103.95599999999999</v>
      </c>
      <c r="CF86" s="237">
        <f t="shared" si="268"/>
        <v>34.927461244347079</v>
      </c>
      <c r="CG86" s="174"/>
      <c r="CH86" s="174"/>
      <c r="CI86" s="34">
        <f>SUM(CI80:CI82)</f>
        <v>87.713000000000008</v>
      </c>
      <c r="CJ86" s="237">
        <f t="shared" si="269"/>
        <v>36.571006866992157</v>
      </c>
      <c r="CK86" s="174"/>
      <c r="CL86" s="174"/>
      <c r="CM86" s="34">
        <f>SUM(CM80:CM82)</f>
        <v>82.865000000000009</v>
      </c>
      <c r="CN86" s="237">
        <f t="shared" si="270"/>
        <v>35.340503932172169</v>
      </c>
      <c r="CO86" s="174"/>
      <c r="CP86" s="174"/>
      <c r="CQ86" s="34">
        <f>SUM(CQ80:CQ82)</f>
        <v>85.516000000000005</v>
      </c>
      <c r="CR86" s="237">
        <f t="shared" si="271"/>
        <v>35.728729715727745</v>
      </c>
      <c r="CS86" s="174"/>
      <c r="CT86" s="174"/>
      <c r="CU86" s="34">
        <f>SUM(CU80:CU82)</f>
        <v>63.332000000000001</v>
      </c>
      <c r="CV86" s="237">
        <f t="shared" si="272"/>
        <v>37.193514097617388</v>
      </c>
      <c r="CW86" s="1463"/>
      <c r="CX86" s="174"/>
      <c r="CY86" s="34">
        <f>SUM(CY80:CY82)</f>
        <v>54.894455924753871</v>
      </c>
      <c r="CZ86" s="237">
        <f>CY86/CY76*100</f>
        <v>25.827170190978727</v>
      </c>
      <c r="DA86" s="1463"/>
      <c r="DB86" s="174"/>
      <c r="DC86" s="174"/>
      <c r="DD86" s="174"/>
      <c r="DE86" s="174"/>
      <c r="DF86" s="175"/>
      <c r="DG86" s="25"/>
      <c r="DH86" s="25"/>
      <c r="DI86" s="25"/>
      <c r="DJ86" s="25"/>
    </row>
    <row r="87" spans="1:114" collapsed="1">
      <c r="A87" s="170"/>
      <c r="B87" s="170"/>
      <c r="C87" s="170"/>
      <c r="D87" s="170"/>
      <c r="E87" s="170"/>
      <c r="F87" s="170"/>
      <c r="G87" s="170"/>
      <c r="H87" s="170"/>
      <c r="I87" s="170"/>
      <c r="J87" s="170"/>
      <c r="K87" s="170"/>
      <c r="L87" s="170"/>
      <c r="M87" s="170"/>
      <c r="N87" s="170"/>
      <c r="O87" s="170"/>
      <c r="P87" s="170"/>
      <c r="Q87" s="170"/>
      <c r="R87" s="170"/>
      <c r="S87" s="170"/>
      <c r="T87" s="170"/>
      <c r="U87" s="170"/>
      <c r="V87" s="170"/>
      <c r="W87" s="170"/>
      <c r="X87" s="170"/>
      <c r="Y87" s="170"/>
      <c r="Z87" s="170"/>
      <c r="AA87" s="170"/>
      <c r="AB87" s="170"/>
      <c r="AC87" s="170"/>
      <c r="AD87" s="170"/>
      <c r="AE87" s="170"/>
      <c r="AF87" s="170"/>
      <c r="AG87" s="170"/>
      <c r="AH87" s="170"/>
      <c r="AI87" s="170"/>
      <c r="AJ87" s="170"/>
      <c r="AK87" s="170"/>
      <c r="AL87" s="170"/>
      <c r="AM87" s="170"/>
      <c r="AN87" s="170"/>
      <c r="AO87" s="170"/>
      <c r="AP87" s="170"/>
      <c r="AQ87" s="170"/>
      <c r="AR87" s="170"/>
      <c r="AS87" s="170"/>
      <c r="AT87" s="170"/>
      <c r="AU87" s="170"/>
      <c r="AV87" s="170"/>
      <c r="AW87" s="263"/>
      <c r="AX87" s="170"/>
      <c r="AY87" s="170"/>
      <c r="AZ87" s="170"/>
      <c r="BA87" s="170"/>
      <c r="BB87" s="170"/>
      <c r="BC87" s="170"/>
      <c r="BD87" s="170"/>
      <c r="BE87" s="170"/>
      <c r="BF87" s="170"/>
      <c r="BG87" s="170"/>
      <c r="BH87" s="170"/>
      <c r="BI87" s="170"/>
      <c r="BJ87" s="170"/>
      <c r="BK87" s="170"/>
      <c r="BL87" s="170"/>
      <c r="BM87" s="170"/>
      <c r="BN87" s="170"/>
      <c r="BO87" s="170"/>
      <c r="BP87" s="170"/>
      <c r="BQ87" s="170"/>
      <c r="BR87" s="25"/>
      <c r="BS87" s="25"/>
      <c r="BT87" s="25"/>
      <c r="BU87" s="25"/>
      <c r="BV87" s="25"/>
      <c r="BW87" s="25"/>
      <c r="BX87" s="25"/>
      <c r="BY87" s="25"/>
      <c r="BZ87" s="25"/>
      <c r="CA87" s="25"/>
      <c r="CB87" s="25"/>
      <c r="CC87" s="25"/>
      <c r="CD87" s="174"/>
      <c r="CE87" s="174"/>
      <c r="CF87" s="174"/>
      <c r="CG87" s="174"/>
      <c r="CH87" s="174"/>
      <c r="CI87" s="174"/>
      <c r="CJ87" s="174"/>
      <c r="CK87" s="174"/>
      <c r="CL87" s="174"/>
      <c r="CM87" s="174"/>
      <c r="CN87" s="174"/>
      <c r="CO87" s="174"/>
      <c r="CP87" s="174"/>
      <c r="CQ87" s="174"/>
      <c r="CR87" s="174"/>
      <c r="CS87" s="174"/>
      <c r="CT87" s="174"/>
      <c r="CU87" s="174"/>
      <c r="CV87" s="174"/>
      <c r="CW87" s="1463"/>
      <c r="CX87" s="174"/>
      <c r="CY87" s="174"/>
      <c r="CZ87" s="174"/>
      <c r="DA87" s="1463"/>
      <c r="DB87" s="174"/>
      <c r="DC87" s="174"/>
      <c r="DD87" s="174"/>
      <c r="DE87" s="174"/>
      <c r="DF87" s="175"/>
      <c r="DG87" s="25"/>
      <c r="DH87" s="25"/>
      <c r="DI87" s="25"/>
      <c r="DJ87" s="25"/>
    </row>
    <row r="88" spans="1:114">
      <c r="A88" s="170"/>
      <c r="B88" s="170"/>
      <c r="C88" s="184"/>
      <c r="D88" s="184"/>
      <c r="E88" s="170"/>
      <c r="F88" s="170"/>
      <c r="G88" s="170"/>
      <c r="H88" s="278"/>
      <c r="I88" s="187"/>
      <c r="J88" s="187"/>
      <c r="K88" s="187"/>
      <c r="L88" s="278"/>
      <c r="M88" s="187"/>
      <c r="N88" s="187"/>
      <c r="O88" s="187"/>
      <c r="P88" s="278"/>
      <c r="Q88" s="187"/>
      <c r="R88" s="187"/>
      <c r="S88" s="187"/>
      <c r="T88" s="278"/>
      <c r="U88" s="187"/>
      <c r="V88" s="187"/>
      <c r="W88" s="187"/>
      <c r="X88" s="170"/>
      <c r="Y88" s="187"/>
      <c r="Z88" s="187"/>
      <c r="AA88" s="187"/>
      <c r="AB88" s="170"/>
      <c r="AC88" s="187"/>
      <c r="AD88" s="187"/>
      <c r="AE88" s="187"/>
      <c r="AF88" s="278"/>
      <c r="AG88" s="187"/>
      <c r="AH88" s="187"/>
      <c r="AI88" s="187"/>
      <c r="AJ88" s="278"/>
      <c r="AK88" s="187"/>
      <c r="AL88" s="187"/>
      <c r="AM88" s="187"/>
      <c r="AN88" s="278"/>
      <c r="AO88" s="187"/>
      <c r="AP88" s="187"/>
      <c r="AQ88" s="170"/>
      <c r="AR88" s="170"/>
      <c r="AS88" s="170"/>
      <c r="AT88" s="187"/>
      <c r="AU88" s="278" t="s">
        <v>487</v>
      </c>
      <c r="AV88" s="187"/>
      <c r="AW88" s="187"/>
      <c r="AX88" s="187"/>
      <c r="AY88" s="278" t="s">
        <v>487</v>
      </c>
      <c r="AZ88" s="187"/>
      <c r="BA88" s="187"/>
      <c r="BB88" s="187"/>
      <c r="BC88" s="278"/>
      <c r="BD88" s="187"/>
      <c r="BE88" s="187"/>
      <c r="BF88" s="187"/>
      <c r="BG88" s="278"/>
      <c r="BH88" s="187"/>
      <c r="BI88" s="187"/>
      <c r="BJ88" s="187"/>
      <c r="BK88" s="278"/>
      <c r="BL88" s="187"/>
      <c r="BM88" s="187"/>
      <c r="BN88" s="187"/>
      <c r="BO88" s="278"/>
      <c r="BP88" s="187"/>
      <c r="BQ88" s="187"/>
      <c r="BR88" s="188"/>
      <c r="BS88" s="189" t="str">
        <f>AY88</f>
        <v>8.  Net Earnings   (% Change)</v>
      </c>
      <c r="BT88" s="188"/>
      <c r="BU88" s="188"/>
      <c r="BV88" s="188"/>
      <c r="BW88" s="279"/>
      <c r="BX88" s="188"/>
      <c r="BY88" s="188"/>
      <c r="BZ88" s="188"/>
      <c r="CA88" s="279"/>
      <c r="CB88" s="188"/>
      <c r="CC88" s="188"/>
      <c r="CD88" s="174"/>
      <c r="CE88" s="174"/>
      <c r="CF88" s="174"/>
      <c r="CG88" s="174"/>
      <c r="CH88" s="174"/>
      <c r="CI88" s="174"/>
      <c r="CJ88" s="1004" t="str">
        <f>BS88</f>
        <v>8.  Net Earnings   (% Change)</v>
      </c>
      <c r="CK88" s="1004"/>
      <c r="CL88" s="1004"/>
      <c r="CM88" s="1004"/>
      <c r="CN88" s="1004"/>
      <c r="CO88" s="1004"/>
      <c r="CP88" s="1004"/>
      <c r="CQ88" s="1004"/>
      <c r="CR88" s="1004"/>
      <c r="CS88" s="174"/>
      <c r="CT88" s="1004"/>
      <c r="CU88" s="1004"/>
      <c r="CV88" s="1004"/>
      <c r="CW88" s="1463"/>
      <c r="CX88" s="1004"/>
      <c r="CY88" s="1004"/>
      <c r="CZ88" s="1004"/>
      <c r="DA88" s="1463"/>
      <c r="DB88" s="174"/>
      <c r="DC88" s="174"/>
      <c r="DD88" s="174"/>
      <c r="DE88" s="174"/>
      <c r="DF88" s="175"/>
      <c r="DG88" s="25"/>
      <c r="DH88" s="25"/>
      <c r="DI88" s="25"/>
      <c r="DJ88" s="25"/>
    </row>
    <row r="89" spans="1:114">
      <c r="A89" s="170"/>
      <c r="B89" s="170"/>
      <c r="C89" s="170"/>
      <c r="D89" s="170"/>
      <c r="E89" s="170"/>
      <c r="F89" s="170"/>
      <c r="G89" s="170"/>
      <c r="H89" s="170"/>
      <c r="I89" s="170"/>
      <c r="J89" s="170"/>
      <c r="K89" s="170"/>
      <c r="L89" s="170"/>
      <c r="M89" s="170"/>
      <c r="N89" s="170"/>
      <c r="O89" s="170"/>
      <c r="P89" s="170"/>
      <c r="Q89" s="170"/>
      <c r="R89" s="170"/>
      <c r="S89" s="170"/>
      <c r="T89" s="170"/>
      <c r="U89" s="170"/>
      <c r="V89" s="170"/>
      <c r="W89" s="170"/>
      <c r="X89" s="170"/>
      <c r="Y89" s="170"/>
      <c r="Z89" s="170"/>
      <c r="AA89" s="170"/>
      <c r="AB89" s="170"/>
      <c r="AC89" s="170"/>
      <c r="AD89" s="170"/>
      <c r="AE89" s="170"/>
      <c r="AF89" s="170"/>
      <c r="AG89" s="170"/>
      <c r="AH89" s="170"/>
      <c r="AI89" s="170"/>
      <c r="AJ89" s="170"/>
      <c r="AK89" s="170"/>
      <c r="AL89" s="170"/>
      <c r="AM89" s="170"/>
      <c r="AN89" s="170"/>
      <c r="AO89" s="170"/>
      <c r="AP89" s="170"/>
      <c r="AQ89" s="170"/>
      <c r="AR89" s="170"/>
      <c r="AS89" s="170"/>
      <c r="AT89" s="170"/>
      <c r="AU89" s="170"/>
      <c r="AV89" s="170"/>
      <c r="AW89" s="170"/>
      <c r="AX89" s="170"/>
      <c r="AY89" s="170"/>
      <c r="AZ89" s="170"/>
      <c r="BA89" s="170"/>
      <c r="BB89" s="170"/>
      <c r="BC89" s="170"/>
      <c r="BD89" s="170"/>
      <c r="BE89" s="170"/>
      <c r="BF89" s="170"/>
      <c r="BG89" s="170"/>
      <c r="BH89" s="170"/>
      <c r="BI89" s="170"/>
      <c r="BJ89" s="170"/>
      <c r="BK89" s="170"/>
      <c r="BL89" s="170"/>
      <c r="BM89" s="170"/>
      <c r="BN89" s="170"/>
      <c r="BO89" s="170"/>
      <c r="BP89" s="170"/>
      <c r="BQ89" s="170"/>
      <c r="BR89" s="25"/>
      <c r="BS89" s="25"/>
      <c r="BT89" s="25"/>
      <c r="BU89" s="25"/>
      <c r="BV89" s="25"/>
      <c r="BW89" s="25"/>
      <c r="BX89" s="25"/>
      <c r="BY89" s="25"/>
      <c r="BZ89" s="25"/>
      <c r="CA89" s="25"/>
      <c r="CB89" s="25"/>
      <c r="CC89" s="25"/>
      <c r="CD89" s="174"/>
      <c r="CE89" s="174"/>
      <c r="CF89" s="174"/>
      <c r="CG89" s="174"/>
      <c r="CH89" s="174"/>
      <c r="CI89" s="174"/>
      <c r="CJ89" s="174"/>
      <c r="CK89" s="174"/>
      <c r="CL89" s="174"/>
      <c r="CM89" s="174"/>
      <c r="CN89" s="174"/>
      <c r="CO89" s="174"/>
      <c r="CP89" s="174"/>
      <c r="CQ89" s="174"/>
      <c r="CR89" s="174"/>
      <c r="CS89" s="174"/>
      <c r="CT89" s="174"/>
      <c r="CU89" s="174"/>
      <c r="CV89" s="174"/>
      <c r="CW89" s="1463"/>
      <c r="CX89" s="174"/>
      <c r="CY89" s="174"/>
      <c r="CZ89" s="174"/>
      <c r="DA89" s="1463"/>
      <c r="DB89" s="174"/>
      <c r="DC89" s="174"/>
      <c r="DD89" s="174"/>
      <c r="DE89" s="174"/>
      <c r="DF89" s="175"/>
      <c r="DG89" s="25"/>
      <c r="DH89" s="25"/>
      <c r="DI89" s="25"/>
      <c r="DJ89" s="25"/>
    </row>
    <row r="90" spans="1:114">
      <c r="A90" s="170" t="str">
        <f>$A$10</f>
        <v>1Q</v>
      </c>
      <c r="B90" s="170" t="str">
        <f>$B$10</f>
        <v>Apr</v>
      </c>
      <c r="C90" s="170"/>
      <c r="D90" s="214">
        <f>D70-D80</f>
        <v>2.0650000000000017</v>
      </c>
      <c r="E90" s="168"/>
      <c r="F90" s="170"/>
      <c r="G90" s="170"/>
      <c r="H90" s="214">
        <f>H70-H80</f>
        <v>2.2670000000000003</v>
      </c>
      <c r="I90" s="168">
        <f t="shared" ref="I90:I96" si="275">IF(D90&lt;0,"       NM",(H90/D90-1)*100)</f>
        <v>9.7820823244551214</v>
      </c>
      <c r="J90" s="168"/>
      <c r="K90" s="170"/>
      <c r="L90" s="214">
        <f>L70-L80</f>
        <v>2.9270000000000005</v>
      </c>
      <c r="M90" s="168">
        <f t="shared" ref="M90:M96" si="276">IF(H90&lt;0,"       NM",(L90/H90-1)*100)</f>
        <v>29.113365681517433</v>
      </c>
      <c r="N90" s="170"/>
      <c r="O90" s="170"/>
      <c r="P90" s="214">
        <f>P70-P80</f>
        <v>2.4229999999999992</v>
      </c>
      <c r="Q90" s="168">
        <f t="shared" ref="Q90:Q96" si="277">IF(L90&lt;0,"       NM",(P90/L90-1)*100)</f>
        <v>-17.218995558592454</v>
      </c>
      <c r="R90" s="170"/>
      <c r="S90" s="170"/>
      <c r="T90" s="214">
        <f>T70-T80</f>
        <v>2.1000000000000005</v>
      </c>
      <c r="U90" s="168">
        <f t="shared" ref="U90:U96" si="278">IF(P90&lt;0,"       NM",(T90/P90-1)*100)</f>
        <v>-13.330581923235608</v>
      </c>
      <c r="V90" s="170"/>
      <c r="W90" s="170"/>
      <c r="X90" s="214">
        <f>X70-X80</f>
        <v>3.0039999999999987</v>
      </c>
      <c r="Y90" s="168">
        <f t="shared" ref="Y90:Y96" si="279">IF(T90&lt;0,"       NM",(X90/T90-1)*100)</f>
        <v>43.047619047618959</v>
      </c>
      <c r="Z90" s="170"/>
      <c r="AA90" s="170"/>
      <c r="AB90" s="214">
        <f>AB70-AB80</f>
        <v>2.990000000000006</v>
      </c>
      <c r="AC90" s="168">
        <f t="shared" ref="AC90:AC96" si="280">IF(X90&lt;0,"       NM",(AB90/X90-1)*100)</f>
        <v>-0.4660452729691289</v>
      </c>
      <c r="AD90" s="170"/>
      <c r="AE90" s="170"/>
      <c r="AF90" s="214">
        <f>AF70-AF80</f>
        <v>1.1510000000000018</v>
      </c>
      <c r="AG90" s="168">
        <f t="shared" ref="AG90:AG96" si="281">IF(AB90&lt;0,"       NM",(AF90/AB90-1)*100)</f>
        <v>-61.505016722408044</v>
      </c>
      <c r="AH90" s="170"/>
      <c r="AI90" s="170"/>
      <c r="AJ90" s="214">
        <f>AJ70-AJ80</f>
        <v>4.7549999999999955</v>
      </c>
      <c r="AK90" s="168">
        <f t="shared" ref="AK90:AK96" si="282">IF(AF90&lt;0,"       NM",(AJ90/AF90-1)*100)</f>
        <v>313.11902693310066</v>
      </c>
      <c r="AL90" s="170"/>
      <c r="AM90" s="170"/>
      <c r="AN90" s="214">
        <f>AN70-AN80</f>
        <v>6.3930000000000069</v>
      </c>
      <c r="AO90" s="168">
        <f>IF(AJ90&lt;0,"       NM",(AN90/AJ90-1)*100)</f>
        <v>34.447949526814156</v>
      </c>
      <c r="AP90" s="170"/>
      <c r="AQ90" s="170"/>
      <c r="AR90" s="170"/>
      <c r="AS90" s="170"/>
      <c r="AT90" s="170"/>
      <c r="AU90" s="214">
        <f>AU70-AU80</f>
        <v>16.868999999999993</v>
      </c>
      <c r="AV90" s="168">
        <f t="shared" ref="AV90:AV96" si="283">IF(AN90&lt;0,"       NM",(AU90/AN90-1)*100)</f>
        <v>163.86672923510051</v>
      </c>
      <c r="AW90" s="170"/>
      <c r="AX90" s="170"/>
      <c r="AY90" s="214">
        <f>AY70-AY80</f>
        <v>27.439999999999994</v>
      </c>
      <c r="AZ90" s="168">
        <f t="shared" ref="AZ90:AZ96" si="284">IF(AU90&lt;0,"       NM",(AY90/AU90-1)*100)</f>
        <v>62.665243938585611</v>
      </c>
      <c r="BA90" s="170"/>
      <c r="BB90" s="170"/>
      <c r="BC90" s="214">
        <f>BC70-BC80</f>
        <v>20.298999999999999</v>
      </c>
      <c r="BD90" s="168">
        <f t="shared" ref="BD90:BD96" si="285">IF(AY90&lt;0,"       NM",(BC90/AY90-1)*100)</f>
        <v>-26.024052478134095</v>
      </c>
      <c r="BE90" s="170"/>
      <c r="BF90" s="170"/>
      <c r="BG90" s="214">
        <f>BG70-BG80</f>
        <v>29.366999999999976</v>
      </c>
      <c r="BH90" s="168">
        <f t="shared" ref="BH90:BH96" si="286">IF(BC90&lt;0,"       NM",(BG90/BC90-1)*100)</f>
        <v>44.672151337504197</v>
      </c>
      <c r="BI90" s="170"/>
      <c r="BJ90" s="170"/>
      <c r="BK90" s="214">
        <f>BK70-BK80</f>
        <v>42.556999999999974</v>
      </c>
      <c r="BL90" s="168">
        <f t="shared" ref="BL90:BL96" si="287">IF(BG90&lt;0,"       NM",(BK90/BG90-1)*100)</f>
        <v>44.914359655395543</v>
      </c>
      <c r="BM90" s="170"/>
      <c r="BN90" s="170"/>
      <c r="BO90" s="214">
        <f>BO70-BO80</f>
        <v>30.804999999999978</v>
      </c>
      <c r="BP90" s="168">
        <f t="shared" ref="BP90:BP96" si="288">IF(BK90&lt;0,"       NM",(BO90/BK90-1)*100)</f>
        <v>-27.614728481800888</v>
      </c>
      <c r="BQ90" s="170"/>
      <c r="BR90" s="25"/>
      <c r="BS90" s="32">
        <f>BS70-BS80</f>
        <v>52.957000000000001</v>
      </c>
      <c r="BT90" s="23">
        <f t="shared" ref="BT90:BT96" si="289">IF(BO90&lt;0,"       NM",(BS90/BO90-1)*100)</f>
        <v>71.910404155169743</v>
      </c>
      <c r="BU90" s="25"/>
      <c r="BV90" s="25"/>
      <c r="BW90" s="32">
        <f>BW70-BW80</f>
        <v>40.420000000000044</v>
      </c>
      <c r="BX90" s="23">
        <f t="shared" ref="BX90:BX96" si="290">IF(BS90&lt;0,"       NM",(BW90/BS90-1)*100)</f>
        <v>-23.673924127121925</v>
      </c>
      <c r="BY90" s="25"/>
      <c r="BZ90" s="25"/>
      <c r="CA90" s="32">
        <f>CA70-CA80</f>
        <v>33.956999999999937</v>
      </c>
      <c r="CB90" s="23">
        <f t="shared" ref="CB90:CB96" si="291">IF(BW90&lt;0,"       NM",(CA90/BW90-1)*100)</f>
        <v>-15.989609104404012</v>
      </c>
      <c r="CC90" s="25"/>
      <c r="CD90" s="174"/>
      <c r="CE90" s="32">
        <f>CE70-CE80</f>
        <v>47.058000000000035</v>
      </c>
      <c r="CF90" s="23">
        <f t="shared" ref="CF90:CF96" si="292">IF(CA90&lt;0,"       NM",(CE90/CA90-1)*100)</f>
        <v>38.581146744412422</v>
      </c>
      <c r="CG90" s="174"/>
      <c r="CH90" s="174"/>
      <c r="CI90" s="32">
        <f>CI70-CI80</f>
        <v>37.477999999999966</v>
      </c>
      <c r="CJ90" s="23">
        <f t="shared" ref="CJ90:CJ96" si="293">IF(CE90&lt;0,"       NM",(CI90/CE90-1)*100)</f>
        <v>-20.357856262484731</v>
      </c>
      <c r="CK90" s="174"/>
      <c r="CL90" s="174"/>
      <c r="CM90" s="32">
        <f>CM70-CM80</f>
        <v>32.775999999999996</v>
      </c>
      <c r="CN90" s="23">
        <f t="shared" ref="CN90:CN96" si="294">IF(CI90&lt;0,"       NM",(CM90/CI90-1)*100)</f>
        <v>-12.546027002508065</v>
      </c>
      <c r="CO90" s="174"/>
      <c r="CP90" s="174"/>
      <c r="CQ90" s="32">
        <f>CQ70-CQ80</f>
        <v>29.562000000000033</v>
      </c>
      <c r="CR90" s="23">
        <f t="shared" ref="CR90:CR96" si="295">IF(CM90&lt;0,"       NM",(CQ90/CM90-1)*100)</f>
        <v>-9.8059555772515345</v>
      </c>
      <c r="CS90" s="174"/>
      <c r="CT90" s="174"/>
      <c r="CU90" s="32">
        <f>CU70-CU80</f>
        <v>11.938000000000086</v>
      </c>
      <c r="CV90" s="23">
        <f t="shared" ref="CV90:CV96" si="296">IF(CQ90&lt;0,"       NM",(CU90/CQ90-1)*100)</f>
        <v>-59.61707597591478</v>
      </c>
      <c r="CW90" s="1463"/>
      <c r="CX90" s="174"/>
      <c r="CY90" s="32">
        <f>CY70-CY80</f>
        <v>33.183853830559933</v>
      </c>
      <c r="CZ90" s="23">
        <f t="shared" ref="CZ90:CZ96" si="297">IF(CU90&lt;0,"       NM",(CY90/CU90-1)*100)</f>
        <v>177.96828472574714</v>
      </c>
      <c r="DA90" s="1463"/>
      <c r="DB90" s="174"/>
      <c r="DC90" s="174"/>
      <c r="DD90" s="174"/>
      <c r="DE90" s="174"/>
      <c r="DF90" s="175"/>
      <c r="DG90" s="25"/>
      <c r="DH90" s="25"/>
      <c r="DI90" s="25"/>
      <c r="DJ90" s="25"/>
    </row>
    <row r="91" spans="1:114">
      <c r="A91" s="170" t="str">
        <f>$A$11</f>
        <v>2Q</v>
      </c>
      <c r="B91" s="170" t="str">
        <f>$B$11</f>
        <v>Jul</v>
      </c>
      <c r="C91" s="170"/>
      <c r="D91" s="217">
        <f>D71-D81</f>
        <v>2.2300000000000013</v>
      </c>
      <c r="E91" s="168"/>
      <c r="F91" s="170"/>
      <c r="G91" s="170"/>
      <c r="H91" s="217">
        <f>H71-H81</f>
        <v>2.3040000000000003</v>
      </c>
      <c r="I91" s="168">
        <f t="shared" si="275"/>
        <v>3.318385650224176</v>
      </c>
      <c r="J91" s="168"/>
      <c r="K91" s="170"/>
      <c r="L91" s="217">
        <f>L71-L81</f>
        <v>2.8489999999999993</v>
      </c>
      <c r="M91" s="168">
        <f t="shared" si="276"/>
        <v>23.65451388888884</v>
      </c>
      <c r="N91" s="170"/>
      <c r="O91" s="170"/>
      <c r="P91" s="217">
        <f>P71-P81</f>
        <v>2.855</v>
      </c>
      <c r="Q91" s="168">
        <f t="shared" si="277"/>
        <v>0.21060021060024248</v>
      </c>
      <c r="R91" s="170"/>
      <c r="S91" s="170"/>
      <c r="T91" s="217">
        <f>T71-T81</f>
        <v>3.4420000000000033</v>
      </c>
      <c r="U91" s="168">
        <f t="shared" si="278"/>
        <v>20.560420315236549</v>
      </c>
      <c r="V91" s="170"/>
      <c r="W91" s="170"/>
      <c r="X91" s="217">
        <f>X71-X81</f>
        <v>4.1530000000000049</v>
      </c>
      <c r="Y91" s="168">
        <f t="shared" si="279"/>
        <v>20.656595002905309</v>
      </c>
      <c r="Z91" s="170"/>
      <c r="AA91" s="170"/>
      <c r="AB91" s="217">
        <f>AB71-AB81</f>
        <v>1.736999999999991</v>
      </c>
      <c r="AC91" s="168">
        <f t="shared" si="280"/>
        <v>-58.174813387912614</v>
      </c>
      <c r="AD91" s="170"/>
      <c r="AE91" s="170"/>
      <c r="AF91" s="217">
        <f>AF71-AF81</f>
        <v>3.1569999999999956</v>
      </c>
      <c r="AG91" s="168">
        <f t="shared" si="281"/>
        <v>81.750143926310415</v>
      </c>
      <c r="AH91" s="170"/>
      <c r="AI91" s="170"/>
      <c r="AJ91" s="217">
        <f>AJ71-AJ81</f>
        <v>6.2550000000000052</v>
      </c>
      <c r="AK91" s="168">
        <f t="shared" si="282"/>
        <v>98.131137155527838</v>
      </c>
      <c r="AL91" s="170"/>
      <c r="AM91" s="170"/>
      <c r="AN91" s="217">
        <f>AN71-AN81</f>
        <v>9.467000000000013</v>
      </c>
      <c r="AO91" s="168">
        <f t="shared" ref="AO91:AO96" si="298">IF(AJ91&lt;0,"       NM",(AN91/AJ91-1)*100)</f>
        <v>51.350919264588413</v>
      </c>
      <c r="AP91" s="170"/>
      <c r="AQ91" s="170"/>
      <c r="AR91" s="170"/>
      <c r="AS91" s="170"/>
      <c r="AT91" s="170"/>
      <c r="AU91" s="217">
        <f>AU71-AU81</f>
        <v>20.50800000000001</v>
      </c>
      <c r="AV91" s="168">
        <f t="shared" si="283"/>
        <v>116.62617513467816</v>
      </c>
      <c r="AW91" s="170"/>
      <c r="AX91" s="170"/>
      <c r="AY91" s="217">
        <f>AY71-AY81</f>
        <v>30.600999999999981</v>
      </c>
      <c r="AZ91" s="168">
        <f t="shared" si="284"/>
        <v>49.214940511019933</v>
      </c>
      <c r="BA91" s="170"/>
      <c r="BB91" s="170"/>
      <c r="BC91" s="217">
        <f>BC71-BC81</f>
        <v>25.662000000000031</v>
      </c>
      <c r="BD91" s="168">
        <f t="shared" si="285"/>
        <v>-16.139995424985965</v>
      </c>
      <c r="BE91" s="170"/>
      <c r="BF91" s="170"/>
      <c r="BG91" s="217">
        <f>BG71-BG81</f>
        <v>31.866000000000014</v>
      </c>
      <c r="BH91" s="168">
        <f t="shared" si="286"/>
        <v>24.17582417582409</v>
      </c>
      <c r="BI91" s="170"/>
      <c r="BJ91" s="170"/>
      <c r="BK91" s="217">
        <f>BK71-BK81</f>
        <v>56.987999999999985</v>
      </c>
      <c r="BL91" s="168">
        <f t="shared" si="287"/>
        <v>78.836377330069539</v>
      </c>
      <c r="BM91" s="170"/>
      <c r="BN91" s="170"/>
      <c r="BO91" s="217">
        <f>BO71-BO81</f>
        <v>49.020999999999937</v>
      </c>
      <c r="BP91" s="168">
        <f t="shared" si="288"/>
        <v>-13.980136169018131</v>
      </c>
      <c r="BQ91" s="170"/>
      <c r="BR91" s="25"/>
      <c r="BS91" s="34">
        <f>BS71-BS81</f>
        <v>71.656999999999996</v>
      </c>
      <c r="BT91" s="23">
        <f t="shared" si="289"/>
        <v>46.176128597947994</v>
      </c>
      <c r="BU91" s="25"/>
      <c r="BV91" s="25"/>
      <c r="BW91" s="34">
        <f>BW71-BW81</f>
        <v>56.693000000000033</v>
      </c>
      <c r="BX91" s="23">
        <f t="shared" si="290"/>
        <v>-20.882816752026969</v>
      </c>
      <c r="BY91" s="25"/>
      <c r="BZ91" s="25"/>
      <c r="CA91" s="34">
        <f>CA71-CA81</f>
        <v>61.292000000000023</v>
      </c>
      <c r="CB91" s="23">
        <f t="shared" si="291"/>
        <v>8.1121126064946036</v>
      </c>
      <c r="CC91" s="25"/>
      <c r="CD91" s="174"/>
      <c r="CE91" s="34">
        <f>CE71-CE81</f>
        <v>76.363</v>
      </c>
      <c r="CF91" s="23">
        <f t="shared" si="292"/>
        <v>24.588853357697538</v>
      </c>
      <c r="CG91" s="174"/>
      <c r="CH91" s="174"/>
      <c r="CI91" s="34">
        <f>CI71-CI81</f>
        <v>67.509000000000043</v>
      </c>
      <c r="CJ91" s="23">
        <f t="shared" si="293"/>
        <v>-11.594620431360681</v>
      </c>
      <c r="CK91" s="174"/>
      <c r="CL91" s="174"/>
      <c r="CM91" s="34">
        <f>CM71-CM81</f>
        <v>66.841000000000008</v>
      </c>
      <c r="CN91" s="23">
        <f t="shared" si="294"/>
        <v>-0.98949769660346965</v>
      </c>
      <c r="CO91" s="174"/>
      <c r="CP91" s="174"/>
      <c r="CQ91" s="38">
        <f>CQ71-CQ81</f>
        <v>76.914999999999964</v>
      </c>
      <c r="CR91" s="23">
        <f t="shared" si="295"/>
        <v>15.071587797908403</v>
      </c>
      <c r="CS91" s="174"/>
      <c r="CT91" s="174"/>
      <c r="CU91" s="34">
        <f>CU71-CU81</f>
        <v>49.915000000000063</v>
      </c>
      <c r="CV91" s="23">
        <f t="shared" si="296"/>
        <v>-35.103685887018024</v>
      </c>
      <c r="CW91" s="1463"/>
      <c r="CX91" s="174"/>
      <c r="CY91" s="34">
        <f>CY71-CY81</f>
        <v>73.481818260385694</v>
      </c>
      <c r="CZ91" s="23">
        <f t="shared" si="297"/>
        <v>47.213900151027957</v>
      </c>
      <c r="DA91" s="1463"/>
      <c r="DB91" s="174"/>
      <c r="DC91" s="174"/>
      <c r="DD91" s="174"/>
      <c r="DE91" s="174"/>
      <c r="DF91" s="175"/>
      <c r="DG91" s="25"/>
      <c r="DH91" s="25"/>
      <c r="DI91" s="25"/>
      <c r="DJ91" s="25"/>
    </row>
    <row r="92" spans="1:114">
      <c r="A92" s="170" t="str">
        <f>$A$12</f>
        <v>3Q</v>
      </c>
      <c r="B92" s="170" t="str">
        <f>$B$12</f>
        <v>Oct</v>
      </c>
      <c r="C92" s="170"/>
      <c r="D92" s="217">
        <f>D72-D82</f>
        <v>3.955999999999996</v>
      </c>
      <c r="E92" s="168"/>
      <c r="F92" s="170"/>
      <c r="G92" s="170"/>
      <c r="H92" s="217">
        <f>H72-H82</f>
        <v>4.1479999999999979</v>
      </c>
      <c r="I92" s="168">
        <f t="shared" si="275"/>
        <v>4.8533872598584882</v>
      </c>
      <c r="J92" s="168"/>
      <c r="K92" s="170"/>
      <c r="L92" s="217">
        <f>L72-L82</f>
        <v>4.6319999999999988</v>
      </c>
      <c r="M92" s="168">
        <f t="shared" si="276"/>
        <v>11.66827386692384</v>
      </c>
      <c r="N92" s="170"/>
      <c r="O92" s="170"/>
      <c r="P92" s="217">
        <f>P72-P82</f>
        <v>4.7830000000000004</v>
      </c>
      <c r="Q92" s="168">
        <f t="shared" si="277"/>
        <v>3.2599309153713563</v>
      </c>
      <c r="R92" s="170"/>
      <c r="S92" s="170"/>
      <c r="T92" s="217">
        <f>T72-T82</f>
        <v>5.0350000000000028</v>
      </c>
      <c r="U92" s="168">
        <f t="shared" si="278"/>
        <v>5.2686598369224846</v>
      </c>
      <c r="V92" s="170"/>
      <c r="W92" s="170"/>
      <c r="X92" s="217">
        <f>X72-X82</f>
        <v>6.1590000000000042</v>
      </c>
      <c r="Y92" s="168">
        <f t="shared" si="279"/>
        <v>22.323733862959294</v>
      </c>
      <c r="Z92" s="170"/>
      <c r="AA92" s="170"/>
      <c r="AB92" s="217">
        <f>AB72-AB82</f>
        <v>2.3609999999999927</v>
      </c>
      <c r="AC92" s="168">
        <f t="shared" si="280"/>
        <v>-61.665854846566148</v>
      </c>
      <c r="AD92" s="170"/>
      <c r="AE92" s="170"/>
      <c r="AF92" s="217">
        <f>AF72-AF82</f>
        <v>4.9279999999999928</v>
      </c>
      <c r="AG92" s="168">
        <f t="shared" si="281"/>
        <v>108.72511647606981</v>
      </c>
      <c r="AH92" s="170"/>
      <c r="AI92" s="170"/>
      <c r="AJ92" s="217">
        <f>AJ72-AJ82</f>
        <v>8.0259999999999927</v>
      </c>
      <c r="AK92" s="168">
        <f t="shared" si="282"/>
        <v>62.86525974025983</v>
      </c>
      <c r="AL92" s="170"/>
      <c r="AM92" s="170"/>
      <c r="AN92" s="217">
        <f>AN72-AN82</f>
        <v>14.086999999999994</v>
      </c>
      <c r="AO92" s="168">
        <f t="shared" si="298"/>
        <v>75.517069524046931</v>
      </c>
      <c r="AP92" s="170"/>
      <c r="AQ92" s="170"/>
      <c r="AR92" s="170"/>
      <c r="AS92" s="170"/>
      <c r="AT92" s="170"/>
      <c r="AU92" s="217">
        <f>AU72-AU82</f>
        <v>26.036000000000008</v>
      </c>
      <c r="AV92" s="168">
        <f t="shared" si="283"/>
        <v>84.822886349116345</v>
      </c>
      <c r="AW92" s="170"/>
      <c r="AX92" s="170"/>
      <c r="AY92" s="217">
        <f>AY72-AY82</f>
        <v>37.161999999999978</v>
      </c>
      <c r="AZ92" s="168">
        <f t="shared" si="284"/>
        <v>42.73313873098774</v>
      </c>
      <c r="BA92" s="170"/>
      <c r="BB92" s="170"/>
      <c r="BC92" s="217">
        <f>BC72-BC82</f>
        <v>34.514000000000017</v>
      </c>
      <c r="BD92" s="168">
        <f t="shared" si="285"/>
        <v>-7.1255583660727702</v>
      </c>
      <c r="BE92" s="170"/>
      <c r="BF92" s="170"/>
      <c r="BG92" s="217">
        <f>BG72-BG82</f>
        <v>45.381999999999977</v>
      </c>
      <c r="BH92" s="168">
        <f t="shared" si="286"/>
        <v>31.488671263834831</v>
      </c>
      <c r="BI92" s="170"/>
      <c r="BJ92" s="170"/>
      <c r="BK92" s="217">
        <f>BK72-BK82</f>
        <v>59.273999999999958</v>
      </c>
      <c r="BL92" s="168">
        <f t="shared" si="287"/>
        <v>30.611255563879936</v>
      </c>
      <c r="BM92" s="170"/>
      <c r="BN92" s="170"/>
      <c r="BO92" s="217">
        <f>BO72-BO82</f>
        <v>62.39199999999996</v>
      </c>
      <c r="BP92" s="168">
        <f t="shared" si="288"/>
        <v>5.2603164962715665</v>
      </c>
      <c r="BQ92" s="170"/>
      <c r="BR92" s="25"/>
      <c r="BS92" s="34">
        <f>BS72-BS82</f>
        <v>73.105999999999995</v>
      </c>
      <c r="BT92" s="23">
        <f t="shared" si="289"/>
        <v>17.172073342736315</v>
      </c>
      <c r="BU92" s="25"/>
      <c r="BV92" s="25"/>
      <c r="BW92" s="34">
        <f>BW72-BW82</f>
        <v>50.678999999999959</v>
      </c>
      <c r="BX92" s="23">
        <f t="shared" si="290"/>
        <v>-30.67737258227784</v>
      </c>
      <c r="BY92" s="25"/>
      <c r="BZ92" s="25"/>
      <c r="CA92" s="34">
        <f>CA72-CA82</f>
        <v>59.488000000000021</v>
      </c>
      <c r="CB92" s="23">
        <f t="shared" si="291"/>
        <v>17.381953077211598</v>
      </c>
      <c r="CC92" s="25"/>
      <c r="CD92" s="174"/>
      <c r="CE92" s="34">
        <f>CE72-CE82</f>
        <v>70.256999999999977</v>
      </c>
      <c r="CF92" s="23">
        <f t="shared" si="292"/>
        <v>18.102810650887502</v>
      </c>
      <c r="CG92" s="174"/>
      <c r="CH92" s="174"/>
      <c r="CI92" s="34">
        <f>CI72-CI82</f>
        <v>47.143000000000001</v>
      </c>
      <c r="CJ92" s="23">
        <f t="shared" si="293"/>
        <v>-32.899212889818784</v>
      </c>
      <c r="CK92" s="174"/>
      <c r="CL92" s="174"/>
      <c r="CM92" s="38">
        <f>CM72-CM82</f>
        <v>51.993999999999993</v>
      </c>
      <c r="CN92" s="23">
        <f t="shared" si="294"/>
        <v>10.289968818276286</v>
      </c>
      <c r="CO92" s="174"/>
      <c r="CP92" s="174"/>
      <c r="CQ92" s="34">
        <f>CQ72-CQ82</f>
        <v>47.354999999999919</v>
      </c>
      <c r="CR92" s="23">
        <f t="shared" si="295"/>
        <v>-8.9221833288457795</v>
      </c>
      <c r="CS92" s="174"/>
      <c r="CT92" s="174"/>
      <c r="CU92" s="34">
        <f>CU72-CU82</f>
        <v>45.09199999999997</v>
      </c>
      <c r="CV92" s="23">
        <f t="shared" si="296"/>
        <v>-4.7787984373349186</v>
      </c>
      <c r="CW92" s="1463"/>
      <c r="CX92" s="174"/>
      <c r="CY92" s="34">
        <f>CY72-CY82</f>
        <v>50.985247721701931</v>
      </c>
      <c r="CZ92" s="23">
        <f t="shared" si="297"/>
        <v>13.069386413780638</v>
      </c>
      <c r="DA92" s="1463"/>
      <c r="DB92" s="174"/>
      <c r="DC92" s="174"/>
      <c r="DD92" s="174"/>
      <c r="DE92" s="174"/>
      <c r="DF92" s="175"/>
      <c r="DG92" s="25"/>
      <c r="DH92" s="25"/>
      <c r="DI92" s="25"/>
      <c r="DJ92" s="25"/>
    </row>
    <row r="93" spans="1:114">
      <c r="A93" s="170" t="str">
        <f>$A$13</f>
        <v>4Q</v>
      </c>
      <c r="B93" s="170" t="str">
        <f>$B$13</f>
        <v>Jan</v>
      </c>
      <c r="C93" s="209"/>
      <c r="D93" s="282">
        <f>D73-D83</f>
        <v>2.5949999999999909</v>
      </c>
      <c r="E93" s="168"/>
      <c r="F93" s="170"/>
      <c r="G93" s="170"/>
      <c r="H93" s="282">
        <f>H73-H83</f>
        <v>3.5890000000000075</v>
      </c>
      <c r="I93" s="168">
        <f t="shared" si="275"/>
        <v>38.304431599230071</v>
      </c>
      <c r="J93" s="168"/>
      <c r="K93" s="170"/>
      <c r="L93" s="282">
        <f>L73-L83</f>
        <v>2.8519999999999985</v>
      </c>
      <c r="M93" s="168">
        <f t="shared" si="276"/>
        <v>-20.534967957648576</v>
      </c>
      <c r="N93" s="170"/>
      <c r="O93" s="170"/>
      <c r="P93" s="282">
        <f>P73-P83</f>
        <v>3.8180000000000005</v>
      </c>
      <c r="Q93" s="168">
        <f t="shared" si="277"/>
        <v>33.870967741935566</v>
      </c>
      <c r="R93" s="170"/>
      <c r="S93" s="170"/>
      <c r="T93" s="282">
        <f>T73-T83</f>
        <v>5.1850000000000005</v>
      </c>
      <c r="U93" s="168">
        <f t="shared" si="278"/>
        <v>35.804085908852798</v>
      </c>
      <c r="V93" s="170"/>
      <c r="W93" s="170"/>
      <c r="X93" s="282">
        <f>X73-X83</f>
        <v>5.3640000000000025</v>
      </c>
      <c r="Y93" s="168">
        <f t="shared" si="279"/>
        <v>3.4522661523626264</v>
      </c>
      <c r="Z93" s="170"/>
      <c r="AA93" s="170"/>
      <c r="AB93" s="282">
        <f>AB73-AB83</f>
        <v>3.4069999999999885</v>
      </c>
      <c r="AC93" s="168">
        <f t="shared" si="280"/>
        <v>-36.483967188665424</v>
      </c>
      <c r="AD93" s="170"/>
      <c r="AE93" s="170"/>
      <c r="AF93" s="282">
        <f>AF73-AF83</f>
        <v>5.7709999999999999</v>
      </c>
      <c r="AG93" s="168">
        <f t="shared" si="281"/>
        <v>69.386557088348084</v>
      </c>
      <c r="AH93" s="170"/>
      <c r="AI93" s="170"/>
      <c r="AJ93" s="282">
        <f>AJ73-AJ83</f>
        <v>8.3769999999999989</v>
      </c>
      <c r="AK93" s="168">
        <f t="shared" si="282"/>
        <v>45.156818575636784</v>
      </c>
      <c r="AL93" s="170"/>
      <c r="AM93" s="170"/>
      <c r="AN93" s="282">
        <f>AN73-AN83</f>
        <v>18.428999999999984</v>
      </c>
      <c r="AO93" s="168">
        <f t="shared" si="298"/>
        <v>119.99522502089039</v>
      </c>
      <c r="AP93" s="170"/>
      <c r="AQ93" s="170"/>
      <c r="AR93" s="170"/>
      <c r="AS93" s="170"/>
      <c r="AT93" s="170"/>
      <c r="AU93" s="282">
        <f>AU73-AU83</f>
        <v>27.07599999999988</v>
      </c>
      <c r="AV93" s="168">
        <f t="shared" si="283"/>
        <v>46.92061424928049</v>
      </c>
      <c r="AW93" s="170"/>
      <c r="AX93" s="170"/>
      <c r="AY93" s="282">
        <f>AY73-AY83</f>
        <v>35.592999999999989</v>
      </c>
      <c r="AZ93" s="168">
        <f t="shared" si="284"/>
        <v>31.455901905747339</v>
      </c>
      <c r="BA93" s="170"/>
      <c r="BB93" s="170"/>
      <c r="BC93" s="282">
        <f>BC73-BC83</f>
        <v>35.731000000000002</v>
      </c>
      <c r="BD93" s="168">
        <f t="shared" si="285"/>
        <v>0.38771668586523589</v>
      </c>
      <c r="BE93" s="170"/>
      <c r="BF93" s="170"/>
      <c r="BG93" s="282">
        <f>BG73-BG83</f>
        <v>53.615000000000009</v>
      </c>
      <c r="BH93" s="168">
        <f t="shared" si="286"/>
        <v>50.051775768940153</v>
      </c>
      <c r="BI93" s="170"/>
      <c r="BJ93" s="170"/>
      <c r="BK93" s="282">
        <f>BK73-BK83</f>
        <v>40.545000000000002</v>
      </c>
      <c r="BL93" s="168">
        <f t="shared" si="287"/>
        <v>-24.37750629488017</v>
      </c>
      <c r="BM93" s="170"/>
      <c r="BN93" s="170"/>
      <c r="BO93" s="282">
        <f>BO73-BO83</f>
        <v>77.675000000000068</v>
      </c>
      <c r="BP93" s="168">
        <f t="shared" si="288"/>
        <v>91.577259834751672</v>
      </c>
      <c r="BQ93" s="170"/>
      <c r="BR93" s="25"/>
      <c r="BS93" s="275">
        <f>BS73-BS83</f>
        <v>75.238000000000014</v>
      </c>
      <c r="BT93" s="23">
        <f t="shared" si="289"/>
        <v>-3.1374316060509222</v>
      </c>
      <c r="BU93" s="25"/>
      <c r="BV93" s="25"/>
      <c r="BW93" s="275">
        <f>BW73-BW83</f>
        <v>37.459000000000032</v>
      </c>
      <c r="BX93" s="23">
        <f t="shared" si="290"/>
        <v>-50.212658497036045</v>
      </c>
      <c r="BY93" s="25"/>
      <c r="BZ93" s="25"/>
      <c r="CA93" s="275">
        <f>CA73-CA83</f>
        <v>82.577000000000226</v>
      </c>
      <c r="CB93" s="23">
        <f t="shared" si="291"/>
        <v>120.44635468111844</v>
      </c>
      <c r="CC93" s="25"/>
      <c r="CD93" s="174"/>
      <c r="CE93" s="275">
        <f>CE73-CE83</f>
        <v>88.681999999999988</v>
      </c>
      <c r="CF93" s="23">
        <f t="shared" si="292"/>
        <v>7.3930997735443871</v>
      </c>
      <c r="CG93" s="174"/>
      <c r="CH93" s="174"/>
      <c r="CI93" s="275">
        <f>CI73-CI83</f>
        <v>80.297999999999945</v>
      </c>
      <c r="CJ93" s="23">
        <f t="shared" si="293"/>
        <v>-9.4540041947633657</v>
      </c>
      <c r="CK93" s="174"/>
      <c r="CL93" s="174"/>
      <c r="CM93" s="275">
        <f>CM73-CM83</f>
        <v>72.877999999999986</v>
      </c>
      <c r="CN93" s="23">
        <f t="shared" si="294"/>
        <v>-9.2405788438067802</v>
      </c>
      <c r="CO93" s="174"/>
      <c r="CP93" s="174"/>
      <c r="CQ93" s="275">
        <f>CQ73-CQ83</f>
        <v>66.93499999999986</v>
      </c>
      <c r="CR93" s="23">
        <f t="shared" si="295"/>
        <v>-8.1547243338183311</v>
      </c>
      <c r="CS93" s="174"/>
      <c r="CT93" s="174"/>
      <c r="CU93" s="275">
        <f>CU73-CU83</f>
        <v>75.043999999999897</v>
      </c>
      <c r="CV93" s="23">
        <f t="shared" si="296"/>
        <v>12.114738178830287</v>
      </c>
      <c r="CW93" s="1463"/>
      <c r="CX93" s="174"/>
      <c r="CY93" s="275">
        <f>CY73-CY83</f>
        <v>69.974187936677552</v>
      </c>
      <c r="CZ93" s="23">
        <f t="shared" si="297"/>
        <v>-6.7557860232961398</v>
      </c>
      <c r="DA93" s="1463"/>
      <c r="DB93" s="174"/>
      <c r="DC93" s="174"/>
      <c r="DD93" s="174"/>
      <c r="DE93" s="174"/>
      <c r="DF93" s="175"/>
      <c r="DG93" s="25"/>
      <c r="DH93" s="25"/>
      <c r="DI93" s="25"/>
      <c r="DJ93" s="25"/>
    </row>
    <row r="94" spans="1:114">
      <c r="A94" s="170"/>
      <c r="B94" s="170" t="str">
        <f>$B$14</f>
        <v>Year</v>
      </c>
      <c r="C94" s="170"/>
      <c r="D94" s="214">
        <f>SUM(D90:D93)</f>
        <v>10.845999999999989</v>
      </c>
      <c r="E94" s="168"/>
      <c r="F94" s="170"/>
      <c r="G94" s="170"/>
      <c r="H94" s="214">
        <f>SUM(H90:H93)</f>
        <v>12.308000000000005</v>
      </c>
      <c r="I94" s="168">
        <f t="shared" si="275"/>
        <v>13.479623824451558</v>
      </c>
      <c r="J94" s="168"/>
      <c r="K94" s="170"/>
      <c r="L94" s="214">
        <f>SUM(L90:L93)</f>
        <v>13.259999999999996</v>
      </c>
      <c r="M94" s="168">
        <f t="shared" si="276"/>
        <v>7.7348066298341678</v>
      </c>
      <c r="N94" s="170"/>
      <c r="O94" s="170"/>
      <c r="P94" s="214">
        <f>SUM(P90:P93)</f>
        <v>13.879000000000001</v>
      </c>
      <c r="Q94" s="168">
        <f t="shared" si="277"/>
        <v>4.6681749622926594</v>
      </c>
      <c r="R94" s="170"/>
      <c r="S94" s="170"/>
      <c r="T94" s="214">
        <f>SUM(T90:T93)</f>
        <v>15.762000000000006</v>
      </c>
      <c r="U94" s="168">
        <f t="shared" si="278"/>
        <v>13.56725988904104</v>
      </c>
      <c r="V94" s="170"/>
      <c r="W94" s="170"/>
      <c r="X94" s="214">
        <f>SUM(X90:X93)</f>
        <v>18.68000000000001</v>
      </c>
      <c r="Y94" s="168">
        <f t="shared" si="279"/>
        <v>18.512879076259381</v>
      </c>
      <c r="Z94" s="170"/>
      <c r="AA94" s="170"/>
      <c r="AB94" s="214">
        <f>SUM(AB90:AB93)</f>
        <v>10.494999999999978</v>
      </c>
      <c r="AC94" s="168">
        <f t="shared" si="280"/>
        <v>-43.816916488222844</v>
      </c>
      <c r="AD94" s="170"/>
      <c r="AE94" s="170"/>
      <c r="AF94" s="214">
        <f>SUM(AF90:AF93)</f>
        <v>15.006999999999991</v>
      </c>
      <c r="AG94" s="168">
        <f t="shared" si="281"/>
        <v>42.991900905193162</v>
      </c>
      <c r="AH94" s="170"/>
      <c r="AI94" s="170"/>
      <c r="AJ94" s="214">
        <f>SUM(AJ90:AJ93)</f>
        <v>27.412999999999993</v>
      </c>
      <c r="AK94" s="168">
        <f t="shared" si="282"/>
        <v>82.668088225494827</v>
      </c>
      <c r="AL94" s="170"/>
      <c r="AM94" s="170"/>
      <c r="AN94" s="214">
        <f>SUM(AN90:AN93)</f>
        <v>48.376000000000005</v>
      </c>
      <c r="AO94" s="168">
        <f t="shared" si="298"/>
        <v>76.471017400503484</v>
      </c>
      <c r="AP94" s="170"/>
      <c r="AQ94" s="170"/>
      <c r="AR94" s="170"/>
      <c r="AS94" s="170"/>
      <c r="AT94" s="170"/>
      <c r="AU94" s="214">
        <f>SUM(AU90:AU93)</f>
        <v>90.488999999999891</v>
      </c>
      <c r="AV94" s="168">
        <f t="shared" si="283"/>
        <v>87.053497602116508</v>
      </c>
      <c r="AW94" s="170"/>
      <c r="AX94" s="170"/>
      <c r="AY94" s="214">
        <f>SUM(AY90:AY93)</f>
        <v>130.79599999999994</v>
      </c>
      <c r="AZ94" s="168">
        <f t="shared" si="284"/>
        <v>44.543535678369835</v>
      </c>
      <c r="BA94" s="170"/>
      <c r="BB94" s="170"/>
      <c r="BC94" s="214">
        <f>SUM(BC90:BC93)</f>
        <v>116.20600000000005</v>
      </c>
      <c r="BD94" s="168">
        <f t="shared" si="285"/>
        <v>-11.154775375393665</v>
      </c>
      <c r="BE94" s="170"/>
      <c r="BF94" s="170"/>
      <c r="BG94" s="214">
        <f>SUM(BG90:BG93)</f>
        <v>160.22999999999996</v>
      </c>
      <c r="BH94" s="168">
        <f t="shared" si="286"/>
        <v>37.884446586234709</v>
      </c>
      <c r="BI94" s="170"/>
      <c r="BJ94" s="170"/>
      <c r="BK94" s="214">
        <f>SUM(BK90:BK93)</f>
        <v>199.36399999999992</v>
      </c>
      <c r="BL94" s="168">
        <f t="shared" si="287"/>
        <v>24.423641016039422</v>
      </c>
      <c r="BM94" s="170"/>
      <c r="BN94" s="170"/>
      <c r="BO94" s="214">
        <f>SUM(BO90:BO93)</f>
        <v>219.89299999999994</v>
      </c>
      <c r="BP94" s="168">
        <f t="shared" si="288"/>
        <v>10.297245239862773</v>
      </c>
      <c r="BQ94" s="170"/>
      <c r="BR94" s="25"/>
      <c r="BS94" s="32">
        <f>SUM(BS90:BS93)</f>
        <v>272.95800000000003</v>
      </c>
      <c r="BT94" s="23">
        <f t="shared" si="289"/>
        <v>24.132191565898008</v>
      </c>
      <c r="BU94" s="25"/>
      <c r="BV94" s="25"/>
      <c r="BW94" s="32">
        <f>SUM(BW90:BW93)</f>
        <v>185.25100000000006</v>
      </c>
      <c r="BX94" s="23">
        <f t="shared" si="290"/>
        <v>-32.132049619355342</v>
      </c>
      <c r="BY94" s="25"/>
      <c r="BZ94" s="25"/>
      <c r="CA94" s="32">
        <f>SUM(CA90:CA93)</f>
        <v>237.31400000000022</v>
      </c>
      <c r="CB94" s="23">
        <f t="shared" si="291"/>
        <v>28.10403182708874</v>
      </c>
      <c r="CC94" s="25"/>
      <c r="CD94" s="174"/>
      <c r="CE94" s="32">
        <f>SUM(CE90:CE93)</f>
        <v>282.36</v>
      </c>
      <c r="CF94" s="23">
        <f t="shared" si="292"/>
        <v>18.98160243390603</v>
      </c>
      <c r="CG94" s="174"/>
      <c r="CH94" s="174"/>
      <c r="CI94" s="32">
        <f>SUM(CI90:CI93)</f>
        <v>232.42799999999994</v>
      </c>
      <c r="CJ94" s="23">
        <f t="shared" si="293"/>
        <v>-17.683807904802407</v>
      </c>
      <c r="CK94" s="174"/>
      <c r="CL94" s="174"/>
      <c r="CM94" s="306">
        <f>SUM(CM90:CM93)</f>
        <v>224.48899999999998</v>
      </c>
      <c r="CN94" s="23">
        <f t="shared" si="294"/>
        <v>-3.4156814153199933</v>
      </c>
      <c r="CO94" s="174"/>
      <c r="CP94" s="174"/>
      <c r="CQ94" s="32">
        <f>SUM(CQ90:CQ93)</f>
        <v>220.7669999999998</v>
      </c>
      <c r="CR94" s="23">
        <f t="shared" si="295"/>
        <v>-1.6579876965019169</v>
      </c>
      <c r="CS94" s="174"/>
      <c r="CT94" s="174"/>
      <c r="CU94" s="32">
        <f>SUM(CU90:CU93)</f>
        <v>181.98900000000003</v>
      </c>
      <c r="CV94" s="23">
        <f t="shared" si="296"/>
        <v>-17.565125222519583</v>
      </c>
      <c r="CW94" s="1463"/>
      <c r="CX94" s="174"/>
      <c r="CY94" s="32">
        <f>SUM(CY90:CY93)</f>
        <v>227.62510774932514</v>
      </c>
      <c r="CZ94" s="23">
        <f t="shared" si="297"/>
        <v>25.076300078205339</v>
      </c>
      <c r="DA94" s="1463"/>
      <c r="DB94" s="174"/>
      <c r="DC94" s="174"/>
      <c r="DD94" s="174"/>
      <c r="DE94" s="226"/>
      <c r="DF94" s="175"/>
      <c r="DG94" s="25"/>
      <c r="DH94" s="25"/>
      <c r="DI94" s="25"/>
      <c r="DJ94" s="25"/>
    </row>
    <row r="95" spans="1:114" hidden="1" outlineLevel="1">
      <c r="A95" s="170" t="str">
        <f>$A$15</f>
        <v>6 Mos</v>
      </c>
      <c r="B95" s="170"/>
      <c r="C95" s="170"/>
      <c r="D95" s="217">
        <f>SUM(D90:D91)</f>
        <v>4.2950000000000035</v>
      </c>
      <c r="E95" s="168"/>
      <c r="F95" s="170"/>
      <c r="G95" s="170"/>
      <c r="H95" s="217">
        <f>SUM(H90:H91)</f>
        <v>4.5710000000000006</v>
      </c>
      <c r="I95" s="168">
        <f t="shared" si="275"/>
        <v>6.4260768335272944</v>
      </c>
      <c r="J95" s="168"/>
      <c r="K95" s="170"/>
      <c r="L95" s="217">
        <f>SUM(L90:L91)</f>
        <v>5.7759999999999998</v>
      </c>
      <c r="M95" s="168">
        <f t="shared" si="276"/>
        <v>26.361846423102154</v>
      </c>
      <c r="N95" s="170"/>
      <c r="O95" s="170"/>
      <c r="P95" s="217">
        <f>SUM(P90:P91)</f>
        <v>5.2779999999999987</v>
      </c>
      <c r="Q95" s="168">
        <f t="shared" si="277"/>
        <v>-8.6218836565097092</v>
      </c>
      <c r="R95" s="170"/>
      <c r="S95" s="170"/>
      <c r="T95" s="217">
        <f>SUM(T90:T91)</f>
        <v>5.5420000000000034</v>
      </c>
      <c r="U95" s="168">
        <f t="shared" si="278"/>
        <v>5.0018946570671519</v>
      </c>
      <c r="V95" s="170"/>
      <c r="W95" s="170"/>
      <c r="X95" s="217">
        <f>SUM(X90:X91)</f>
        <v>7.1570000000000036</v>
      </c>
      <c r="Y95" s="168">
        <f t="shared" si="279"/>
        <v>29.141104294478517</v>
      </c>
      <c r="Z95" s="170"/>
      <c r="AA95" s="170"/>
      <c r="AB95" s="217">
        <f>SUM(AB90:AB91)</f>
        <v>4.7269999999999968</v>
      </c>
      <c r="AC95" s="168">
        <f t="shared" si="280"/>
        <v>-33.95277350845334</v>
      </c>
      <c r="AD95" s="170"/>
      <c r="AE95" s="170"/>
      <c r="AF95" s="217">
        <f>SUM(AF90:AF91)</f>
        <v>4.3079999999999972</v>
      </c>
      <c r="AG95" s="168">
        <f t="shared" si="281"/>
        <v>-8.8639729215146961</v>
      </c>
      <c r="AH95" s="170"/>
      <c r="AI95" s="170"/>
      <c r="AJ95" s="217">
        <f>SUM(AJ90:AJ91)</f>
        <v>11.010000000000002</v>
      </c>
      <c r="AK95" s="168">
        <f t="shared" si="282"/>
        <v>155.57103064066871</v>
      </c>
      <c r="AL95" s="170"/>
      <c r="AM95" s="170"/>
      <c r="AN95" s="217">
        <f>SUM(AN90:AN91)</f>
        <v>15.860000000000021</v>
      </c>
      <c r="AO95" s="168">
        <f t="shared" si="298"/>
        <v>44.050862851952942</v>
      </c>
      <c r="AP95" s="170"/>
      <c r="AQ95" s="170"/>
      <c r="AR95" s="170"/>
      <c r="AS95" s="170"/>
      <c r="AT95" s="170"/>
      <c r="AU95" s="217">
        <f>SUM(AU90:AU91)</f>
        <v>37.377000000000002</v>
      </c>
      <c r="AV95" s="168">
        <f t="shared" si="283"/>
        <v>135.66834804539693</v>
      </c>
      <c r="AW95" s="170"/>
      <c r="AX95" s="170"/>
      <c r="AY95" s="217">
        <f>SUM(AY90:AY91)</f>
        <v>58.040999999999976</v>
      </c>
      <c r="AZ95" s="168">
        <f t="shared" si="284"/>
        <v>55.285335901757684</v>
      </c>
      <c r="BA95" s="170"/>
      <c r="BB95" s="170"/>
      <c r="BC95" s="217">
        <f>SUM(BC90:BC91)</f>
        <v>45.961000000000027</v>
      </c>
      <c r="BD95" s="168">
        <f t="shared" si="285"/>
        <v>-20.812873658275965</v>
      </c>
      <c r="BE95" s="170"/>
      <c r="BF95" s="170"/>
      <c r="BG95" s="217">
        <f>SUM(BG90:BG91)</f>
        <v>61.23299999999999</v>
      </c>
      <c r="BH95" s="168">
        <f t="shared" si="286"/>
        <v>33.228171710798193</v>
      </c>
      <c r="BI95" s="170"/>
      <c r="BJ95" s="170"/>
      <c r="BK95" s="217">
        <f>SUM(BK90:BK91)</f>
        <v>99.544999999999959</v>
      </c>
      <c r="BL95" s="168">
        <f t="shared" si="287"/>
        <v>62.567569774467977</v>
      </c>
      <c r="BM95" s="170"/>
      <c r="BN95" s="170"/>
      <c r="BO95" s="217">
        <f>SUM(BO90:BO91)</f>
        <v>79.825999999999908</v>
      </c>
      <c r="BP95" s="168">
        <f t="shared" si="288"/>
        <v>-19.809131548545945</v>
      </c>
      <c r="BQ95" s="170"/>
      <c r="BR95" s="25"/>
      <c r="BS95" s="34">
        <f>SUM(BS90:BS91)</f>
        <v>124.614</v>
      </c>
      <c r="BT95" s="23">
        <f t="shared" si="289"/>
        <v>56.107032796332199</v>
      </c>
      <c r="BU95" s="25"/>
      <c r="BV95" s="25"/>
      <c r="BW95" s="34">
        <f>SUM(BW90:BW91)</f>
        <v>97.113000000000085</v>
      </c>
      <c r="BX95" s="23">
        <f t="shared" si="290"/>
        <v>-22.068948914247134</v>
      </c>
      <c r="BY95" s="25"/>
      <c r="BZ95" s="25"/>
      <c r="CA95" s="34">
        <f>SUM(CA90:CA91)</f>
        <v>95.248999999999967</v>
      </c>
      <c r="CB95" s="23">
        <f t="shared" si="291"/>
        <v>-1.919413466786235</v>
      </c>
      <c r="CC95" s="25"/>
      <c r="CD95" s="174"/>
      <c r="CE95" s="34">
        <f>SUM(CE90:CE91)</f>
        <v>123.42100000000003</v>
      </c>
      <c r="CF95" s="23">
        <f t="shared" si="292"/>
        <v>29.57721340906474</v>
      </c>
      <c r="CG95" s="174"/>
      <c r="CH95" s="174"/>
      <c r="CI95" s="34">
        <f>SUM(CI90:CI91)</f>
        <v>104.98700000000001</v>
      </c>
      <c r="CJ95" s="23">
        <f t="shared" si="293"/>
        <v>-14.93586990868655</v>
      </c>
      <c r="CK95" s="174"/>
      <c r="CL95" s="174"/>
      <c r="CM95" s="34">
        <f>SUM(CM90:CM91)</f>
        <v>99.617000000000004</v>
      </c>
      <c r="CN95" s="23">
        <f t="shared" si="294"/>
        <v>-5.1149189899701852</v>
      </c>
      <c r="CO95" s="174"/>
      <c r="CP95" s="174"/>
      <c r="CQ95" s="34">
        <f>SUM(CQ90:CQ91)</f>
        <v>106.477</v>
      </c>
      <c r="CR95" s="23">
        <f t="shared" si="295"/>
        <v>6.8863748155435278</v>
      </c>
      <c r="CS95" s="174"/>
      <c r="CT95" s="174"/>
      <c r="CU95" s="34">
        <f>SUM(CU90:CU91)</f>
        <v>61.853000000000151</v>
      </c>
      <c r="CV95" s="23">
        <f t="shared" si="296"/>
        <v>-41.909520365900477</v>
      </c>
      <c r="CW95" s="1463"/>
      <c r="CX95" s="174"/>
      <c r="CY95" s="34">
        <f>SUM(CY90:CY91)</f>
        <v>106.66567209094563</v>
      </c>
      <c r="CZ95" s="23">
        <f t="shared" si="297"/>
        <v>72.450280650809788</v>
      </c>
      <c r="DA95" s="1463"/>
      <c r="DB95" s="174"/>
      <c r="DC95" s="174"/>
      <c r="DD95" s="174"/>
      <c r="DE95" s="174"/>
      <c r="DF95" s="175"/>
      <c r="DG95" s="25"/>
      <c r="DH95" s="25"/>
      <c r="DI95" s="25"/>
      <c r="DJ95" s="25"/>
    </row>
    <row r="96" spans="1:114" hidden="1" outlineLevel="1">
      <c r="A96" s="170" t="str">
        <f>$A$16</f>
        <v>9 Mos</v>
      </c>
      <c r="B96" s="170"/>
      <c r="C96" s="170"/>
      <c r="D96" s="217">
        <f>SUM(D90:D92)</f>
        <v>8.2509999999999994</v>
      </c>
      <c r="E96" s="168"/>
      <c r="F96" s="170"/>
      <c r="G96" s="170"/>
      <c r="H96" s="217">
        <f>SUM(H90:H92)</f>
        <v>8.7189999999999976</v>
      </c>
      <c r="I96" s="168">
        <f t="shared" si="275"/>
        <v>5.6720397527572297</v>
      </c>
      <c r="J96" s="168"/>
      <c r="K96" s="170"/>
      <c r="L96" s="217">
        <f>SUM(L90:L92)</f>
        <v>10.407999999999998</v>
      </c>
      <c r="M96" s="168">
        <f t="shared" si="276"/>
        <v>19.371487555912381</v>
      </c>
      <c r="N96" s="170"/>
      <c r="O96" s="170"/>
      <c r="P96" s="217">
        <f>SUM(P90:P92)</f>
        <v>10.061</v>
      </c>
      <c r="Q96" s="168">
        <f t="shared" si="277"/>
        <v>-3.3339738662567009</v>
      </c>
      <c r="R96" s="170"/>
      <c r="S96" s="170"/>
      <c r="T96" s="217">
        <f>SUM(T90:T92)</f>
        <v>10.577000000000005</v>
      </c>
      <c r="U96" s="168">
        <f t="shared" si="278"/>
        <v>5.1287148394792315</v>
      </c>
      <c r="V96" s="170"/>
      <c r="W96" s="170"/>
      <c r="X96" s="217">
        <f>SUM(X90:X92)</f>
        <v>13.316000000000008</v>
      </c>
      <c r="Y96" s="168">
        <f t="shared" si="279"/>
        <v>25.895811666824244</v>
      </c>
      <c r="Z96" s="170"/>
      <c r="AA96" s="170"/>
      <c r="AB96" s="217">
        <f>SUM(AB90:AB92)</f>
        <v>7.0879999999999894</v>
      </c>
      <c r="AC96" s="168">
        <f t="shared" si="280"/>
        <v>-46.770802042655568</v>
      </c>
      <c r="AD96" s="170"/>
      <c r="AE96" s="170"/>
      <c r="AF96" s="217">
        <f>SUM(AF90:AF92)</f>
        <v>9.23599999999999</v>
      </c>
      <c r="AG96" s="168">
        <f t="shared" si="281"/>
        <v>30.304740406320583</v>
      </c>
      <c r="AH96" s="170"/>
      <c r="AI96" s="170"/>
      <c r="AJ96" s="217">
        <f>SUM(AJ90:AJ92)</f>
        <v>19.035999999999994</v>
      </c>
      <c r="AK96" s="168">
        <f t="shared" si="282"/>
        <v>106.10653962754455</v>
      </c>
      <c r="AL96" s="170"/>
      <c r="AM96" s="170"/>
      <c r="AN96" s="217">
        <f>SUM(AN90:AN92)</f>
        <v>29.947000000000017</v>
      </c>
      <c r="AO96" s="168">
        <f t="shared" si="298"/>
        <v>57.317713805421434</v>
      </c>
      <c r="AP96" s="170"/>
      <c r="AQ96" s="170"/>
      <c r="AR96" s="170"/>
      <c r="AS96" s="170"/>
      <c r="AT96" s="170"/>
      <c r="AU96" s="217">
        <f>SUM(AU90:AU92)</f>
        <v>63.413000000000011</v>
      </c>
      <c r="AV96" s="168">
        <f t="shared" si="283"/>
        <v>111.75075967542649</v>
      </c>
      <c r="AW96" s="170"/>
      <c r="AX96" s="170"/>
      <c r="AY96" s="217">
        <f>SUM(AY90:AY92)</f>
        <v>95.202999999999946</v>
      </c>
      <c r="AZ96" s="168">
        <f t="shared" si="284"/>
        <v>50.131676470124312</v>
      </c>
      <c r="BA96" s="170"/>
      <c r="BB96" s="170"/>
      <c r="BC96" s="217">
        <f>SUM(BC90:BC92)</f>
        <v>80.475000000000051</v>
      </c>
      <c r="BD96" s="168">
        <f t="shared" si="285"/>
        <v>-15.470100732119684</v>
      </c>
      <c r="BE96" s="170"/>
      <c r="BF96" s="170"/>
      <c r="BG96" s="217">
        <f>SUM(BG90:BG92)</f>
        <v>106.61499999999997</v>
      </c>
      <c r="BH96" s="168">
        <f t="shared" si="286"/>
        <v>32.482137309723377</v>
      </c>
      <c r="BI96" s="170"/>
      <c r="BJ96" s="170"/>
      <c r="BK96" s="217">
        <f>SUM(BK90:BK92)</f>
        <v>158.8189999999999</v>
      </c>
      <c r="BL96" s="168">
        <f t="shared" si="287"/>
        <v>48.96496740608729</v>
      </c>
      <c r="BM96" s="170"/>
      <c r="BN96" s="170"/>
      <c r="BO96" s="217">
        <f>SUM(BO90:BO92)</f>
        <v>142.21799999999988</v>
      </c>
      <c r="BP96" s="168">
        <f t="shared" si="288"/>
        <v>-10.45277957926951</v>
      </c>
      <c r="BQ96" s="170"/>
      <c r="BR96" s="25"/>
      <c r="BS96" s="34">
        <f>SUM(BS90:BS92)</f>
        <v>197.72</v>
      </c>
      <c r="BT96" s="23">
        <f t="shared" si="289"/>
        <v>39.026002334444421</v>
      </c>
      <c r="BU96" s="25"/>
      <c r="BV96" s="25"/>
      <c r="BW96" s="34">
        <f>SUM(BW90:BW92)</f>
        <v>147.79200000000003</v>
      </c>
      <c r="BX96" s="23">
        <f t="shared" si="290"/>
        <v>-25.251871333198451</v>
      </c>
      <c r="BY96" s="25"/>
      <c r="BZ96" s="25"/>
      <c r="CA96" s="34">
        <f>SUM(CA90:CA92)</f>
        <v>154.73699999999999</v>
      </c>
      <c r="CB96" s="23">
        <f t="shared" si="291"/>
        <v>4.6991718090288792</v>
      </c>
      <c r="CC96" s="25"/>
      <c r="CD96" s="174"/>
      <c r="CE96" s="34">
        <f>SUM(CE90:CE92)</f>
        <v>193.678</v>
      </c>
      <c r="CF96" s="23">
        <f t="shared" si="292"/>
        <v>25.165926701435339</v>
      </c>
      <c r="CG96" s="174"/>
      <c r="CH96" s="174"/>
      <c r="CI96" s="34">
        <f>SUM(CI90:CI92)</f>
        <v>152.13</v>
      </c>
      <c r="CJ96" s="23">
        <f t="shared" si="293"/>
        <v>-21.452100909757434</v>
      </c>
      <c r="CK96" s="174"/>
      <c r="CL96" s="174"/>
      <c r="CM96" s="34">
        <f>SUM(CM90:CM92)</f>
        <v>151.61099999999999</v>
      </c>
      <c r="CN96" s="23">
        <f t="shared" si="294"/>
        <v>-0.3411555906132957</v>
      </c>
      <c r="CO96" s="174"/>
      <c r="CP96" s="174"/>
      <c r="CQ96" s="34">
        <f>SUM(CQ90:CQ92)</f>
        <v>153.83199999999994</v>
      </c>
      <c r="CR96" s="23">
        <f t="shared" si="295"/>
        <v>1.4649332832050055</v>
      </c>
      <c r="CS96" s="174"/>
      <c r="CT96" s="174"/>
      <c r="CU96" s="34">
        <f>SUM(CU90:CU92)</f>
        <v>106.94500000000012</v>
      </c>
      <c r="CV96" s="23">
        <f t="shared" si="296"/>
        <v>-30.479354100577151</v>
      </c>
      <c r="CW96" s="1463"/>
      <c r="CX96" s="174"/>
      <c r="CY96" s="34">
        <f>SUM(CY90:CY92)</f>
        <v>157.65091981264757</v>
      </c>
      <c r="CZ96" s="23">
        <f t="shared" si="297"/>
        <v>47.41308131529982</v>
      </c>
      <c r="DA96" s="1463"/>
      <c r="DB96" s="174"/>
      <c r="DC96" s="174"/>
      <c r="DD96" s="174"/>
      <c r="DE96" s="174"/>
      <c r="DF96" s="175"/>
      <c r="DG96" s="25"/>
      <c r="DH96" s="25"/>
      <c r="DI96" s="25"/>
      <c r="DJ96" s="25"/>
    </row>
    <row r="97" spans="1:114" collapsed="1">
      <c r="A97" s="170"/>
      <c r="B97" s="170"/>
      <c r="C97" s="170"/>
      <c r="D97" s="170"/>
      <c r="E97" s="170"/>
      <c r="F97" s="170"/>
      <c r="G97" s="170"/>
      <c r="H97" s="170"/>
      <c r="I97" s="170"/>
      <c r="J97" s="170"/>
      <c r="K97" s="170"/>
      <c r="L97" s="170"/>
      <c r="M97" s="170"/>
      <c r="N97" s="170"/>
      <c r="O97" s="170"/>
      <c r="P97" s="170"/>
      <c r="Q97" s="170"/>
      <c r="R97" s="170"/>
      <c r="S97" s="170"/>
      <c r="T97" s="170"/>
      <c r="U97" s="170"/>
      <c r="V97" s="170"/>
      <c r="W97" s="170"/>
      <c r="X97" s="170"/>
      <c r="Y97" s="170"/>
      <c r="Z97" s="170"/>
      <c r="AA97" s="170"/>
      <c r="AB97" s="170"/>
      <c r="AC97" s="170"/>
      <c r="AD97" s="170"/>
      <c r="AE97" s="170"/>
      <c r="AF97" s="170"/>
      <c r="AG97" s="170"/>
      <c r="AH97" s="170"/>
      <c r="AI97" s="170"/>
      <c r="AJ97" s="170"/>
      <c r="AK97" s="170"/>
      <c r="AL97" s="170"/>
      <c r="AM97" s="170"/>
      <c r="AN97" s="170"/>
      <c r="AO97" s="170"/>
      <c r="AP97" s="170"/>
      <c r="AQ97" s="170"/>
      <c r="AR97" s="170"/>
      <c r="AS97" s="170"/>
      <c r="AT97" s="170"/>
      <c r="AU97" s="170"/>
      <c r="AV97" s="170"/>
      <c r="AW97" s="170"/>
      <c r="AX97" s="170"/>
      <c r="AY97" s="170"/>
      <c r="AZ97" s="170"/>
      <c r="BA97" s="170"/>
      <c r="BB97" s="170"/>
      <c r="BC97" s="170"/>
      <c r="BD97" s="170"/>
      <c r="BE97" s="170"/>
      <c r="BF97" s="170"/>
      <c r="BG97" s="170"/>
      <c r="BH97" s="170"/>
      <c r="BI97" s="170"/>
      <c r="BJ97" s="170"/>
      <c r="BK97" s="170"/>
      <c r="BL97" s="170"/>
      <c r="BM97" s="170"/>
      <c r="BN97" s="170"/>
      <c r="BO97" s="170"/>
      <c r="BP97" s="170"/>
      <c r="BQ97" s="170"/>
      <c r="BR97" s="25"/>
      <c r="BS97" s="25"/>
      <c r="BT97" s="25"/>
      <c r="BU97" s="25"/>
      <c r="BV97" s="25"/>
      <c r="BW97" s="291"/>
      <c r="BX97" s="25"/>
      <c r="BY97" s="25"/>
      <c r="BZ97" s="25"/>
      <c r="CA97" s="25"/>
      <c r="CB97" s="25"/>
      <c r="CC97" s="25"/>
      <c r="CD97" s="174"/>
      <c r="CE97" s="174"/>
      <c r="CF97" s="174"/>
      <c r="CG97" s="174"/>
      <c r="CH97" s="174"/>
      <c r="CI97" s="174"/>
      <c r="CJ97" s="174"/>
      <c r="CK97" s="174"/>
      <c r="CL97" s="174"/>
      <c r="CM97" s="174"/>
      <c r="CN97" s="174"/>
      <c r="CO97" s="174"/>
      <c r="CP97" s="174"/>
      <c r="CQ97" s="174"/>
      <c r="CR97" s="174"/>
      <c r="CS97" s="174"/>
      <c r="CT97" s="174"/>
      <c r="CU97" s="174"/>
      <c r="CV97" s="174"/>
      <c r="CW97" s="1463"/>
      <c r="CX97" s="174"/>
      <c r="CY97" s="174"/>
      <c r="CZ97" s="174"/>
      <c r="DA97" s="1463"/>
      <c r="DB97" s="174"/>
      <c r="DC97" s="174"/>
      <c r="DD97" s="174"/>
      <c r="DE97" s="174"/>
      <c r="DF97" s="175"/>
      <c r="DG97" s="25"/>
      <c r="DH97" s="25"/>
      <c r="DI97" s="25"/>
      <c r="DJ97" s="25"/>
    </row>
    <row r="98" spans="1:114">
      <c r="A98" s="170"/>
      <c r="B98" s="170"/>
      <c r="C98" s="184"/>
      <c r="D98" s="184"/>
      <c r="E98" s="170"/>
      <c r="F98" s="170"/>
      <c r="G98" s="170"/>
      <c r="H98" s="278"/>
      <c r="I98" s="187"/>
      <c r="J98" s="187"/>
      <c r="K98" s="187"/>
      <c r="L98" s="278"/>
      <c r="M98" s="187"/>
      <c r="N98" s="187"/>
      <c r="O98" s="187"/>
      <c r="P98" s="278"/>
      <c r="Q98" s="187"/>
      <c r="R98" s="187"/>
      <c r="S98" s="187"/>
      <c r="T98" s="278"/>
      <c r="U98" s="187"/>
      <c r="V98" s="187"/>
      <c r="W98" s="187"/>
      <c r="X98" s="170"/>
      <c r="Y98" s="187"/>
      <c r="Z98" s="187"/>
      <c r="AA98" s="187"/>
      <c r="AB98" s="170"/>
      <c r="AC98" s="187"/>
      <c r="AD98" s="187"/>
      <c r="AE98" s="187"/>
      <c r="AF98" s="278"/>
      <c r="AG98" s="187"/>
      <c r="AH98" s="187"/>
      <c r="AI98" s="187"/>
      <c r="AJ98" s="278"/>
      <c r="AK98" s="187"/>
      <c r="AL98" s="187"/>
      <c r="AM98" s="187"/>
      <c r="AN98" s="278"/>
      <c r="AO98" s="187"/>
      <c r="AP98" s="187"/>
      <c r="AQ98" s="170" t="s">
        <v>380</v>
      </c>
      <c r="AR98" s="292"/>
      <c r="AS98" s="170"/>
      <c r="AT98" s="187"/>
      <c r="AU98" s="278" t="s">
        <v>488</v>
      </c>
      <c r="AV98" s="187"/>
      <c r="AW98" s="187"/>
      <c r="AX98" s="187"/>
      <c r="AY98" s="278" t="s">
        <v>488</v>
      </c>
      <c r="AZ98" s="187"/>
      <c r="BA98" s="187"/>
      <c r="BB98" s="187"/>
      <c r="BC98" s="278"/>
      <c r="BD98" s="187"/>
      <c r="BE98" s="187"/>
      <c r="BF98" s="187"/>
      <c r="BG98" s="278"/>
      <c r="BH98" s="187"/>
      <c r="BI98" s="187"/>
      <c r="BJ98" s="187"/>
      <c r="BK98" s="278"/>
      <c r="BL98" s="187"/>
      <c r="BM98" s="187"/>
      <c r="BN98" s="187"/>
      <c r="BO98" s="278"/>
      <c r="BP98" s="187"/>
      <c r="BQ98" s="187"/>
      <c r="BR98" s="188"/>
      <c r="BS98" s="189" t="str">
        <f>AY98</f>
        <v>9.  Earnings Per Share -- Fully Diluted   (% Change)</v>
      </c>
      <c r="BT98" s="188"/>
      <c r="BU98" s="188"/>
      <c r="BV98" s="188"/>
      <c r="BW98" s="279"/>
      <c r="BX98" s="188"/>
      <c r="BY98" s="188"/>
      <c r="BZ98" s="188"/>
      <c r="CA98" s="279"/>
      <c r="CB98" s="188"/>
      <c r="CC98" s="188"/>
      <c r="CD98" s="293"/>
      <c r="CE98" s="293"/>
      <c r="CF98" s="293"/>
      <c r="CG98" s="293"/>
      <c r="CH98" s="293"/>
      <c r="CI98" s="293"/>
      <c r="CJ98" s="1004" t="str">
        <f>BS98</f>
        <v>9.  Earnings Per Share -- Fully Diluted   (% Change)</v>
      </c>
      <c r="CK98" s="1004"/>
      <c r="CL98" s="1004"/>
      <c r="CM98" s="1004"/>
      <c r="CN98" s="1004"/>
      <c r="CO98" s="1004"/>
      <c r="CP98" s="1004"/>
      <c r="CQ98" s="1004"/>
      <c r="CR98" s="1004"/>
      <c r="CS98" s="293"/>
      <c r="CT98" s="1004"/>
      <c r="CU98" s="1004"/>
      <c r="CV98" s="1004"/>
      <c r="CW98" s="1469"/>
      <c r="CX98" s="1004"/>
      <c r="CY98" s="1004"/>
      <c r="CZ98" s="1004"/>
      <c r="DA98" s="1469"/>
      <c r="DB98" s="293"/>
      <c r="DC98" s="293"/>
      <c r="DD98" s="293"/>
      <c r="DE98" s="294"/>
      <c r="DF98" s="295"/>
      <c r="DG98" s="39"/>
      <c r="DH98" s="39"/>
      <c r="DI98" s="39"/>
      <c r="DJ98" s="39"/>
    </row>
    <row r="99" spans="1:114">
      <c r="A99" s="170"/>
      <c r="B99" s="170"/>
      <c r="C99" s="170"/>
      <c r="D99" s="170"/>
      <c r="E99" s="170"/>
      <c r="F99" s="170"/>
      <c r="G99" s="170"/>
      <c r="H99" s="170"/>
      <c r="I99" s="170"/>
      <c r="J99" s="170"/>
      <c r="K99" s="170"/>
      <c r="L99" s="170"/>
      <c r="M99" s="170"/>
      <c r="N99" s="170"/>
      <c r="O99" s="170"/>
      <c r="P99" s="170"/>
      <c r="Q99" s="170"/>
      <c r="R99" s="170"/>
      <c r="S99" s="170"/>
      <c r="T99" s="170"/>
      <c r="U99" s="170"/>
      <c r="V99" s="170"/>
      <c r="W99" s="170"/>
      <c r="X99" s="170"/>
      <c r="Y99" s="170"/>
      <c r="Z99" s="170"/>
      <c r="AA99" s="170"/>
      <c r="AB99" s="170"/>
      <c r="AC99" s="170"/>
      <c r="AD99" s="170"/>
      <c r="AE99" s="170"/>
      <c r="AF99" s="170"/>
      <c r="AG99" s="170"/>
      <c r="AH99" s="170"/>
      <c r="AI99" s="170"/>
      <c r="AJ99" s="170"/>
      <c r="AK99" s="170"/>
      <c r="AL99" s="170"/>
      <c r="AM99" s="170"/>
      <c r="AN99" s="170"/>
      <c r="AO99" s="170"/>
      <c r="AP99" s="170"/>
      <c r="AQ99" s="170"/>
      <c r="AR99" s="259"/>
      <c r="AS99" s="170"/>
      <c r="AT99" s="170"/>
      <c r="AU99" s="170"/>
      <c r="AV99" s="170"/>
      <c r="AW99" s="170"/>
      <c r="AX99" s="170"/>
      <c r="AY99" s="170"/>
      <c r="AZ99" s="170"/>
      <c r="BA99" s="296" t="s">
        <v>541</v>
      </c>
      <c r="BB99" s="170"/>
      <c r="BC99" s="170"/>
      <c r="BD99" s="170"/>
      <c r="BE99" s="297"/>
      <c r="BF99" s="170"/>
      <c r="BG99" s="170"/>
      <c r="BH99" s="170"/>
      <c r="BI99" s="297"/>
      <c r="BJ99" s="170"/>
      <c r="BK99" s="170"/>
      <c r="BL99" s="170"/>
      <c r="BM99" s="297"/>
      <c r="BN99" s="170"/>
      <c r="BO99" s="170"/>
      <c r="BP99" s="170"/>
      <c r="BQ99" s="297"/>
      <c r="BR99" s="25"/>
      <c r="BS99" s="25"/>
      <c r="BT99" s="25"/>
      <c r="BU99" s="298"/>
      <c r="BV99" s="25"/>
      <c r="BW99" s="25"/>
      <c r="BX99" s="25"/>
      <c r="BY99" s="298"/>
      <c r="BZ99" s="25"/>
      <c r="CA99" s="25"/>
      <c r="CB99" s="25"/>
      <c r="CC99" s="298"/>
      <c r="CD99" s="293"/>
      <c r="CE99" s="293"/>
      <c r="CF99" s="293"/>
      <c r="CG99" s="293"/>
      <c r="CH99" s="293"/>
      <c r="CI99" s="293"/>
      <c r="CJ99" s="293"/>
      <c r="CK99" s="293"/>
      <c r="CL99" s="293"/>
      <c r="CM99" s="293"/>
      <c r="CN99" s="293"/>
      <c r="CO99" s="293"/>
      <c r="CP99" s="293"/>
      <c r="CQ99" s="293"/>
      <c r="CR99" s="293"/>
      <c r="CS99" s="293"/>
      <c r="CT99" s="293"/>
      <c r="CU99" s="293"/>
      <c r="CV99" s="293"/>
      <c r="CW99" s="1469"/>
      <c r="CX99" s="293"/>
      <c r="CY99" s="293"/>
      <c r="CZ99" s="293"/>
      <c r="DA99" s="1469"/>
      <c r="DB99" s="293"/>
      <c r="DC99" s="293"/>
      <c r="DD99" s="293"/>
      <c r="DE99" s="293"/>
      <c r="DF99" s="299"/>
      <c r="DG99" s="300"/>
      <c r="DH99" s="300"/>
      <c r="DI99" s="300"/>
      <c r="DJ99" s="300"/>
    </row>
    <row r="100" spans="1:114">
      <c r="A100" s="170" t="str">
        <f>$A$10</f>
        <v>1Q</v>
      </c>
      <c r="B100" s="170" t="str">
        <f>$B$10</f>
        <v>Apr</v>
      </c>
      <c r="C100" s="170"/>
      <c r="D100" s="301">
        <f>D90/D110</f>
        <v>1.4696578357572475E-2</v>
      </c>
      <c r="E100" s="168"/>
      <c r="F100" s="170"/>
      <c r="G100" s="170"/>
      <c r="H100" s="301">
        <f>H90/H110</f>
        <v>1.6110481947163878E-2</v>
      </c>
      <c r="I100" s="168">
        <f t="shared" ref="I100:I106" si="299">IF(D100&lt;0,"       NM",(H100/D100-1)*100)</f>
        <v>9.62063111011744</v>
      </c>
      <c r="J100" s="170"/>
      <c r="K100" s="170"/>
      <c r="L100" s="301">
        <f>L90/L110</f>
        <v>2.0686331049143997E-2</v>
      </c>
      <c r="M100" s="168">
        <f t="shared" ref="M100:M106" si="300">IF(H100&lt;0,"       NM",(L100/H100-1)*100)</f>
        <v>28.40293119092976</v>
      </c>
      <c r="N100" s="170"/>
      <c r="O100" s="170"/>
      <c r="P100" s="301">
        <f>P90/P110</f>
        <v>1.7107650060991627E-2</v>
      </c>
      <c r="Q100" s="168">
        <f t="shared" ref="Q100:Q106" si="301">IF(L100&lt;0,"       NM",(P100/L100-1)*100)</f>
        <v>-17.299737588316589</v>
      </c>
      <c r="R100" s="170"/>
      <c r="S100" s="170"/>
      <c r="T100" s="301">
        <f>T90/T110</f>
        <v>1.4579403374157147E-2</v>
      </c>
      <c r="U100" s="168">
        <f t="shared" ref="U100:U106" si="302">IF(P100&lt;0,"       NM",(T100/P100-1)*100)</f>
        <v>-14.778456876431644</v>
      </c>
      <c r="V100" s="170"/>
      <c r="W100" s="170"/>
      <c r="X100" s="301">
        <f>X90/X110</f>
        <v>2.1252260139662714E-2</v>
      </c>
      <c r="Y100" s="168">
        <f t="shared" ref="Y100:Y106" si="303">IF(T100&lt;0,"       NM",(X100/T100-1)*100)</f>
        <v>45.769066087667198</v>
      </c>
      <c r="Z100" s="170"/>
      <c r="AA100" s="170"/>
      <c r="AB100" s="301">
        <f>AB90/AB110</f>
        <v>2.1588862907803555E-2</v>
      </c>
      <c r="AC100" s="168">
        <f t="shared" ref="AC100:AC106" si="304">IF(X100&lt;0,"       NM",(AB100/X100-1)*100)</f>
        <v>1.5838445696071846</v>
      </c>
      <c r="AD100" s="170"/>
      <c r="AE100" s="170"/>
      <c r="AF100" s="301">
        <f>AF90/AF110</f>
        <v>8.3201473575443431E-3</v>
      </c>
      <c r="AG100" s="168">
        <f t="shared" ref="AG100:AG106" si="305">IF(AB100&lt;0,"       NM",(AF100/AB100-1)*100)</f>
        <v>-61.460928289387006</v>
      </c>
      <c r="AH100" s="170"/>
      <c r="AI100" s="170"/>
      <c r="AJ100" s="301">
        <f>AJ90/AJ110</f>
        <v>3.2815003049759407E-2</v>
      </c>
      <c r="AK100" s="168">
        <f t="shared" ref="AK100:AK106" si="306">IF(AF100&lt;0,"       NM",(AJ100/AF100-1)*100)</f>
        <v>294.40410896093334</v>
      </c>
      <c r="AL100" s="170"/>
      <c r="AM100" s="170"/>
      <c r="AN100" s="301">
        <f>AN90/AN110</f>
        <v>4.0428822506275899E-2</v>
      </c>
      <c r="AO100" s="168">
        <f>IF(AJ100&lt;0,"       NM",(AN100/AJ100-1)*100)</f>
        <v>23.202251253706073</v>
      </c>
      <c r="AP100" s="170"/>
      <c r="AQ100" s="302">
        <v>0.27</v>
      </c>
      <c r="AR100" s="259"/>
      <c r="AS100" s="170"/>
      <c r="AT100" s="170"/>
      <c r="AU100" s="301">
        <f>AU90/AU110</f>
        <v>0.10168827737972386</v>
      </c>
      <c r="AV100" s="168">
        <f t="shared" ref="AV100:AV106" si="307">IF(AN100&lt;0,"       NM",(AU100/AN100-1)*100)</f>
        <v>151.52421237086102</v>
      </c>
      <c r="AW100" s="303"/>
      <c r="AX100" s="170"/>
      <c r="AY100" s="301">
        <f>AY90/AY110</f>
        <v>0.16231125933331145</v>
      </c>
      <c r="AZ100" s="168">
        <f t="shared" ref="AZ100:AZ106" si="308">IF(AU100&lt;0,"       NM",(AY100/AU100-1)*100)</f>
        <v>59.616490234375341</v>
      </c>
      <c r="BA100" s="304">
        <v>0.27</v>
      </c>
      <c r="BB100" s="170"/>
      <c r="BC100" s="301">
        <f>BC90/BC110</f>
        <v>0.12081236642024708</v>
      </c>
      <c r="BD100" s="168">
        <f t="shared" ref="BD100:BD106" si="309">IF(AY100&lt;0,"       NM",(BC100/AY100-1)*100)</f>
        <v>-25.56747639290078</v>
      </c>
      <c r="BE100" s="305"/>
      <c r="BF100" s="170"/>
      <c r="BG100" s="301">
        <f>BG90/BG110</f>
        <v>0.17397535038183537</v>
      </c>
      <c r="BH100" s="168">
        <f t="shared" ref="BH100:BH106" si="310">IF(BC100&lt;0,"       NM",(BG100/BC100-1)*100)</f>
        <v>44.004587888511601</v>
      </c>
      <c r="BI100" s="305"/>
      <c r="BJ100" s="170"/>
      <c r="BK100" s="301">
        <f>BK90/BK110</f>
        <v>0.24944986448688997</v>
      </c>
      <c r="BL100" s="168">
        <f t="shared" ref="BL100:BL106" si="311">IF(BG100&lt;0,"       NM",(BK100/BG100-1)*100)</f>
        <v>43.382303262735554</v>
      </c>
      <c r="BM100" s="305"/>
      <c r="BN100" s="170"/>
      <c r="BO100" s="301">
        <f>BO90/BO110</f>
        <v>0.1808689256722833</v>
      </c>
      <c r="BP100" s="168">
        <f t="shared" ref="BP100:BP106" si="312">IF(BK100&lt;0,"       NM",(BO100/BK100-1)*100)</f>
        <v>-27.492874752878848</v>
      </c>
      <c r="BQ100" s="305"/>
      <c r="BR100" s="25"/>
      <c r="BS100" s="306">
        <f>BS90/BS110</f>
        <v>0.30643036160420217</v>
      </c>
      <c r="BT100" s="23">
        <f t="shared" ref="BT100:BT106" si="313">IF(BO100&lt;0,"       NM",(BS100/BO100-1)*100)</f>
        <v>69.421231682120933</v>
      </c>
      <c r="BU100" s="307"/>
      <c r="BV100" s="25"/>
      <c r="BW100" s="306">
        <f>BW90/BW110</f>
        <v>0.24453458250777729</v>
      </c>
      <c r="BX100" s="23">
        <f t="shared" ref="BX100:BX106" si="314">IF(BS100&lt;0,"       NM",(BW100/BS100-1)*100)</f>
        <v>-20.198970745716103</v>
      </c>
      <c r="BY100" s="308"/>
      <c r="BZ100" s="25"/>
      <c r="CA100" s="306">
        <f>CA90/CA110</f>
        <v>0.2332713536492021</v>
      </c>
      <c r="CB100" s="23">
        <f t="shared" ref="CB100:CB106" si="315">IF(BW100&lt;0,"       NM",(CA100/BW100-1)*100)</f>
        <v>-4.6059860912380231</v>
      </c>
      <c r="CC100" s="307"/>
      <c r="CD100" s="293"/>
      <c r="CE100" s="306">
        <f>CE90/CE110</f>
        <v>0.31625200632993283</v>
      </c>
      <c r="CF100" s="23">
        <f t="shared" ref="CF100:CF106" si="316">IF(CA100&lt;0,"       NM",(CE100/CA100-1)*100)</f>
        <v>35.572585910192231</v>
      </c>
      <c r="CG100" s="293"/>
      <c r="CH100" s="293"/>
      <c r="CI100" s="306">
        <f>CI90/CI110</f>
        <v>0.2568630506387703</v>
      </c>
      <c r="CJ100" s="23">
        <f t="shared" ref="CJ100:CJ106" si="317">IF(CE100&lt;0,"       NM",(CI100/CE100-1)*100)</f>
        <v>-18.778997287752997</v>
      </c>
      <c r="CK100" s="309"/>
      <c r="CL100" s="293"/>
      <c r="CM100" s="306">
        <f>CM90/CM110</f>
        <v>0.24674007399672787</v>
      </c>
      <c r="CN100" s="23">
        <f t="shared" ref="CN100:CN106" si="318">IF(CI100&lt;0,"       NM",(CM100/CI100-1)*100)</f>
        <v>-3.9410014857600095</v>
      </c>
      <c r="CO100" s="309"/>
      <c r="CP100" s="293"/>
      <c r="CQ100" s="306">
        <f>CQ90/CQ110</f>
        <v>0.25140532318497899</v>
      </c>
      <c r="CR100" s="23">
        <f t="shared" ref="CR100:CR106" si="319">IF(CM100&lt;0,"       NM",(CQ100/CM100-1)*100)</f>
        <v>1.8907545550598259</v>
      </c>
      <c r="CS100" s="309"/>
      <c r="CT100" s="293"/>
      <c r="CU100" s="306">
        <f>CU90/CU110</f>
        <v>0.10243754242399238</v>
      </c>
      <c r="CV100" s="23">
        <f t="shared" ref="CV100:CV106" si="320">IF(CQ100&lt;0,"       NM",(CU100/CQ100-1)*100)</f>
        <v>-59.254028066613017</v>
      </c>
      <c r="CW100" s="1470"/>
      <c r="CX100" s="293"/>
      <c r="CY100" s="306">
        <f>CY90/CY110</f>
        <v>0.30384084418462998</v>
      </c>
      <c r="CZ100" s="23">
        <f t="shared" ref="CZ100:CZ106" si="321">IF(CU100&lt;0,"       NM",(CY100/CU100-1)*100)</f>
        <v>196.61082938423365</v>
      </c>
      <c r="DA100" s="1470"/>
      <c r="DB100" s="1638"/>
      <c r="DC100" s="293"/>
      <c r="DD100" s="1638">
        <f>SUM(CU100:CU101)/SUM(CQ100:CQ101)-1</f>
        <v>-0.40306844519099383</v>
      </c>
      <c r="DE100" s="293"/>
      <c r="DF100" s="310"/>
      <c r="DG100" s="311"/>
      <c r="DH100" s="311"/>
      <c r="DI100" s="312"/>
      <c r="DJ100" s="311"/>
    </row>
    <row r="101" spans="1:114">
      <c r="A101" s="170" t="str">
        <f>$A$11</f>
        <v>2Q</v>
      </c>
      <c r="B101" s="170" t="str">
        <f>$B$11</f>
        <v>Jul</v>
      </c>
      <c r="C101" s="170"/>
      <c r="D101" s="313">
        <f>D91/D111</f>
        <v>1.5872518762313666E-2</v>
      </c>
      <c r="E101" s="168"/>
      <c r="F101" s="170"/>
      <c r="G101" s="170"/>
      <c r="H101" s="313">
        <f>H91/H111</f>
        <v>1.6344453918174216E-2</v>
      </c>
      <c r="I101" s="168">
        <f t="shared" si="299"/>
        <v>2.9732845991719437</v>
      </c>
      <c r="J101" s="170"/>
      <c r="K101" s="170"/>
      <c r="L101" s="313">
        <f>L91/L111</f>
        <v>1.9971179814025904E-2</v>
      </c>
      <c r="M101" s="168">
        <f t="shared" si="300"/>
        <v>22.189336603157784</v>
      </c>
      <c r="N101" s="170"/>
      <c r="O101" s="170"/>
      <c r="P101" s="313">
        <f>P91/P111</f>
        <v>2.0004180488352563E-2</v>
      </c>
      <c r="Q101" s="168">
        <f t="shared" si="301"/>
        <v>0.16524148615137957</v>
      </c>
      <c r="R101" s="170"/>
      <c r="S101" s="170"/>
      <c r="T101" s="313">
        <f>T91/T111</f>
        <v>2.3865436325074499E-2</v>
      </c>
      <c r="U101" s="168">
        <f t="shared" si="302"/>
        <v>19.302244543185122</v>
      </c>
      <c r="V101" s="170"/>
      <c r="W101" s="170"/>
      <c r="X101" s="313">
        <f>X91/X111</f>
        <v>2.9075711893566659E-2</v>
      </c>
      <c r="Y101" s="168">
        <f t="shared" si="303"/>
        <v>21.831889002665839</v>
      </c>
      <c r="Z101" s="170"/>
      <c r="AA101" s="170"/>
      <c r="AB101" s="313">
        <f>AB91/AB111</f>
        <v>1.258345576787066E-2</v>
      </c>
      <c r="AC101" s="168">
        <f t="shared" si="304"/>
        <v>-56.721762088119675</v>
      </c>
      <c r="AD101" s="170"/>
      <c r="AE101" s="170"/>
      <c r="AF101" s="313">
        <f>AF91/AF111</f>
        <v>2.2759623939785024E-2</v>
      </c>
      <c r="AG101" s="168">
        <f t="shared" si="305"/>
        <v>80.869423786565648</v>
      </c>
      <c r="AH101" s="170"/>
      <c r="AI101" s="170"/>
      <c r="AJ101" s="313">
        <f>AJ91/AJ111</f>
        <v>3.9530532738864935E-2</v>
      </c>
      <c r="AK101" s="168">
        <f t="shared" si="306"/>
        <v>73.687108554388175</v>
      </c>
      <c r="AL101" s="170"/>
      <c r="AM101" s="170"/>
      <c r="AN101" s="313">
        <f>AN91/AN111</f>
        <v>5.8871147518621325E-2</v>
      </c>
      <c r="AO101" s="168">
        <f t="shared" ref="AO101:AO106" si="322">IF(AJ101&lt;0,"       NM",(AN101/AJ101-1)*100)</f>
        <v>48.925763048827896</v>
      </c>
      <c r="AP101" s="170"/>
      <c r="AQ101" s="303">
        <v>0.35</v>
      </c>
      <c r="AR101" s="170"/>
      <c r="AS101" s="170"/>
      <c r="AT101" s="170"/>
      <c r="AU101" s="313">
        <f>AU91/AU111</f>
        <v>0.12293284830925738</v>
      </c>
      <c r="AV101" s="168">
        <f t="shared" si="307"/>
        <v>108.81680329124367</v>
      </c>
      <c r="AW101" s="303"/>
      <c r="AX101" s="170"/>
      <c r="AY101" s="313">
        <f>AY91/AY111</f>
        <v>0.18018288554050144</v>
      </c>
      <c r="AZ101" s="168">
        <f t="shared" si="308"/>
        <v>46.570170640822028</v>
      </c>
      <c r="BA101" s="304">
        <v>0.32</v>
      </c>
      <c r="BB101" s="170"/>
      <c r="BC101" s="313">
        <f>BC91/BC111</f>
        <v>0.15221057839438534</v>
      </c>
      <c r="BD101" s="168">
        <f t="shared" si="309"/>
        <v>-15.524397371152377</v>
      </c>
      <c r="BE101" s="305"/>
      <c r="BF101" s="170"/>
      <c r="BG101" s="313">
        <f>BG91/BG111</f>
        <v>0.18776682683413878</v>
      </c>
      <c r="BH101" s="168">
        <f t="shared" si="310"/>
        <v>23.359906265926789</v>
      </c>
      <c r="BI101" s="314"/>
      <c r="BJ101" s="170"/>
      <c r="BK101" s="313">
        <f>BK91/BK111</f>
        <v>0.33192859143584852</v>
      </c>
      <c r="BL101" s="168">
        <f t="shared" si="311"/>
        <v>76.777014892547029</v>
      </c>
      <c r="BM101" s="305"/>
      <c r="BN101" s="170"/>
      <c r="BO101" s="313">
        <f>BO91/BO111</f>
        <v>0.28714391088612484</v>
      </c>
      <c r="BP101" s="168">
        <f t="shared" si="312"/>
        <v>-13.492263608866962</v>
      </c>
      <c r="BQ101" s="305"/>
      <c r="BR101" s="25"/>
      <c r="BS101" s="315">
        <f>BS91/BS111</f>
        <v>0.41582234638585808</v>
      </c>
      <c r="BT101" s="23">
        <f t="shared" si="313"/>
        <v>44.813221043981798</v>
      </c>
      <c r="BU101" s="307"/>
      <c r="BV101" s="25"/>
      <c r="BW101" s="315">
        <f>BW91/BW111</f>
        <v>0.35269179964286407</v>
      </c>
      <c r="BX101" s="23">
        <f t="shared" si="314"/>
        <v>-15.182095741533974</v>
      </c>
      <c r="BY101" s="308"/>
      <c r="BZ101" s="25"/>
      <c r="CA101" s="315">
        <f>CA91/CA111</f>
        <v>0.42091873542035296</v>
      </c>
      <c r="CB101" s="23">
        <f t="shared" si="315"/>
        <v>19.344633429690038</v>
      </c>
      <c r="CC101" s="307"/>
      <c r="CD101" s="293"/>
      <c r="CE101" s="315">
        <f>CE91/CE111</f>
        <v>0.51126420225577829</v>
      </c>
      <c r="CF101" s="23">
        <f t="shared" si="316"/>
        <v>21.463873957808332</v>
      </c>
      <c r="CG101" s="293"/>
      <c r="CH101" s="293"/>
      <c r="CI101" s="315">
        <f>CI91/CI111</f>
        <v>0.4885686203742432</v>
      </c>
      <c r="CJ101" s="23">
        <f t="shared" si="317"/>
        <v>-4.4391103037135444</v>
      </c>
      <c r="CK101" s="309"/>
      <c r="CL101" s="293"/>
      <c r="CM101" s="315">
        <f>CM91/CM111</f>
        <v>0.51782377140284941</v>
      </c>
      <c r="CN101" s="23">
        <f t="shared" si="318"/>
        <v>5.9879308266250986</v>
      </c>
      <c r="CO101" s="309"/>
      <c r="CP101" s="293"/>
      <c r="CQ101" s="315">
        <f>CQ91/CQ111</f>
        <v>0.65524746775371412</v>
      </c>
      <c r="CR101" s="23">
        <f t="shared" si="319"/>
        <v>26.538699831907419</v>
      </c>
      <c r="CS101" s="309"/>
      <c r="CT101" s="293"/>
      <c r="CU101" s="315">
        <f>CU91/CU111</f>
        <v>0.43877211774296659</v>
      </c>
      <c r="CV101" s="23">
        <f t="shared" si="320"/>
        <v>-33.03718986551101</v>
      </c>
      <c r="CW101" s="1470"/>
      <c r="CX101" s="293"/>
      <c r="CY101" s="315">
        <f>CY91/CY111</f>
        <v>0.68029529066207739</v>
      </c>
      <c r="CZ101" s="23">
        <f t="shared" si="321"/>
        <v>55.045241744507443</v>
      </c>
      <c r="DA101" s="1470"/>
      <c r="DB101" s="293"/>
      <c r="DC101" s="293"/>
      <c r="DD101" s="309"/>
      <c r="DE101" s="293"/>
      <c r="DF101" s="310"/>
      <c r="DG101" s="311"/>
      <c r="DH101" s="311"/>
      <c r="DI101" s="312"/>
      <c r="DJ101" s="311"/>
    </row>
    <row r="102" spans="1:114">
      <c r="A102" s="170" t="str">
        <f>$A$12</f>
        <v>3Q</v>
      </c>
      <c r="B102" s="170" t="str">
        <f>$B$12</f>
        <v>Oct</v>
      </c>
      <c r="C102" s="170"/>
      <c r="D102" s="313">
        <f>D92/D112</f>
        <v>2.8135129642353259E-2</v>
      </c>
      <c r="E102" s="168"/>
      <c r="F102" s="170"/>
      <c r="G102" s="170"/>
      <c r="H102" s="313">
        <f>H92/H112</f>
        <v>2.9408885374317528E-2</v>
      </c>
      <c r="I102" s="168">
        <f t="shared" si="299"/>
        <v>4.5272787015945282</v>
      </c>
      <c r="J102" s="170"/>
      <c r="K102" s="170"/>
      <c r="L102" s="313">
        <f>L92/L112</f>
        <v>3.2454172774244894E-2</v>
      </c>
      <c r="M102" s="168">
        <f t="shared" si="300"/>
        <v>10.354990885124749</v>
      </c>
      <c r="N102" s="170"/>
      <c r="O102" s="170"/>
      <c r="P102" s="313">
        <f>P92/P112</f>
        <v>3.3372581293738109E-2</v>
      </c>
      <c r="Q102" s="168">
        <f t="shared" si="301"/>
        <v>2.8298626678355809</v>
      </c>
      <c r="R102" s="170"/>
      <c r="S102" s="170"/>
      <c r="T102" s="313">
        <f>T92/T112</f>
        <v>3.5213724296918672E-2</v>
      </c>
      <c r="U102" s="168">
        <f t="shared" si="302"/>
        <v>5.5169331583170944</v>
      </c>
      <c r="V102" s="170"/>
      <c r="W102" s="170"/>
      <c r="X102" s="313">
        <f>X92/X112</f>
        <v>4.2853948566578245E-2</v>
      </c>
      <c r="Y102" s="168">
        <f t="shared" si="303"/>
        <v>21.696723144754436</v>
      </c>
      <c r="Z102" s="170"/>
      <c r="AA102" s="170"/>
      <c r="AB102" s="313">
        <f>AB92/AB112</f>
        <v>1.7083303426095885E-2</v>
      </c>
      <c r="AC102" s="168">
        <f t="shared" si="304"/>
        <v>-60.135987470197463</v>
      </c>
      <c r="AD102" s="170"/>
      <c r="AE102" s="170"/>
      <c r="AF102" s="313">
        <f>AF92/AF112</f>
        <v>3.5481442859785814E-2</v>
      </c>
      <c r="AG102" s="168">
        <f t="shared" si="305"/>
        <v>107.69661449427601</v>
      </c>
      <c r="AH102" s="170"/>
      <c r="AI102" s="170"/>
      <c r="AJ102" s="313">
        <f>AJ92/AJ112</f>
        <v>5.0977008086353311E-2</v>
      </c>
      <c r="AK102" s="168">
        <f t="shared" si="306"/>
        <v>43.672308614399547</v>
      </c>
      <c r="AL102" s="313"/>
      <c r="AM102" s="170"/>
      <c r="AN102" s="313">
        <f>AN92/AN112</f>
        <v>8.6415014921389241E-2</v>
      </c>
      <c r="AO102" s="168">
        <f t="shared" si="322"/>
        <v>69.517627976528473</v>
      </c>
      <c r="AP102" s="313"/>
      <c r="AQ102" s="303"/>
      <c r="AR102" s="170"/>
      <c r="AS102" s="170"/>
      <c r="AT102" s="170"/>
      <c r="AU102" s="313">
        <f>AU92/AU112</f>
        <v>0.15483562921736196</v>
      </c>
      <c r="AV102" s="168">
        <f t="shared" si="307"/>
        <v>79.176766165248225</v>
      </c>
      <c r="AW102" s="303"/>
      <c r="AX102" s="170"/>
      <c r="AY102" s="313">
        <f>AY92/AY112</f>
        <v>0.21817794247068831</v>
      </c>
      <c r="AZ102" s="168">
        <f t="shared" si="308"/>
        <v>40.909391186963106</v>
      </c>
      <c r="BA102" s="304">
        <v>0.39</v>
      </c>
      <c r="BB102" s="170"/>
      <c r="BC102" s="313">
        <f>BC92/BC112</f>
        <v>0.20506578316511415</v>
      </c>
      <c r="BD102" s="168">
        <f t="shared" si="309"/>
        <v>-6.0098464386865054</v>
      </c>
      <c r="BE102" s="305"/>
      <c r="BF102" s="170"/>
      <c r="BG102" s="313">
        <f>BG92/BG112</f>
        <v>0.26705738732065154</v>
      </c>
      <c r="BH102" s="168">
        <f t="shared" si="310"/>
        <v>30.230106260888601</v>
      </c>
      <c r="BI102" s="305"/>
      <c r="BJ102" s="170"/>
      <c r="BK102" s="313">
        <f>BK92/BK112</f>
        <v>0.34650006292348517</v>
      </c>
      <c r="BL102" s="168">
        <f t="shared" si="311"/>
        <v>29.747417362189687</v>
      </c>
      <c r="BM102" s="305"/>
      <c r="BN102" s="170"/>
      <c r="BO102" s="313">
        <f>BO92/BO112</f>
        <v>0.36392078850375187</v>
      </c>
      <c r="BP102" s="168">
        <f t="shared" si="312"/>
        <v>5.0276255170878859</v>
      </c>
      <c r="BQ102" s="305"/>
      <c r="BR102" s="25"/>
      <c r="BS102" s="315">
        <f>BS92/BS112</f>
        <v>0.43366883436424442</v>
      </c>
      <c r="BT102" s="23">
        <f t="shared" si="313"/>
        <v>19.165721789969538</v>
      </c>
      <c r="BU102" s="307"/>
      <c r="BV102" s="25"/>
      <c r="BW102" s="315">
        <f>BW92/BW112</f>
        <v>0.33029662349569394</v>
      </c>
      <c r="BX102" s="23">
        <f t="shared" si="314"/>
        <v>-23.836670444647801</v>
      </c>
      <c r="BY102" s="307"/>
      <c r="BZ102" s="25"/>
      <c r="CA102" s="315">
        <f>CA92/CA112</f>
        <v>0.40444095861590268</v>
      </c>
      <c r="CB102" s="23">
        <f t="shared" si="315"/>
        <v>22.447802928017314</v>
      </c>
      <c r="CC102" s="307"/>
      <c r="CD102" s="293"/>
      <c r="CE102" s="315">
        <f>CE92/CE112</f>
        <v>0.46989259679956691</v>
      </c>
      <c r="CF102" s="23">
        <f t="shared" si="316"/>
        <v>16.183236833296011</v>
      </c>
      <c r="CG102" s="293"/>
      <c r="CH102" s="293"/>
      <c r="CI102" s="315">
        <f>CI92/CI112</f>
        <v>0.34677113724294356</v>
      </c>
      <c r="CJ102" s="23">
        <f t="shared" si="317"/>
        <v>-26.202042848770589</v>
      </c>
      <c r="CK102" s="309"/>
      <c r="CL102" s="293"/>
      <c r="CM102" s="315">
        <f>CM92/CM112</f>
        <v>0.42023645861885256</v>
      </c>
      <c r="CN102" s="23">
        <f t="shared" si="318"/>
        <v>21.18553520918902</v>
      </c>
      <c r="CO102" s="309"/>
      <c r="CP102" s="293"/>
      <c r="CQ102" s="315">
        <f>CQ92/CQ112</f>
        <v>0.4033861780158402</v>
      </c>
      <c r="CR102" s="23">
        <f t="shared" si="319"/>
        <v>-4.0097141162840577</v>
      </c>
      <c r="CS102" s="309"/>
      <c r="CT102" s="293"/>
      <c r="CU102" s="315">
        <f>CU92/CU112</f>
        <v>0.40955400520692686</v>
      </c>
      <c r="CV102" s="23">
        <f t="shared" si="320"/>
        <v>1.529013022068515</v>
      </c>
      <c r="CW102" s="1470"/>
      <c r="CX102" s="293"/>
      <c r="CY102" s="315">
        <f>CY92/CY112</f>
        <v>0.47643266931019962</v>
      </c>
      <c r="CZ102" s="23">
        <f t="shared" si="321"/>
        <v>16.329632540031525</v>
      </c>
      <c r="DA102" s="1470"/>
      <c r="DB102" s="293"/>
      <c r="DC102" s="293"/>
      <c r="DD102" s="309"/>
      <c r="DE102" s="293"/>
      <c r="DF102" s="154">
        <f>27/44</f>
        <v>0.61363636363636365</v>
      </c>
      <c r="DG102" s="311"/>
      <c r="DH102" s="311"/>
      <c r="DI102" s="312"/>
      <c r="DJ102" s="311"/>
    </row>
    <row r="103" spans="1:114">
      <c r="A103" s="170" t="str">
        <f>$A$13</f>
        <v>4Q</v>
      </c>
      <c r="B103" s="170" t="str">
        <f>$B$13</f>
        <v>Jan</v>
      </c>
      <c r="C103" s="209"/>
      <c r="D103" s="316">
        <f>D93/D113</f>
        <v>1.8429218676123269E-2</v>
      </c>
      <c r="E103" s="168"/>
      <c r="F103" s="170"/>
      <c r="G103" s="170"/>
      <c r="H103" s="316">
        <f>H93/H113</f>
        <v>2.5434150820531697E-2</v>
      </c>
      <c r="I103" s="168">
        <f t="shared" si="299"/>
        <v>38.00992471527811</v>
      </c>
      <c r="J103" s="170"/>
      <c r="K103" s="170"/>
      <c r="L103" s="316">
        <f>L93/L113</f>
        <v>2.0094207733299521E-2</v>
      </c>
      <c r="M103" s="168">
        <f t="shared" si="300"/>
        <v>-20.995169545513235</v>
      </c>
      <c r="N103" s="170"/>
      <c r="O103" s="170"/>
      <c r="P103" s="316">
        <f>P93/P113</f>
        <v>2.6670246170423684E-2</v>
      </c>
      <c r="Q103" s="168">
        <f t="shared" si="301"/>
        <v>32.726039883754908</v>
      </c>
      <c r="R103" s="170"/>
      <c r="S103" s="170"/>
      <c r="T103" s="316">
        <f>T93/T113</f>
        <v>3.6390220397422478E-2</v>
      </c>
      <c r="U103" s="168">
        <f t="shared" si="302"/>
        <v>36.445011286689535</v>
      </c>
      <c r="V103" s="170"/>
      <c r="W103" s="170"/>
      <c r="X103" s="316">
        <f>X93/X113</f>
        <v>3.7480341686558373E-2</v>
      </c>
      <c r="Y103" s="168">
        <f t="shared" si="303"/>
        <v>2.9956435471688136</v>
      </c>
      <c r="Z103" s="170"/>
      <c r="AA103" s="170"/>
      <c r="AB103" s="316">
        <f>AB93/AB113</f>
        <v>2.4678798948699017E-2</v>
      </c>
      <c r="AC103" s="168">
        <f t="shared" si="304"/>
        <v>-34.155352277512428</v>
      </c>
      <c r="AD103" s="170"/>
      <c r="AE103" s="170"/>
      <c r="AF103" s="316">
        <f>AF93/AF113</f>
        <v>4.0670471504030824E-2</v>
      </c>
      <c r="AG103" s="168">
        <f t="shared" si="305"/>
        <v>64.79923349825269</v>
      </c>
      <c r="AH103" s="170"/>
      <c r="AI103" s="170"/>
      <c r="AJ103" s="316">
        <f>AJ93/AJ113</f>
        <v>5.3030659457046055E-2</v>
      </c>
      <c r="AK103" s="168">
        <f t="shared" si="306"/>
        <v>30.391061366943383</v>
      </c>
      <c r="AL103" s="170"/>
      <c r="AM103" s="170"/>
      <c r="AN103" s="316">
        <f>AN93/AN113</f>
        <v>0.11194146529816995</v>
      </c>
      <c r="AO103" s="168">
        <f t="shared" si="322"/>
        <v>111.08820151263754</v>
      </c>
      <c r="AP103" s="170"/>
      <c r="AQ103" s="317">
        <v>0.48</v>
      </c>
      <c r="AR103" s="209"/>
      <c r="AS103" s="170"/>
      <c r="AT103" s="170"/>
      <c r="AU103" s="316">
        <f>AU93/AU113</f>
        <v>0.16005744570259756</v>
      </c>
      <c r="AV103" s="168">
        <f t="shared" si="307"/>
        <v>42.983161133602032</v>
      </c>
      <c r="AW103" s="318"/>
      <c r="AX103" s="170"/>
      <c r="AY103" s="316">
        <f>AY93/AY113</f>
        <v>0.20877979790059245</v>
      </c>
      <c r="AZ103" s="168">
        <f>IF(AU103&lt;0,"       NM",(AY103/AU103-1)*100)</f>
        <v>30.440540884630774</v>
      </c>
      <c r="BA103" s="319"/>
      <c r="BB103" s="170"/>
      <c r="BC103" s="316">
        <f>BC93/BC113</f>
        <v>0.21194597032111046</v>
      </c>
      <c r="BD103" s="168">
        <f t="shared" si="309"/>
        <v>1.5165128294766905</v>
      </c>
      <c r="BE103" s="319"/>
      <c r="BF103" s="170"/>
      <c r="BG103" s="316">
        <f>BG93/BG113</f>
        <v>0.31519708565652915</v>
      </c>
      <c r="BH103" s="168">
        <f t="shared" si="310"/>
        <v>48.715771844582491</v>
      </c>
      <c r="BI103" s="319"/>
      <c r="BJ103" s="170"/>
      <c r="BK103" s="316">
        <f>BK93/BK113</f>
        <v>0.23847487176248308</v>
      </c>
      <c r="BL103" s="168">
        <f t="shared" si="311"/>
        <v>-24.341028957878883</v>
      </c>
      <c r="BM103" s="319"/>
      <c r="BN103" s="170"/>
      <c r="BO103" s="316">
        <f>BO93/BO113</f>
        <v>0.45049458331518782</v>
      </c>
      <c r="BP103" s="168">
        <f t="shared" si="312"/>
        <v>88.906520836238357</v>
      </c>
      <c r="BQ103" s="319"/>
      <c r="BR103" s="25"/>
      <c r="BS103" s="320">
        <f>BS93/BS113</f>
        <v>0.44870711632680416</v>
      </c>
      <c r="BT103" s="23">
        <f t="shared" si="313"/>
        <v>-0.3967787970345138</v>
      </c>
      <c r="BU103" s="307"/>
      <c r="BV103" s="25"/>
      <c r="BW103" s="320">
        <f>BW93/BW113</f>
        <v>0.25724171056459844</v>
      </c>
      <c r="BX103" s="23">
        <f t="shared" si="314"/>
        <v>-42.670463381453672</v>
      </c>
      <c r="BY103" s="321"/>
      <c r="BZ103" s="25"/>
      <c r="CA103" s="320">
        <f>CA93/CA113</f>
        <v>0.55655153907727672</v>
      </c>
      <c r="CB103" s="23">
        <f t="shared" si="315"/>
        <v>116.35353685673606</v>
      </c>
      <c r="CC103" s="321"/>
      <c r="CD103" s="293"/>
      <c r="CE103" s="320">
        <f>CE93/CE113</f>
        <v>0.59437291673405257</v>
      </c>
      <c r="CF103" s="23">
        <f t="shared" si="316"/>
        <v>6.7956649117314472</v>
      </c>
      <c r="CG103" s="293"/>
      <c r="CH103" s="293"/>
      <c r="CI103" s="320">
        <f>CI93/CI113</f>
        <v>0.60383086307845257</v>
      </c>
      <c r="CJ103" s="23">
        <f t="shared" si="317"/>
        <v>1.5912478644500405</v>
      </c>
      <c r="CK103" s="309"/>
      <c r="CL103" s="293"/>
      <c r="CM103" s="320">
        <f>CM93/CM113</f>
        <v>0.61445457035133844</v>
      </c>
      <c r="CN103" s="23">
        <f t="shared" si="318"/>
        <v>1.7593846095782517</v>
      </c>
      <c r="CO103" s="309"/>
      <c r="CP103" s="293"/>
      <c r="CQ103" s="320">
        <f>CQ93/CQ113</f>
        <v>0.57302440302345825</v>
      </c>
      <c r="CR103" s="23">
        <f t="shared" si="319"/>
        <v>-6.7425924270025135</v>
      </c>
      <c r="CS103" s="309"/>
      <c r="CT103" s="293"/>
      <c r="CU103" s="320">
        <f>CU93/CU113</f>
        <v>0.68712429928777197</v>
      </c>
      <c r="CV103" s="23">
        <f t="shared" si="320"/>
        <v>19.911873850797022</v>
      </c>
      <c r="CW103" s="1470"/>
      <c r="CX103" s="293"/>
      <c r="CY103" s="320">
        <f>CY93/CY113</f>
        <v>0.65387520177320824</v>
      </c>
      <c r="CZ103" s="23">
        <f t="shared" si="321"/>
        <v>-4.8388766849065785</v>
      </c>
      <c r="DA103" s="1470"/>
      <c r="DB103" s="293"/>
      <c r="DC103" s="293"/>
      <c r="DD103" s="309">
        <f>SUM(CQ100:CQ103)</f>
        <v>1.8830633719779915</v>
      </c>
      <c r="DE103" s="293"/>
      <c r="DF103" s="154"/>
      <c r="DG103" s="311"/>
      <c r="DH103" s="311"/>
      <c r="DI103" s="312"/>
      <c r="DJ103" s="311"/>
    </row>
    <row r="104" spans="1:114">
      <c r="A104" s="170"/>
      <c r="B104" s="170" t="str">
        <f>$B$14</f>
        <v>Year</v>
      </c>
      <c r="C104" s="170"/>
      <c r="D104" s="301">
        <f>D94/D114</f>
        <v>7.713815647231087E-2</v>
      </c>
      <c r="E104" s="168"/>
      <c r="F104" s="170"/>
      <c r="G104" s="170"/>
      <c r="H104" s="301">
        <f>H94/H114</f>
        <v>8.73161055280261E-2</v>
      </c>
      <c r="I104" s="168">
        <f t="shared" si="299"/>
        <v>13.194441663081037</v>
      </c>
      <c r="J104" s="170"/>
      <c r="K104" s="170"/>
      <c r="L104" s="301">
        <f>L94/L114</f>
        <v>9.3524499102249414E-2</v>
      </c>
      <c r="M104" s="168">
        <f t="shared" si="300"/>
        <v>7.1102502071975549</v>
      </c>
      <c r="N104" s="170"/>
      <c r="O104" s="170"/>
      <c r="P104" s="301">
        <f>P94/P114</f>
        <v>9.7225249249420248E-2</v>
      </c>
      <c r="Q104" s="168">
        <f t="shared" si="301"/>
        <v>3.956984728808699</v>
      </c>
      <c r="R104" s="170"/>
      <c r="S104" s="170"/>
      <c r="T104" s="301">
        <f>T94/T114</f>
        <v>0.10989112732819019</v>
      </c>
      <c r="U104" s="168">
        <f t="shared" si="302"/>
        <v>13.027354701119954</v>
      </c>
      <c r="V104" s="170"/>
      <c r="W104" s="170"/>
      <c r="X104" s="301">
        <f>X94/X114</f>
        <v>0.13085369962356733</v>
      </c>
      <c r="Y104" s="168">
        <f t="shared" si="303"/>
        <v>19.075764172272393</v>
      </c>
      <c r="Z104" s="170"/>
      <c r="AA104" s="170"/>
      <c r="AB104" s="301">
        <f>AB94/AB114</f>
        <v>7.6021131484178606E-2</v>
      </c>
      <c r="AC104" s="168">
        <f t="shared" si="304"/>
        <v>-41.903720183019679</v>
      </c>
      <c r="AD104" s="170"/>
      <c r="AE104" s="170"/>
      <c r="AF104" s="301">
        <f>AF94/AF114</f>
        <v>0.10757115724172149</v>
      </c>
      <c r="AG104" s="168">
        <f t="shared" si="305"/>
        <v>41.501652424246039</v>
      </c>
      <c r="AH104" s="170"/>
      <c r="AI104" s="170"/>
      <c r="AJ104" s="301">
        <f>AJ94/AJ114</f>
        <v>0.17673535772737292</v>
      </c>
      <c r="AK104" s="168">
        <f t="shared" si="306"/>
        <v>64.2962316843293</v>
      </c>
      <c r="AL104" s="170"/>
      <c r="AM104" s="170"/>
      <c r="AN104" s="301">
        <f>AN94/AN114</f>
        <v>0.29924111670925635</v>
      </c>
      <c r="AO104" s="168">
        <f t="shared" si="322"/>
        <v>69.315931207640659</v>
      </c>
      <c r="AP104" s="170"/>
      <c r="AQ104" s="322">
        <v>1.6</v>
      </c>
      <c r="AR104" s="323"/>
      <c r="AS104" s="170"/>
      <c r="AT104" s="170"/>
      <c r="AU104" s="301">
        <f>AU94/AU114</f>
        <v>0.54086978668520891</v>
      </c>
      <c r="AV104" s="168">
        <f t="shared" si="307"/>
        <v>80.747148865481535</v>
      </c>
      <c r="AW104" s="303"/>
      <c r="AX104" s="170"/>
      <c r="AY104" s="301">
        <f>AY94/AY114</f>
        <v>0.76967781072409436</v>
      </c>
      <c r="AZ104" s="168">
        <f>IF(AU104&lt;0,"       NM",(AY104/AU104-1)*100)</f>
        <v>42.303717026082246</v>
      </c>
      <c r="BA104" s="305"/>
      <c r="BB104" s="170"/>
      <c r="BC104" s="301">
        <f>BC94/BC114</f>
        <v>0.68902827452303361</v>
      </c>
      <c r="BD104" s="168">
        <f t="shared" si="309"/>
        <v>-10.478350171637096</v>
      </c>
      <c r="BE104" s="305"/>
      <c r="BF104" s="170"/>
      <c r="BG104" s="301">
        <f>BG94/BG114</f>
        <v>0.94455228159954896</v>
      </c>
      <c r="BH104" s="168">
        <f t="shared" si="310"/>
        <v>37.084691082292224</v>
      </c>
      <c r="BI104" s="305"/>
      <c r="BJ104" s="170"/>
      <c r="BK104" s="301">
        <f>BK94/BK114</f>
        <v>1.1669397312408096</v>
      </c>
      <c r="BL104" s="168">
        <f t="shared" si="311"/>
        <v>23.544218141600304</v>
      </c>
      <c r="BM104" s="305"/>
      <c r="BN104" s="170"/>
      <c r="BO104" s="301">
        <f>BO94/BO114</f>
        <v>1.2841948570475967</v>
      </c>
      <c r="BP104" s="168">
        <f t="shared" si="312"/>
        <v>10.048087546227391</v>
      </c>
      <c r="BQ104" s="305"/>
      <c r="BR104" s="25"/>
      <c r="BS104" s="306">
        <f>BS94/BS114</f>
        <v>1.6016631036697127</v>
      </c>
      <c r="BT104" s="23">
        <f t="shared" si="313"/>
        <v>24.721189691725233</v>
      </c>
      <c r="BU104" s="307"/>
      <c r="BV104" s="25"/>
      <c r="BW104" s="306">
        <f>BW94/BW114</f>
        <v>1.1860520595357917</v>
      </c>
      <c r="BX104" s="23">
        <f t="shared" si="314"/>
        <v>-25.948718128155512</v>
      </c>
      <c r="BY104" s="307"/>
      <c r="BZ104" s="25"/>
      <c r="CA104" s="306">
        <f>CA94/CA114</f>
        <v>1.6181151190203227</v>
      </c>
      <c r="CB104" s="23">
        <f t="shared" si="315"/>
        <v>36.428675791316948</v>
      </c>
      <c r="CC104" s="307"/>
      <c r="CD104" s="324"/>
      <c r="CE104" s="306">
        <f>CE94/CE114</f>
        <v>1.8922397729687559</v>
      </c>
      <c r="CF104" s="23">
        <f t="shared" si="316"/>
        <v>16.940985886986848</v>
      </c>
      <c r="CG104" s="324"/>
      <c r="CH104" s="324"/>
      <c r="CI104" s="306">
        <f>CI94/CI114</f>
        <v>1.7005731897327658</v>
      </c>
      <c r="CJ104" s="23">
        <f t="shared" si="317"/>
        <v>-10.129085434838014</v>
      </c>
      <c r="CK104" s="325"/>
      <c r="CL104" s="324"/>
      <c r="CM104" s="306">
        <f>CM94/CM114</f>
        <v>1.7814690743955242</v>
      </c>
      <c r="CN104" s="23">
        <f t="shared" si="318"/>
        <v>4.7569775385833735</v>
      </c>
      <c r="CO104" s="325"/>
      <c r="CP104" s="324"/>
      <c r="CQ104" s="306">
        <f>CQ94/CQ114</f>
        <v>1.8822141492607645</v>
      </c>
      <c r="CR104" s="23">
        <f t="shared" si="319"/>
        <v>5.6551683278265319</v>
      </c>
      <c r="CS104" s="325"/>
      <c r="CT104" s="324"/>
      <c r="CU104" s="315">
        <f>CU94/CU114</f>
        <v>1.6371602326812444</v>
      </c>
      <c r="CV104" s="23">
        <f t="shared" si="320"/>
        <v>-13.019449284012897</v>
      </c>
      <c r="CW104" s="325"/>
      <c r="CX104" s="324"/>
      <c r="CY104" s="315">
        <f>CY94/CY114</f>
        <v>2.1143326517144287</v>
      </c>
      <c r="CZ104" s="23">
        <f t="shared" si="321"/>
        <v>29.146348018220515</v>
      </c>
      <c r="DA104" s="325"/>
      <c r="DB104" s="324"/>
      <c r="DC104" s="324"/>
      <c r="DD104" s="325"/>
      <c r="DE104" s="324"/>
      <c r="DF104" s="154"/>
      <c r="DG104" s="311"/>
      <c r="DH104" s="311"/>
      <c r="DI104" s="312"/>
      <c r="DJ104" s="311"/>
    </row>
    <row r="105" spans="1:114" hidden="1" outlineLevel="1">
      <c r="A105" s="170" t="str">
        <f>$A$15</f>
        <v>6 Mos</v>
      </c>
      <c r="B105" s="170"/>
      <c r="C105" s="170"/>
      <c r="D105" s="313">
        <f>SUM(D100:D101)</f>
        <v>3.0569097119886139E-2</v>
      </c>
      <c r="E105" s="168"/>
      <c r="F105" s="170"/>
      <c r="G105" s="170"/>
      <c r="H105" s="313">
        <f>SUM(H100:H101)</f>
        <v>3.2454935865338097E-2</v>
      </c>
      <c r="I105" s="168">
        <f t="shared" si="299"/>
        <v>6.1691018810796416</v>
      </c>
      <c r="J105" s="170"/>
      <c r="K105" s="170"/>
      <c r="L105" s="313">
        <f>SUM(L100:L101)</f>
        <v>4.0657510863169904E-2</v>
      </c>
      <c r="M105" s="168">
        <f t="shared" si="300"/>
        <v>25.273736580056429</v>
      </c>
      <c r="N105" s="170"/>
      <c r="O105" s="170"/>
      <c r="P105" s="313">
        <f>SUM(P100:P101)</f>
        <v>3.7111830549344194E-2</v>
      </c>
      <c r="Q105" s="168">
        <f t="shared" si="301"/>
        <v>-8.720849453274349</v>
      </c>
      <c r="R105" s="170"/>
      <c r="S105" s="170"/>
      <c r="T105" s="313">
        <f>SUM(T100:T101)</f>
        <v>3.8444839699231646E-2</v>
      </c>
      <c r="U105" s="168">
        <f t="shared" si="302"/>
        <v>3.5918711908189849</v>
      </c>
      <c r="V105" s="170"/>
      <c r="W105" s="170"/>
      <c r="X105" s="313">
        <f>SUM(X100:X101)</f>
        <v>5.0327972033229376E-2</v>
      </c>
      <c r="Y105" s="168">
        <f t="shared" si="303"/>
        <v>30.909564006415202</v>
      </c>
      <c r="Z105" s="170"/>
      <c r="AA105" s="170"/>
      <c r="AB105" s="313">
        <f>SUM(AB100:AB101)</f>
        <v>3.4172318675674218E-2</v>
      </c>
      <c r="AC105" s="168">
        <f t="shared" si="304"/>
        <v>-32.100743790924625</v>
      </c>
      <c r="AD105" s="170"/>
      <c r="AE105" s="170"/>
      <c r="AF105" s="313">
        <f>SUM(AF100:AF101)</f>
        <v>3.1079771297329369E-2</v>
      </c>
      <c r="AG105" s="168">
        <f t="shared" si="305"/>
        <v>-9.0498611103796645</v>
      </c>
      <c r="AH105" s="170"/>
      <c r="AI105" s="170"/>
      <c r="AJ105" s="313">
        <f>SUM(AJ100:AJ101)</f>
        <v>7.2345535788624349E-2</v>
      </c>
      <c r="AK105" s="168">
        <f t="shared" si="306"/>
        <v>132.77370704089086</v>
      </c>
      <c r="AL105" s="170"/>
      <c r="AM105" s="170"/>
      <c r="AN105" s="313">
        <f>SUM(AN100:AN101)</f>
        <v>9.9299970024897224E-2</v>
      </c>
      <c r="AO105" s="168">
        <f t="shared" si="322"/>
        <v>37.257909479068665</v>
      </c>
      <c r="AP105" s="170"/>
      <c r="AQ105" s="176">
        <v>2003</v>
      </c>
      <c r="AR105" s="326"/>
      <c r="AS105" s="170"/>
      <c r="AT105" s="170"/>
      <c r="AU105" s="313">
        <f>SUM(AU100:AU101)</f>
        <v>0.22462112568898124</v>
      </c>
      <c r="AV105" s="168">
        <f t="shared" si="307"/>
        <v>126.20462587517656</v>
      </c>
      <c r="AW105" s="170"/>
      <c r="AX105" s="170"/>
      <c r="AY105" s="313">
        <f>SUM(AY100:AY101)</f>
        <v>0.34249414487381291</v>
      </c>
      <c r="AZ105" s="168">
        <f t="shared" si="308"/>
        <v>52.4763727468996</v>
      </c>
      <c r="BA105" s="170"/>
      <c r="BB105" s="170"/>
      <c r="BC105" s="313">
        <f>SUM(BC100:BC101)</f>
        <v>0.27302294481463241</v>
      </c>
      <c r="BD105" s="168">
        <f t="shared" si="309"/>
        <v>-20.283908819748198</v>
      </c>
      <c r="BE105" s="170"/>
      <c r="BF105" s="170"/>
      <c r="BG105" s="313">
        <f>SUM(BG100:BG101)</f>
        <v>0.36174217721597413</v>
      </c>
      <c r="BH105" s="168">
        <f t="shared" si="310"/>
        <v>32.49515620805321</v>
      </c>
      <c r="BI105" s="170"/>
      <c r="BJ105" s="170"/>
      <c r="BK105" s="301">
        <f>SUM(BK100:BK101)</f>
        <v>0.58137845592273851</v>
      </c>
      <c r="BL105" s="168">
        <f t="shared" si="311"/>
        <v>60.716248350446847</v>
      </c>
      <c r="BM105" s="170"/>
      <c r="BN105" s="170"/>
      <c r="BO105" s="301">
        <f>SUM(BO100:BO101)</f>
        <v>0.46801283655840814</v>
      </c>
      <c r="BP105" s="168">
        <f t="shared" si="312"/>
        <v>-19.499453103125642</v>
      </c>
      <c r="BQ105" s="170"/>
      <c r="BR105" s="25"/>
      <c r="BS105" s="306">
        <f>SUM(BS100:BS101)</f>
        <v>0.72225270799006025</v>
      </c>
      <c r="BT105" s="23">
        <f t="shared" si="313"/>
        <v>54.323268844768727</v>
      </c>
      <c r="BU105" s="25"/>
      <c r="BV105" s="25"/>
      <c r="BW105" s="306">
        <f>SUM(BW100:BW101)</f>
        <v>0.59722638215064139</v>
      </c>
      <c r="BX105" s="23">
        <f t="shared" si="314"/>
        <v>-17.310606724805734</v>
      </c>
      <c r="BY105" s="25"/>
      <c r="BZ105" s="25"/>
      <c r="CA105" s="306">
        <f>SUM(CA100:CA101)</f>
        <v>0.65419008906955511</v>
      </c>
      <c r="CB105" s="23">
        <f t="shared" si="315"/>
        <v>9.5380426286234332</v>
      </c>
      <c r="CC105" s="25"/>
      <c r="CD105" s="294"/>
      <c r="CE105" s="306">
        <f>SUM(CE100:CE101)</f>
        <v>0.82751620858571107</v>
      </c>
      <c r="CF105" s="23">
        <f t="shared" si="316"/>
        <v>26.494763893882144</v>
      </c>
      <c r="CG105" s="294"/>
      <c r="CH105" s="294"/>
      <c r="CI105" s="306">
        <f>SUM(CI100:CI101)</f>
        <v>0.74543167101301355</v>
      </c>
      <c r="CJ105" s="23">
        <f t="shared" si="317"/>
        <v>-9.9193872846293001</v>
      </c>
      <c r="CK105" s="294"/>
      <c r="CL105" s="294"/>
      <c r="CM105" s="306">
        <f>SUM(CM100:CM101)</f>
        <v>0.76456384539957734</v>
      </c>
      <c r="CN105" s="23">
        <f t="shared" si="318"/>
        <v>2.566589954591536</v>
      </c>
      <c r="CO105" s="294"/>
      <c r="CP105" s="294"/>
      <c r="CQ105" s="306">
        <f>SUM(CQ100:CQ101)</f>
        <v>0.90665279093869311</v>
      </c>
      <c r="CR105" s="23">
        <f t="shared" si="319"/>
        <v>18.584313971170975</v>
      </c>
      <c r="CS105" s="294"/>
      <c r="CT105" s="294"/>
      <c r="CU105" s="306">
        <f>SUM(CU100:CU101)</f>
        <v>0.54120966016695893</v>
      </c>
      <c r="CV105" s="23">
        <f t="shared" si="320"/>
        <v>-40.306844519099386</v>
      </c>
      <c r="CW105" s="1471"/>
      <c r="CX105" s="294"/>
      <c r="CY105" s="306">
        <f>SUM(CY100:CY101)</f>
        <v>0.98413613484670737</v>
      </c>
      <c r="CZ105" s="23">
        <f t="shared" si="321"/>
        <v>81.840090316035585</v>
      </c>
      <c r="DA105" s="1471"/>
      <c r="DB105" s="294"/>
      <c r="DC105" s="294"/>
      <c r="DD105" s="294"/>
      <c r="DE105" s="294"/>
      <c r="DF105" s="295"/>
      <c r="DG105" s="39"/>
      <c r="DH105" s="39"/>
      <c r="DI105" s="39"/>
      <c r="DJ105" s="39"/>
    </row>
    <row r="106" spans="1:114" hidden="1" outlineLevel="1">
      <c r="A106" s="170" t="str">
        <f>$A$16</f>
        <v>9 Mos</v>
      </c>
      <c r="B106" s="170"/>
      <c r="C106" s="170"/>
      <c r="D106" s="313">
        <f>SUM(D100:D102)</f>
        <v>5.8704226762239395E-2</v>
      </c>
      <c r="E106" s="168"/>
      <c r="F106" s="170"/>
      <c r="G106" s="170"/>
      <c r="H106" s="313">
        <f>SUM(H100:H102)</f>
        <v>6.1863821239655628E-2</v>
      </c>
      <c r="I106" s="168">
        <f t="shared" si="299"/>
        <v>5.3822265476948461</v>
      </c>
      <c r="J106" s="170"/>
      <c r="K106" s="170"/>
      <c r="L106" s="313">
        <f>SUM(L100:L102)</f>
        <v>7.3111683637414798E-2</v>
      </c>
      <c r="M106" s="168">
        <f t="shared" si="300"/>
        <v>18.181648291956986</v>
      </c>
      <c r="N106" s="170"/>
      <c r="O106" s="170"/>
      <c r="P106" s="313">
        <f>SUM(P100:P102)</f>
        <v>7.0484411843082295E-2</v>
      </c>
      <c r="Q106" s="168">
        <f t="shared" si="301"/>
        <v>-3.5935047089901806</v>
      </c>
      <c r="R106" s="170"/>
      <c r="S106" s="170"/>
      <c r="T106" s="313">
        <f>SUM(T100:T102)</f>
        <v>7.3658563996150311E-2</v>
      </c>
      <c r="U106" s="168">
        <f t="shared" si="302"/>
        <v>4.5033392065958466</v>
      </c>
      <c r="V106" s="170"/>
      <c r="W106" s="170"/>
      <c r="X106" s="313">
        <f>SUM(X100:X102)</f>
        <v>9.3181920599807622E-2</v>
      </c>
      <c r="Y106" s="168">
        <f t="shared" si="303"/>
        <v>26.505209366663294</v>
      </c>
      <c r="Z106" s="170"/>
      <c r="AA106" s="170"/>
      <c r="AB106" s="313">
        <f>SUM(AB100:AB102)</f>
        <v>5.1255622101770107E-2</v>
      </c>
      <c r="AC106" s="168">
        <f t="shared" si="304"/>
        <v>-44.994026983088474</v>
      </c>
      <c r="AD106" s="170"/>
      <c r="AE106" s="170"/>
      <c r="AF106" s="313">
        <f>SUM(AF100:AF102)</f>
        <v>6.6561214157115189E-2</v>
      </c>
      <c r="AG106" s="168">
        <f t="shared" si="305"/>
        <v>29.861294093661005</v>
      </c>
      <c r="AH106" s="170"/>
      <c r="AI106" s="170"/>
      <c r="AJ106" s="313">
        <f>SUM(AJ100:AJ102)</f>
        <v>0.12332254387497765</v>
      </c>
      <c r="AK106" s="168">
        <f t="shared" si="306"/>
        <v>85.276884498950878</v>
      </c>
      <c r="AL106" s="170"/>
      <c r="AM106" s="170"/>
      <c r="AN106" s="313">
        <f>SUM(AN100:AN102)</f>
        <v>0.18571498494628647</v>
      </c>
      <c r="AO106" s="168">
        <f t="shared" si="322"/>
        <v>50.59289170564081</v>
      </c>
      <c r="AP106" s="170"/>
      <c r="AQ106" s="170"/>
      <c r="AR106" s="170"/>
      <c r="AS106" s="170"/>
      <c r="AT106" s="170"/>
      <c r="AU106" s="313">
        <f>SUM(AU100:AU102)</f>
        <v>0.37945675490634323</v>
      </c>
      <c r="AV106" s="168">
        <f t="shared" si="307"/>
        <v>104.32209873430077</v>
      </c>
      <c r="AW106" s="170"/>
      <c r="AX106" s="170"/>
      <c r="AY106" s="313">
        <f>SUM(AY100:AY102)</f>
        <v>0.56067208734450125</v>
      </c>
      <c r="AZ106" s="168">
        <f t="shared" si="308"/>
        <v>47.756517730955991</v>
      </c>
      <c r="BA106" s="170"/>
      <c r="BB106" s="170"/>
      <c r="BC106" s="313">
        <f>SUM(BC100:BC102)</f>
        <v>0.47808872797974655</v>
      </c>
      <c r="BD106" s="168">
        <f t="shared" si="309"/>
        <v>-14.729350939493424</v>
      </c>
      <c r="BE106" s="170"/>
      <c r="BF106" s="170"/>
      <c r="BG106" s="313">
        <f>SUM(BG100:BG102)</f>
        <v>0.62879956453662567</v>
      </c>
      <c r="BH106" s="168">
        <f t="shared" si="310"/>
        <v>31.523612195111973</v>
      </c>
      <c r="BI106" s="170"/>
      <c r="BJ106" s="170"/>
      <c r="BK106" s="301">
        <f>SUM(BK100:BK102)</f>
        <v>0.92787851884622374</v>
      </c>
      <c r="BL106" s="168">
        <f t="shared" si="311"/>
        <v>47.563479871363313</v>
      </c>
      <c r="BM106" s="170"/>
      <c r="BN106" s="170"/>
      <c r="BO106" s="301">
        <f>SUM(BO100:BO102)</f>
        <v>0.83193362506216006</v>
      </c>
      <c r="BP106" s="168">
        <f t="shared" si="312"/>
        <v>-10.340243020537532</v>
      </c>
      <c r="BQ106" s="170"/>
      <c r="BR106" s="25"/>
      <c r="BS106" s="306">
        <f>SUM(BS100:BS102)</f>
        <v>1.1559215423543048</v>
      </c>
      <c r="BT106" s="23">
        <f t="shared" si="313"/>
        <v>38.943962298427003</v>
      </c>
      <c r="BU106" s="25"/>
      <c r="BV106" s="25"/>
      <c r="BW106" s="306">
        <f>SUM(BW100:BW102)</f>
        <v>0.92752300564633527</v>
      </c>
      <c r="BX106" s="23">
        <f t="shared" si="314"/>
        <v>-19.758999926827425</v>
      </c>
      <c r="BY106" s="25"/>
      <c r="BZ106" s="25"/>
      <c r="CA106" s="306">
        <f>SUM(CA100:CA102)</f>
        <v>1.0586310476854579</v>
      </c>
      <c r="CB106" s="23">
        <f t="shared" si="315"/>
        <v>14.135287345003512</v>
      </c>
      <c r="CC106" s="25"/>
      <c r="CD106" s="294"/>
      <c r="CE106" s="306">
        <f>SUM(CE100:CE102)</f>
        <v>1.2974088053852779</v>
      </c>
      <c r="CF106" s="23">
        <f t="shared" si="316"/>
        <v>22.555332967219567</v>
      </c>
      <c r="CG106" s="294"/>
      <c r="CH106" s="294"/>
      <c r="CI106" s="306">
        <f>SUM(CI100:CI102)</f>
        <v>1.0922028082559572</v>
      </c>
      <c r="CJ106" s="23">
        <f t="shared" si="317"/>
        <v>-15.816602776052758</v>
      </c>
      <c r="CK106" s="294"/>
      <c r="CL106" s="294"/>
      <c r="CM106" s="306">
        <f>SUM(CM100:CM102)</f>
        <v>1.1848003040184298</v>
      </c>
      <c r="CN106" s="23">
        <f t="shared" si="318"/>
        <v>8.4780495950503401</v>
      </c>
      <c r="CO106" s="294"/>
      <c r="CP106" s="294"/>
      <c r="CQ106" s="306">
        <f>SUM(CQ100:CQ102)</f>
        <v>1.3100389689545333</v>
      </c>
      <c r="CR106" s="23">
        <f t="shared" si="319"/>
        <v>10.570445037137265</v>
      </c>
      <c r="CS106" s="294"/>
      <c r="CT106" s="294"/>
      <c r="CU106" s="306">
        <f>SUM(CU100:CU102)</f>
        <v>0.95076366537388579</v>
      </c>
      <c r="CV106" s="23">
        <f t="shared" si="320"/>
        <v>-27.424779880201921</v>
      </c>
      <c r="CW106" s="1471"/>
      <c r="CX106" s="294"/>
      <c r="CY106" s="306">
        <f>SUM(CY100:CY102)</f>
        <v>1.4605688041569069</v>
      </c>
      <c r="CZ106" s="23">
        <f t="shared" si="321"/>
        <v>53.620595459181899</v>
      </c>
      <c r="DA106" s="1471"/>
      <c r="DB106" s="294"/>
      <c r="DC106" s="294"/>
      <c r="DD106" s="294"/>
      <c r="DE106" s="294"/>
      <c r="DF106" s="295"/>
      <c r="DG106" s="39"/>
      <c r="DH106" s="39"/>
      <c r="DI106" s="39"/>
      <c r="DJ106" s="39"/>
    </row>
    <row r="107" spans="1:114" collapsed="1">
      <c r="A107" s="170"/>
      <c r="B107" s="170"/>
      <c r="C107" s="170"/>
      <c r="D107" s="170"/>
      <c r="E107" s="170"/>
      <c r="F107" s="170"/>
      <c r="G107" s="170"/>
      <c r="H107" s="170"/>
      <c r="I107" s="170"/>
      <c r="J107" s="170"/>
      <c r="K107" s="170"/>
      <c r="L107" s="170"/>
      <c r="M107" s="170"/>
      <c r="N107" s="170"/>
      <c r="O107" s="170"/>
      <c r="P107" s="170"/>
      <c r="Q107" s="170"/>
      <c r="R107" s="170"/>
      <c r="S107" s="170"/>
      <c r="T107" s="170"/>
      <c r="U107" s="170"/>
      <c r="V107" s="170"/>
      <c r="W107" s="170"/>
      <c r="X107" s="170"/>
      <c r="Y107" s="170"/>
      <c r="Z107" s="170"/>
      <c r="AA107" s="170"/>
      <c r="AB107" s="170"/>
      <c r="AC107" s="170"/>
      <c r="AD107" s="170"/>
      <c r="AE107" s="170"/>
      <c r="AF107" s="170"/>
      <c r="AG107" s="170"/>
      <c r="AH107" s="170"/>
      <c r="AI107" s="170"/>
      <c r="AJ107" s="170"/>
      <c r="AK107" s="170"/>
      <c r="AL107" s="170"/>
      <c r="AM107" s="170"/>
      <c r="AN107" s="170"/>
      <c r="AO107" s="170"/>
      <c r="AP107" s="170"/>
      <c r="AQ107" s="170"/>
      <c r="AR107" s="170"/>
      <c r="AS107" s="170"/>
      <c r="AT107" s="170"/>
      <c r="AU107" s="170"/>
      <c r="AV107" s="170"/>
      <c r="AW107" s="170"/>
      <c r="AX107" s="170"/>
      <c r="AY107" s="170"/>
      <c r="AZ107" s="170"/>
      <c r="BA107" s="170"/>
      <c r="BB107" s="170"/>
      <c r="BC107" s="301"/>
      <c r="BD107" s="327"/>
      <c r="BE107" s="170"/>
      <c r="BF107" s="328"/>
      <c r="BG107" s="301"/>
      <c r="BH107" s="285"/>
      <c r="BI107" s="285"/>
      <c r="BJ107" s="170"/>
      <c r="BK107" s="301"/>
      <c r="BL107" s="285"/>
      <c r="BM107" s="285"/>
      <c r="BN107" s="170"/>
      <c r="BO107" s="285"/>
      <c r="BP107" s="285"/>
      <c r="BQ107" s="285"/>
      <c r="BR107" s="25"/>
      <c r="BS107" s="23"/>
      <c r="BT107" s="291"/>
      <c r="BU107" s="291"/>
      <c r="BV107" s="25"/>
      <c r="BW107" s="23"/>
      <c r="BX107" s="291"/>
      <c r="BY107" s="291"/>
      <c r="BZ107" s="25"/>
      <c r="CA107" s="329"/>
      <c r="CB107" s="291"/>
      <c r="CC107" s="308"/>
      <c r="CD107" s="294"/>
      <c r="CE107" s="330"/>
      <c r="CF107" s="294"/>
      <c r="CG107" s="294"/>
      <c r="CH107" s="294"/>
      <c r="CI107" s="330"/>
      <c r="CJ107" s="294"/>
      <c r="CK107" s="294"/>
      <c r="CL107" s="294"/>
      <c r="CM107" s="330"/>
      <c r="CN107" s="294"/>
      <c r="CO107" s="294"/>
      <c r="CP107" s="294"/>
      <c r="CQ107" s="330"/>
      <c r="CR107" s="294"/>
      <c r="CS107" s="294" t="s">
        <v>687</v>
      </c>
      <c r="CT107" s="294"/>
      <c r="CU107" s="330"/>
      <c r="CV107" s="294"/>
      <c r="CW107" s="1471" t="s">
        <v>687</v>
      </c>
      <c r="CX107" s="294"/>
      <c r="CY107" s="330"/>
      <c r="CZ107" s="294"/>
      <c r="DA107" s="1471" t="s">
        <v>687</v>
      </c>
      <c r="DB107" s="294"/>
      <c r="DC107" s="294"/>
      <c r="DD107" s="294"/>
      <c r="DE107" s="294"/>
      <c r="DF107" s="295"/>
      <c r="DG107" s="39"/>
      <c r="DH107" s="39"/>
      <c r="DI107" s="39"/>
      <c r="DJ107" s="39"/>
    </row>
    <row r="108" spans="1:114">
      <c r="A108" s="170"/>
      <c r="B108" s="170"/>
      <c r="C108" s="184"/>
      <c r="D108" s="185"/>
      <c r="E108" s="170"/>
      <c r="F108" s="170"/>
      <c r="G108" s="170"/>
      <c r="H108" s="186"/>
      <c r="I108" s="187"/>
      <c r="J108" s="187"/>
      <c r="K108" s="187"/>
      <c r="L108" s="186"/>
      <c r="M108" s="187"/>
      <c r="N108" s="187"/>
      <c r="O108" s="187"/>
      <c r="P108" s="186"/>
      <c r="Q108" s="187"/>
      <c r="R108" s="187"/>
      <c r="S108" s="187"/>
      <c r="T108" s="186"/>
      <c r="U108" s="187"/>
      <c r="V108" s="187"/>
      <c r="W108" s="187"/>
      <c r="X108" s="170"/>
      <c r="Y108" s="187"/>
      <c r="Z108" s="187"/>
      <c r="AA108" s="187"/>
      <c r="AB108" s="170"/>
      <c r="AC108" s="187"/>
      <c r="AD108" s="187"/>
      <c r="AE108" s="187"/>
      <c r="AF108" s="186"/>
      <c r="AG108" s="187"/>
      <c r="AH108" s="187"/>
      <c r="AI108" s="187"/>
      <c r="AJ108" s="186"/>
      <c r="AK108" s="187"/>
      <c r="AL108" s="187"/>
      <c r="AM108" s="187"/>
      <c r="AN108" s="186"/>
      <c r="AO108" s="187"/>
      <c r="AP108" s="187"/>
      <c r="AQ108" s="170"/>
      <c r="AR108" s="170"/>
      <c r="AS108" s="170"/>
      <c r="AT108" s="187"/>
      <c r="AU108" s="186" t="s">
        <v>667</v>
      </c>
      <c r="AV108" s="187"/>
      <c r="AW108" s="187"/>
      <c r="AX108" s="187"/>
      <c r="AY108" s="186" t="s">
        <v>667</v>
      </c>
      <c r="AZ108" s="187"/>
      <c r="BA108" s="187"/>
      <c r="BB108" s="187"/>
      <c r="BC108" s="186"/>
      <c r="BD108" s="187"/>
      <c r="BE108" s="187"/>
      <c r="BF108" s="187"/>
      <c r="BG108" s="186"/>
      <c r="BH108" s="187"/>
      <c r="BI108" s="187"/>
      <c r="BJ108" s="187"/>
      <c r="BK108" s="186"/>
      <c r="BL108" s="187"/>
      <c r="BM108" s="187"/>
      <c r="BN108" s="187"/>
      <c r="BO108" s="186"/>
      <c r="BP108" s="187"/>
      <c r="BQ108" s="187"/>
      <c r="BR108" s="188"/>
      <c r="BS108" s="189" t="str">
        <f>AY108</f>
        <v>10.  Average Shares Outstanding -- Fully Diluted   (c)</v>
      </c>
      <c r="BT108" s="188"/>
      <c r="BU108" s="188"/>
      <c r="BV108" s="188"/>
      <c r="BW108" s="189"/>
      <c r="BX108" s="188"/>
      <c r="BY108" s="188"/>
      <c r="BZ108" s="188"/>
      <c r="CA108" s="189"/>
      <c r="CB108" s="188"/>
      <c r="CC108" s="188"/>
      <c r="CD108" s="174"/>
      <c r="CE108" s="174"/>
      <c r="CF108" s="174"/>
      <c r="CG108" s="174"/>
      <c r="CH108" s="174"/>
      <c r="CI108" s="174"/>
      <c r="CJ108" s="1004" t="str">
        <f>BS108</f>
        <v>10.  Average Shares Outstanding -- Fully Diluted   (c)</v>
      </c>
      <c r="CK108" s="1004"/>
      <c r="CL108" s="1004"/>
      <c r="CM108" s="1004"/>
      <c r="CN108" s="1004"/>
      <c r="CO108" s="1004"/>
      <c r="CP108" s="1004"/>
      <c r="CQ108" s="1004"/>
      <c r="CR108" s="1004"/>
      <c r="CS108" s="174"/>
      <c r="CT108" s="1004"/>
      <c r="CU108" s="1765"/>
      <c r="CV108" s="1004"/>
      <c r="CW108" s="1463"/>
      <c r="CX108" s="1004"/>
      <c r="CY108" s="1004"/>
      <c r="CZ108" s="1004"/>
      <c r="DA108" s="1463"/>
      <c r="DB108" s="174"/>
      <c r="DC108" s="174"/>
      <c r="DD108" s="174"/>
      <c r="DE108" s="1270"/>
      <c r="DF108" s="175"/>
      <c r="DG108" s="25"/>
      <c r="DH108" s="25"/>
      <c r="DI108" s="25"/>
      <c r="DJ108" s="25"/>
    </row>
    <row r="109" spans="1:114">
      <c r="A109" s="170"/>
      <c r="B109" s="170"/>
      <c r="C109" s="170"/>
      <c r="D109" s="170"/>
      <c r="E109" s="170"/>
      <c r="F109" s="170"/>
      <c r="G109" s="170"/>
      <c r="H109" s="170"/>
      <c r="I109" s="170"/>
      <c r="J109" s="170"/>
      <c r="K109" s="170"/>
      <c r="L109" s="170"/>
      <c r="M109" s="170"/>
      <c r="N109" s="170"/>
      <c r="O109" s="170"/>
      <c r="P109" s="170"/>
      <c r="Q109" s="170"/>
      <c r="R109" s="170"/>
      <c r="S109" s="170"/>
      <c r="T109" s="170"/>
      <c r="U109" s="170"/>
      <c r="V109" s="170"/>
      <c r="W109" s="170"/>
      <c r="X109" s="170"/>
      <c r="Y109" s="170"/>
      <c r="Z109" s="170"/>
      <c r="AA109" s="170"/>
      <c r="AB109" s="170"/>
      <c r="AC109" s="170"/>
      <c r="AD109" s="170"/>
      <c r="AE109" s="170"/>
      <c r="AF109" s="170"/>
      <c r="AG109" s="170"/>
      <c r="AH109" s="170"/>
      <c r="AI109" s="170"/>
      <c r="AJ109" s="170"/>
      <c r="AK109" s="170"/>
      <c r="AL109" s="170"/>
      <c r="AM109" s="170"/>
      <c r="AN109" s="170"/>
      <c r="AO109" s="170"/>
      <c r="AP109" s="170"/>
      <c r="AQ109" s="170"/>
      <c r="AR109" s="170"/>
      <c r="AS109" s="170"/>
      <c r="AT109" s="170"/>
      <c r="AU109" s="170"/>
      <c r="AV109" s="170"/>
      <c r="AW109" s="170"/>
      <c r="AX109" s="170"/>
      <c r="AY109" s="170"/>
      <c r="AZ109" s="170"/>
      <c r="BA109" s="170"/>
      <c r="BB109" s="170"/>
      <c r="BC109" s="170"/>
      <c r="BD109" s="170"/>
      <c r="BE109" s="170"/>
      <c r="BF109" s="170"/>
      <c r="BG109" s="170"/>
      <c r="BH109" s="170"/>
      <c r="BI109" s="170"/>
      <c r="BJ109" s="170"/>
      <c r="BK109" s="170"/>
      <c r="BL109" s="170"/>
      <c r="BM109" s="170"/>
      <c r="BN109" s="170"/>
      <c r="BO109" s="170"/>
      <c r="BP109" s="170"/>
      <c r="BQ109" s="170"/>
      <c r="BR109" s="25"/>
      <c r="BS109" s="25"/>
      <c r="BT109" s="25"/>
      <c r="BU109" s="25"/>
      <c r="BV109" s="25"/>
      <c r="BW109" s="25"/>
      <c r="BX109" s="25"/>
      <c r="BY109" s="25"/>
      <c r="BZ109" s="25"/>
      <c r="CA109" s="25"/>
      <c r="CB109" s="25"/>
      <c r="CC109" s="25"/>
      <c r="CD109" s="174"/>
      <c r="CE109" s="174"/>
      <c r="CF109" s="174"/>
      <c r="CG109" s="174"/>
      <c r="CH109" s="174"/>
      <c r="CI109" s="174"/>
      <c r="CJ109" s="174"/>
      <c r="CK109" s="174"/>
      <c r="CL109" s="174"/>
      <c r="CM109" s="174"/>
      <c r="CN109" s="174"/>
      <c r="CO109" s="174"/>
      <c r="CP109" s="174"/>
      <c r="CQ109" s="174"/>
      <c r="CR109" s="174"/>
      <c r="CS109" s="174"/>
      <c r="CT109" s="174"/>
      <c r="CU109" s="174"/>
      <c r="CV109" s="174"/>
      <c r="CW109" s="1463"/>
      <c r="CX109" s="174"/>
      <c r="CY109" s="174"/>
      <c r="CZ109" s="174"/>
      <c r="DA109" s="1463"/>
      <c r="DB109" s="174"/>
      <c r="DC109" s="174"/>
      <c r="DD109" s="174"/>
      <c r="DE109" s="174"/>
      <c r="DF109" s="175"/>
      <c r="DG109" s="25"/>
      <c r="DH109" s="25"/>
      <c r="DI109" s="25"/>
      <c r="DJ109" s="25"/>
    </row>
    <row r="110" spans="1:114">
      <c r="A110" s="170" t="str">
        <f>$A$10</f>
        <v>1Q</v>
      </c>
      <c r="B110" s="170" t="str">
        <f>$B$10</f>
        <v>Apr</v>
      </c>
      <c r="C110" s="170"/>
      <c r="D110" s="204">
        <f>8.781806*2*2*2*2</f>
        <v>140.50889599999999</v>
      </c>
      <c r="E110" s="196"/>
      <c r="F110" s="196"/>
      <c r="G110" s="170"/>
      <c r="H110" s="204">
        <f>8.79474*2*2*2*2</f>
        <v>140.71583999999999</v>
      </c>
      <c r="I110" s="196"/>
      <c r="J110" s="196"/>
      <c r="K110" s="170"/>
      <c r="L110" s="204">
        <f>2*17.6868*2*2</f>
        <v>141.49440000000001</v>
      </c>
      <c r="M110" s="196"/>
      <c r="N110" s="196"/>
      <c r="O110" s="170"/>
      <c r="P110" s="204">
        <f>2*17.704068*2*2</f>
        <v>141.632544</v>
      </c>
      <c r="Q110" s="196"/>
      <c r="R110" s="196"/>
      <c r="S110" s="170"/>
      <c r="T110" s="204">
        <f>18.004852*2*2*2</f>
        <v>144.038816</v>
      </c>
      <c r="U110" s="196"/>
      <c r="V110" s="196"/>
      <c r="W110" s="196"/>
      <c r="X110" s="204">
        <f>2*17.668709*2*2</f>
        <v>141.349672</v>
      </c>
      <c r="Y110" s="170"/>
      <c r="Z110" s="170"/>
      <c r="AA110" s="170"/>
      <c r="AB110" s="204">
        <f>2*17.312167*2*2</f>
        <v>138.49733599999999</v>
      </c>
      <c r="AC110" s="170"/>
      <c r="AD110" s="170"/>
      <c r="AE110" s="170"/>
      <c r="AF110" s="204">
        <f>2*17.292362*2*2</f>
        <v>138.33889600000001</v>
      </c>
      <c r="AG110" s="170"/>
      <c r="AH110" s="170"/>
      <c r="AI110" s="170"/>
      <c r="AJ110" s="204">
        <f>2*18.112904*2*2</f>
        <v>144.903232</v>
      </c>
      <c r="AK110" s="170"/>
      <c r="AL110" s="170"/>
      <c r="AM110" s="170"/>
      <c r="AN110" s="204">
        <f>19.76622*2*2*2</f>
        <v>158.12976</v>
      </c>
      <c r="AO110" s="170"/>
      <c r="AP110" s="170"/>
      <c r="AQ110" s="331"/>
      <c r="AR110" s="170"/>
      <c r="AS110" s="170"/>
      <c r="AT110" s="170"/>
      <c r="AU110" s="204">
        <f>41.472332*2*2</f>
        <v>165.88932800000001</v>
      </c>
      <c r="AV110" s="220"/>
      <c r="AW110" s="170"/>
      <c r="AX110" s="170"/>
      <c r="AY110" s="204">
        <f>169.057896</f>
        <v>169.057896</v>
      </c>
      <c r="AZ110" s="220"/>
      <c r="BA110" s="170"/>
      <c r="BB110" s="170"/>
      <c r="BC110" s="204">
        <v>168.02087900000001</v>
      </c>
      <c r="BD110" s="220"/>
      <c r="BE110" s="170"/>
      <c r="BF110" s="170"/>
      <c r="BG110" s="204">
        <v>168.79977500000001</v>
      </c>
      <c r="BH110" s="220"/>
      <c r="BI110" s="170"/>
      <c r="BJ110" s="170"/>
      <c r="BK110" s="204">
        <v>170.60342</v>
      </c>
      <c r="BL110" s="220"/>
      <c r="BM110" s="170"/>
      <c r="BN110" s="170"/>
      <c r="BO110" s="204">
        <v>170.31670800000001</v>
      </c>
      <c r="BP110" s="220"/>
      <c r="BQ110" s="170"/>
      <c r="BR110" s="25"/>
      <c r="BS110" s="28">
        <v>172.81903700000001</v>
      </c>
      <c r="BT110" s="223"/>
      <c r="BU110" s="25"/>
      <c r="BV110" s="25"/>
      <c r="BW110" s="28">
        <v>165.29359400000001</v>
      </c>
      <c r="BX110" s="332"/>
      <c r="BY110" s="25"/>
      <c r="BZ110" s="25"/>
      <c r="CA110" s="28">
        <v>145.568667</v>
      </c>
      <c r="CB110" s="333"/>
      <c r="CC110" s="25"/>
      <c r="CD110" s="174"/>
      <c r="CE110" s="28">
        <v>148.79905600000001</v>
      </c>
      <c r="CF110" s="174"/>
      <c r="CG110" s="174"/>
      <c r="CH110" s="174"/>
      <c r="CI110" s="28">
        <v>145.906544</v>
      </c>
      <c r="CJ110" s="174"/>
      <c r="CK110" s="174"/>
      <c r="CL110" s="174"/>
      <c r="CM110" s="28">
        <v>132.83614399999999</v>
      </c>
      <c r="CN110" s="174"/>
      <c r="CO110" s="174"/>
      <c r="CP110" s="174"/>
      <c r="CQ110" s="28">
        <v>117.58700899999999</v>
      </c>
      <c r="CR110" s="337"/>
      <c r="CS110" s="174"/>
      <c r="CT110" s="174"/>
      <c r="CU110" s="28">
        <v>116.539305</v>
      </c>
      <c r="CV110" s="337"/>
      <c r="CW110" s="1463"/>
      <c r="CX110" s="174"/>
      <c r="CY110" s="1477">
        <f>CU113</f>
        <v>109.214592</v>
      </c>
      <c r="CZ110" s="337"/>
      <c r="DA110" s="1463"/>
      <c r="DB110" s="174"/>
      <c r="DC110" s="174"/>
      <c r="DD110" s="174"/>
      <c r="DE110" s="334"/>
      <c r="DF110" s="335"/>
      <c r="DG110" s="25"/>
      <c r="DH110" s="25"/>
      <c r="DI110" s="25"/>
      <c r="DJ110" s="25"/>
    </row>
    <row r="111" spans="1:114">
      <c r="A111" s="170" t="str">
        <f>$A$11</f>
        <v>2Q</v>
      </c>
      <c r="B111" s="170" t="str">
        <f>$B$11</f>
        <v>Jul</v>
      </c>
      <c r="C111" s="170"/>
      <c r="D111" s="204">
        <f>8.7809*2*2*2*2</f>
        <v>140.49440000000001</v>
      </c>
      <c r="E111" s="196"/>
      <c r="F111" s="196"/>
      <c r="G111" s="170"/>
      <c r="H111" s="204">
        <f>8.810328*2*2*2*2</f>
        <v>140.965248</v>
      </c>
      <c r="I111" s="196"/>
      <c r="J111" s="196"/>
      <c r="K111" s="170"/>
      <c r="L111" s="204">
        <f>2*17.831946*2*2</f>
        <v>142.65556799999999</v>
      </c>
      <c r="M111" s="196"/>
      <c r="N111" s="196"/>
      <c r="O111" s="170"/>
      <c r="P111" s="204">
        <f>2*17.840021*2*2</f>
        <v>142.720168</v>
      </c>
      <c r="Q111" s="196"/>
      <c r="R111" s="196"/>
      <c r="S111" s="170"/>
      <c r="T111" s="204">
        <f>2*18.028164*2*2</f>
        <v>144.225312</v>
      </c>
      <c r="U111" s="196"/>
      <c r="V111" s="196"/>
      <c r="W111" s="196"/>
      <c r="X111" s="204">
        <f>2*17.854249*2*2</f>
        <v>142.83399199999999</v>
      </c>
      <c r="Y111" s="170"/>
      <c r="Z111" s="170"/>
      <c r="AA111" s="170"/>
      <c r="AB111" s="204">
        <f>2*17.254799*2*2</f>
        <v>138.03839199999999</v>
      </c>
      <c r="AC111" s="170"/>
      <c r="AD111" s="170"/>
      <c r="AE111" s="170"/>
      <c r="AF111" s="204">
        <f>2*17.338819*2*2</f>
        <v>138.71055200000001</v>
      </c>
      <c r="AG111" s="170"/>
      <c r="AH111" s="170"/>
      <c r="AI111" s="170"/>
      <c r="AJ111" s="204">
        <f>2*19.779015*2*2</f>
        <v>158.23212000000001</v>
      </c>
      <c r="AK111" s="170"/>
      <c r="AL111" s="170"/>
      <c r="AM111" s="170"/>
      <c r="AN111" s="204">
        <f>20.101103*2*2*2</f>
        <v>160.80882399999999</v>
      </c>
      <c r="AO111" s="170"/>
      <c r="AP111" s="170"/>
      <c r="AQ111" s="170"/>
      <c r="AR111" s="170"/>
      <c r="AS111" s="170"/>
      <c r="AT111" s="170"/>
      <c r="AU111" s="204">
        <f>83.411392*2</f>
        <v>166.82278400000001</v>
      </c>
      <c r="AV111" s="220"/>
      <c r="AW111" s="170"/>
      <c r="AX111" s="170"/>
      <c r="AY111" s="204">
        <f>84.9165*2</f>
        <v>169.833</v>
      </c>
      <c r="AZ111" s="220"/>
      <c r="BA111" s="170"/>
      <c r="BB111" s="170"/>
      <c r="BC111" s="204">
        <v>168.59537800000001</v>
      </c>
      <c r="BD111" s="220"/>
      <c r="BE111" s="170"/>
      <c r="BF111" s="170"/>
      <c r="BG111" s="204">
        <v>169.710489</v>
      </c>
      <c r="BH111" s="220"/>
      <c r="BI111" s="170"/>
      <c r="BJ111" s="170"/>
      <c r="BK111" s="204">
        <v>171.68753000000001</v>
      </c>
      <c r="BL111" s="220"/>
      <c r="BM111" s="170"/>
      <c r="BN111" s="170"/>
      <c r="BO111" s="204">
        <v>170.71927400000001</v>
      </c>
      <c r="BP111" s="220"/>
      <c r="BQ111" s="170"/>
      <c r="BR111" s="25"/>
      <c r="BS111" s="28">
        <v>172.325996</v>
      </c>
      <c r="BT111" s="223"/>
      <c r="BU111" s="25"/>
      <c r="BV111" s="25"/>
      <c r="BW111" s="28">
        <v>160.74374299999999</v>
      </c>
      <c r="BX111" s="332"/>
      <c r="BY111" s="25"/>
      <c r="BZ111" s="25"/>
      <c r="CA111" s="28">
        <v>145.61480599999999</v>
      </c>
      <c r="CB111" s="223"/>
      <c r="CC111" s="25"/>
      <c r="CD111" s="174"/>
      <c r="CE111" s="28">
        <v>149.361132</v>
      </c>
      <c r="CF111" s="174"/>
      <c r="CG111" s="174"/>
      <c r="CH111" s="174"/>
      <c r="CI111" s="28">
        <v>138.17711</v>
      </c>
      <c r="CJ111" s="174"/>
      <c r="CK111" s="174"/>
      <c r="CL111" s="174"/>
      <c r="CM111" s="28">
        <v>129.08059399999999</v>
      </c>
      <c r="CN111" s="174"/>
      <c r="CO111" s="174"/>
      <c r="CP111" s="174"/>
      <c r="CQ111" s="28">
        <v>117.383132</v>
      </c>
      <c r="CR111" s="174"/>
      <c r="CS111" s="174"/>
      <c r="CT111" s="174"/>
      <c r="CU111" s="28">
        <v>113.76064700000001</v>
      </c>
      <c r="CV111" s="174"/>
      <c r="CW111" s="1463"/>
      <c r="CX111" s="174"/>
      <c r="CY111" s="1477">
        <f>CY110+(CY121-CY120)-1.2</f>
        <v>108.01459199999999</v>
      </c>
      <c r="CZ111" s="174"/>
      <c r="DA111" s="1463"/>
      <c r="DB111" s="174"/>
      <c r="DC111" s="174"/>
      <c r="DD111" s="174"/>
      <c r="DE111" s="334"/>
      <c r="DF111" s="335"/>
      <c r="DG111" s="25"/>
      <c r="DH111" s="25"/>
      <c r="DI111" s="25"/>
      <c r="DJ111" s="25"/>
    </row>
    <row r="112" spans="1:114">
      <c r="A112" s="170" t="str">
        <f>$A$12</f>
        <v>3Q</v>
      </c>
      <c r="B112" s="170" t="str">
        <f>$B$12</f>
        <v>Oct</v>
      </c>
      <c r="C112" s="170"/>
      <c r="D112" s="204">
        <f>8.787946*2*2*2*2</f>
        <v>140.607136</v>
      </c>
      <c r="E112" s="196"/>
      <c r="F112" s="196"/>
      <c r="G112" s="170"/>
      <c r="H112" s="204">
        <f>8.815363*2*2*2*2</f>
        <v>141.04580799999999</v>
      </c>
      <c r="I112" s="196"/>
      <c r="J112" s="196"/>
      <c r="K112" s="170"/>
      <c r="L112" s="204">
        <f>2*17.840541*2*2</f>
        <v>142.72432800000001</v>
      </c>
      <c r="M112" s="196"/>
      <c r="N112" s="196"/>
      <c r="O112" s="170"/>
      <c r="P112" s="204">
        <f>2*17.915156*2*2</f>
        <v>143.321248</v>
      </c>
      <c r="Q112" s="196"/>
      <c r="R112" s="196"/>
      <c r="S112" s="170"/>
      <c r="T112" s="204">
        <f>2*17.873003*2*2</f>
        <v>142.98402400000001</v>
      </c>
      <c r="U112" s="196"/>
      <c r="V112" s="196"/>
      <c r="W112" s="196"/>
      <c r="X112" s="204">
        <f>2*17.965089*2*2</f>
        <v>143.72071199999999</v>
      </c>
      <c r="Y112" s="170"/>
      <c r="Z112" s="170" t="s">
        <v>482</v>
      </c>
      <c r="AA112" s="170"/>
      <c r="AB112" s="204">
        <f>2*17.27564*2*2</f>
        <v>138.20511999999999</v>
      </c>
      <c r="AC112" s="170"/>
      <c r="AD112" s="170" t="s">
        <v>482</v>
      </c>
      <c r="AE112" s="170"/>
      <c r="AF112" s="204">
        <f>2*17.361188*2*2</f>
        <v>138.88950399999999</v>
      </c>
      <c r="AG112" s="170"/>
      <c r="AH112" s="170" t="s">
        <v>482</v>
      </c>
      <c r="AI112" s="170"/>
      <c r="AJ112" s="204">
        <f>2*19.680441*2*2</f>
        <v>157.44352799999999</v>
      </c>
      <c r="AK112" s="170"/>
      <c r="AL112" s="170" t="s">
        <v>482</v>
      </c>
      <c r="AM112" s="170"/>
      <c r="AN112" s="204">
        <f>40.753913*2*2</f>
        <v>163.01565199999999</v>
      </c>
      <c r="AO112" s="170"/>
      <c r="AP112" s="170" t="s">
        <v>482</v>
      </c>
      <c r="AQ112" s="170"/>
      <c r="AR112" s="170"/>
      <c r="AS112" s="170"/>
      <c r="AT112" s="170"/>
      <c r="AU112" s="204">
        <f>84.076256*2</f>
        <v>168.152512</v>
      </c>
      <c r="AV112" s="220"/>
      <c r="AW112" s="170" t="s">
        <v>482</v>
      </c>
      <c r="AX112" s="170"/>
      <c r="AY112" s="204">
        <v>170.32885899999999</v>
      </c>
      <c r="AZ112" s="220"/>
      <c r="BA112" s="336" t="s">
        <v>482</v>
      </c>
      <c r="BB112" s="170"/>
      <c r="BC112" s="204">
        <v>168.30696699999999</v>
      </c>
      <c r="BD112" s="220"/>
      <c r="BE112" s="170" t="s">
        <v>482</v>
      </c>
      <c r="BF112" s="170"/>
      <c r="BG112" s="204">
        <v>169.933513</v>
      </c>
      <c r="BH112" s="220"/>
      <c r="BI112" s="170" t="s">
        <v>482</v>
      </c>
      <c r="BJ112" s="170"/>
      <c r="BK112" s="204">
        <v>171.06490400000001</v>
      </c>
      <c r="BL112" s="220"/>
      <c r="BM112" s="170" t="s">
        <v>482</v>
      </c>
      <c r="BN112" s="170"/>
      <c r="BO112" s="204">
        <v>171.44390200000001</v>
      </c>
      <c r="BP112" s="220"/>
      <c r="BQ112" s="170" t="s">
        <v>482</v>
      </c>
      <c r="BR112" s="25"/>
      <c r="BS112" s="28">
        <v>168.575637</v>
      </c>
      <c r="BT112" s="223"/>
      <c r="BU112" s="25"/>
      <c r="BV112" s="25"/>
      <c r="BW112" s="28">
        <v>153.434811</v>
      </c>
      <c r="BX112" s="332"/>
      <c r="BY112" s="29"/>
      <c r="BZ112" s="25"/>
      <c r="CA112" s="28">
        <v>147.08698200000001</v>
      </c>
      <c r="CB112" s="223"/>
      <c r="CC112" s="25"/>
      <c r="CD112" s="174"/>
      <c r="CE112" s="28">
        <v>149.517146</v>
      </c>
      <c r="CF112" s="174"/>
      <c r="CG112" s="174"/>
      <c r="CH112" s="174"/>
      <c r="CI112" s="207">
        <v>135.948454</v>
      </c>
      <c r="CJ112" s="337">
        <f>CI112-CI257</f>
        <v>1.6814540000000022</v>
      </c>
      <c r="CK112" s="174"/>
      <c r="CL112" s="174"/>
      <c r="CM112" s="28">
        <v>123.72558100000001</v>
      </c>
      <c r="CN112" s="174"/>
      <c r="CO112" s="174"/>
      <c r="CP112" s="174"/>
      <c r="CQ112" s="28">
        <v>117.39371</v>
      </c>
      <c r="CR112" s="174"/>
      <c r="CS112" s="174"/>
      <c r="CT112" s="174"/>
      <c r="CU112" s="207">
        <v>110.10025400000001</v>
      </c>
      <c r="CV112" s="174"/>
      <c r="CW112" s="1463"/>
      <c r="CX112" s="174"/>
      <c r="CY112" s="1477">
        <f>CY111+(CY122-CY121)-1</f>
        <v>107.01459199999999</v>
      </c>
      <c r="CZ112" s="174"/>
      <c r="DA112" s="1463"/>
      <c r="DB112" s="174"/>
      <c r="DC112" s="174"/>
      <c r="DD112" s="174"/>
      <c r="DE112" s="334"/>
      <c r="DF112" s="335"/>
      <c r="DG112" s="25"/>
      <c r="DH112" s="25"/>
      <c r="DI112" s="25"/>
      <c r="DJ112" s="25"/>
    </row>
    <row r="113" spans="1:114">
      <c r="A113" s="170" t="str">
        <f>$A$13</f>
        <v>4Q</v>
      </c>
      <c r="B113" s="170" t="str">
        <f>$B$13</f>
        <v>Jan</v>
      </c>
      <c r="C113" s="209"/>
      <c r="D113" s="211">
        <f>8.800563*2*2*2*2</f>
        <v>140.80900800000001</v>
      </c>
      <c r="E113" s="196"/>
      <c r="F113" s="196"/>
      <c r="G113" s="170"/>
      <c r="H113" s="211">
        <f>8.819343*2*2*2*2</f>
        <v>141.109488</v>
      </c>
      <c r="I113" s="196"/>
      <c r="J113" s="196"/>
      <c r="K113" s="170"/>
      <c r="L113" s="211">
        <f>2*17.741431*2*2</f>
        <v>141.93144799999999</v>
      </c>
      <c r="M113" s="196"/>
      <c r="N113" s="196"/>
      <c r="O113" s="170"/>
      <c r="P113" s="211">
        <f>2*17.894473*2*2</f>
        <v>143.15578400000001</v>
      </c>
      <c r="Q113" s="196"/>
      <c r="R113" s="196"/>
      <c r="S113" s="170"/>
      <c r="T113" s="211">
        <f>2*17.810417*2*2</f>
        <v>142.48333600000001</v>
      </c>
      <c r="U113" s="196"/>
      <c r="V113" s="196"/>
      <c r="W113" s="196"/>
      <c r="X113" s="211">
        <f>2*17.889378*2*2</f>
        <v>143.11502400000001</v>
      </c>
      <c r="Y113" s="170"/>
      <c r="Z113" s="170"/>
      <c r="AA113" s="170"/>
      <c r="AB113" s="211">
        <f>2*17.256715*2*2</f>
        <v>138.05372</v>
      </c>
      <c r="AC113" s="170"/>
      <c r="AD113" s="170"/>
      <c r="AE113" s="170"/>
      <c r="AF113" s="211">
        <f>2*17.73707*2*2</f>
        <v>141.89655999999999</v>
      </c>
      <c r="AG113" s="170"/>
      <c r="AH113" s="170"/>
      <c r="AI113" s="170"/>
      <c r="AJ113" s="211">
        <f>2*19.745653*2*2</f>
        <v>157.96522400000001</v>
      </c>
      <c r="AK113" s="170"/>
      <c r="AL113" s="170"/>
      <c r="AM113" s="170"/>
      <c r="AN113" s="211">
        <f>41.157671*2*2</f>
        <v>164.630684</v>
      </c>
      <c r="AO113" s="170"/>
      <c r="AP113" s="170"/>
      <c r="AQ113" s="170"/>
      <c r="AR113" s="170"/>
      <c r="AS113" s="170"/>
      <c r="AT113" s="170"/>
      <c r="AU113" s="211">
        <f>84.582132*2</f>
        <v>169.164264</v>
      </c>
      <c r="AV113" s="220"/>
      <c r="AW113" s="170"/>
      <c r="AX113" s="170"/>
      <c r="AY113" s="211">
        <v>170.481054</v>
      </c>
      <c r="AZ113" s="220"/>
      <c r="BA113" s="170"/>
      <c r="BB113" s="170"/>
      <c r="BC113" s="211">
        <v>168.585418</v>
      </c>
      <c r="BD113" s="220"/>
      <c r="BE113" s="170"/>
      <c r="BF113" s="170"/>
      <c r="BG113" s="211">
        <v>170.09992299999999</v>
      </c>
      <c r="BH113" s="220"/>
      <c r="BI113" s="170"/>
      <c r="BJ113" s="170"/>
      <c r="BK113" s="211">
        <v>170.01791299999999</v>
      </c>
      <c r="BL113" s="220"/>
      <c r="BM113" s="170"/>
      <c r="BN113" s="170"/>
      <c r="BO113" s="211">
        <v>172.42160699999999</v>
      </c>
      <c r="BP113" s="220"/>
      <c r="BQ113" s="170"/>
      <c r="BR113" s="25"/>
      <c r="BS113" s="31">
        <v>167.67730499999999</v>
      </c>
      <c r="BT113" s="223"/>
      <c r="BU113" s="25"/>
      <c r="BV113" s="25"/>
      <c r="BW113" s="31">
        <v>145.617909</v>
      </c>
      <c r="BX113" s="223"/>
      <c r="BY113" s="25"/>
      <c r="BZ113" s="25"/>
      <c r="CA113" s="31">
        <v>148.372602</v>
      </c>
      <c r="CB113" s="223"/>
      <c r="CC113" s="25"/>
      <c r="CD113" s="174"/>
      <c r="CE113" s="31">
        <v>149.20262600000001</v>
      </c>
      <c r="CF113" s="337"/>
      <c r="CG113" s="174"/>
      <c r="CH113" s="174"/>
      <c r="CI113" s="392">
        <v>132.98094699999999</v>
      </c>
      <c r="CJ113" s="337">
        <f>CI113-CI258</f>
        <v>0.92782099999999446</v>
      </c>
      <c r="CK113" s="174"/>
      <c r="CL113" s="174"/>
      <c r="CM113" s="392">
        <v>118.606002</v>
      </c>
      <c r="CN113" s="174"/>
      <c r="CO113" s="174"/>
      <c r="CP113" s="174"/>
      <c r="CQ113" s="392">
        <v>116.810034</v>
      </c>
      <c r="CR113" s="174"/>
      <c r="CS113" s="174"/>
      <c r="CT113" s="174"/>
      <c r="CU113" s="392">
        <v>109.214592</v>
      </c>
      <c r="CV113" s="174"/>
      <c r="CW113" s="1463"/>
      <c r="CX113" s="174"/>
      <c r="CY113" s="1478">
        <f>CY112+(CY123-CY122)</f>
        <v>107.01459199999999</v>
      </c>
      <c r="CZ113" s="174"/>
      <c r="DA113" s="1463"/>
      <c r="DB113" s="174"/>
      <c r="DC113" s="174"/>
      <c r="DD113" s="174"/>
      <c r="DE113" s="334"/>
      <c r="DF113" s="335"/>
      <c r="DG113" s="25"/>
      <c r="DH113" s="25"/>
      <c r="DI113" s="25"/>
      <c r="DJ113" s="25"/>
    </row>
    <row r="114" spans="1:114">
      <c r="A114" s="170"/>
      <c r="B114" s="170" t="str">
        <f>$B$14</f>
        <v>Year</v>
      </c>
      <c r="C114" s="170"/>
      <c r="D114" s="204">
        <f>8.787804*2*2*2*2</f>
        <v>140.60486399999999</v>
      </c>
      <c r="E114" s="170"/>
      <c r="F114" s="170"/>
      <c r="G114" s="170"/>
      <c r="H114" s="204">
        <f>8.809944*2*2*2*2</f>
        <v>140.959104</v>
      </c>
      <c r="I114" s="280"/>
      <c r="J114" s="280"/>
      <c r="K114" s="280"/>
      <c r="L114" s="204">
        <f>2*17.722629*2*2</f>
        <v>141.78103200000001</v>
      </c>
      <c r="M114" s="280"/>
      <c r="N114" s="280"/>
      <c r="O114" s="280"/>
      <c r="P114" s="204">
        <f>2*17.843873*2*2</f>
        <v>142.75098399999999</v>
      </c>
      <c r="Q114" s="280"/>
      <c r="R114" s="280"/>
      <c r="S114" s="280"/>
      <c r="T114" s="204">
        <f>2*17.929109*2*2</f>
        <v>143.432872</v>
      </c>
      <c r="U114" s="280"/>
      <c r="V114" s="280"/>
      <c r="W114" s="280"/>
      <c r="X114" s="204">
        <f>2*17.844356*2*2</f>
        <v>142.75484800000001</v>
      </c>
      <c r="Y114" s="280"/>
      <c r="Z114" s="280"/>
      <c r="AA114" s="280"/>
      <c r="AB114" s="204">
        <f>2*17.256715*2*2</f>
        <v>138.05372</v>
      </c>
      <c r="AC114" s="280"/>
      <c r="AD114" s="280"/>
      <c r="AE114" s="280"/>
      <c r="AF114" s="204">
        <f>2*17.438457*2*2</f>
        <v>139.507656</v>
      </c>
      <c r="AG114" s="280"/>
      <c r="AH114" s="280"/>
      <c r="AI114" s="280"/>
      <c r="AJ114" s="204">
        <f>77.553808*2</f>
        <v>155.10761600000001</v>
      </c>
      <c r="AK114" s="280"/>
      <c r="AL114" s="280"/>
      <c r="AM114" s="280"/>
      <c r="AN114" s="204">
        <f>80.831138*2</f>
        <v>161.66227599999999</v>
      </c>
      <c r="AO114" s="280"/>
      <c r="AP114" s="280"/>
      <c r="AQ114" s="170"/>
      <c r="AR114" s="170"/>
      <c r="AS114" s="170"/>
      <c r="AT114" s="280"/>
      <c r="AU114" s="204">
        <f>83.6513725*2</f>
        <v>167.30274499999999</v>
      </c>
      <c r="AV114" s="280"/>
      <c r="AW114" s="280"/>
      <c r="AX114" s="280"/>
      <c r="AY114" s="204">
        <v>169.93604099999999</v>
      </c>
      <c r="AZ114" s="280"/>
      <c r="BA114" s="280"/>
      <c r="BB114" s="170"/>
      <c r="BC114" s="204">
        <v>168.652005</v>
      </c>
      <c r="BD114" s="280"/>
      <c r="BE114" s="280"/>
      <c r="BF114" s="170"/>
      <c r="BG114" s="338">
        <f>+(BG110+BG111+BG112+BG113)/4</f>
        <v>169.63592499999999</v>
      </c>
      <c r="BH114" s="280"/>
      <c r="BI114" s="280"/>
      <c r="BJ114" s="170"/>
      <c r="BK114" s="338">
        <f>+(BK110+BK111+BK112+BK113)/4</f>
        <v>170.84344175000001</v>
      </c>
      <c r="BL114" s="280"/>
      <c r="BM114" s="280"/>
      <c r="BN114" s="170"/>
      <c r="BO114" s="204">
        <v>171.230245</v>
      </c>
      <c r="BP114" s="280"/>
      <c r="BQ114" s="280"/>
      <c r="BR114" s="25"/>
      <c r="BS114" s="28">
        <v>170.42160699999999</v>
      </c>
      <c r="BT114" s="35"/>
      <c r="BU114" s="35"/>
      <c r="BV114" s="25"/>
      <c r="BW114" s="28">
        <v>156.19128900000001</v>
      </c>
      <c r="BX114" s="35"/>
      <c r="BY114" s="35"/>
      <c r="BZ114" s="25"/>
      <c r="CA114" s="29">
        <f>+(CA110+CA111+CA112+CA113)/4</f>
        <v>146.66076425</v>
      </c>
      <c r="CB114" s="35"/>
      <c r="CC114" s="35"/>
      <c r="CD114" s="174"/>
      <c r="CE114" s="29">
        <f>+(CE110+CE111+CE112+CE113)/4</f>
        <v>149.21999</v>
      </c>
      <c r="CF114" s="174"/>
      <c r="CG114" s="174"/>
      <c r="CH114" s="174"/>
      <c r="CI114" s="29">
        <f>(CI110*(CI90/CI94))+(CI111*(CI91/CI94))+(CI112*(CI92/CI94))+(CI113*(CI93/CI94))-0.5</f>
        <v>136.67626974439395</v>
      </c>
      <c r="CJ114" s="174"/>
      <c r="CK114" s="174"/>
      <c r="CL114" s="174"/>
      <c r="CM114" s="1626">
        <v>126.013414</v>
      </c>
      <c r="CN114" s="337"/>
      <c r="CO114" s="174"/>
      <c r="CP114" s="174"/>
      <c r="CQ114" s="1626">
        <v>117.291117</v>
      </c>
      <c r="CR114" s="174"/>
      <c r="CS114" s="174"/>
      <c r="CT114" s="174"/>
      <c r="CU114" s="29">
        <f>(CU110*(CU90/CU94))+(CU111*(CU91/CU94))+(CU112*(CU92/CU94))+(CU113*(CU93/CU94))</f>
        <v>111.16138565248997</v>
      </c>
      <c r="CV114" s="174"/>
      <c r="CW114" s="1463"/>
      <c r="CX114" s="174"/>
      <c r="CY114" s="29">
        <f>(CY110*(CY90/CY94))+(CY111*(CY91/CY94))+(CY112*(CY92/CY94))+(CY113*(CY93/CY94))</f>
        <v>107.65813391036312</v>
      </c>
      <c r="CZ114" s="174"/>
      <c r="DA114" s="1463"/>
      <c r="DB114" s="174"/>
      <c r="DC114" s="174"/>
      <c r="DD114" s="174"/>
      <c r="DE114" s="174"/>
      <c r="DF114" s="175"/>
      <c r="DG114" s="25"/>
      <c r="DH114" s="25"/>
      <c r="DI114" s="25"/>
      <c r="DJ114" s="25"/>
    </row>
    <row r="115" spans="1:114" hidden="1" outlineLevel="1">
      <c r="A115" s="170" t="str">
        <f>$A$15</f>
        <v>6 Mos</v>
      </c>
      <c r="B115" s="170"/>
      <c r="C115" s="170"/>
      <c r="D115" s="217">
        <f>(D110+D111)/2</f>
        <v>140.50164799999999</v>
      </c>
      <c r="E115" s="170"/>
      <c r="F115" s="170"/>
      <c r="G115" s="170"/>
      <c r="H115" s="217">
        <f>(H110+H111)/2</f>
        <v>140.84054399999999</v>
      </c>
      <c r="I115" s="170"/>
      <c r="J115" s="170"/>
      <c r="K115" s="170"/>
      <c r="L115" s="217">
        <f>(L110+L111)/2</f>
        <v>142.074984</v>
      </c>
      <c r="M115" s="170"/>
      <c r="N115" s="170"/>
      <c r="O115" s="170"/>
      <c r="P115" s="217">
        <f>(P110+P111)/2</f>
        <v>142.176356</v>
      </c>
      <c r="Q115" s="170"/>
      <c r="R115" s="170"/>
      <c r="S115" s="170"/>
      <c r="T115" s="217">
        <f>(T110+T111)/2</f>
        <v>144.13206400000001</v>
      </c>
      <c r="U115" s="170"/>
      <c r="V115" s="170"/>
      <c r="W115" s="170"/>
      <c r="X115" s="217">
        <f>(X110+X111)/2</f>
        <v>142.09183200000001</v>
      </c>
      <c r="Y115" s="170"/>
      <c r="Z115" s="170"/>
      <c r="AA115" s="170"/>
      <c r="AB115" s="217">
        <f>(AB110+AB111)/2</f>
        <v>138.26786399999997</v>
      </c>
      <c r="AC115" s="170"/>
      <c r="AD115" s="170"/>
      <c r="AE115" s="170"/>
      <c r="AF115" s="217">
        <f>(AF110+AF111)/2</f>
        <v>138.52472399999999</v>
      </c>
      <c r="AG115" s="170"/>
      <c r="AH115" s="170"/>
      <c r="AI115" s="170"/>
      <c r="AJ115" s="217">
        <f>(AJ110+AJ111)/2</f>
        <v>151.56767600000001</v>
      </c>
      <c r="AK115" s="170"/>
      <c r="AL115" s="170"/>
      <c r="AM115" s="170"/>
      <c r="AN115" s="217">
        <f>(AN110+AN111)/2</f>
        <v>159.469292</v>
      </c>
      <c r="AO115" s="170"/>
      <c r="AP115" s="170"/>
      <c r="AQ115" s="170"/>
      <c r="AR115" s="170"/>
      <c r="AS115" s="170"/>
      <c r="AT115" s="170"/>
      <c r="AU115" s="217">
        <f>(AU110+AU111)/2</f>
        <v>166.35605600000002</v>
      </c>
      <c r="AV115" s="170"/>
      <c r="AW115" s="170"/>
      <c r="AX115" s="170"/>
      <c r="AY115" s="217">
        <f>(AY110+AY111)/2</f>
        <v>169.445448</v>
      </c>
      <c r="AZ115" s="170"/>
      <c r="BA115" s="170"/>
      <c r="BB115" s="170"/>
      <c r="BC115" s="217">
        <f>(BC110+BC111)/2</f>
        <v>168.30812850000001</v>
      </c>
      <c r="BD115" s="170"/>
      <c r="BE115" s="170"/>
      <c r="BF115" s="170"/>
      <c r="BG115" s="217">
        <f>(BG110+BG111)/2</f>
        <v>169.255132</v>
      </c>
      <c r="BH115" s="170"/>
      <c r="BI115" s="170"/>
      <c r="BJ115" s="170"/>
      <c r="BK115" s="217">
        <f>(BK110+BK111)/2</f>
        <v>171.145475</v>
      </c>
      <c r="BL115" s="170"/>
      <c r="BM115" s="170"/>
      <c r="BN115" s="170"/>
      <c r="BO115" s="217">
        <f>(BO110+BO111)/2</f>
        <v>170.51799099999999</v>
      </c>
      <c r="BP115" s="170"/>
      <c r="BQ115" s="170"/>
      <c r="BR115" s="25"/>
      <c r="BS115" s="34">
        <f>(BS110+BS111)/2</f>
        <v>172.57251650000001</v>
      </c>
      <c r="BT115" s="25"/>
      <c r="BU115" s="25"/>
      <c r="BV115" s="25"/>
      <c r="BW115" s="34">
        <f>(BW110+BW111)/2</f>
        <v>163.01866849999999</v>
      </c>
      <c r="BX115" s="25"/>
      <c r="BY115" s="25"/>
      <c r="BZ115" s="25"/>
      <c r="CA115" s="34">
        <f>(CA110+CA111)/2</f>
        <v>145.5917365</v>
      </c>
      <c r="CB115" s="25"/>
      <c r="CC115" s="25"/>
      <c r="CD115" s="174"/>
      <c r="CE115" s="34">
        <f>(CE110+CE111)/2</f>
        <v>149.080094</v>
      </c>
      <c r="CF115" s="174"/>
      <c r="CG115" s="174"/>
      <c r="CH115" s="174"/>
      <c r="CI115" s="34">
        <f>(CI110+CI111)/2</f>
        <v>142.04182700000001</v>
      </c>
      <c r="CJ115" s="174"/>
      <c r="CK115" s="174"/>
      <c r="CL115" s="174"/>
      <c r="CM115" s="34">
        <f>(CM110+CM111)/2</f>
        <v>130.958369</v>
      </c>
      <c r="CN115" s="174"/>
      <c r="CO115" s="174"/>
      <c r="CP115" s="174"/>
      <c r="CQ115" s="34">
        <f>(CQ110+CQ111)/2</f>
        <v>117.48507050000001</v>
      </c>
      <c r="CR115" s="174"/>
      <c r="CS115" s="174"/>
      <c r="CT115" s="174"/>
      <c r="CU115" s="34">
        <f>(CU110+CU111)/2</f>
        <v>115.14997600000001</v>
      </c>
      <c r="CV115" s="174"/>
      <c r="CW115" s="1463"/>
      <c r="CX115" s="174"/>
      <c r="CY115" s="34">
        <f>(CY110+CY111)/2</f>
        <v>108.61459199999999</v>
      </c>
      <c r="CZ115" s="174"/>
      <c r="DA115" s="1463"/>
      <c r="DB115" s="174"/>
      <c r="DC115" s="174"/>
      <c r="DD115" s="174"/>
      <c r="DE115" s="174"/>
      <c r="DF115" s="175"/>
      <c r="DG115" s="25"/>
      <c r="DH115" s="25"/>
      <c r="DI115" s="25"/>
      <c r="DJ115" s="25"/>
    </row>
    <row r="116" spans="1:114" hidden="1" outlineLevel="1">
      <c r="A116" s="170" t="str">
        <f>$A$16</f>
        <v>9 Mos</v>
      </c>
      <c r="B116" s="170"/>
      <c r="C116" s="170"/>
      <c r="D116" s="217">
        <f>(D110+D111+D112)/3</f>
        <v>140.53681066666664</v>
      </c>
      <c r="E116" s="170"/>
      <c r="F116" s="170"/>
      <c r="G116" s="170"/>
      <c r="H116" s="217">
        <f>(H110+H111+H112)/3</f>
        <v>140.90896533333333</v>
      </c>
      <c r="I116" s="170"/>
      <c r="J116" s="170"/>
      <c r="K116" s="170"/>
      <c r="L116" s="217">
        <f>(L110+L111+L112)/3</f>
        <v>142.29143200000001</v>
      </c>
      <c r="M116" s="170"/>
      <c r="N116" s="170"/>
      <c r="O116" s="170"/>
      <c r="P116" s="217">
        <f>(P110+P111+P112)/3</f>
        <v>142.55798666666666</v>
      </c>
      <c r="Q116" s="170"/>
      <c r="R116" s="170"/>
      <c r="S116" s="170"/>
      <c r="T116" s="217">
        <f>(T110+T111+T112)/3</f>
        <v>143.74938399999999</v>
      </c>
      <c r="U116" s="170"/>
      <c r="V116" s="170"/>
      <c r="W116" s="170"/>
      <c r="X116" s="217">
        <f>(X110+X111+X112)/3</f>
        <v>142.634792</v>
      </c>
      <c r="Y116" s="170"/>
      <c r="Z116" s="170"/>
      <c r="AA116" s="170"/>
      <c r="AB116" s="217">
        <f>(AB110+AB111+AB112)/3</f>
        <v>138.2469493333333</v>
      </c>
      <c r="AC116" s="170"/>
      <c r="AD116" s="170"/>
      <c r="AE116" s="170"/>
      <c r="AF116" s="217">
        <f>(AF110+AF111+AF112)/3</f>
        <v>138.64631733333331</v>
      </c>
      <c r="AG116" s="170"/>
      <c r="AH116" s="170"/>
      <c r="AI116" s="170"/>
      <c r="AJ116" s="217">
        <f>(AJ110+AJ111+AJ112)/3</f>
        <v>153.52629333333334</v>
      </c>
      <c r="AK116" s="170"/>
      <c r="AL116" s="170"/>
      <c r="AM116" s="170"/>
      <c r="AN116" s="217">
        <f>(AN110+AN111+AN112)/3</f>
        <v>160.65141199999999</v>
      </c>
      <c r="AO116" s="170"/>
      <c r="AP116" s="170"/>
      <c r="AQ116" s="170"/>
      <c r="AR116" s="170"/>
      <c r="AS116" s="170"/>
      <c r="AT116" s="170"/>
      <c r="AU116" s="217">
        <f>(AU110+AU111+AU112)/3</f>
        <v>166.95487466666668</v>
      </c>
      <c r="AV116" s="170"/>
      <c r="AW116" s="170"/>
      <c r="AX116" s="170"/>
      <c r="AY116" s="217">
        <f>(AY110+AY111+AY112)/3</f>
        <v>169.73991833333332</v>
      </c>
      <c r="AZ116" s="170"/>
      <c r="BA116" s="170"/>
      <c r="BB116" s="170"/>
      <c r="BC116" s="217">
        <f>(BC110+BC111+BC112)/3</f>
        <v>168.30774133333333</v>
      </c>
      <c r="BD116" s="170"/>
      <c r="BE116" s="170"/>
      <c r="BF116" s="170"/>
      <c r="BG116" s="217">
        <f>(BG110+BG111+BG112)/3</f>
        <v>169.48125899999999</v>
      </c>
      <c r="BH116" s="170"/>
      <c r="BI116" s="170"/>
      <c r="BJ116" s="170"/>
      <c r="BK116" s="217">
        <f>(BK110+BK111+BK112)/3</f>
        <v>171.118618</v>
      </c>
      <c r="BL116" s="170"/>
      <c r="BM116" s="170"/>
      <c r="BN116" s="170"/>
      <c r="BO116" s="217">
        <f>(BO110+BO111+BO112)/3</f>
        <v>170.826628</v>
      </c>
      <c r="BP116" s="170"/>
      <c r="BQ116" s="170"/>
      <c r="BR116" s="25"/>
      <c r="BS116" s="34">
        <f>(BS110+BS111+BS112)/3</f>
        <v>171.24022333333335</v>
      </c>
      <c r="BT116" s="25"/>
      <c r="BU116" s="25"/>
      <c r="BV116" s="25"/>
      <c r="BW116" s="34">
        <f>(BW110+BW111+BW112)/3</f>
        <v>159.82404933333331</v>
      </c>
      <c r="BX116" s="25"/>
      <c r="BY116" s="25"/>
      <c r="BZ116" s="25"/>
      <c r="CA116" s="34">
        <f>(CA110+CA111+CA112)/3</f>
        <v>146.09015166666666</v>
      </c>
      <c r="CB116" s="25"/>
      <c r="CC116" s="25"/>
      <c r="CD116" s="174"/>
      <c r="CE116" s="34">
        <f>(CE110+CE111+CE112)/3</f>
        <v>149.22577799999999</v>
      </c>
      <c r="CF116" s="174"/>
      <c r="CG116" s="174"/>
      <c r="CH116" s="174"/>
      <c r="CI116" s="34">
        <f>(CI110+CI111+CI112)/3</f>
        <v>140.01070266666667</v>
      </c>
      <c r="CJ116" s="174"/>
      <c r="CK116" s="174"/>
      <c r="CL116" s="174"/>
      <c r="CM116" s="34">
        <f>(CM110+CM111+CM112)/3</f>
        <v>128.54743966666669</v>
      </c>
      <c r="CN116" s="174"/>
      <c r="CO116" s="174"/>
      <c r="CP116" s="174"/>
      <c r="CQ116" s="34">
        <f>(CQ110+CQ111+CQ112)/3</f>
        <v>117.454617</v>
      </c>
      <c r="CR116" s="174"/>
      <c r="CS116" s="174"/>
      <c r="CT116" s="174"/>
      <c r="CU116" s="34">
        <f>(CU110+CU111+CU112)/3</f>
        <v>113.46673533333335</v>
      </c>
      <c r="CV116" s="174"/>
      <c r="CW116" s="1463"/>
      <c r="CX116" s="174"/>
      <c r="CY116" s="34">
        <f>(CY110+CY111+CY112)/3</f>
        <v>108.08125866666666</v>
      </c>
      <c r="CZ116" s="174"/>
      <c r="DA116" s="1463"/>
      <c r="DB116" s="174"/>
      <c r="DC116" s="174"/>
      <c r="DD116" s="174"/>
      <c r="DE116" s="174"/>
      <c r="DF116" s="175"/>
      <c r="DG116" s="25"/>
      <c r="DH116" s="25"/>
      <c r="DI116" s="25"/>
      <c r="DJ116" s="25"/>
    </row>
    <row r="117" spans="1:114" collapsed="1">
      <c r="A117" s="170"/>
      <c r="B117" s="170"/>
      <c r="C117" s="170"/>
      <c r="D117" s="170"/>
      <c r="E117" s="170"/>
      <c r="F117" s="170"/>
      <c r="G117" s="170"/>
      <c r="H117" s="170"/>
      <c r="I117" s="170"/>
      <c r="J117" s="170"/>
      <c r="K117" s="170"/>
      <c r="L117" s="170"/>
      <c r="M117" s="170"/>
      <c r="N117" s="170"/>
      <c r="O117" s="170"/>
      <c r="P117" s="170"/>
      <c r="Q117" s="170"/>
      <c r="R117" s="170"/>
      <c r="S117" s="170"/>
      <c r="T117" s="170"/>
      <c r="U117" s="170"/>
      <c r="V117" s="170"/>
      <c r="W117" s="170"/>
      <c r="X117" s="170"/>
      <c r="Y117" s="170"/>
      <c r="Z117" s="170"/>
      <c r="AA117" s="170"/>
      <c r="AB117" s="170"/>
      <c r="AC117" s="170"/>
      <c r="AD117" s="170"/>
      <c r="AE117" s="170"/>
      <c r="AF117" s="170"/>
      <c r="AG117" s="170"/>
      <c r="AH117" s="170"/>
      <c r="AI117" s="170"/>
      <c r="AJ117" s="170"/>
      <c r="AK117" s="170"/>
      <c r="AL117" s="170"/>
      <c r="AM117" s="170"/>
      <c r="AN117" s="170"/>
      <c r="AO117" s="170"/>
      <c r="AP117" s="170"/>
      <c r="AQ117" s="170"/>
      <c r="AR117" s="170"/>
      <c r="AS117" s="170"/>
      <c r="AT117" s="170"/>
      <c r="AU117" s="170"/>
      <c r="AV117" s="170"/>
      <c r="AW117" s="170"/>
      <c r="AX117" s="170"/>
      <c r="AY117" s="170"/>
      <c r="AZ117" s="170"/>
      <c r="BA117" s="170"/>
      <c r="BB117" s="170"/>
      <c r="BC117" s="170"/>
      <c r="BD117" s="170"/>
      <c r="BE117" s="170"/>
      <c r="BF117" s="170"/>
      <c r="BG117" s="170"/>
      <c r="BH117" s="170"/>
      <c r="BI117" s="170"/>
      <c r="BJ117" s="170"/>
      <c r="BK117" s="170"/>
      <c r="BL117" s="170"/>
      <c r="BM117" s="170"/>
      <c r="BN117" s="170"/>
      <c r="BO117" s="170"/>
      <c r="BP117" s="170"/>
      <c r="BQ117" s="170"/>
      <c r="BR117" s="25"/>
      <c r="BS117" s="25"/>
      <c r="BT117" s="25"/>
      <c r="BU117" s="25"/>
      <c r="BV117" s="25"/>
      <c r="BW117" s="25"/>
      <c r="BX117" s="25"/>
      <c r="BY117" s="25"/>
      <c r="BZ117" s="25"/>
      <c r="CA117" s="25"/>
      <c r="CB117" s="25"/>
      <c r="CC117" s="25"/>
      <c r="CD117" s="174"/>
      <c r="CE117" s="174"/>
      <c r="CF117" s="174"/>
      <c r="CG117" s="174"/>
      <c r="CH117" s="174"/>
      <c r="CI117" s="174"/>
      <c r="CJ117" s="174"/>
      <c r="CK117" s="174"/>
      <c r="CL117" s="174"/>
      <c r="CM117" s="174"/>
      <c r="CN117" s="174"/>
      <c r="CO117" s="174"/>
      <c r="CP117" s="174"/>
      <c r="CQ117" s="174"/>
      <c r="CR117" s="174"/>
      <c r="CS117" s="174"/>
      <c r="CT117" s="174"/>
      <c r="CU117" s="174"/>
      <c r="CV117" s="174"/>
      <c r="CW117" s="1463"/>
      <c r="CX117" s="174"/>
      <c r="CY117" s="174"/>
      <c r="CZ117" s="174"/>
      <c r="DA117" s="1463"/>
      <c r="DB117" s="174"/>
      <c r="DC117" s="174"/>
      <c r="DD117" s="174"/>
      <c r="DE117" s="174"/>
      <c r="DF117" s="175"/>
      <c r="DG117" s="25"/>
      <c r="DH117" s="25"/>
      <c r="DI117" s="25"/>
      <c r="DJ117" s="25"/>
    </row>
    <row r="118" spans="1:114" outlineLevel="1">
      <c r="A118" s="170"/>
      <c r="B118" s="170"/>
      <c r="C118" s="184"/>
      <c r="D118" s="185"/>
      <c r="E118" s="170"/>
      <c r="F118" s="170"/>
      <c r="G118" s="170"/>
      <c r="H118" s="186"/>
      <c r="I118" s="187"/>
      <c r="J118" s="187"/>
      <c r="K118" s="187"/>
      <c r="L118" s="186"/>
      <c r="M118" s="187"/>
      <c r="N118" s="187"/>
      <c r="O118" s="187"/>
      <c r="P118" s="186"/>
      <c r="Q118" s="187"/>
      <c r="R118" s="187"/>
      <c r="S118" s="187"/>
      <c r="T118" s="186"/>
      <c r="U118" s="187"/>
      <c r="V118" s="187"/>
      <c r="W118" s="187"/>
      <c r="X118" s="170"/>
      <c r="Y118" s="187"/>
      <c r="Z118" s="187"/>
      <c r="AA118" s="187"/>
      <c r="AB118" s="170"/>
      <c r="AC118" s="187"/>
      <c r="AD118" s="187"/>
      <c r="AE118" s="187"/>
      <c r="AF118" s="170"/>
      <c r="AG118" s="187"/>
      <c r="AH118" s="187"/>
      <c r="AI118" s="187"/>
      <c r="AJ118" s="186" t="s">
        <v>190</v>
      </c>
      <c r="AK118" s="187"/>
      <c r="AL118" s="187"/>
      <c r="AM118" s="187"/>
      <c r="AN118" s="186"/>
      <c r="AO118" s="187"/>
      <c r="AP118" s="187"/>
      <c r="AQ118" s="170"/>
      <c r="AR118" s="170"/>
      <c r="AS118" s="170"/>
      <c r="AT118" s="187"/>
      <c r="AU118" s="186"/>
      <c r="AV118" s="187"/>
      <c r="AW118" s="187"/>
      <c r="AX118" s="187"/>
      <c r="AY118" s="186"/>
      <c r="AZ118" s="187"/>
      <c r="BA118" s="187"/>
      <c r="BB118" s="187"/>
      <c r="BC118" s="186"/>
      <c r="BD118" s="187"/>
      <c r="BE118" s="187"/>
      <c r="BF118" s="187"/>
      <c r="BG118" s="186"/>
      <c r="BH118" s="187"/>
      <c r="BI118" s="187"/>
      <c r="BJ118" s="187"/>
      <c r="BK118" s="186"/>
      <c r="BL118" s="187"/>
      <c r="BM118" s="187"/>
      <c r="BN118" s="187"/>
      <c r="BO118" s="186"/>
      <c r="BP118" s="187"/>
      <c r="BQ118" s="187"/>
      <c r="BR118" s="188"/>
      <c r="BS118" s="189"/>
      <c r="BT118" s="188"/>
      <c r="BU118" s="188"/>
      <c r="BV118" s="188"/>
      <c r="BW118" s="189"/>
      <c r="BX118" s="188"/>
      <c r="BY118" s="188"/>
      <c r="BZ118" s="188"/>
      <c r="CA118" s="189"/>
      <c r="CB118" s="188"/>
      <c r="CC118" s="188"/>
      <c r="CD118" s="174"/>
      <c r="CE118" s="174"/>
      <c r="CF118" s="174"/>
      <c r="CG118" s="174"/>
      <c r="CH118" s="174"/>
      <c r="CI118" s="1004"/>
      <c r="CJ118" s="1004"/>
      <c r="CK118" s="1004"/>
      <c r="CL118" s="1004" t="s">
        <v>732</v>
      </c>
      <c r="CM118" s="1004"/>
      <c r="CN118" s="1004"/>
      <c r="CO118" s="1004"/>
      <c r="CP118" s="1004"/>
      <c r="CQ118" s="1004"/>
      <c r="CR118" s="174"/>
      <c r="CS118" s="174"/>
      <c r="CT118" s="1004"/>
      <c r="CU118" s="1004"/>
      <c r="CV118" s="174"/>
      <c r="CW118" s="1463"/>
      <c r="CX118" s="1004"/>
      <c r="CY118" s="1004"/>
      <c r="CZ118" s="174"/>
      <c r="DA118" s="1463"/>
      <c r="DB118" s="174"/>
      <c r="DC118" s="174"/>
      <c r="DD118" s="174"/>
      <c r="DE118" s="174"/>
      <c r="DF118" s="175"/>
      <c r="DG118" s="25"/>
      <c r="DH118" s="25"/>
      <c r="DI118" s="25"/>
      <c r="DJ118" s="25"/>
    </row>
    <row r="119" spans="1:114" outlineLevel="2">
      <c r="A119" s="170"/>
      <c r="B119" s="170"/>
      <c r="C119" s="170"/>
      <c r="D119" s="170"/>
      <c r="E119" s="170"/>
      <c r="F119" s="170"/>
      <c r="G119" s="170"/>
      <c r="H119" s="170"/>
      <c r="I119" s="170"/>
      <c r="J119" s="170"/>
      <c r="K119" s="170"/>
      <c r="L119" s="170"/>
      <c r="M119" s="170"/>
      <c r="N119" s="170"/>
      <c r="O119" s="170"/>
      <c r="P119" s="170"/>
      <c r="Q119" s="170"/>
      <c r="R119" s="170"/>
      <c r="S119" s="170"/>
      <c r="T119" s="170"/>
      <c r="U119" s="170"/>
      <c r="V119" s="170"/>
      <c r="W119" s="170"/>
      <c r="X119" s="170"/>
      <c r="Y119" s="170"/>
      <c r="Z119" s="170"/>
      <c r="AA119" s="170"/>
      <c r="AB119" s="170"/>
      <c r="AC119" s="170"/>
      <c r="AD119" s="170"/>
      <c r="AE119" s="170"/>
      <c r="AF119" s="170"/>
      <c r="AG119" s="170"/>
      <c r="AH119" s="170"/>
      <c r="AI119" s="170"/>
      <c r="AJ119" s="170"/>
      <c r="AK119" s="170"/>
      <c r="AL119" s="170"/>
      <c r="AM119" s="170"/>
      <c r="AN119" s="170"/>
      <c r="AO119" s="170"/>
      <c r="AP119" s="170"/>
      <c r="AQ119" s="170"/>
      <c r="AR119" s="170"/>
      <c r="AS119" s="170"/>
      <c r="AT119" s="170"/>
      <c r="AU119" s="170"/>
      <c r="AV119" s="170"/>
      <c r="AW119" s="170"/>
      <c r="AX119" s="170"/>
      <c r="AY119" s="170"/>
      <c r="AZ119" s="170"/>
      <c r="BA119" s="170"/>
      <c r="BB119" s="170"/>
      <c r="BC119" s="170"/>
      <c r="BD119" s="170"/>
      <c r="BE119" s="170"/>
      <c r="BF119" s="170"/>
      <c r="BG119" s="170"/>
      <c r="BH119" s="170"/>
      <c r="BI119" s="170"/>
      <c r="BJ119" s="170"/>
      <c r="BK119" s="170"/>
      <c r="BL119" s="170"/>
      <c r="BM119" s="184" t="s">
        <v>450</v>
      </c>
      <c r="BN119" s="170"/>
      <c r="BO119" s="170"/>
      <c r="BP119" s="170"/>
      <c r="BQ119" s="170"/>
      <c r="BR119" s="25"/>
      <c r="BS119" s="25"/>
      <c r="BT119" s="39"/>
      <c r="BU119" s="39"/>
      <c r="BV119" s="39"/>
      <c r="BW119" s="25"/>
      <c r="BX119" s="25"/>
      <c r="BY119" s="25"/>
      <c r="BZ119" s="25"/>
      <c r="CA119" s="25"/>
      <c r="CB119" s="25"/>
      <c r="CC119" s="25"/>
      <c r="CD119" s="175"/>
      <c r="CE119" s="175"/>
      <c r="CF119" s="175"/>
      <c r="CG119" s="174"/>
      <c r="CH119" s="174"/>
      <c r="CI119" s="174"/>
      <c r="CJ119" s="394" t="s">
        <v>662</v>
      </c>
      <c r="CK119" s="396"/>
      <c r="CL119" s="174"/>
      <c r="CM119" s="174"/>
      <c r="CN119" s="394" t="s">
        <v>662</v>
      </c>
      <c r="CO119" s="174"/>
      <c r="CP119" s="174"/>
      <c r="CQ119" s="174"/>
      <c r="CR119" s="394" t="s">
        <v>662</v>
      </c>
      <c r="CS119" s="174"/>
      <c r="CT119" s="174"/>
      <c r="CU119" s="174"/>
      <c r="CV119" s="394" t="s">
        <v>662</v>
      </c>
      <c r="CW119" s="1463"/>
      <c r="CX119" s="174"/>
      <c r="CY119" s="174"/>
      <c r="CZ119" s="394" t="s">
        <v>662</v>
      </c>
      <c r="DA119" s="1463"/>
      <c r="DB119" s="174"/>
      <c r="DC119" s="174"/>
      <c r="DD119" s="174"/>
      <c r="DE119" s="174"/>
      <c r="DF119" s="175"/>
      <c r="DG119" s="25"/>
      <c r="DH119" s="25"/>
      <c r="DI119" s="25"/>
      <c r="DJ119" s="25"/>
    </row>
    <row r="120" spans="1:114" outlineLevel="3">
      <c r="A120" s="170" t="str">
        <f>$A$10</f>
        <v>1Q</v>
      </c>
      <c r="B120" s="170" t="str">
        <f>$B$10</f>
        <v>Apr</v>
      </c>
      <c r="C120" s="170"/>
      <c r="D120" s="204"/>
      <c r="E120" s="196"/>
      <c r="F120" s="196"/>
      <c r="G120" s="170"/>
      <c r="H120" s="204"/>
      <c r="I120" s="196"/>
      <c r="J120" s="196"/>
      <c r="K120" s="170"/>
      <c r="L120" s="204"/>
      <c r="M120" s="196"/>
      <c r="N120" s="196"/>
      <c r="O120" s="170"/>
      <c r="P120" s="204"/>
      <c r="Q120" s="196"/>
      <c r="R120" s="196"/>
      <c r="S120" s="170"/>
      <c r="T120" s="204"/>
      <c r="U120" s="196"/>
      <c r="V120" s="196"/>
      <c r="W120" s="196"/>
      <c r="X120" s="204"/>
      <c r="Y120" s="170"/>
      <c r="Z120" s="170"/>
      <c r="AA120" s="170"/>
      <c r="AB120" s="204">
        <f>69.012*2</f>
        <v>138.024</v>
      </c>
      <c r="AC120" s="170"/>
      <c r="AD120" s="170"/>
      <c r="AE120" s="170"/>
      <c r="AF120" s="204">
        <f>69.012*2</f>
        <v>138.024</v>
      </c>
      <c r="AG120" s="170"/>
      <c r="AH120" s="170"/>
      <c r="AI120" s="170"/>
      <c r="AJ120" s="204">
        <f>76.612*2</f>
        <v>153.22399999999999</v>
      </c>
      <c r="AK120" s="170"/>
      <c r="AL120" s="170"/>
      <c r="AM120" s="170"/>
      <c r="AN120" s="204">
        <f>77.832*2</f>
        <v>155.66399999999999</v>
      </c>
      <c r="AO120" s="170"/>
      <c r="AP120" s="170"/>
      <c r="AQ120" s="331"/>
      <c r="AR120" s="170"/>
      <c r="AS120" s="170"/>
      <c r="AT120" s="170"/>
      <c r="AU120" s="204">
        <f>80.388*2</f>
        <v>160.77600000000001</v>
      </c>
      <c r="AV120" s="170"/>
      <c r="AW120" s="170"/>
      <c r="AX120" s="170"/>
      <c r="AY120" s="204">
        <f>81.678227*2</f>
        <v>163.35645400000001</v>
      </c>
      <c r="AZ120" s="170"/>
      <c r="BA120" s="170"/>
      <c r="BB120" s="170"/>
      <c r="BC120" s="204">
        <v>165.25818200000001</v>
      </c>
      <c r="BD120" s="339"/>
      <c r="BE120" s="339"/>
      <c r="BF120" s="339"/>
      <c r="BG120" s="204">
        <v>165.68393499999999</v>
      </c>
      <c r="BH120" s="339"/>
      <c r="BI120" s="339"/>
      <c r="BJ120" s="339"/>
      <c r="BK120" s="204">
        <v>167.10261399999999</v>
      </c>
      <c r="BL120" s="339"/>
      <c r="BM120" s="339"/>
      <c r="BN120" s="204"/>
      <c r="BO120" s="204">
        <v>168.14848799999999</v>
      </c>
      <c r="BP120" s="339"/>
      <c r="BQ120" s="339"/>
      <c r="BR120" s="28"/>
      <c r="BS120" s="28">
        <v>169.152038</v>
      </c>
      <c r="BT120" s="33"/>
      <c r="BU120" s="33"/>
      <c r="BV120" s="33"/>
      <c r="BW120" s="28">
        <v>159.69047499999999</v>
      </c>
      <c r="BX120" s="28"/>
      <c r="BY120" s="28"/>
      <c r="BZ120" s="28"/>
      <c r="CA120" s="28">
        <v>144.80920699999999</v>
      </c>
      <c r="CB120" s="28"/>
      <c r="CC120" s="28"/>
      <c r="CD120" s="28"/>
      <c r="CE120" s="28">
        <v>146.934867</v>
      </c>
      <c r="CF120" s="175"/>
      <c r="CG120" s="175"/>
      <c r="CH120" s="175"/>
      <c r="CI120" s="28">
        <v>137.751372</v>
      </c>
      <c r="CJ120" s="397"/>
      <c r="CK120" s="397"/>
      <c r="CL120" s="175"/>
      <c r="CM120" s="28">
        <v>133</v>
      </c>
      <c r="CN120" s="395">
        <f>CM110/CI110*CI120</f>
        <v>125.41151743810454</v>
      </c>
      <c r="CO120" s="175"/>
      <c r="CP120" s="175"/>
      <c r="CQ120" s="28">
        <v>117.5</v>
      </c>
      <c r="CR120" s="395">
        <f>CQ110/CM110*CM120</f>
        <v>117.73205489162649</v>
      </c>
      <c r="CS120" s="175"/>
      <c r="CT120" s="175"/>
      <c r="CU120" s="28">
        <v>116.27628900000001</v>
      </c>
      <c r="CV120" s="395">
        <f>CU110/CQ110*CQ120</f>
        <v>116.45307125296469</v>
      </c>
      <c r="CW120" s="1472"/>
      <c r="CX120" s="175"/>
      <c r="CY120" s="29">
        <f>CU123-0.5</f>
        <v>107.74844</v>
      </c>
      <c r="CZ120" s="395">
        <f>CY110/CU110*CU120</f>
        <v>108.96810704688077</v>
      </c>
      <c r="DA120" s="1472"/>
      <c r="DB120" s="175"/>
      <c r="DC120" s="175"/>
      <c r="DD120" s="413"/>
      <c r="DE120" s="175"/>
      <c r="DF120" s="175"/>
      <c r="DG120" s="25"/>
      <c r="DH120" s="25"/>
      <c r="DI120" s="25"/>
      <c r="DJ120" s="25"/>
    </row>
    <row r="121" spans="1:114" outlineLevel="3">
      <c r="A121" s="170" t="str">
        <f>$A$11</f>
        <v>2Q</v>
      </c>
      <c r="B121" s="170" t="str">
        <f>$B$11</f>
        <v>Jul</v>
      </c>
      <c r="C121" s="170"/>
      <c r="D121" s="204"/>
      <c r="E121" s="196"/>
      <c r="F121" s="196"/>
      <c r="G121" s="170"/>
      <c r="H121" s="204"/>
      <c r="I121" s="196"/>
      <c r="J121" s="196"/>
      <c r="K121" s="170"/>
      <c r="L121" s="204"/>
      <c r="M121" s="196"/>
      <c r="N121" s="196"/>
      <c r="O121" s="170"/>
      <c r="P121" s="204"/>
      <c r="Q121" s="196"/>
      <c r="R121" s="196"/>
      <c r="S121" s="170"/>
      <c r="T121" s="204"/>
      <c r="U121" s="196"/>
      <c r="V121" s="196"/>
      <c r="W121" s="196"/>
      <c r="X121" s="204"/>
      <c r="Y121" s="170"/>
      <c r="Z121" s="170"/>
      <c r="AA121" s="170"/>
      <c r="AB121" s="204">
        <f>69.012*2</f>
        <v>138.024</v>
      </c>
      <c r="AC121" s="170"/>
      <c r="AD121" s="170"/>
      <c r="AE121" s="170"/>
      <c r="AF121" s="204">
        <f>69.052*2</f>
        <v>138.10400000000001</v>
      </c>
      <c r="AG121" s="170"/>
      <c r="AH121" s="170"/>
      <c r="AI121" s="170"/>
      <c r="AJ121" s="204">
        <f>76.656*2</f>
        <v>153.31200000000001</v>
      </c>
      <c r="AK121" s="170"/>
      <c r="AL121" s="170"/>
      <c r="AM121" s="170"/>
      <c r="AN121" s="204">
        <f>78.7423*2</f>
        <v>157.4846</v>
      </c>
      <c r="AO121" s="170"/>
      <c r="AP121" s="170"/>
      <c r="AQ121" s="170"/>
      <c r="AR121" s="170"/>
      <c r="AS121" s="170"/>
      <c r="AT121" s="170"/>
      <c r="AU121" s="204">
        <f>80.895742*2</f>
        <v>161.791484</v>
      </c>
      <c r="AV121" s="170"/>
      <c r="AW121" s="170"/>
      <c r="AX121" s="170"/>
      <c r="AY121" s="204">
        <f>81.806*2</f>
        <v>163.61199999999999</v>
      </c>
      <c r="AZ121" s="170"/>
      <c r="BA121" s="170"/>
      <c r="BB121" s="170"/>
      <c r="BC121" s="204">
        <v>165.32981699999999</v>
      </c>
      <c r="BD121" s="339"/>
      <c r="BE121" s="339"/>
      <c r="BF121" s="339"/>
      <c r="BG121" s="204">
        <v>165.815865</v>
      </c>
      <c r="BH121" s="339"/>
      <c r="BI121" s="339"/>
      <c r="BJ121" s="339"/>
      <c r="BK121" s="204">
        <v>167.30113800000001</v>
      </c>
      <c r="BL121" s="339"/>
      <c r="BM121" s="339"/>
      <c r="BN121" s="204"/>
      <c r="BO121" s="204">
        <v>168.308888</v>
      </c>
      <c r="BP121" s="339"/>
      <c r="BQ121" s="339"/>
      <c r="BR121" s="28"/>
      <c r="BS121" s="28">
        <v>165.08242799999999</v>
      </c>
      <c r="BT121" s="33"/>
      <c r="BU121" s="33"/>
      <c r="BV121" s="33"/>
      <c r="BW121" s="28">
        <v>153.91866099999999</v>
      </c>
      <c r="BX121" s="28"/>
      <c r="BY121" s="28"/>
      <c r="BZ121" s="28"/>
      <c r="CA121" s="28">
        <v>145.53100699999999</v>
      </c>
      <c r="CB121" s="28"/>
      <c r="CC121" s="28"/>
      <c r="CD121" s="28"/>
      <c r="CE121" s="28">
        <v>147.37186399999999</v>
      </c>
      <c r="CF121" s="175"/>
      <c r="CG121" s="175"/>
      <c r="CH121" s="175"/>
      <c r="CI121" s="28">
        <v>134.33607000000001</v>
      </c>
      <c r="CJ121" s="397"/>
      <c r="CK121" s="397"/>
      <c r="CL121" s="175"/>
      <c r="CM121" s="28">
        <v>126.3</v>
      </c>
      <c r="CN121" s="395">
        <f>CM111/CI111*CI121</f>
        <v>125.49241847094342</v>
      </c>
      <c r="CO121" s="175"/>
      <c r="CP121" s="175"/>
      <c r="CQ121" s="28">
        <v>117.2</v>
      </c>
      <c r="CR121" s="395">
        <f>CQ111/CM111*CM121</f>
        <v>114.85451927498877</v>
      </c>
      <c r="CS121" s="175"/>
      <c r="CT121" s="175"/>
      <c r="CU121" s="28">
        <v>111.8</v>
      </c>
      <c r="CV121" s="395">
        <f>CU111/CQ111*CQ121</f>
        <v>113.58316651833758</v>
      </c>
      <c r="CW121" s="1472"/>
      <c r="CX121" s="175"/>
      <c r="CY121" s="29">
        <f>CY120</f>
        <v>107.74844</v>
      </c>
      <c r="CZ121" s="395">
        <f>CY111/CU111*CU121</f>
        <v>106.15297736131896</v>
      </c>
      <c r="DA121" s="1472"/>
      <c r="DB121" s="175"/>
      <c r="DC121" s="175"/>
      <c r="DD121" s="175"/>
      <c r="DE121" s="175"/>
      <c r="DF121" s="175"/>
      <c r="DG121" s="25"/>
      <c r="DH121" s="25"/>
      <c r="DI121" s="25"/>
      <c r="DJ121" s="25"/>
    </row>
    <row r="122" spans="1:114" outlineLevel="3">
      <c r="A122" s="170" t="str">
        <f>$A$12</f>
        <v>3Q</v>
      </c>
      <c r="B122" s="170" t="str">
        <f>$B$12</f>
        <v>Oct</v>
      </c>
      <c r="C122" s="170"/>
      <c r="D122" s="204"/>
      <c r="E122" s="196"/>
      <c r="F122" s="196"/>
      <c r="G122" s="170"/>
      <c r="H122" s="204"/>
      <c r="I122" s="196"/>
      <c r="J122" s="196"/>
      <c r="K122" s="170"/>
      <c r="L122" s="204"/>
      <c r="M122" s="196"/>
      <c r="N122" s="196"/>
      <c r="O122" s="170"/>
      <c r="P122" s="204"/>
      <c r="Q122" s="196"/>
      <c r="R122" s="196"/>
      <c r="S122" s="170"/>
      <c r="T122" s="204"/>
      <c r="U122" s="196"/>
      <c r="V122" s="196"/>
      <c r="W122" s="196"/>
      <c r="X122" s="204"/>
      <c r="Y122" s="170"/>
      <c r="Z122" s="170" t="s">
        <v>482</v>
      </c>
      <c r="AA122" s="170"/>
      <c r="AB122" s="204">
        <f>69.012*2</f>
        <v>138.024</v>
      </c>
      <c r="AC122" s="170"/>
      <c r="AD122" s="170"/>
      <c r="AE122" s="170"/>
      <c r="AF122" s="204">
        <f>69.056*2</f>
        <v>138.11199999999999</v>
      </c>
      <c r="AG122" s="170"/>
      <c r="AH122" s="170"/>
      <c r="AI122" s="170"/>
      <c r="AJ122" s="204">
        <f>77.052*2</f>
        <v>154.10400000000001</v>
      </c>
      <c r="AK122" s="170"/>
      <c r="AL122" s="170"/>
      <c r="AM122" s="170"/>
      <c r="AN122" s="204">
        <f>79*2</f>
        <v>158</v>
      </c>
      <c r="AO122" s="170"/>
      <c r="AP122" s="170" t="s">
        <v>482</v>
      </c>
      <c r="AQ122" s="170"/>
      <c r="AR122" s="170"/>
      <c r="AS122" s="170"/>
      <c r="AT122" s="170"/>
      <c r="AU122" s="204">
        <f>81.330144*2</f>
        <v>162.66028800000001</v>
      </c>
      <c r="AV122" s="170"/>
      <c r="AW122" s="170" t="s">
        <v>482</v>
      </c>
      <c r="AX122" s="170"/>
      <c r="AY122" s="204">
        <v>164.69627700000001</v>
      </c>
      <c r="AZ122" s="170"/>
      <c r="BA122" s="170" t="s">
        <v>482</v>
      </c>
      <c r="BB122" s="170"/>
      <c r="BC122" s="204">
        <v>164.689887</v>
      </c>
      <c r="BD122" s="339"/>
      <c r="BE122" s="339"/>
      <c r="BF122" s="339"/>
      <c r="BG122" s="204">
        <v>166.01801499999999</v>
      </c>
      <c r="BH122" s="339"/>
      <c r="BI122" s="339"/>
      <c r="BJ122" s="339"/>
      <c r="BK122" s="204">
        <v>167.70948799999999</v>
      </c>
      <c r="BL122" s="339"/>
      <c r="BM122" s="339"/>
      <c r="BN122" s="204"/>
      <c r="BO122" s="204">
        <v>168.499638</v>
      </c>
      <c r="BP122" s="339"/>
      <c r="BQ122" s="339"/>
      <c r="BR122" s="28"/>
      <c r="BS122" s="28">
        <v>164.04383799999999</v>
      </c>
      <c r="BT122" s="33"/>
      <c r="BU122" s="33"/>
      <c r="BV122" s="33"/>
      <c r="BW122" s="28">
        <v>144.20166399999999</v>
      </c>
      <c r="BX122" s="28"/>
      <c r="BY122" s="28"/>
      <c r="BZ122" s="28"/>
      <c r="CA122" s="28">
        <v>145.91056699999999</v>
      </c>
      <c r="CB122" s="28"/>
      <c r="CC122" s="28"/>
      <c r="CD122" s="28"/>
      <c r="CE122" s="28">
        <v>147.309575</v>
      </c>
      <c r="CF122" s="175"/>
      <c r="CG122" s="175" t="s">
        <v>663</v>
      </c>
      <c r="CH122" s="175"/>
      <c r="CI122" s="290">
        <v>131.643598</v>
      </c>
      <c r="CJ122" s="398">
        <f>CI112/CE112*CE122</f>
        <v>133.94122023066873</v>
      </c>
      <c r="CK122" s="397"/>
      <c r="CL122" s="175"/>
      <c r="CM122" s="290">
        <v>123.5</v>
      </c>
      <c r="CN122" s="395">
        <f>CM112/CI112*CI122</f>
        <v>119.80776660748521</v>
      </c>
      <c r="CO122" s="175"/>
      <c r="CP122" s="175"/>
      <c r="CQ122" s="290">
        <v>117</v>
      </c>
      <c r="CR122" s="395">
        <f>CQ112/CM112*CM122</f>
        <v>117.17967349856292</v>
      </c>
      <c r="CS122" s="175"/>
      <c r="CT122" s="175"/>
      <c r="CU122" s="290">
        <v>109.667224</v>
      </c>
      <c r="CV122" s="395">
        <f>CU112/CQ112*CQ122</f>
        <v>109.73100448056374</v>
      </c>
      <c r="CW122" s="1472"/>
      <c r="CX122" s="175"/>
      <c r="CY122" s="34">
        <f>CY121</f>
        <v>107.74844</v>
      </c>
      <c r="CZ122" s="395">
        <f>CY112/CU112*CU122</f>
        <v>106.59369806842233</v>
      </c>
      <c r="DA122" s="1472"/>
      <c r="DB122" s="175"/>
      <c r="DC122" s="175"/>
      <c r="DD122" s="175"/>
      <c r="DE122" s="175"/>
      <c r="DF122" s="175"/>
      <c r="DG122" s="25"/>
      <c r="DH122" s="25"/>
      <c r="DI122" s="25"/>
      <c r="DJ122" s="25"/>
    </row>
    <row r="123" spans="1:114" outlineLevel="3">
      <c r="A123" s="170" t="str">
        <f>$A$13</f>
        <v>4Q</v>
      </c>
      <c r="B123" s="170" t="str">
        <f>$B$13</f>
        <v>Jan</v>
      </c>
      <c r="C123" s="209"/>
      <c r="D123" s="211"/>
      <c r="E123" s="196"/>
      <c r="F123" s="196"/>
      <c r="G123" s="170"/>
      <c r="H123" s="211"/>
      <c r="I123" s="196"/>
      <c r="J123" s="196"/>
      <c r="K123" s="170"/>
      <c r="L123" s="211"/>
      <c r="M123" s="196"/>
      <c r="N123" s="196"/>
      <c r="O123" s="170"/>
      <c r="P123" s="211"/>
      <c r="Q123" s="196"/>
      <c r="R123" s="196"/>
      <c r="S123" s="170"/>
      <c r="T123" s="211"/>
      <c r="U123" s="196"/>
      <c r="V123" s="196"/>
      <c r="W123" s="196"/>
      <c r="X123" s="211">
        <f>69.4327*2</f>
        <v>138.86539999999999</v>
      </c>
      <c r="Y123" s="170"/>
      <c r="Z123" s="170"/>
      <c r="AA123" s="170"/>
      <c r="AB123" s="211">
        <f>69.012*2</f>
        <v>138.024</v>
      </c>
      <c r="AC123" s="170"/>
      <c r="AD123" s="170"/>
      <c r="AE123" s="170"/>
      <c r="AF123" s="211">
        <f>69.412*2</f>
        <v>138.82400000000001</v>
      </c>
      <c r="AG123" s="170"/>
      <c r="AH123" s="170"/>
      <c r="AI123" s="170"/>
      <c r="AJ123" s="211">
        <f>77.528*2</f>
        <v>155.05600000000001</v>
      </c>
      <c r="AK123" s="170"/>
      <c r="AL123" s="170"/>
      <c r="AM123" s="170"/>
      <c r="AN123" s="211">
        <f>79.776*2</f>
        <v>159.55199999999999</v>
      </c>
      <c r="AO123" s="170"/>
      <c r="AP123" s="170"/>
      <c r="AQ123" s="170"/>
      <c r="AR123" s="170"/>
      <c r="AS123" s="170"/>
      <c r="AT123" s="170"/>
      <c r="AU123" s="211">
        <f>81.825736*2</f>
        <v>163.65147200000001</v>
      </c>
      <c r="AV123" s="170"/>
      <c r="AW123" s="170"/>
      <c r="AX123" s="170"/>
      <c r="AY123" s="211">
        <v>165.00671700000001</v>
      </c>
      <c r="AZ123" s="170"/>
      <c r="BA123" s="170"/>
      <c r="BB123" s="170"/>
      <c r="BC123" s="211">
        <v>165.084463</v>
      </c>
      <c r="BD123" s="339"/>
      <c r="BE123" s="339"/>
      <c r="BF123" s="339"/>
      <c r="BG123" s="211">
        <v>166.56671399999999</v>
      </c>
      <c r="BH123" s="339"/>
      <c r="BI123" s="339"/>
      <c r="BJ123" s="339"/>
      <c r="BK123" s="211">
        <v>167.72968800000001</v>
      </c>
      <c r="BL123" s="339"/>
      <c r="BM123" s="339"/>
      <c r="BN123" s="211"/>
      <c r="BO123" s="211">
        <v>168.888271</v>
      </c>
      <c r="BP123" s="339"/>
      <c r="BQ123" s="339"/>
      <c r="BR123" s="33"/>
      <c r="BS123" s="31">
        <v>162.255448</v>
      </c>
      <c r="BT123" s="33"/>
      <c r="BU123" s="33"/>
      <c r="BV123" s="33"/>
      <c r="BW123" s="31">
        <v>144.706907</v>
      </c>
      <c r="BX123" s="33"/>
      <c r="BY123" s="33"/>
      <c r="BZ123" s="33"/>
      <c r="CA123" s="31">
        <v>146.22846699999999</v>
      </c>
      <c r="CB123" s="33"/>
      <c r="CC123" s="33"/>
      <c r="CD123" s="33"/>
      <c r="CE123" s="31">
        <v>144.56095300000001</v>
      </c>
      <c r="CF123" s="175"/>
      <c r="CG123" s="175"/>
      <c r="CH123" s="175"/>
      <c r="CI123" s="31">
        <f>CI122-1.2</f>
        <v>130.44359800000001</v>
      </c>
      <c r="CJ123" s="398">
        <f>CI113/CE113*CE123</f>
        <v>128.84392818369358</v>
      </c>
      <c r="CK123" s="397"/>
      <c r="CL123" s="175"/>
      <c r="CM123" s="31">
        <v>117.8</v>
      </c>
      <c r="CN123" s="395">
        <f>CM113/CI113*CI123</f>
        <v>116.34293479106597</v>
      </c>
      <c r="CO123" s="175"/>
      <c r="CP123" s="175"/>
      <c r="CQ123" s="1627">
        <v>116.23378099999999</v>
      </c>
      <c r="CR123" s="395">
        <f>CQ113/CM113*CM123</f>
        <v>116.01623672636735</v>
      </c>
      <c r="CS123" s="175"/>
      <c r="CT123" s="175"/>
      <c r="CU123" s="1627">
        <v>108.24844</v>
      </c>
      <c r="CV123" s="395">
        <f>CU113/CQ113*CQ123</f>
        <v>108.67580920772912</v>
      </c>
      <c r="CW123" s="1472"/>
      <c r="CX123" s="175"/>
      <c r="CY123" s="342">
        <f>CY122</f>
        <v>107.74844</v>
      </c>
      <c r="CZ123" s="395">
        <f>CY113/CU113*CU123</f>
        <v>106.06790200009611</v>
      </c>
      <c r="DA123" s="1472"/>
      <c r="DB123" s="175"/>
      <c r="DC123" s="175"/>
      <c r="DD123" s="175"/>
      <c r="DE123" s="175"/>
      <c r="DF123" s="175"/>
      <c r="DG123" s="25"/>
      <c r="DH123" s="25"/>
      <c r="DI123" s="25"/>
      <c r="DJ123" s="25"/>
    </row>
    <row r="124" spans="1:114" outlineLevel="3">
      <c r="A124" s="170"/>
      <c r="B124" s="170" t="str">
        <f>$B$14</f>
        <v>Year</v>
      </c>
      <c r="C124" s="170"/>
      <c r="D124" s="204"/>
      <c r="E124" s="170"/>
      <c r="F124" s="170"/>
      <c r="G124" s="170"/>
      <c r="H124" s="204"/>
      <c r="I124" s="280"/>
      <c r="J124" s="280"/>
      <c r="K124" s="280"/>
      <c r="L124" s="204"/>
      <c r="M124" s="280"/>
      <c r="N124" s="280"/>
      <c r="O124" s="280"/>
      <c r="P124" s="204"/>
      <c r="Q124" s="280"/>
      <c r="R124" s="280"/>
      <c r="S124" s="280"/>
      <c r="T124" s="204"/>
      <c r="U124" s="280"/>
      <c r="V124" s="280"/>
      <c r="W124" s="280"/>
      <c r="X124" s="204">
        <f>X123</f>
        <v>138.86539999999999</v>
      </c>
      <c r="Y124" s="280"/>
      <c r="Z124" s="280"/>
      <c r="AA124" s="280"/>
      <c r="AB124" s="204">
        <f>(AB120+AB121+AB122+AB123)/4</f>
        <v>138.024</v>
      </c>
      <c r="AC124" s="280"/>
      <c r="AD124" s="280"/>
      <c r="AE124" s="280"/>
      <c r="AF124" s="204">
        <f>(AF120+AF121+AF122+AF123)/4</f>
        <v>138.26600000000002</v>
      </c>
      <c r="AG124" s="280"/>
      <c r="AH124" s="280"/>
      <c r="AI124" s="280"/>
      <c r="AJ124" s="204">
        <f>(AJ120+AJ121+AJ122+AJ123)/4</f>
        <v>153.92400000000001</v>
      </c>
      <c r="AK124" s="280"/>
      <c r="AL124" s="280"/>
      <c r="AM124" s="280"/>
      <c r="AN124" s="204">
        <f>(AN120+AN121+AN122+AN123)/4</f>
        <v>157.67515</v>
      </c>
      <c r="AO124" s="280"/>
      <c r="AP124" s="280"/>
      <c r="AQ124" s="170"/>
      <c r="AR124" s="170"/>
      <c r="AS124" s="170"/>
      <c r="AT124" s="280"/>
      <c r="AU124" s="204">
        <f>(AU120+AU121+AU122+AU123)/4</f>
        <v>162.21981100000002</v>
      </c>
      <c r="AV124" s="280"/>
      <c r="AW124" s="280"/>
      <c r="AX124" s="280"/>
      <c r="AY124" s="338">
        <f>+(AY120+AY121+AY122+AY123)/4</f>
        <v>164.16786200000001</v>
      </c>
      <c r="AZ124" s="280"/>
      <c r="BA124" s="280"/>
      <c r="BB124" s="280"/>
      <c r="BC124" s="343">
        <f>BC123</f>
        <v>165.084463</v>
      </c>
      <c r="BD124" s="344"/>
      <c r="BE124" s="344"/>
      <c r="BF124" s="344"/>
      <c r="BG124" s="343">
        <f>BG123</f>
        <v>166.56671399999999</v>
      </c>
      <c r="BH124" s="344"/>
      <c r="BI124" s="344"/>
      <c r="BJ124" s="344"/>
      <c r="BK124" s="343">
        <f>BK123</f>
        <v>167.72968800000001</v>
      </c>
      <c r="BL124" s="344"/>
      <c r="BM124" s="344"/>
      <c r="BN124" s="280"/>
      <c r="BO124" s="343">
        <f>BO123</f>
        <v>168.888271</v>
      </c>
      <c r="BP124" s="344"/>
      <c r="BQ124" s="344"/>
      <c r="BR124" s="35"/>
      <c r="BS124" s="340">
        <f>BS123</f>
        <v>162.255448</v>
      </c>
      <c r="BT124" s="345"/>
      <c r="BU124" s="345"/>
      <c r="BV124" s="345"/>
      <c r="BW124" s="340">
        <f>BW123</f>
        <v>144.706907</v>
      </c>
      <c r="BX124" s="345"/>
      <c r="BY124" s="345"/>
      <c r="BZ124" s="345"/>
      <c r="CA124" s="340">
        <f>CA123</f>
        <v>146.22846699999999</v>
      </c>
      <c r="CB124" s="345"/>
      <c r="CC124" s="345"/>
      <c r="CD124" s="175"/>
      <c r="CE124" s="340">
        <f>CE123</f>
        <v>144.56095300000001</v>
      </c>
      <c r="CF124" s="175"/>
      <c r="CG124" s="175"/>
      <c r="CH124" s="175"/>
      <c r="CI124" s="340">
        <f>CI123</f>
        <v>130.44359800000001</v>
      </c>
      <c r="CJ124" s="397"/>
      <c r="CK124" s="397"/>
      <c r="CL124" s="175"/>
      <c r="CM124" s="340">
        <f>CM123</f>
        <v>117.8</v>
      </c>
      <c r="CN124" s="393"/>
      <c r="CO124" s="175"/>
      <c r="CP124" s="175"/>
      <c r="CQ124" s="340">
        <f>CQ123</f>
        <v>116.23378099999999</v>
      </c>
      <c r="CR124" s="393"/>
      <c r="CS124" s="175"/>
      <c r="CT124" s="175"/>
      <c r="CU124" s="340">
        <f>CU123</f>
        <v>108.24844</v>
      </c>
      <c r="CV124" s="393"/>
      <c r="CW124" s="1472"/>
      <c r="CX124" s="175"/>
      <c r="CY124" s="340">
        <f>CY123</f>
        <v>107.74844</v>
      </c>
      <c r="CZ124" s="393"/>
      <c r="DA124" s="1472"/>
      <c r="DB124" s="175"/>
      <c r="DC124" s="175"/>
      <c r="DD124" s="413"/>
      <c r="DE124" s="175"/>
      <c r="DF124" s="175"/>
      <c r="DG124" s="25"/>
      <c r="DH124" s="25"/>
      <c r="DI124" s="25"/>
      <c r="DJ124" s="25"/>
    </row>
    <row r="125" spans="1:114" outlineLevel="3">
      <c r="A125" s="170" t="str">
        <f>$A$15</f>
        <v>6 Mos</v>
      </c>
      <c r="B125" s="170"/>
      <c r="C125" s="170"/>
      <c r="D125" s="217">
        <f>(D120+D121)/2</f>
        <v>0</v>
      </c>
      <c r="E125" s="170"/>
      <c r="F125" s="170"/>
      <c r="G125" s="170"/>
      <c r="H125" s="217">
        <f>(H120+H121)/2</f>
        <v>0</v>
      </c>
      <c r="I125" s="170"/>
      <c r="J125" s="170"/>
      <c r="K125" s="170"/>
      <c r="L125" s="217">
        <f>(L120+L121)/2</f>
        <v>0</v>
      </c>
      <c r="M125" s="170"/>
      <c r="N125" s="170"/>
      <c r="O125" s="170"/>
      <c r="P125" s="217">
        <f>(P120+P121)/2</f>
        <v>0</v>
      </c>
      <c r="Q125" s="170"/>
      <c r="R125" s="170"/>
      <c r="S125" s="170"/>
      <c r="T125" s="217">
        <f>(T120+T121)/2</f>
        <v>0</v>
      </c>
      <c r="U125" s="170"/>
      <c r="V125" s="170"/>
      <c r="W125" s="170"/>
      <c r="X125" s="217"/>
      <c r="Y125" s="170"/>
      <c r="Z125" s="170"/>
      <c r="AA125" s="170"/>
      <c r="AB125" s="217">
        <f>(AB120+AB121)/2</f>
        <v>138.024</v>
      </c>
      <c r="AC125" s="170"/>
      <c r="AD125" s="170"/>
      <c r="AE125" s="170"/>
      <c r="AF125" s="217">
        <f>(AF120+AF121)/2</f>
        <v>138.06400000000002</v>
      </c>
      <c r="AG125" s="170"/>
      <c r="AH125" s="170"/>
      <c r="AI125" s="170"/>
      <c r="AJ125" s="217">
        <f>(AJ120+AJ121)/2</f>
        <v>153.268</v>
      </c>
      <c r="AK125" s="170"/>
      <c r="AL125" s="170"/>
      <c r="AM125" s="170"/>
      <c r="AN125" s="217">
        <f>(AN120+AN121)/2</f>
        <v>156.57429999999999</v>
      </c>
      <c r="AO125" s="170"/>
      <c r="AP125" s="170"/>
      <c r="AQ125" s="170"/>
      <c r="AR125" s="170"/>
      <c r="AS125" s="170"/>
      <c r="AT125" s="170"/>
      <c r="AU125" s="217">
        <f>(AU120+AU121)/2</f>
        <v>161.28374200000002</v>
      </c>
      <c r="AV125" s="170"/>
      <c r="AW125" s="170"/>
      <c r="AX125" s="170"/>
      <c r="AY125" s="217">
        <f>(AY120+AY121)/2</f>
        <v>163.484227</v>
      </c>
      <c r="AZ125" s="170"/>
      <c r="BA125" s="170"/>
      <c r="BB125" s="170"/>
      <c r="BC125" s="217">
        <f>(BC120+BC121)/2</f>
        <v>165.29399949999998</v>
      </c>
      <c r="BD125" s="209"/>
      <c r="BE125" s="209"/>
      <c r="BF125" s="209"/>
      <c r="BG125" s="217">
        <f>(BG120+BG121)/2</f>
        <v>165.7499</v>
      </c>
      <c r="BH125" s="209"/>
      <c r="BI125" s="209"/>
      <c r="BJ125" s="209"/>
      <c r="BK125" s="217">
        <f>(BK120+BK121)/2</f>
        <v>167.201876</v>
      </c>
      <c r="BL125" s="209"/>
      <c r="BM125" s="209"/>
      <c r="BN125" s="170"/>
      <c r="BO125" s="217">
        <f>(BO120+BO121)/2</f>
        <v>168.22868799999998</v>
      </c>
      <c r="BP125" s="209"/>
      <c r="BQ125" s="209"/>
      <c r="BR125" s="25"/>
      <c r="BS125" s="34">
        <f>(BS120+BS121)/2</f>
        <v>167.117233</v>
      </c>
      <c r="BT125" s="39"/>
      <c r="BU125" s="39"/>
      <c r="BV125" s="39"/>
      <c r="BW125" s="34">
        <f>(BW120+BW121)/2</f>
        <v>156.80456799999999</v>
      </c>
      <c r="BX125" s="39"/>
      <c r="BY125" s="39"/>
      <c r="BZ125" s="39"/>
      <c r="CA125" s="34">
        <f>(CA120+CA121)/2</f>
        <v>145.17010699999997</v>
      </c>
      <c r="CB125" s="39"/>
      <c r="CC125" s="39"/>
      <c r="CD125" s="175"/>
      <c r="CE125" s="34">
        <f>(CE120+CE121)/2</f>
        <v>147.15336550000001</v>
      </c>
      <c r="CF125" s="175"/>
      <c r="CG125" s="175"/>
      <c r="CH125" s="175"/>
      <c r="CI125" s="34">
        <f>(CI120+CI121)/2</f>
        <v>136.04372100000001</v>
      </c>
      <c r="CJ125" s="175"/>
      <c r="CK125" s="175"/>
      <c r="CL125" s="175"/>
      <c r="CM125" s="34">
        <f>(CM120+CM121)/2</f>
        <v>129.65</v>
      </c>
      <c r="CN125" s="175"/>
      <c r="CO125" s="175"/>
      <c r="CP125" s="175"/>
      <c r="CQ125" s="34">
        <f>(CQ120+CQ121)/2</f>
        <v>117.35</v>
      </c>
      <c r="CR125" s="175"/>
      <c r="CS125" s="175"/>
      <c r="CT125" s="175"/>
      <c r="CU125" s="34">
        <f>(CU120+CU121)/2</f>
        <v>114.0381445</v>
      </c>
      <c r="CV125" s="175"/>
      <c r="CW125" s="1472"/>
      <c r="CX125" s="175"/>
      <c r="CY125" s="34">
        <f>(CY120+CY121)/2</f>
        <v>107.74844</v>
      </c>
      <c r="CZ125" s="175"/>
      <c r="DA125" s="1472"/>
      <c r="DB125" s="175"/>
      <c r="DC125" s="175"/>
      <c r="DD125" s="175"/>
      <c r="DE125" s="175"/>
      <c r="DF125" s="175"/>
      <c r="DG125" s="25"/>
      <c r="DH125" s="25"/>
      <c r="DI125" s="25"/>
      <c r="DJ125" s="25"/>
    </row>
    <row r="126" spans="1:114" outlineLevel="3">
      <c r="A126" s="170" t="str">
        <f>$A$16</f>
        <v>9 Mos</v>
      </c>
      <c r="B126" s="170"/>
      <c r="C126" s="170"/>
      <c r="D126" s="217">
        <f>(D120+D121+D122)/3</f>
        <v>0</v>
      </c>
      <c r="E126" s="170"/>
      <c r="F126" s="170"/>
      <c r="G126" s="170"/>
      <c r="H126" s="217">
        <f>(H120+H121+H122)/3</f>
        <v>0</v>
      </c>
      <c r="I126" s="170"/>
      <c r="J126" s="170"/>
      <c r="K126" s="170"/>
      <c r="L126" s="217">
        <f>(L120+L121+L122)/3</f>
        <v>0</v>
      </c>
      <c r="M126" s="170"/>
      <c r="N126" s="170"/>
      <c r="O126" s="170"/>
      <c r="P126" s="217">
        <f>(P120+P121+P122)/3</f>
        <v>0</v>
      </c>
      <c r="Q126" s="170"/>
      <c r="R126" s="170"/>
      <c r="S126" s="170"/>
      <c r="T126" s="217">
        <f>(T120+T121+T122)/3</f>
        <v>0</v>
      </c>
      <c r="U126" s="170"/>
      <c r="V126" s="170"/>
      <c r="W126" s="170"/>
      <c r="X126" s="217"/>
      <c r="Y126" s="170"/>
      <c r="Z126" s="170"/>
      <c r="AA126" s="170"/>
      <c r="AB126" s="217">
        <f>(AB120+AB121+AB122)/3</f>
        <v>138.024</v>
      </c>
      <c r="AC126" s="170"/>
      <c r="AD126" s="170"/>
      <c r="AE126" s="170"/>
      <c r="AF126" s="217">
        <f>(AF120+AF121+AF122)/3</f>
        <v>138.08000000000001</v>
      </c>
      <c r="AG126" s="170"/>
      <c r="AH126" s="170"/>
      <c r="AI126" s="170"/>
      <c r="AJ126" s="217">
        <f>(AJ120+AJ121+AJ122)/3</f>
        <v>153.54666666666665</v>
      </c>
      <c r="AK126" s="170"/>
      <c r="AL126" s="170"/>
      <c r="AM126" s="170"/>
      <c r="AN126" s="217">
        <f>(AN120+AN121+AN122)/3</f>
        <v>157.04953333333333</v>
      </c>
      <c r="AO126" s="170"/>
      <c r="AP126" s="170"/>
      <c r="AQ126" s="170"/>
      <c r="AR126" s="170"/>
      <c r="AS126" s="170"/>
      <c r="AT126" s="170"/>
      <c r="AU126" s="217">
        <f>(AU120+AU121+AU122)/3</f>
        <v>161.7425906666667</v>
      </c>
      <c r="AV126" s="170"/>
      <c r="AW126" s="170"/>
      <c r="AX126" s="170"/>
      <c r="AY126" s="217">
        <f>(AY120+AY121+AY122)/3</f>
        <v>163.88824366666668</v>
      </c>
      <c r="AZ126" s="170"/>
      <c r="BA126" s="170"/>
      <c r="BB126" s="170"/>
      <c r="BC126" s="217">
        <f>(BC120+BC121+BC122)/3</f>
        <v>165.09262866666666</v>
      </c>
      <c r="BD126" s="209"/>
      <c r="BE126" s="209"/>
      <c r="BF126" s="209"/>
      <c r="BG126" s="217">
        <f>(BG120+BG121+BG122)/3</f>
        <v>165.83927166666666</v>
      </c>
      <c r="BH126" s="209"/>
      <c r="BI126" s="209"/>
      <c r="BJ126" s="209"/>
      <c r="BK126" s="217">
        <f>(BK120+BK121+BK122)/3</f>
        <v>167.37108000000001</v>
      </c>
      <c r="BL126" s="209"/>
      <c r="BM126" s="209"/>
      <c r="BN126" s="170"/>
      <c r="BO126" s="217">
        <f>(BO120+BO121+BO122)/3</f>
        <v>168.31900466666664</v>
      </c>
      <c r="BP126" s="209"/>
      <c r="BQ126" s="209"/>
      <c r="BR126" s="25"/>
      <c r="BS126" s="34">
        <f>(BS120+BS121+BS122)/3</f>
        <v>166.09276800000001</v>
      </c>
      <c r="BT126" s="39"/>
      <c r="BU126" s="39"/>
      <c r="BV126" s="39"/>
      <c r="BW126" s="34">
        <f>(BW120+BW121+BW122)/3</f>
        <v>152.6036</v>
      </c>
      <c r="BX126" s="25"/>
      <c r="BY126" s="25"/>
      <c r="BZ126" s="25"/>
      <c r="CA126" s="34">
        <f>(CA120+CA121+CA122)/3</f>
        <v>145.41692699999999</v>
      </c>
      <c r="CB126" s="39"/>
      <c r="CC126" s="39"/>
      <c r="CD126" s="175"/>
      <c r="CE126" s="34">
        <f>(CE120+CE121+CE122)/3</f>
        <v>147.20543533333333</v>
      </c>
      <c r="CF126" s="175"/>
      <c r="CG126" s="175"/>
      <c r="CH126" s="175"/>
      <c r="CI126" s="34">
        <f>(CI120+CI121+CI122)/3</f>
        <v>134.57701333333333</v>
      </c>
      <c r="CJ126" s="175"/>
      <c r="CK126" s="175"/>
      <c r="CL126" s="175"/>
      <c r="CM126" s="34">
        <f>(CM120+CM121+CM122)/3</f>
        <v>127.60000000000001</v>
      </c>
      <c r="CN126" s="175"/>
      <c r="CO126" s="175"/>
      <c r="CP126" s="175"/>
      <c r="CQ126" s="34">
        <f>(CQ120+CQ121+CQ122)/3</f>
        <v>117.23333333333333</v>
      </c>
      <c r="CR126" s="175"/>
      <c r="CS126" s="175"/>
      <c r="CT126" s="175"/>
      <c r="CU126" s="34">
        <f>(CU120+CU121+CU122)/3</f>
        <v>112.581171</v>
      </c>
      <c r="CV126" s="175"/>
      <c r="CW126" s="1472"/>
      <c r="CX126" s="175"/>
      <c r="CY126" s="34">
        <f>(CY120+CY121+CY122)/3</f>
        <v>107.74844</v>
      </c>
      <c r="CZ126" s="175"/>
      <c r="DA126" s="1472"/>
      <c r="DB126" s="175"/>
      <c r="DC126" s="175"/>
      <c r="DD126" s="175"/>
      <c r="DE126" s="175"/>
      <c r="DF126" s="175"/>
      <c r="DG126" s="25"/>
      <c r="DH126" s="25"/>
      <c r="DI126" s="25"/>
      <c r="DJ126" s="25"/>
    </row>
    <row r="127" spans="1:114">
      <c r="A127" s="170"/>
      <c r="B127" s="170"/>
      <c r="C127" s="170"/>
      <c r="D127" s="217"/>
      <c r="E127" s="170"/>
      <c r="F127" s="170"/>
      <c r="G127" s="170"/>
      <c r="H127" s="217"/>
      <c r="I127" s="170"/>
      <c r="J127" s="170"/>
      <c r="K127" s="170"/>
      <c r="L127" s="217"/>
      <c r="M127" s="170"/>
      <c r="N127" s="170"/>
      <c r="O127" s="170"/>
      <c r="P127" s="217"/>
      <c r="Q127" s="170"/>
      <c r="R127" s="170"/>
      <c r="S127" s="170"/>
      <c r="T127" s="217"/>
      <c r="U127" s="170"/>
      <c r="V127" s="170"/>
      <c r="W127" s="170"/>
      <c r="X127" s="217"/>
      <c r="Y127" s="170"/>
      <c r="Z127" s="170"/>
      <c r="AA127" s="170"/>
      <c r="AB127" s="217"/>
      <c r="AC127" s="170"/>
      <c r="AD127" s="170"/>
      <c r="AE127" s="170"/>
      <c r="AF127" s="217"/>
      <c r="AG127" s="170"/>
      <c r="AH127" s="170"/>
      <c r="AI127" s="170"/>
      <c r="AJ127" s="217"/>
      <c r="AK127" s="170"/>
      <c r="AL127" s="170"/>
      <c r="AM127" s="170"/>
      <c r="AN127" s="217"/>
      <c r="AO127" s="170"/>
      <c r="AP127" s="170"/>
      <c r="AQ127" s="170"/>
      <c r="AR127" s="170"/>
      <c r="AS127" s="170"/>
      <c r="AT127" s="170"/>
      <c r="AU127" s="217"/>
      <c r="AV127" s="170"/>
      <c r="AW127" s="170"/>
      <c r="AX127" s="170"/>
      <c r="AY127" s="217"/>
      <c r="AZ127" s="170"/>
      <c r="BA127" s="170"/>
      <c r="BB127" s="170"/>
      <c r="BC127" s="217"/>
      <c r="BD127" s="170"/>
      <c r="BE127" s="170"/>
      <c r="BF127" s="170"/>
      <c r="BG127" s="217"/>
      <c r="BH127" s="170"/>
      <c r="BI127" s="170"/>
      <c r="BJ127" s="170"/>
      <c r="BK127" s="217"/>
      <c r="BL127" s="170"/>
      <c r="BM127" s="170"/>
      <c r="BN127" s="170"/>
      <c r="BO127" s="217"/>
      <c r="BP127" s="170"/>
      <c r="BQ127" s="170"/>
      <c r="BR127" s="25"/>
      <c r="BS127" s="34"/>
      <c r="BT127" s="39"/>
      <c r="BU127" s="39"/>
      <c r="BV127" s="39"/>
      <c r="BW127" s="34"/>
      <c r="BX127" s="25"/>
      <c r="BY127" s="25"/>
      <c r="BZ127" s="25"/>
      <c r="CA127" s="34"/>
      <c r="CB127" s="25"/>
      <c r="CC127" s="25"/>
      <c r="CD127" s="175"/>
      <c r="CE127" s="34"/>
      <c r="CF127" s="175"/>
      <c r="CG127" s="175"/>
      <c r="CH127" s="175"/>
      <c r="CI127" s="34"/>
      <c r="CJ127" s="175"/>
      <c r="CK127" s="175"/>
      <c r="CL127" s="175"/>
      <c r="CM127" s="34"/>
      <c r="CN127" s="175"/>
      <c r="CO127" s="175"/>
      <c r="CP127" s="175"/>
      <c r="CQ127" s="34"/>
      <c r="CR127" s="175"/>
      <c r="CS127" s="175"/>
      <c r="CT127" s="175"/>
      <c r="CU127" s="34"/>
      <c r="CV127" s="175"/>
      <c r="CW127" s="1472"/>
      <c r="CX127" s="175"/>
      <c r="CY127" s="34"/>
      <c r="CZ127" s="175"/>
      <c r="DA127" s="1472"/>
      <c r="DB127" s="175"/>
      <c r="DC127" s="175"/>
      <c r="DD127" s="175"/>
      <c r="DE127" s="175"/>
      <c r="DF127" s="175"/>
      <c r="DG127" s="25"/>
      <c r="DH127" s="25"/>
      <c r="DI127" s="25"/>
      <c r="DJ127" s="25"/>
    </row>
    <row r="128" spans="1:114" hidden="1" outlineLevel="1">
      <c r="A128" s="170"/>
      <c r="B128" s="170"/>
      <c r="C128" s="170"/>
      <c r="D128" s="217"/>
      <c r="E128" s="170"/>
      <c r="F128" s="170"/>
      <c r="G128" s="170"/>
      <c r="H128" s="217"/>
      <c r="I128" s="170"/>
      <c r="J128" s="170"/>
      <c r="K128" s="170"/>
      <c r="L128" s="217"/>
      <c r="M128" s="170"/>
      <c r="N128" s="170"/>
      <c r="O128" s="170"/>
      <c r="P128" s="217"/>
      <c r="Q128" s="170"/>
      <c r="R128" s="170"/>
      <c r="S128" s="170"/>
      <c r="T128" s="217"/>
      <c r="U128" s="170"/>
      <c r="V128" s="170"/>
      <c r="W128" s="170"/>
      <c r="X128" s="217"/>
      <c r="Y128" s="170"/>
      <c r="Z128" s="170"/>
      <c r="AA128" s="170"/>
      <c r="AB128" s="217"/>
      <c r="AC128" s="170"/>
      <c r="AD128" s="170"/>
      <c r="AE128" s="170"/>
      <c r="AF128" s="217"/>
      <c r="AG128" s="170"/>
      <c r="AH128" s="170"/>
      <c r="AI128" s="170"/>
      <c r="AJ128" s="217"/>
      <c r="AK128" s="170"/>
      <c r="AL128" s="170"/>
      <c r="AM128" s="170"/>
      <c r="AN128" s="217"/>
      <c r="AO128" s="170"/>
      <c r="AP128" s="170"/>
      <c r="AQ128" s="170"/>
      <c r="AR128" s="170"/>
      <c r="AS128" s="170"/>
      <c r="AT128" s="170"/>
      <c r="AU128" s="217"/>
      <c r="AV128" s="170"/>
      <c r="AW128" s="170"/>
      <c r="AX128" s="170"/>
      <c r="AY128" s="217"/>
      <c r="AZ128" s="170"/>
      <c r="BA128" s="170"/>
      <c r="BB128" s="170"/>
      <c r="BC128" s="217"/>
      <c r="BD128" s="170"/>
      <c r="BE128" s="170"/>
      <c r="BF128" s="170"/>
      <c r="BG128" s="217"/>
      <c r="BH128" s="170"/>
      <c r="BI128" s="170"/>
      <c r="BJ128" s="170"/>
      <c r="BK128" s="217"/>
      <c r="BL128" s="170"/>
      <c r="BM128" s="170"/>
      <c r="BN128" s="170"/>
      <c r="BO128" s="217"/>
      <c r="BP128" s="170"/>
      <c r="BQ128" s="170"/>
      <c r="BR128" s="25"/>
      <c r="BS128" s="34"/>
      <c r="BT128" s="39"/>
      <c r="BU128" s="39"/>
      <c r="BV128" s="39"/>
      <c r="BW128" s="34"/>
      <c r="BX128" s="25"/>
      <c r="BY128" s="25"/>
      <c r="BZ128" s="25"/>
      <c r="CA128" s="34"/>
      <c r="CB128" s="25"/>
      <c r="CC128" s="25"/>
      <c r="CD128" s="175"/>
      <c r="CE128" s="34"/>
      <c r="CF128" s="175"/>
      <c r="CG128" s="175"/>
      <c r="CH128" s="175"/>
      <c r="CI128" s="34"/>
      <c r="CJ128" s="175"/>
      <c r="CK128" s="175"/>
      <c r="CL128" s="175"/>
      <c r="CM128" s="34"/>
      <c r="CN128" s="175"/>
      <c r="CO128" s="175"/>
      <c r="CP128" s="175"/>
      <c r="CQ128" s="34"/>
      <c r="CR128" s="175"/>
      <c r="CS128" s="175"/>
      <c r="CT128" s="175"/>
      <c r="CU128" s="34"/>
      <c r="CV128" s="175"/>
      <c r="CW128" s="1472"/>
      <c r="CX128" s="175"/>
      <c r="CY128" s="34"/>
      <c r="CZ128" s="175"/>
      <c r="DA128" s="1472"/>
      <c r="DB128" s="175"/>
      <c r="DC128" s="175"/>
      <c r="DD128" s="175"/>
      <c r="DE128" s="175"/>
      <c r="DF128" s="175"/>
      <c r="DG128" s="25"/>
      <c r="DH128" s="25"/>
      <c r="DI128" s="25"/>
      <c r="DJ128" s="25"/>
    </row>
    <row r="129" spans="1:114" hidden="1" outlineLevel="1">
      <c r="A129" s="170"/>
      <c r="B129" s="170"/>
      <c r="C129" s="170"/>
      <c r="D129" s="217"/>
      <c r="E129" s="170"/>
      <c r="F129" s="170"/>
      <c r="G129" s="170"/>
      <c r="H129" s="217"/>
      <c r="I129" s="170"/>
      <c r="J129" s="170"/>
      <c r="K129" s="170"/>
      <c r="L129" s="217"/>
      <c r="M129" s="170"/>
      <c r="N129" s="170"/>
      <c r="O129" s="170"/>
      <c r="P129" s="217"/>
      <c r="Q129" s="170"/>
      <c r="R129" s="170"/>
      <c r="S129" s="170"/>
      <c r="T129" s="217"/>
      <c r="U129" s="170"/>
      <c r="V129" s="170"/>
      <c r="W129" s="170"/>
      <c r="X129" s="217"/>
      <c r="Y129" s="170"/>
      <c r="Z129" s="170"/>
      <c r="AA129" s="170"/>
      <c r="AB129" s="217"/>
      <c r="AC129" s="170"/>
      <c r="AD129" s="170"/>
      <c r="AE129" s="170"/>
      <c r="AF129" s="217"/>
      <c r="AG129" s="170"/>
      <c r="AH129" s="170"/>
      <c r="AI129" s="170"/>
      <c r="AJ129" s="217"/>
      <c r="AK129" s="170"/>
      <c r="AL129" s="170"/>
      <c r="AM129" s="170"/>
      <c r="AN129" s="217"/>
      <c r="AO129" s="170"/>
      <c r="AP129" s="170"/>
      <c r="AQ129" s="170"/>
      <c r="AR129" s="170"/>
      <c r="AS129" s="170"/>
      <c r="AT129" s="170"/>
      <c r="AU129" s="217"/>
      <c r="AV129" s="170"/>
      <c r="AW129" s="170"/>
      <c r="AX129" s="170"/>
      <c r="AY129" s="346"/>
      <c r="AZ129" s="347"/>
      <c r="BA129" s="347"/>
      <c r="BB129" s="347"/>
      <c r="BC129" s="348"/>
      <c r="BD129" s="347"/>
      <c r="BE129" s="347"/>
      <c r="BF129" s="347"/>
      <c r="BG129" s="348"/>
      <c r="BH129" s="347"/>
      <c r="BI129" s="347"/>
      <c r="BJ129" s="347"/>
      <c r="BK129" s="348"/>
      <c r="BL129" s="347"/>
      <c r="BM129" s="347"/>
      <c r="BN129" s="347"/>
      <c r="BO129" s="348"/>
      <c r="BP129" s="347"/>
      <c r="BQ129" s="347"/>
      <c r="BR129" s="349"/>
      <c r="BS129" s="350"/>
      <c r="BT129" s="351"/>
      <c r="BU129" s="351"/>
      <c r="BV129" s="351"/>
      <c r="BW129" s="350"/>
      <c r="BX129" s="349"/>
      <c r="BY129" s="349"/>
      <c r="BZ129" s="349"/>
      <c r="CA129" s="350"/>
      <c r="CB129" s="349"/>
      <c r="CC129" s="349"/>
      <c r="CD129" s="352"/>
      <c r="CE129" s="350"/>
      <c r="CF129" s="352"/>
      <c r="CG129" s="352"/>
      <c r="CH129" s="352"/>
      <c r="CI129" s="350"/>
      <c r="CJ129" s="352"/>
      <c r="CK129" s="175"/>
      <c r="CL129" s="175"/>
      <c r="CM129" s="350"/>
      <c r="CN129" s="352"/>
      <c r="CO129" s="175"/>
      <c r="CP129" s="175"/>
      <c r="CQ129" s="350"/>
      <c r="CR129" s="352"/>
      <c r="CS129" s="175"/>
      <c r="CT129" s="175"/>
      <c r="CU129" s="350"/>
      <c r="CV129" s="352"/>
      <c r="CW129" s="1472"/>
      <c r="CX129" s="175"/>
      <c r="CY129" s="350"/>
      <c r="CZ129" s="352"/>
      <c r="DA129" s="1472"/>
      <c r="DB129" s="175"/>
      <c r="DC129" s="175"/>
      <c r="DD129" s="175"/>
      <c r="DE129" s="175"/>
      <c r="DF129" s="175"/>
      <c r="DG129" s="25"/>
      <c r="DH129" s="25"/>
      <c r="DI129" s="25"/>
      <c r="DJ129" s="25"/>
    </row>
    <row r="130" spans="1:114" hidden="1" outlineLevel="1">
      <c r="A130" s="170"/>
      <c r="B130" s="170"/>
      <c r="C130" s="170"/>
      <c r="D130" s="217"/>
      <c r="E130" s="170"/>
      <c r="F130" s="170"/>
      <c r="G130" s="170"/>
      <c r="H130" s="217"/>
      <c r="I130" s="170"/>
      <c r="J130" s="170"/>
      <c r="K130" s="170"/>
      <c r="L130" s="217"/>
      <c r="M130" s="170"/>
      <c r="N130" s="170"/>
      <c r="O130" s="170"/>
      <c r="P130" s="217"/>
      <c r="Q130" s="170"/>
      <c r="R130" s="170"/>
      <c r="S130" s="170"/>
      <c r="T130" s="217"/>
      <c r="U130" s="170"/>
      <c r="V130" s="170"/>
      <c r="W130" s="170"/>
      <c r="X130" s="217"/>
      <c r="Y130" s="170"/>
      <c r="Z130" s="170"/>
      <c r="AA130" s="170"/>
      <c r="AB130" s="217"/>
      <c r="AC130" s="170"/>
      <c r="AD130" s="170"/>
      <c r="AE130" s="170"/>
      <c r="AF130" s="217"/>
      <c r="AG130" s="170"/>
      <c r="AH130" s="170"/>
      <c r="AI130" s="184" t="s">
        <v>449</v>
      </c>
      <c r="AJ130" s="217"/>
      <c r="AK130" s="170"/>
      <c r="AL130" s="170"/>
      <c r="AM130" s="170"/>
      <c r="AN130" s="217"/>
      <c r="AO130" s="170"/>
      <c r="AP130" s="170"/>
      <c r="AQ130" s="170"/>
      <c r="AR130" s="170"/>
      <c r="AS130" s="170"/>
      <c r="AT130" s="170"/>
      <c r="AU130" s="217"/>
      <c r="AV130" s="170"/>
      <c r="AW130" s="170"/>
      <c r="AX130" s="170"/>
      <c r="AY130" s="217"/>
      <c r="AZ130" s="170"/>
      <c r="BA130" s="170"/>
      <c r="BB130" s="170"/>
      <c r="BC130" s="217"/>
      <c r="BD130" s="170"/>
      <c r="BE130" s="170"/>
      <c r="BF130" s="170"/>
      <c r="BG130" s="217"/>
      <c r="BH130" s="170"/>
      <c r="BI130" s="170"/>
      <c r="BJ130" s="170"/>
      <c r="BK130" s="217"/>
      <c r="BL130" s="170"/>
      <c r="BM130" s="184" t="s">
        <v>449</v>
      </c>
      <c r="BN130" s="170"/>
      <c r="BO130" s="217"/>
      <c r="BP130" s="170"/>
      <c r="BQ130" s="170"/>
      <c r="BR130" s="25"/>
      <c r="BS130" s="34"/>
      <c r="BT130" s="25"/>
      <c r="BU130" s="25"/>
      <c r="BV130" s="25"/>
      <c r="BW130" s="34"/>
      <c r="BX130" s="25"/>
      <c r="BY130" s="25"/>
      <c r="BZ130" s="25"/>
      <c r="CA130" s="34"/>
      <c r="CB130" s="25"/>
      <c r="CC130" s="25"/>
      <c r="CD130" s="175"/>
      <c r="CE130" s="34"/>
      <c r="CF130" s="175"/>
      <c r="CG130" s="175"/>
      <c r="CH130" s="175"/>
      <c r="CI130" s="34"/>
      <c r="CJ130" s="175"/>
      <c r="CK130" s="175"/>
      <c r="CL130" s="175"/>
      <c r="CM130" s="34"/>
      <c r="CN130" s="175"/>
      <c r="CO130" s="175"/>
      <c r="CP130" s="175"/>
      <c r="CQ130" s="34"/>
      <c r="CR130" s="175"/>
      <c r="CS130" s="175"/>
      <c r="CT130" s="175"/>
      <c r="CU130" s="34"/>
      <c r="CV130" s="175"/>
      <c r="CW130" s="1472"/>
      <c r="CX130" s="175"/>
      <c r="CY130" s="34"/>
      <c r="CZ130" s="175"/>
      <c r="DA130" s="1472"/>
      <c r="DB130" s="175"/>
      <c r="DC130" s="175"/>
      <c r="DD130" s="175"/>
      <c r="DE130" s="175"/>
      <c r="DF130" s="175"/>
      <c r="DG130" s="25"/>
      <c r="DH130" s="25"/>
      <c r="DI130" s="25"/>
      <c r="DJ130" s="25"/>
    </row>
    <row r="131" spans="1:114" hidden="1" outlineLevel="1">
      <c r="A131" s="170" t="str">
        <f>$A$10</f>
        <v>1Q</v>
      </c>
      <c r="B131" s="170" t="str">
        <f>$B$10</f>
        <v>Apr</v>
      </c>
      <c r="C131" s="170"/>
      <c r="D131" s="217"/>
      <c r="E131" s="170"/>
      <c r="F131" s="170"/>
      <c r="G131" s="170"/>
      <c r="H131" s="217"/>
      <c r="I131" s="170"/>
      <c r="J131" s="170"/>
      <c r="K131" s="170"/>
      <c r="L131" s="217"/>
      <c r="M131" s="170"/>
      <c r="N131" s="170"/>
      <c r="O131" s="170"/>
      <c r="P131" s="217"/>
      <c r="Q131" s="170"/>
      <c r="R131" s="170"/>
      <c r="S131" s="170"/>
      <c r="T131" s="217"/>
      <c r="U131" s="170"/>
      <c r="V131" s="170"/>
      <c r="W131" s="170"/>
      <c r="X131" s="217"/>
      <c r="Y131" s="170"/>
      <c r="Z131" s="170"/>
      <c r="AA131" s="170"/>
      <c r="AB131" s="217"/>
      <c r="AC131" s="170"/>
      <c r="AD131" s="170"/>
      <c r="AE131" s="170"/>
      <c r="AF131" s="217">
        <f>AB123</f>
        <v>138.024</v>
      </c>
      <c r="AG131" s="170"/>
      <c r="AH131" s="170"/>
      <c r="AI131" s="170"/>
      <c r="AJ131" s="217">
        <f>AJ186</f>
        <v>138.82400000000001</v>
      </c>
      <c r="AK131" s="170"/>
      <c r="AL131" s="170"/>
      <c r="AM131" s="170"/>
      <c r="AN131" s="217">
        <f>AN186</f>
        <v>155.05600000000001</v>
      </c>
      <c r="AO131" s="170"/>
      <c r="AP131" s="170"/>
      <c r="AQ131" s="170"/>
      <c r="AR131" s="170"/>
      <c r="AS131" s="170"/>
      <c r="AT131" s="170"/>
      <c r="AU131" s="217">
        <f>AU186</f>
        <v>159.55199999999999</v>
      </c>
      <c r="AV131" s="170"/>
      <c r="AW131" s="170"/>
      <c r="AX131" s="170"/>
      <c r="AY131" s="217">
        <f>AY186</f>
        <v>163.65147200000001</v>
      </c>
      <c r="AZ131" s="170"/>
      <c r="BA131" s="170"/>
      <c r="BB131" s="170"/>
      <c r="BC131" s="217">
        <f>BC186</f>
        <v>165.00671700000001</v>
      </c>
      <c r="BD131" s="170"/>
      <c r="BE131" s="170"/>
      <c r="BF131" s="170"/>
      <c r="BG131" s="217">
        <f>BG186</f>
        <v>165.084463</v>
      </c>
      <c r="BH131" s="170"/>
      <c r="BI131" s="170"/>
      <c r="BJ131" s="170"/>
      <c r="BK131" s="217">
        <f>BK186</f>
        <v>166.56671399999999</v>
      </c>
      <c r="BL131" s="170"/>
      <c r="BM131" s="170"/>
      <c r="BN131" s="170"/>
      <c r="BO131" s="217">
        <f>BO186</f>
        <v>167.72968800000001</v>
      </c>
      <c r="BP131" s="170"/>
      <c r="BQ131" s="170"/>
      <c r="BR131" s="25"/>
      <c r="BS131" s="34">
        <f>BS186</f>
        <v>168.888271</v>
      </c>
      <c r="BT131" s="25"/>
      <c r="BU131" s="25"/>
      <c r="BV131" s="25"/>
      <c r="BW131" s="34">
        <f>BW186</f>
        <v>162.255448</v>
      </c>
      <c r="BX131" s="25"/>
      <c r="BY131" s="25"/>
      <c r="BZ131" s="25"/>
      <c r="CA131" s="34">
        <f>CA186</f>
        <v>144.706907</v>
      </c>
      <c r="CB131" s="25"/>
      <c r="CC131" s="25"/>
      <c r="CD131" s="175"/>
      <c r="CE131" s="34">
        <f>CE186</f>
        <v>146.22846699999999</v>
      </c>
      <c r="CF131" s="175"/>
      <c r="CG131" s="175"/>
      <c r="CH131" s="175"/>
      <c r="CI131" s="34">
        <f>CI186</f>
        <v>144.56095300000001</v>
      </c>
      <c r="CJ131" s="175"/>
      <c r="CK131" s="175"/>
      <c r="CL131" s="175"/>
      <c r="CM131" s="34">
        <f>CM186</f>
        <v>130.44359800000001</v>
      </c>
      <c r="CN131" s="175"/>
      <c r="CO131" s="175"/>
      <c r="CP131" s="175"/>
      <c r="CQ131" s="34">
        <f>CQ186</f>
        <v>131.27481495932537</v>
      </c>
      <c r="CR131" s="175"/>
      <c r="CS131" s="175"/>
      <c r="CT131" s="175"/>
      <c r="CU131" s="34">
        <f>CU186</f>
        <v>129.26428959710205</v>
      </c>
      <c r="CV131" s="175"/>
      <c r="CW131" s="1472"/>
      <c r="CX131" s="175"/>
      <c r="CY131" s="34">
        <f>CY186</f>
        <v>130.09550655642741</v>
      </c>
      <c r="CZ131" s="175"/>
      <c r="DA131" s="1472"/>
      <c r="DB131" s="175"/>
      <c r="DC131" s="175"/>
      <c r="DD131" s="175"/>
      <c r="DE131" s="175"/>
      <c r="DF131" s="175"/>
      <c r="DG131" s="25"/>
      <c r="DH131" s="25"/>
      <c r="DI131" s="25"/>
      <c r="DJ131" s="25"/>
    </row>
    <row r="132" spans="1:114" hidden="1" outlineLevel="1">
      <c r="A132" s="170" t="str">
        <f>$A$11</f>
        <v>2Q</v>
      </c>
      <c r="B132" s="170" t="str">
        <f>$B$11</f>
        <v>Jul</v>
      </c>
      <c r="C132" s="170"/>
      <c r="D132" s="217"/>
      <c r="E132" s="170"/>
      <c r="F132" s="170"/>
      <c r="G132" s="170"/>
      <c r="H132" s="217"/>
      <c r="I132" s="170"/>
      <c r="J132" s="170"/>
      <c r="K132" s="170"/>
      <c r="L132" s="217"/>
      <c r="M132" s="170"/>
      <c r="N132" s="170"/>
      <c r="O132" s="170"/>
      <c r="P132" s="217"/>
      <c r="Q132" s="170"/>
      <c r="R132" s="170"/>
      <c r="S132" s="170"/>
      <c r="T132" s="217"/>
      <c r="U132" s="170"/>
      <c r="V132" s="170"/>
      <c r="W132" s="170"/>
      <c r="X132" s="217"/>
      <c r="Y132" s="170"/>
      <c r="Z132" s="170"/>
      <c r="AA132" s="170"/>
      <c r="AB132" s="217"/>
      <c r="AC132" s="170"/>
      <c r="AD132" s="170"/>
      <c r="AE132" s="170"/>
      <c r="AF132" s="217">
        <f>AF187</f>
        <v>138.024</v>
      </c>
      <c r="AG132" s="170"/>
      <c r="AH132" s="170"/>
      <c r="AI132" s="170"/>
      <c r="AJ132" s="217">
        <f>AJ187</f>
        <v>153.22399999999999</v>
      </c>
      <c r="AK132" s="170"/>
      <c r="AL132" s="170"/>
      <c r="AM132" s="170"/>
      <c r="AN132" s="217">
        <f>AN187</f>
        <v>155.66399999999999</v>
      </c>
      <c r="AO132" s="170"/>
      <c r="AP132" s="170"/>
      <c r="AQ132" s="170"/>
      <c r="AR132" s="170"/>
      <c r="AS132" s="170"/>
      <c r="AT132" s="170"/>
      <c r="AU132" s="217">
        <f>AU187</f>
        <v>160.77600000000001</v>
      </c>
      <c r="AV132" s="170"/>
      <c r="AW132" s="170"/>
      <c r="AX132" s="170"/>
      <c r="AY132" s="217">
        <f>AY187</f>
        <v>163.35645400000001</v>
      </c>
      <c r="AZ132" s="170"/>
      <c r="BA132" s="170"/>
      <c r="BB132" s="170"/>
      <c r="BC132" s="217">
        <f>BC187</f>
        <v>165.25818200000001</v>
      </c>
      <c r="BD132" s="170"/>
      <c r="BE132" s="170"/>
      <c r="BF132" s="170"/>
      <c r="BG132" s="217">
        <f>BG187</f>
        <v>165.68393499999999</v>
      </c>
      <c r="BH132" s="170"/>
      <c r="BI132" s="170"/>
      <c r="BJ132" s="170"/>
      <c r="BK132" s="217">
        <f>BK187</f>
        <v>167.10261399999999</v>
      </c>
      <c r="BL132" s="170"/>
      <c r="BM132" s="170"/>
      <c r="BN132" s="170"/>
      <c r="BO132" s="217">
        <f>BO187</f>
        <v>168.14848799999999</v>
      </c>
      <c r="BP132" s="170"/>
      <c r="BQ132" s="170"/>
      <c r="BR132" s="25"/>
      <c r="BS132" s="34">
        <f>BS187</f>
        <v>169.152038</v>
      </c>
      <c r="BT132" s="25"/>
      <c r="BU132" s="25"/>
      <c r="BV132" s="25"/>
      <c r="BW132" s="34">
        <f>BW187</f>
        <v>159.69047499999999</v>
      </c>
      <c r="BX132" s="25"/>
      <c r="BY132" s="25"/>
      <c r="BZ132" s="25"/>
      <c r="CA132" s="34">
        <f>CA187</f>
        <v>144.80920699999999</v>
      </c>
      <c r="CB132" s="25"/>
      <c r="CC132" s="25"/>
      <c r="CD132" s="175"/>
      <c r="CE132" s="34">
        <f>CE187</f>
        <v>146.934867</v>
      </c>
      <c r="CF132" s="175"/>
      <c r="CG132" s="175"/>
      <c r="CH132" s="175"/>
      <c r="CI132" s="34">
        <f>CI187</f>
        <v>137.751372</v>
      </c>
      <c r="CJ132" s="175"/>
      <c r="CK132" s="175"/>
      <c r="CL132" s="175"/>
      <c r="CM132" s="34">
        <f>CM187</f>
        <v>130.76550302333243</v>
      </c>
      <c r="CN132" s="175"/>
      <c r="CO132" s="175"/>
      <c r="CP132" s="175"/>
      <c r="CQ132" s="34">
        <f>CQ187</f>
        <v>131.59671998265779</v>
      </c>
      <c r="CR132" s="175"/>
      <c r="CS132" s="175"/>
      <c r="CT132" s="175"/>
      <c r="CU132" s="34">
        <f>CU187</f>
        <v>129.58619462043447</v>
      </c>
      <c r="CV132" s="175"/>
      <c r="CW132" s="1472"/>
      <c r="CX132" s="175"/>
      <c r="CY132" s="34">
        <f>CY187</f>
        <v>130.41741157975983</v>
      </c>
      <c r="CZ132" s="175"/>
      <c r="DA132" s="1472"/>
      <c r="DB132" s="175"/>
      <c r="DC132" s="175"/>
      <c r="DD132" s="175"/>
      <c r="DE132" s="175"/>
      <c r="DF132" s="175"/>
      <c r="DG132" s="25"/>
      <c r="DH132" s="25"/>
      <c r="DI132" s="25"/>
      <c r="DJ132" s="25"/>
    </row>
    <row r="133" spans="1:114" hidden="1" outlineLevel="1">
      <c r="A133" s="170" t="str">
        <f>$A$12</f>
        <v>3Q</v>
      </c>
      <c r="B133" s="170" t="str">
        <f>$B$12</f>
        <v>Oct</v>
      </c>
      <c r="C133" s="170"/>
      <c r="D133" s="217"/>
      <c r="E133" s="170"/>
      <c r="F133" s="170"/>
      <c r="G133" s="170"/>
      <c r="H133" s="217"/>
      <c r="I133" s="170"/>
      <c r="J133" s="170"/>
      <c r="K133" s="170"/>
      <c r="L133" s="217"/>
      <c r="M133" s="170"/>
      <c r="N133" s="170"/>
      <c r="O133" s="170"/>
      <c r="P133" s="217"/>
      <c r="Q133" s="170"/>
      <c r="R133" s="170"/>
      <c r="S133" s="170"/>
      <c r="T133" s="217"/>
      <c r="U133" s="170"/>
      <c r="V133" s="170"/>
      <c r="W133" s="170"/>
      <c r="X133" s="217"/>
      <c r="Y133" s="170"/>
      <c r="Z133" s="170"/>
      <c r="AA133" s="170"/>
      <c r="AB133" s="217"/>
      <c r="AC133" s="170"/>
      <c r="AD133" s="170"/>
      <c r="AE133" s="170"/>
      <c r="AF133" s="217">
        <f>AF188</f>
        <v>138.10400000000001</v>
      </c>
      <c r="AG133" s="170"/>
      <c r="AH133" s="170"/>
      <c r="AI133" s="170"/>
      <c r="AJ133" s="217">
        <f>AJ188</f>
        <v>153.31200000000001</v>
      </c>
      <c r="AK133" s="170"/>
      <c r="AL133" s="170"/>
      <c r="AM133" s="170"/>
      <c r="AN133" s="217">
        <f>AN188</f>
        <v>157.4846</v>
      </c>
      <c r="AO133" s="170"/>
      <c r="AP133" s="170"/>
      <c r="AQ133" s="170"/>
      <c r="AR133" s="170"/>
      <c r="AS133" s="170"/>
      <c r="AT133" s="170"/>
      <c r="AU133" s="217">
        <f>AU188</f>
        <v>161.791484</v>
      </c>
      <c r="AV133" s="170"/>
      <c r="AW133" s="170"/>
      <c r="AX133" s="170"/>
      <c r="AY133" s="217">
        <f>AY188</f>
        <v>163.61199999999999</v>
      </c>
      <c r="AZ133" s="170"/>
      <c r="BA133" s="170"/>
      <c r="BB133" s="170"/>
      <c r="BC133" s="217">
        <f>BC188</f>
        <v>165.32981699999999</v>
      </c>
      <c r="BD133" s="170"/>
      <c r="BE133" s="170"/>
      <c r="BF133" s="170"/>
      <c r="BG133" s="217">
        <f>BG188</f>
        <v>165.815865</v>
      </c>
      <c r="BH133" s="170"/>
      <c r="BI133" s="170"/>
      <c r="BJ133" s="170"/>
      <c r="BK133" s="217">
        <f>BK188</f>
        <v>167.30113800000001</v>
      </c>
      <c r="BL133" s="170"/>
      <c r="BM133" s="170"/>
      <c r="BN133" s="170"/>
      <c r="BO133" s="217">
        <f>BO188</f>
        <v>168.308888</v>
      </c>
      <c r="BP133" s="170"/>
      <c r="BQ133" s="170"/>
      <c r="BR133" s="25"/>
      <c r="BS133" s="34">
        <f>BS188</f>
        <v>165.08242799999999</v>
      </c>
      <c r="BT133" s="25"/>
      <c r="BU133" s="25"/>
      <c r="BV133" s="25"/>
      <c r="BW133" s="34">
        <f>BW188</f>
        <v>153.91866099999999</v>
      </c>
      <c r="BX133" s="25"/>
      <c r="BY133" s="25"/>
      <c r="BZ133" s="25"/>
      <c r="CA133" s="34">
        <f>CA188</f>
        <v>145.53100699999999</v>
      </c>
      <c r="CB133" s="25"/>
      <c r="CC133" s="25"/>
      <c r="CD133" s="175"/>
      <c r="CE133" s="34">
        <f>CE188</f>
        <v>147.37186399999999</v>
      </c>
      <c r="CF133" s="175"/>
      <c r="CG133" s="175"/>
      <c r="CH133" s="175"/>
      <c r="CI133" s="34">
        <f>CI188</f>
        <v>134.33607000000001</v>
      </c>
      <c r="CJ133" s="175"/>
      <c r="CK133" s="175"/>
      <c r="CL133" s="175"/>
      <c r="CM133" s="34">
        <f>CM188</f>
        <v>131.08628073778812</v>
      </c>
      <c r="CN133" s="175"/>
      <c r="CO133" s="175"/>
      <c r="CP133" s="175"/>
      <c r="CQ133" s="34">
        <f>CQ188</f>
        <v>131.91749769711348</v>
      </c>
      <c r="CR133" s="175"/>
      <c r="CS133" s="175"/>
      <c r="CT133" s="175"/>
      <c r="CU133" s="34">
        <f>CU188</f>
        <v>129.90697233489016</v>
      </c>
      <c r="CV133" s="175"/>
      <c r="CW133" s="1472"/>
      <c r="CX133" s="175"/>
      <c r="CY133" s="34">
        <f>CY188</f>
        <v>130.73818929421552</v>
      </c>
      <c r="CZ133" s="175"/>
      <c r="DA133" s="1472"/>
      <c r="DB133" s="175"/>
      <c r="DC133" s="175"/>
      <c r="DD133" s="175"/>
      <c r="DE133" s="175"/>
      <c r="DF133" s="175"/>
      <c r="DG133" s="25"/>
      <c r="DH133" s="25"/>
      <c r="DI133" s="25"/>
      <c r="DJ133" s="25"/>
    </row>
    <row r="134" spans="1:114" hidden="1" outlineLevel="1">
      <c r="A134" s="170" t="str">
        <f>$A$13</f>
        <v>4Q</v>
      </c>
      <c r="B134" s="170" t="str">
        <f>$B$13</f>
        <v>Jan</v>
      </c>
      <c r="C134" s="170"/>
      <c r="D134" s="217"/>
      <c r="E134" s="170"/>
      <c r="F134" s="170"/>
      <c r="G134" s="170"/>
      <c r="H134" s="217"/>
      <c r="I134" s="170"/>
      <c r="J134" s="170"/>
      <c r="K134" s="170"/>
      <c r="L134" s="217"/>
      <c r="M134" s="170"/>
      <c r="N134" s="170"/>
      <c r="O134" s="170"/>
      <c r="P134" s="217"/>
      <c r="Q134" s="170"/>
      <c r="R134" s="170"/>
      <c r="S134" s="170"/>
      <c r="T134" s="217"/>
      <c r="U134" s="170"/>
      <c r="V134" s="170"/>
      <c r="W134" s="170"/>
      <c r="X134" s="217"/>
      <c r="Y134" s="170"/>
      <c r="Z134" s="170"/>
      <c r="AA134" s="170"/>
      <c r="AB134" s="217"/>
      <c r="AC134" s="170"/>
      <c r="AD134" s="170"/>
      <c r="AE134" s="170"/>
      <c r="AF134" s="217">
        <f>AF189</f>
        <v>138.11199999999999</v>
      </c>
      <c r="AG134" s="170"/>
      <c r="AH134" s="170"/>
      <c r="AI134" s="170"/>
      <c r="AJ134" s="217">
        <f>AJ189</f>
        <v>154.10400000000001</v>
      </c>
      <c r="AK134" s="170"/>
      <c r="AL134" s="170"/>
      <c r="AM134" s="170"/>
      <c r="AN134" s="217">
        <f>AN189</f>
        <v>158</v>
      </c>
      <c r="AO134" s="170"/>
      <c r="AP134" s="170"/>
      <c r="AQ134" s="170"/>
      <c r="AR134" s="170"/>
      <c r="AS134" s="170"/>
      <c r="AT134" s="170"/>
      <c r="AU134" s="217">
        <f>AU189</f>
        <v>162.66028800000001</v>
      </c>
      <c r="AV134" s="170"/>
      <c r="AW134" s="170"/>
      <c r="AX134" s="170"/>
      <c r="AY134" s="217">
        <f>AY189</f>
        <v>164.69627700000001</v>
      </c>
      <c r="AZ134" s="170"/>
      <c r="BA134" s="170"/>
      <c r="BB134" s="170"/>
      <c r="BC134" s="217">
        <f>BC189</f>
        <v>164.689887</v>
      </c>
      <c r="BD134" s="170"/>
      <c r="BE134" s="170"/>
      <c r="BF134" s="170"/>
      <c r="BG134" s="217">
        <f>BG189</f>
        <v>166.01801499999999</v>
      </c>
      <c r="BH134" s="170"/>
      <c r="BI134" s="170"/>
      <c r="BJ134" s="170"/>
      <c r="BK134" s="217">
        <f>BK189</f>
        <v>167.70948799999999</v>
      </c>
      <c r="BL134" s="170"/>
      <c r="BM134" s="170"/>
      <c r="BN134" s="170"/>
      <c r="BO134" s="217">
        <f>BO189</f>
        <v>168.499638</v>
      </c>
      <c r="BP134" s="170"/>
      <c r="BQ134" s="170"/>
      <c r="BR134" s="25"/>
      <c r="BS134" s="34">
        <f>BS189</f>
        <v>164.04383799999999</v>
      </c>
      <c r="BT134" s="25"/>
      <c r="BU134" s="25"/>
      <c r="BV134" s="25"/>
      <c r="BW134" s="34">
        <f>BW189</f>
        <v>144.20166399999999</v>
      </c>
      <c r="BX134" s="25"/>
      <c r="BY134" s="25"/>
      <c r="BZ134" s="25"/>
      <c r="CA134" s="34">
        <f>CA189</f>
        <v>145.91056699999999</v>
      </c>
      <c r="CB134" s="25"/>
      <c r="CC134" s="25"/>
      <c r="CD134" s="175"/>
      <c r="CE134" s="34">
        <f>CE189</f>
        <v>147.309575</v>
      </c>
      <c r="CF134" s="175"/>
      <c r="CG134" s="175"/>
      <c r="CH134" s="175"/>
      <c r="CI134" s="34">
        <f>CI189</f>
        <v>131.643598</v>
      </c>
      <c r="CJ134" s="175"/>
      <c r="CK134" s="175"/>
      <c r="CL134" s="175"/>
      <c r="CM134" s="34">
        <f>CM189</f>
        <v>131.42218338037799</v>
      </c>
      <c r="CN134" s="175"/>
      <c r="CO134" s="175"/>
      <c r="CP134" s="175"/>
      <c r="CQ134" s="34">
        <f>CQ189</f>
        <v>129.41165801815467</v>
      </c>
      <c r="CR134" s="175"/>
      <c r="CS134" s="175"/>
      <c r="CT134" s="175"/>
      <c r="CU134" s="34">
        <f>CU189</f>
        <v>130.24287497748003</v>
      </c>
      <c r="CV134" s="175"/>
      <c r="CW134" s="1472"/>
      <c r="CX134" s="175"/>
      <c r="CY134" s="34">
        <f>CY189</f>
        <v>128.23234961525671</v>
      </c>
      <c r="CZ134" s="175"/>
      <c r="DA134" s="1472"/>
      <c r="DB134" s="175"/>
      <c r="DC134" s="175"/>
      <c r="DD134" s="175"/>
      <c r="DE134" s="175"/>
      <c r="DF134" s="175"/>
      <c r="DG134" s="25"/>
      <c r="DH134" s="25"/>
      <c r="DI134" s="25"/>
      <c r="DJ134" s="25"/>
    </row>
    <row r="135" spans="1:114" hidden="1" outlineLevel="1">
      <c r="A135" s="170"/>
      <c r="B135" s="170" t="str">
        <f>$B$14</f>
        <v>Year</v>
      </c>
      <c r="C135" s="170"/>
      <c r="D135" s="217"/>
      <c r="E135" s="170"/>
      <c r="F135" s="170"/>
      <c r="G135" s="170"/>
      <c r="H135" s="217"/>
      <c r="I135" s="170"/>
      <c r="J135" s="170"/>
      <c r="K135" s="170"/>
      <c r="L135" s="217"/>
      <c r="M135" s="170"/>
      <c r="N135" s="170"/>
      <c r="O135" s="170"/>
      <c r="P135" s="217"/>
      <c r="Q135" s="170"/>
      <c r="R135" s="170"/>
      <c r="S135" s="170"/>
      <c r="T135" s="217"/>
      <c r="U135" s="170"/>
      <c r="V135" s="170"/>
      <c r="W135" s="170"/>
      <c r="X135" s="217"/>
      <c r="Y135" s="170"/>
      <c r="Z135" s="170"/>
      <c r="AA135" s="170"/>
      <c r="AB135" s="217"/>
      <c r="AC135" s="170"/>
      <c r="AD135" s="170"/>
      <c r="AE135" s="170"/>
      <c r="AF135" s="217"/>
      <c r="AG135" s="170"/>
      <c r="AH135" s="170"/>
      <c r="AI135" s="170"/>
      <c r="AJ135" s="217"/>
      <c r="AK135" s="170"/>
      <c r="AL135" s="170"/>
      <c r="AM135" s="170"/>
      <c r="AN135" s="217"/>
      <c r="AO135" s="170"/>
      <c r="AP135" s="170"/>
      <c r="AQ135" s="170"/>
      <c r="AR135" s="170"/>
      <c r="AS135" s="170"/>
      <c r="AT135" s="170"/>
      <c r="AU135" s="217"/>
      <c r="AV135" s="170"/>
      <c r="AW135" s="170"/>
      <c r="AX135" s="170"/>
      <c r="AY135" s="217"/>
      <c r="AZ135" s="170"/>
      <c r="BA135" s="170"/>
      <c r="BB135" s="170"/>
      <c r="BC135" s="217"/>
      <c r="BD135" s="170"/>
      <c r="BE135" s="170"/>
      <c r="BF135" s="170"/>
      <c r="BG135" s="217"/>
      <c r="BH135" s="170"/>
      <c r="BI135" s="170"/>
      <c r="BJ135" s="170"/>
      <c r="BK135" s="217"/>
      <c r="BL135" s="170"/>
      <c r="BM135" s="170"/>
      <c r="BN135" s="170"/>
      <c r="BO135" s="217"/>
      <c r="BP135" s="170"/>
      <c r="BQ135" s="170"/>
      <c r="BR135" s="25"/>
      <c r="BS135" s="34"/>
      <c r="BT135" s="25"/>
      <c r="BU135" s="25"/>
      <c r="BV135" s="25"/>
      <c r="BW135" s="34"/>
      <c r="BX135" s="25"/>
      <c r="BY135" s="25"/>
      <c r="BZ135" s="25"/>
      <c r="CA135" s="34"/>
      <c r="CB135" s="25"/>
      <c r="CC135" s="25"/>
      <c r="CD135" s="175"/>
      <c r="CE135" s="34"/>
      <c r="CF135" s="175"/>
      <c r="CG135" s="175"/>
      <c r="CH135" s="175"/>
      <c r="CI135" s="34"/>
      <c r="CJ135" s="175"/>
      <c r="CK135" s="175"/>
      <c r="CL135" s="175"/>
      <c r="CM135" s="34"/>
      <c r="CN135" s="175"/>
      <c r="CO135" s="175"/>
      <c r="CP135" s="175"/>
      <c r="CQ135" s="34"/>
      <c r="CR135" s="175"/>
      <c r="CS135" s="175"/>
      <c r="CT135" s="175"/>
      <c r="CU135" s="34"/>
      <c r="CV135" s="175"/>
      <c r="CW135" s="1472"/>
      <c r="CX135" s="175"/>
      <c r="CY135" s="34"/>
      <c r="CZ135" s="175"/>
      <c r="DA135" s="1472"/>
      <c r="DB135" s="175"/>
      <c r="DC135" s="175"/>
      <c r="DD135" s="175"/>
      <c r="DE135" s="175"/>
      <c r="DF135" s="175"/>
      <c r="DG135" s="25"/>
      <c r="DH135" s="25"/>
      <c r="DI135" s="25"/>
      <c r="DJ135" s="25"/>
    </row>
    <row r="136" spans="1:114" hidden="1" outlineLevel="1">
      <c r="A136" s="170" t="str">
        <f>$A$15</f>
        <v>6 Mos</v>
      </c>
      <c r="B136" s="170"/>
      <c r="C136" s="170"/>
      <c r="D136" s="217"/>
      <c r="E136" s="170"/>
      <c r="F136" s="170"/>
      <c r="G136" s="170"/>
      <c r="H136" s="217"/>
      <c r="I136" s="170"/>
      <c r="J136" s="170"/>
      <c r="K136" s="170"/>
      <c r="L136" s="217"/>
      <c r="M136" s="170"/>
      <c r="N136" s="170"/>
      <c r="O136" s="170"/>
      <c r="P136" s="217"/>
      <c r="Q136" s="170"/>
      <c r="R136" s="170"/>
      <c r="S136" s="170"/>
      <c r="T136" s="217"/>
      <c r="U136" s="170"/>
      <c r="V136" s="170"/>
      <c r="W136" s="170"/>
      <c r="X136" s="217"/>
      <c r="Y136" s="170"/>
      <c r="Z136" s="170"/>
      <c r="AA136" s="170"/>
      <c r="AB136" s="217"/>
      <c r="AC136" s="170"/>
      <c r="AD136" s="170"/>
      <c r="AE136" s="170"/>
      <c r="AF136" s="217"/>
      <c r="AG136" s="170"/>
      <c r="AH136" s="170"/>
      <c r="AI136" s="170"/>
      <c r="AJ136" s="217"/>
      <c r="AK136" s="170"/>
      <c r="AL136" s="170"/>
      <c r="AM136" s="170"/>
      <c r="AN136" s="217"/>
      <c r="AO136" s="170"/>
      <c r="AP136" s="170"/>
      <c r="AQ136" s="170"/>
      <c r="AR136" s="170"/>
      <c r="AS136" s="170"/>
      <c r="AT136" s="170"/>
      <c r="AU136" s="217"/>
      <c r="AV136" s="170"/>
      <c r="AW136" s="170"/>
      <c r="AX136" s="170"/>
      <c r="AY136" s="217"/>
      <c r="AZ136" s="170"/>
      <c r="BA136" s="170"/>
      <c r="BB136" s="170"/>
      <c r="BC136" s="217"/>
      <c r="BD136" s="170"/>
      <c r="BE136" s="170"/>
      <c r="BF136" s="170"/>
      <c r="BG136" s="217"/>
      <c r="BH136" s="170"/>
      <c r="BI136" s="170"/>
      <c r="BJ136" s="170"/>
      <c r="BK136" s="217"/>
      <c r="BL136" s="170"/>
      <c r="BM136" s="170"/>
      <c r="BN136" s="170"/>
      <c r="BO136" s="217"/>
      <c r="BP136" s="170"/>
      <c r="BQ136" s="170"/>
      <c r="BR136" s="25"/>
      <c r="BS136" s="34"/>
      <c r="BT136" s="25"/>
      <c r="BU136" s="25"/>
      <c r="BV136" s="25"/>
      <c r="BW136" s="34"/>
      <c r="BX136" s="25"/>
      <c r="BY136" s="25"/>
      <c r="BZ136" s="25"/>
      <c r="CA136" s="34"/>
      <c r="CB136" s="25"/>
      <c r="CC136" s="25"/>
      <c r="CD136" s="175"/>
      <c r="CE136" s="34"/>
      <c r="CF136" s="175"/>
      <c r="CG136" s="175"/>
      <c r="CH136" s="175"/>
      <c r="CI136" s="34"/>
      <c r="CJ136" s="175"/>
      <c r="CK136" s="175"/>
      <c r="CL136" s="175"/>
      <c r="CM136" s="34"/>
      <c r="CN136" s="175"/>
      <c r="CO136" s="175"/>
      <c r="CP136" s="175"/>
      <c r="CQ136" s="34"/>
      <c r="CR136" s="175"/>
      <c r="CS136" s="175"/>
      <c r="CT136" s="175"/>
      <c r="CU136" s="34"/>
      <c r="CV136" s="175"/>
      <c r="CW136" s="1472"/>
      <c r="CX136" s="175"/>
      <c r="CY136" s="34"/>
      <c r="CZ136" s="175"/>
      <c r="DA136" s="1472"/>
      <c r="DB136" s="175"/>
      <c r="DC136" s="175"/>
      <c r="DD136" s="175"/>
      <c r="DE136" s="175"/>
      <c r="DF136" s="175"/>
      <c r="DG136" s="25"/>
      <c r="DH136" s="25"/>
      <c r="DI136" s="25"/>
      <c r="DJ136" s="25"/>
    </row>
    <row r="137" spans="1:114" hidden="1" outlineLevel="1">
      <c r="A137" s="170" t="str">
        <f>$A$16</f>
        <v>9 Mos</v>
      </c>
      <c r="B137" s="170"/>
      <c r="C137" s="170"/>
      <c r="D137" s="217"/>
      <c r="E137" s="170"/>
      <c r="F137" s="170"/>
      <c r="G137" s="170"/>
      <c r="H137" s="217"/>
      <c r="I137" s="170"/>
      <c r="J137" s="170"/>
      <c r="K137" s="170"/>
      <c r="L137" s="217"/>
      <c r="M137" s="170"/>
      <c r="N137" s="170"/>
      <c r="O137" s="170"/>
      <c r="P137" s="217"/>
      <c r="Q137" s="170"/>
      <c r="R137" s="170"/>
      <c r="S137" s="170"/>
      <c r="T137" s="217"/>
      <c r="U137" s="170"/>
      <c r="V137" s="170"/>
      <c r="W137" s="170"/>
      <c r="X137" s="217"/>
      <c r="Y137" s="170"/>
      <c r="Z137" s="170"/>
      <c r="AA137" s="170"/>
      <c r="AB137" s="217"/>
      <c r="AC137" s="170"/>
      <c r="AD137" s="170"/>
      <c r="AE137" s="170"/>
      <c r="AF137" s="217"/>
      <c r="AG137" s="170"/>
      <c r="AH137" s="170"/>
      <c r="AI137" s="170"/>
      <c r="AJ137" s="217"/>
      <c r="AK137" s="170"/>
      <c r="AL137" s="170"/>
      <c r="AM137" s="170"/>
      <c r="AN137" s="217"/>
      <c r="AO137" s="170"/>
      <c r="AP137" s="170"/>
      <c r="AQ137" s="170"/>
      <c r="AR137" s="170"/>
      <c r="AS137" s="170"/>
      <c r="AT137" s="170"/>
      <c r="AU137" s="217"/>
      <c r="AV137" s="170"/>
      <c r="AW137" s="170"/>
      <c r="AX137" s="170"/>
      <c r="AY137" s="217"/>
      <c r="AZ137" s="170"/>
      <c r="BA137" s="170"/>
      <c r="BB137" s="170"/>
      <c r="BC137" s="217"/>
      <c r="BD137" s="170"/>
      <c r="BE137" s="170"/>
      <c r="BF137" s="170"/>
      <c r="BG137" s="217"/>
      <c r="BH137" s="170"/>
      <c r="BI137" s="170"/>
      <c r="BJ137" s="170"/>
      <c r="BK137" s="217"/>
      <c r="BL137" s="170"/>
      <c r="BM137" s="170"/>
      <c r="BN137" s="170"/>
      <c r="BO137" s="217"/>
      <c r="BP137" s="170"/>
      <c r="BQ137" s="170"/>
      <c r="BR137" s="25"/>
      <c r="BS137" s="34"/>
      <c r="BT137" s="25"/>
      <c r="BU137" s="25"/>
      <c r="BV137" s="25"/>
      <c r="BW137" s="34"/>
      <c r="BX137" s="25"/>
      <c r="BY137" s="25"/>
      <c r="BZ137" s="25"/>
      <c r="CA137" s="34"/>
      <c r="CB137" s="25"/>
      <c r="CC137" s="25"/>
      <c r="CD137" s="175"/>
      <c r="CE137" s="34"/>
      <c r="CF137" s="175"/>
      <c r="CG137" s="175"/>
      <c r="CH137" s="175"/>
      <c r="CI137" s="34"/>
      <c r="CJ137" s="175"/>
      <c r="CK137" s="175"/>
      <c r="CL137" s="175"/>
      <c r="CM137" s="34"/>
      <c r="CN137" s="175"/>
      <c r="CO137" s="175"/>
      <c r="CP137" s="175"/>
      <c r="CQ137" s="34"/>
      <c r="CR137" s="175"/>
      <c r="CS137" s="175"/>
      <c r="CT137" s="175"/>
      <c r="CU137" s="34"/>
      <c r="CV137" s="175"/>
      <c r="CW137" s="1472"/>
      <c r="CX137" s="175"/>
      <c r="CY137" s="34"/>
      <c r="CZ137" s="175"/>
      <c r="DA137" s="1472"/>
      <c r="DB137" s="175"/>
      <c r="DC137" s="175"/>
      <c r="DD137" s="175"/>
      <c r="DE137" s="175"/>
      <c r="DF137" s="175"/>
      <c r="DG137" s="25"/>
      <c r="DH137" s="25"/>
      <c r="DI137" s="25"/>
      <c r="DJ137" s="25"/>
    </row>
    <row r="138" spans="1:114" hidden="1" outlineLevel="1">
      <c r="A138" s="170"/>
      <c r="B138" s="170"/>
      <c r="C138" s="170"/>
      <c r="D138" s="217"/>
      <c r="E138" s="170"/>
      <c r="F138" s="170"/>
      <c r="G138" s="170"/>
      <c r="H138" s="217"/>
      <c r="I138" s="170"/>
      <c r="J138" s="170"/>
      <c r="K138" s="170"/>
      <c r="L138" s="217"/>
      <c r="M138" s="170"/>
      <c r="N138" s="170"/>
      <c r="O138" s="170"/>
      <c r="P138" s="217"/>
      <c r="Q138" s="170"/>
      <c r="R138" s="170"/>
      <c r="S138" s="170"/>
      <c r="T138" s="217"/>
      <c r="U138" s="170"/>
      <c r="V138" s="170"/>
      <c r="W138" s="170"/>
      <c r="X138" s="217"/>
      <c r="Y138" s="170"/>
      <c r="Z138" s="170"/>
      <c r="AA138" s="170"/>
      <c r="AB138" s="217"/>
      <c r="AC138" s="170"/>
      <c r="AD138" s="170"/>
      <c r="AE138" s="170"/>
      <c r="AF138" s="217"/>
      <c r="AG138" s="170"/>
      <c r="AH138" s="170"/>
      <c r="AI138" s="170"/>
      <c r="AJ138" s="217"/>
      <c r="AK138" s="170"/>
      <c r="AL138" s="170"/>
      <c r="AM138" s="170"/>
      <c r="AN138" s="217"/>
      <c r="AO138" s="170"/>
      <c r="AP138" s="170"/>
      <c r="AQ138" s="170"/>
      <c r="AR138" s="170"/>
      <c r="AS138" s="170"/>
      <c r="AT138" s="170"/>
      <c r="AU138" s="217"/>
      <c r="AV138" s="170"/>
      <c r="AW138" s="170"/>
      <c r="AX138" s="170"/>
      <c r="AY138" s="217"/>
      <c r="AZ138" s="170"/>
      <c r="BA138" s="170"/>
      <c r="BB138" s="170"/>
      <c r="BC138" s="217"/>
      <c r="BD138" s="170"/>
      <c r="BE138" s="170"/>
      <c r="BF138" s="170"/>
      <c r="BG138" s="217"/>
      <c r="BH138" s="170"/>
      <c r="BI138" s="170"/>
      <c r="BJ138" s="170"/>
      <c r="BK138" s="217"/>
      <c r="BL138" s="170"/>
      <c r="BM138" s="170"/>
      <c r="BN138" s="170"/>
      <c r="BO138" s="217"/>
      <c r="BP138" s="170"/>
      <c r="BQ138" s="170"/>
      <c r="BR138" s="25"/>
      <c r="BS138" s="34"/>
      <c r="BT138" s="25"/>
      <c r="BU138" s="25"/>
      <c r="BV138" s="25"/>
      <c r="BW138" s="34"/>
      <c r="BX138" s="25"/>
      <c r="BY138" s="25"/>
      <c r="BZ138" s="25"/>
      <c r="CA138" s="34"/>
      <c r="CB138" s="25"/>
      <c r="CC138" s="25"/>
      <c r="CD138" s="175"/>
      <c r="CE138" s="34"/>
      <c r="CF138" s="175"/>
      <c r="CG138" s="175"/>
      <c r="CH138" s="175"/>
      <c r="CI138" s="34"/>
      <c r="CJ138" s="175"/>
      <c r="CK138" s="175"/>
      <c r="CL138" s="175"/>
      <c r="CM138" s="34"/>
      <c r="CN138" s="175"/>
      <c r="CO138" s="175"/>
      <c r="CP138" s="175"/>
      <c r="CQ138" s="34"/>
      <c r="CR138" s="175"/>
      <c r="CS138" s="175"/>
      <c r="CT138" s="175"/>
      <c r="CU138" s="34"/>
      <c r="CV138" s="175"/>
      <c r="CW138" s="1472"/>
      <c r="CX138" s="175"/>
      <c r="CY138" s="34"/>
      <c r="CZ138" s="175"/>
      <c r="DA138" s="1472"/>
      <c r="DB138" s="175"/>
      <c r="DC138" s="175"/>
      <c r="DD138" s="175"/>
      <c r="DE138" s="175"/>
      <c r="DF138" s="175"/>
      <c r="DG138" s="25"/>
      <c r="DH138" s="25"/>
      <c r="DI138" s="25"/>
      <c r="DJ138" s="25"/>
    </row>
    <row r="139" spans="1:114" hidden="1" outlineLevel="1">
      <c r="A139" s="170"/>
      <c r="B139" s="170"/>
      <c r="C139" s="170"/>
      <c r="D139" s="217"/>
      <c r="E139" s="170"/>
      <c r="F139" s="170"/>
      <c r="G139" s="170"/>
      <c r="H139" s="217"/>
      <c r="I139" s="170"/>
      <c r="J139" s="170"/>
      <c r="K139" s="170"/>
      <c r="L139" s="217"/>
      <c r="M139" s="170"/>
      <c r="N139" s="170"/>
      <c r="O139" s="170"/>
      <c r="P139" s="217"/>
      <c r="Q139" s="170"/>
      <c r="R139" s="170"/>
      <c r="S139" s="170"/>
      <c r="T139" s="217"/>
      <c r="U139" s="170"/>
      <c r="V139" s="170"/>
      <c r="W139" s="170"/>
      <c r="X139" s="217"/>
      <c r="Y139" s="170"/>
      <c r="Z139" s="170"/>
      <c r="AA139" s="170"/>
      <c r="AB139" s="217"/>
      <c r="AC139" s="170"/>
      <c r="AD139" s="170"/>
      <c r="AE139" s="170"/>
      <c r="AF139" s="217"/>
      <c r="AG139" s="170"/>
      <c r="AH139" s="170"/>
      <c r="AI139" s="170"/>
      <c r="AJ139" s="217"/>
      <c r="AK139" s="170"/>
      <c r="AL139" s="170"/>
      <c r="AM139" s="170"/>
      <c r="AN139" s="217"/>
      <c r="AO139" s="170"/>
      <c r="AP139" s="170"/>
      <c r="AQ139" s="170"/>
      <c r="AR139" s="170"/>
      <c r="AS139" s="170"/>
      <c r="AT139" s="170"/>
      <c r="AU139" s="217"/>
      <c r="AV139" s="170"/>
      <c r="AW139" s="170"/>
      <c r="AX139" s="170"/>
      <c r="AY139" s="217"/>
      <c r="AZ139" s="170"/>
      <c r="BA139" s="170"/>
      <c r="BB139" s="170"/>
      <c r="BC139" s="217"/>
      <c r="BD139" s="170"/>
      <c r="BE139" s="170"/>
      <c r="BF139" s="170"/>
      <c r="BG139" s="217"/>
      <c r="BH139" s="170"/>
      <c r="BI139" s="170"/>
      <c r="BJ139" s="170"/>
      <c r="BK139" s="217"/>
      <c r="BL139" s="170"/>
      <c r="BM139" s="170"/>
      <c r="BN139" s="170"/>
      <c r="BO139" s="217"/>
      <c r="BP139" s="170"/>
      <c r="BQ139" s="170"/>
      <c r="BR139" s="25"/>
      <c r="BS139" s="34"/>
      <c r="BT139" s="25"/>
      <c r="BU139" s="25"/>
      <c r="BV139" s="25"/>
      <c r="BW139" s="34"/>
      <c r="BX139" s="25"/>
      <c r="BY139" s="25"/>
      <c r="BZ139" s="25"/>
      <c r="CA139" s="34"/>
      <c r="CB139" s="25"/>
      <c r="CC139" s="25"/>
      <c r="CD139" s="175"/>
      <c r="CE139" s="34"/>
      <c r="CF139" s="175"/>
      <c r="CG139" s="175"/>
      <c r="CH139" s="175"/>
      <c r="CI139" s="34"/>
      <c r="CJ139" s="175"/>
      <c r="CK139" s="175"/>
      <c r="CL139" s="175"/>
      <c r="CM139" s="34"/>
      <c r="CN139" s="175"/>
      <c r="CO139" s="175"/>
      <c r="CP139" s="175"/>
      <c r="CQ139" s="34"/>
      <c r="CR139" s="175"/>
      <c r="CS139" s="175"/>
      <c r="CT139" s="175"/>
      <c r="CU139" s="34"/>
      <c r="CV139" s="175"/>
      <c r="CW139" s="1472"/>
      <c r="CX139" s="175"/>
      <c r="CY139" s="34"/>
      <c r="CZ139" s="175"/>
      <c r="DA139" s="1472"/>
      <c r="DB139" s="175"/>
      <c r="DC139" s="175"/>
      <c r="DD139" s="175"/>
      <c r="DE139" s="175"/>
      <c r="DF139" s="175"/>
      <c r="DG139" s="25"/>
      <c r="DH139" s="25"/>
      <c r="DI139" s="25"/>
      <c r="DJ139" s="25"/>
    </row>
    <row r="140" spans="1:114" hidden="1" outlineLevel="1">
      <c r="A140" s="170"/>
      <c r="B140" s="170"/>
      <c r="C140" s="170"/>
      <c r="D140" s="217"/>
      <c r="E140" s="170"/>
      <c r="F140" s="170"/>
      <c r="G140" s="170"/>
      <c r="H140" s="217"/>
      <c r="I140" s="170"/>
      <c r="J140" s="170"/>
      <c r="K140" s="170"/>
      <c r="L140" s="217"/>
      <c r="M140" s="170"/>
      <c r="N140" s="170"/>
      <c r="O140" s="170"/>
      <c r="P140" s="217"/>
      <c r="Q140" s="170"/>
      <c r="R140" s="170"/>
      <c r="S140" s="170"/>
      <c r="T140" s="217"/>
      <c r="U140" s="170"/>
      <c r="V140" s="170"/>
      <c r="W140" s="170"/>
      <c r="X140" s="217"/>
      <c r="Y140" s="170"/>
      <c r="Z140" s="170"/>
      <c r="AA140" s="170"/>
      <c r="AB140" s="217"/>
      <c r="AC140" s="170"/>
      <c r="AD140" s="170"/>
      <c r="AE140" s="170"/>
      <c r="AF140" s="217"/>
      <c r="AG140" s="170"/>
      <c r="AH140" s="170"/>
      <c r="AI140" s="170"/>
      <c r="AJ140" s="217"/>
      <c r="AK140" s="170"/>
      <c r="AL140" s="170"/>
      <c r="AM140" s="170"/>
      <c r="AN140" s="217"/>
      <c r="AO140" s="170"/>
      <c r="AP140" s="170"/>
      <c r="AQ140" s="170"/>
      <c r="AR140" s="170"/>
      <c r="AS140" s="170"/>
      <c r="AT140" s="170"/>
      <c r="AU140" s="217"/>
      <c r="AV140" s="170"/>
      <c r="AW140" s="170"/>
      <c r="AX140" s="170"/>
      <c r="AY140" s="346"/>
      <c r="AZ140" s="347"/>
      <c r="BA140" s="347"/>
      <c r="BB140" s="347"/>
      <c r="BC140" s="348"/>
      <c r="BD140" s="347"/>
      <c r="BE140" s="347"/>
      <c r="BF140" s="347"/>
      <c r="BG140" s="348"/>
      <c r="BH140" s="347"/>
      <c r="BI140" s="347"/>
      <c r="BJ140" s="347"/>
      <c r="BK140" s="348"/>
      <c r="BL140" s="347"/>
      <c r="BM140" s="347"/>
      <c r="BN140" s="347"/>
      <c r="BO140" s="348"/>
      <c r="BP140" s="347"/>
      <c r="BQ140" s="347"/>
      <c r="BR140" s="349"/>
      <c r="BS140" s="350"/>
      <c r="BT140" s="349"/>
      <c r="BU140" s="349"/>
      <c r="BV140" s="349"/>
      <c r="BW140" s="350"/>
      <c r="BX140" s="349"/>
      <c r="BY140" s="349"/>
      <c r="BZ140" s="349"/>
      <c r="CA140" s="350"/>
      <c r="CB140" s="349"/>
      <c r="CC140" s="349"/>
      <c r="CD140" s="352"/>
      <c r="CE140" s="350"/>
      <c r="CF140" s="352"/>
      <c r="CG140" s="352"/>
      <c r="CH140" s="352"/>
      <c r="CI140" s="350"/>
      <c r="CJ140" s="352"/>
      <c r="CK140" s="175"/>
      <c r="CL140" s="175"/>
      <c r="CM140" s="350"/>
      <c r="CN140" s="352"/>
      <c r="CO140" s="175"/>
      <c r="CP140" s="175"/>
      <c r="CQ140" s="350"/>
      <c r="CR140" s="352"/>
      <c r="CS140" s="175"/>
      <c r="CT140" s="175"/>
      <c r="CU140" s="350"/>
      <c r="CV140" s="352"/>
      <c r="CW140" s="1472"/>
      <c r="CX140" s="175"/>
      <c r="CY140" s="350"/>
      <c r="CZ140" s="352"/>
      <c r="DA140" s="1472"/>
      <c r="DB140" s="175"/>
      <c r="DC140" s="175"/>
      <c r="DD140" s="175"/>
      <c r="DE140" s="175"/>
      <c r="DF140" s="175"/>
      <c r="DG140" s="25"/>
      <c r="DH140" s="25"/>
      <c r="DI140" s="25"/>
      <c r="DJ140" s="25"/>
    </row>
    <row r="141" spans="1:114" s="100" customFormat="1" hidden="1" outlineLevel="1">
      <c r="A141" s="170"/>
      <c r="B141" s="170"/>
      <c r="C141" s="170"/>
      <c r="D141" s="217"/>
      <c r="E141" s="170"/>
      <c r="F141" s="170"/>
      <c r="G141" s="170"/>
      <c r="H141" s="217"/>
      <c r="I141" s="170"/>
      <c r="J141" s="170"/>
      <c r="K141" s="170"/>
      <c r="L141" s="217"/>
      <c r="M141" s="170"/>
      <c r="N141" s="170"/>
      <c r="O141" s="170"/>
      <c r="P141" s="217"/>
      <c r="Q141" s="170"/>
      <c r="R141" s="170"/>
      <c r="S141" s="170"/>
      <c r="T141" s="217"/>
      <c r="U141" s="170"/>
      <c r="V141" s="170"/>
      <c r="W141" s="170"/>
      <c r="X141" s="217"/>
      <c r="Y141" s="170"/>
      <c r="Z141" s="170"/>
      <c r="AA141" s="170"/>
      <c r="AB141" s="217"/>
      <c r="AC141" s="170"/>
      <c r="AD141" s="170"/>
      <c r="AE141" s="170"/>
      <c r="AF141" s="217"/>
      <c r="AG141" s="170"/>
      <c r="AH141" s="170"/>
      <c r="AI141" s="184" t="s">
        <v>450</v>
      </c>
      <c r="AJ141" s="217"/>
      <c r="AK141" s="170"/>
      <c r="AL141" s="170"/>
      <c r="AM141" s="170"/>
      <c r="AN141" s="217"/>
      <c r="AO141" s="170"/>
      <c r="AP141" s="170"/>
      <c r="AQ141" s="170"/>
      <c r="AR141" s="170"/>
      <c r="AS141" s="170"/>
      <c r="AT141" s="170"/>
      <c r="AU141" s="217"/>
      <c r="AV141" s="170"/>
      <c r="AW141" s="170"/>
      <c r="AX141" s="170"/>
      <c r="AY141" s="217"/>
      <c r="AZ141" s="170"/>
      <c r="BA141" s="170"/>
      <c r="BB141" s="170"/>
      <c r="BC141" s="217"/>
      <c r="BD141" s="170"/>
      <c r="BE141" s="170"/>
      <c r="BF141" s="170"/>
      <c r="BG141" s="217"/>
      <c r="BH141" s="170"/>
      <c r="BI141" s="170"/>
      <c r="BJ141" s="170"/>
      <c r="BK141" s="217"/>
      <c r="BL141" s="170"/>
      <c r="BM141" s="184" t="s">
        <v>450</v>
      </c>
      <c r="BN141" s="170"/>
      <c r="BO141" s="217"/>
      <c r="BP141" s="170"/>
      <c r="BQ141" s="170"/>
      <c r="BR141" s="25"/>
      <c r="BS141" s="34"/>
      <c r="BT141" s="25"/>
      <c r="BU141" s="25"/>
      <c r="BV141" s="25"/>
      <c r="BW141" s="34"/>
      <c r="BX141" s="25"/>
      <c r="BY141" s="25"/>
      <c r="BZ141" s="25"/>
      <c r="CA141" s="34"/>
      <c r="CB141" s="25"/>
      <c r="CC141" s="25"/>
      <c r="CD141" s="175"/>
      <c r="CE141" s="34"/>
      <c r="CF141" s="175"/>
      <c r="CG141" s="175"/>
      <c r="CH141" s="175"/>
      <c r="CI141" s="34"/>
      <c r="CJ141" s="175"/>
      <c r="CK141" s="175"/>
      <c r="CL141" s="175"/>
      <c r="CM141" s="34"/>
      <c r="CN141" s="175"/>
      <c r="CO141" s="175"/>
      <c r="CP141" s="175"/>
      <c r="CQ141" s="34"/>
      <c r="CR141" s="175"/>
      <c r="CS141" s="175"/>
      <c r="CT141" s="175"/>
      <c r="CU141" s="34"/>
      <c r="CV141" s="175"/>
      <c r="CW141" s="1472"/>
      <c r="CX141" s="175"/>
      <c r="CY141" s="34"/>
      <c r="CZ141" s="175"/>
      <c r="DA141" s="1472"/>
      <c r="DB141" s="175"/>
      <c r="DC141" s="175"/>
      <c r="DD141" s="175"/>
      <c r="DE141" s="266"/>
      <c r="DF141" s="175"/>
      <c r="DG141" s="25"/>
      <c r="DH141" s="25"/>
      <c r="DI141" s="25"/>
      <c r="DJ141" s="25"/>
    </row>
    <row r="142" spans="1:114" s="100" customFormat="1" hidden="1" outlineLevel="1">
      <c r="A142" s="170" t="str">
        <f>$A$10</f>
        <v>1Q</v>
      </c>
      <c r="B142" s="170" t="str">
        <f>$B$10</f>
        <v>Apr</v>
      </c>
      <c r="C142" s="170"/>
      <c r="D142" s="217"/>
      <c r="E142" s="170"/>
      <c r="F142" s="170"/>
      <c r="G142" s="170"/>
      <c r="H142" s="217"/>
      <c r="I142" s="170"/>
      <c r="J142" s="170"/>
      <c r="K142" s="170"/>
      <c r="L142" s="217"/>
      <c r="M142" s="170"/>
      <c r="N142" s="170"/>
      <c r="O142" s="170"/>
      <c r="P142" s="217"/>
      <c r="Q142" s="170"/>
      <c r="R142" s="170"/>
      <c r="S142" s="170"/>
      <c r="T142" s="217"/>
      <c r="U142" s="170"/>
      <c r="V142" s="170"/>
      <c r="W142" s="170"/>
      <c r="X142" s="217"/>
      <c r="Y142" s="170"/>
      <c r="Z142" s="170"/>
      <c r="AA142" s="170"/>
      <c r="AB142" s="385">
        <v>138.024</v>
      </c>
      <c r="AC142" s="386"/>
      <c r="AD142" s="386"/>
      <c r="AE142" s="386"/>
      <c r="AF142" s="385">
        <v>138.024</v>
      </c>
      <c r="AG142" s="386"/>
      <c r="AH142" s="386"/>
      <c r="AI142" s="386"/>
      <c r="AJ142" s="385">
        <v>153.22399999999999</v>
      </c>
      <c r="AK142" s="386"/>
      <c r="AL142" s="386"/>
      <c r="AM142" s="386"/>
      <c r="AN142" s="385">
        <v>155.66399999999999</v>
      </c>
      <c r="AO142" s="386"/>
      <c r="AP142" s="386"/>
      <c r="AQ142" s="386"/>
      <c r="AR142" s="386"/>
      <c r="AS142" s="386"/>
      <c r="AT142" s="386"/>
      <c r="AU142" s="385">
        <v>160.77600000000001</v>
      </c>
      <c r="AV142" s="386"/>
      <c r="AW142" s="386"/>
      <c r="AX142" s="386"/>
      <c r="AY142" s="385">
        <v>163.35645400000001</v>
      </c>
      <c r="AZ142" s="386"/>
      <c r="BA142" s="386"/>
      <c r="BB142" s="386"/>
      <c r="BC142" s="385">
        <v>165.25818200000001</v>
      </c>
      <c r="BD142" s="386"/>
      <c r="BE142" s="386"/>
      <c r="BF142" s="386"/>
      <c r="BG142" s="385">
        <v>165.68393499999999</v>
      </c>
      <c r="BH142" s="170"/>
      <c r="BI142" s="170"/>
      <c r="BJ142" s="170"/>
      <c r="BK142" s="385">
        <v>167.10261399999999</v>
      </c>
      <c r="BL142" s="386"/>
      <c r="BM142" s="386"/>
      <c r="BN142" s="386"/>
      <c r="BO142" s="385">
        <v>168.14848799999999</v>
      </c>
      <c r="BP142" s="386"/>
      <c r="BQ142" s="386"/>
      <c r="BR142" s="387"/>
      <c r="BS142" s="290">
        <v>169.152038</v>
      </c>
      <c r="BT142" s="387"/>
      <c r="BU142" s="387"/>
      <c r="BV142" s="387"/>
      <c r="BW142" s="290">
        <v>159.69047499999999</v>
      </c>
      <c r="BX142" s="387"/>
      <c r="BY142" s="387"/>
      <c r="BZ142" s="387"/>
      <c r="CA142" s="290">
        <v>144.80920699999999</v>
      </c>
      <c r="CB142" s="387"/>
      <c r="CC142" s="387"/>
      <c r="CD142" s="387"/>
      <c r="CE142" s="290">
        <v>146.934867</v>
      </c>
      <c r="CF142" s="387"/>
      <c r="CG142" s="387"/>
      <c r="CH142" s="387"/>
      <c r="CI142" s="290">
        <v>137.751372</v>
      </c>
      <c r="CJ142" s="175"/>
      <c r="CK142" s="175"/>
      <c r="CL142" s="175"/>
      <c r="CM142" s="34">
        <f>CM131+CM197+CM208+CM219</f>
        <v>130.76550302333243</v>
      </c>
      <c r="CN142" s="175"/>
      <c r="CO142" s="175"/>
      <c r="CP142" s="175"/>
      <c r="CQ142" s="34">
        <f>CQ131+CQ197+CQ208+CQ219</f>
        <v>131.59671998265779</v>
      </c>
      <c r="CR142" s="175"/>
      <c r="CS142" s="175"/>
      <c r="CT142" s="175"/>
      <c r="CU142" s="34">
        <f>CU131+CU197+CU208+CU219</f>
        <v>129.58619462043447</v>
      </c>
      <c r="CV142" s="175"/>
      <c r="CW142" s="1472"/>
      <c r="CX142" s="175"/>
      <c r="CY142" s="34">
        <f>CY131+CY197+CY208+CY219</f>
        <v>130.41741157975983</v>
      </c>
      <c r="CZ142" s="175"/>
      <c r="DA142" s="1472"/>
      <c r="DB142" s="175"/>
      <c r="DC142" s="175"/>
      <c r="DD142" s="175"/>
      <c r="DE142" s="266"/>
      <c r="DF142" s="175"/>
      <c r="DG142" s="25"/>
      <c r="DH142" s="25"/>
      <c r="DI142" s="25"/>
      <c r="DJ142" s="25"/>
    </row>
    <row r="143" spans="1:114" s="100" customFormat="1" hidden="1" outlineLevel="1">
      <c r="A143" s="170" t="str">
        <f>$A$11</f>
        <v>2Q</v>
      </c>
      <c r="B143" s="170" t="str">
        <f>$B$11</f>
        <v>Jul</v>
      </c>
      <c r="C143" s="170"/>
      <c r="D143" s="217"/>
      <c r="E143" s="170"/>
      <c r="F143" s="170"/>
      <c r="G143" s="170"/>
      <c r="H143" s="217"/>
      <c r="I143" s="170"/>
      <c r="J143" s="170"/>
      <c r="K143" s="170"/>
      <c r="L143" s="217"/>
      <c r="M143" s="170"/>
      <c r="N143" s="170"/>
      <c r="O143" s="170"/>
      <c r="P143" s="217"/>
      <c r="Q143" s="170"/>
      <c r="R143" s="170"/>
      <c r="S143" s="170"/>
      <c r="T143" s="217"/>
      <c r="U143" s="170"/>
      <c r="V143" s="170"/>
      <c r="W143" s="170"/>
      <c r="X143" s="217"/>
      <c r="Y143" s="170"/>
      <c r="Z143" s="170"/>
      <c r="AA143" s="170"/>
      <c r="AB143" s="385">
        <v>138.024</v>
      </c>
      <c r="AC143" s="386"/>
      <c r="AD143" s="386"/>
      <c r="AE143" s="386"/>
      <c r="AF143" s="385">
        <v>138.10400000000001</v>
      </c>
      <c r="AG143" s="386"/>
      <c r="AH143" s="386"/>
      <c r="AI143" s="386"/>
      <c r="AJ143" s="385">
        <v>153.31200000000001</v>
      </c>
      <c r="AK143" s="386"/>
      <c r="AL143" s="386"/>
      <c r="AM143" s="386"/>
      <c r="AN143" s="385">
        <v>157.4846</v>
      </c>
      <c r="AO143" s="386"/>
      <c r="AP143" s="386"/>
      <c r="AQ143" s="386"/>
      <c r="AR143" s="386"/>
      <c r="AS143" s="386"/>
      <c r="AT143" s="386"/>
      <c r="AU143" s="385">
        <v>161.791484</v>
      </c>
      <c r="AV143" s="386"/>
      <c r="AW143" s="386"/>
      <c r="AX143" s="386"/>
      <c r="AY143" s="385">
        <v>163.61199999999999</v>
      </c>
      <c r="AZ143" s="386"/>
      <c r="BA143" s="386"/>
      <c r="BB143" s="386"/>
      <c r="BC143" s="385">
        <v>165.32981699999999</v>
      </c>
      <c r="BD143" s="388"/>
      <c r="BE143" s="386"/>
      <c r="BF143" s="386"/>
      <c r="BG143" s="385">
        <v>165.815865</v>
      </c>
      <c r="BH143" s="170"/>
      <c r="BI143" s="170"/>
      <c r="BJ143" s="170"/>
      <c r="BK143" s="385">
        <v>167.30113800000001</v>
      </c>
      <c r="BL143" s="386"/>
      <c r="BM143" s="386"/>
      <c r="BN143" s="386"/>
      <c r="BO143" s="385">
        <v>168.308888</v>
      </c>
      <c r="BP143" s="386"/>
      <c r="BQ143" s="386"/>
      <c r="BR143" s="387"/>
      <c r="BS143" s="290">
        <v>165.08242799999999</v>
      </c>
      <c r="BT143" s="387"/>
      <c r="BU143" s="387"/>
      <c r="BV143" s="387"/>
      <c r="BW143" s="290">
        <v>153.91866099999999</v>
      </c>
      <c r="BX143" s="387"/>
      <c r="BY143" s="387"/>
      <c r="BZ143" s="387"/>
      <c r="CA143" s="290">
        <v>145.53100699999999</v>
      </c>
      <c r="CB143" s="387"/>
      <c r="CC143" s="387"/>
      <c r="CD143" s="387"/>
      <c r="CE143" s="290">
        <v>147.37186399999999</v>
      </c>
      <c r="CF143" s="387"/>
      <c r="CG143" s="387"/>
      <c r="CH143" s="387"/>
      <c r="CI143" s="290">
        <v>134.33607000000001</v>
      </c>
      <c r="CJ143" s="175"/>
      <c r="CK143" s="175"/>
      <c r="CL143" s="175"/>
      <c r="CM143" s="34">
        <f>CM132+CM198+CM209+CM220</f>
        <v>131.08628073778812</v>
      </c>
      <c r="CN143" s="175"/>
      <c r="CO143" s="175"/>
      <c r="CP143" s="175"/>
      <c r="CQ143" s="34">
        <f>CQ132+CQ198+CQ209+CQ220</f>
        <v>131.91749769711348</v>
      </c>
      <c r="CR143" s="175"/>
      <c r="CS143" s="175"/>
      <c r="CT143" s="175"/>
      <c r="CU143" s="34">
        <f>CU132+CU198+CU209+CU220</f>
        <v>129.90697233489016</v>
      </c>
      <c r="CV143" s="175"/>
      <c r="CW143" s="1472"/>
      <c r="CX143" s="175"/>
      <c r="CY143" s="34">
        <f>CY132+CY198+CY209+CY220</f>
        <v>130.73818929421552</v>
      </c>
      <c r="CZ143" s="175"/>
      <c r="DA143" s="1472"/>
      <c r="DB143" s="175"/>
      <c r="DC143" s="175"/>
      <c r="DD143" s="175"/>
      <c r="DE143" s="266"/>
      <c r="DF143" s="175"/>
      <c r="DG143" s="25"/>
      <c r="DH143" s="25"/>
      <c r="DI143" s="25"/>
      <c r="DJ143" s="25"/>
    </row>
    <row r="144" spans="1:114" s="100" customFormat="1" hidden="1" outlineLevel="1">
      <c r="A144" s="170" t="str">
        <f>$A$12</f>
        <v>3Q</v>
      </c>
      <c r="B144" s="170" t="str">
        <f>$B$12</f>
        <v>Oct</v>
      </c>
      <c r="C144" s="170"/>
      <c r="D144" s="217"/>
      <c r="E144" s="170"/>
      <c r="F144" s="170"/>
      <c r="G144" s="170"/>
      <c r="H144" s="217"/>
      <c r="I144" s="170"/>
      <c r="J144" s="170"/>
      <c r="K144" s="170"/>
      <c r="L144" s="217"/>
      <c r="M144" s="170"/>
      <c r="N144" s="170"/>
      <c r="O144" s="170"/>
      <c r="P144" s="217"/>
      <c r="Q144" s="170"/>
      <c r="R144" s="170"/>
      <c r="S144" s="170"/>
      <c r="T144" s="217"/>
      <c r="U144" s="170"/>
      <c r="V144" s="170"/>
      <c r="W144" s="170"/>
      <c r="X144" s="217"/>
      <c r="Y144" s="170"/>
      <c r="Z144" s="170"/>
      <c r="AA144" s="170"/>
      <c r="AB144" s="385">
        <v>138.024</v>
      </c>
      <c r="AC144" s="386"/>
      <c r="AD144" s="386"/>
      <c r="AE144" s="386"/>
      <c r="AF144" s="385">
        <v>138.11199999999999</v>
      </c>
      <c r="AG144" s="386"/>
      <c r="AH144" s="386"/>
      <c r="AI144" s="386"/>
      <c r="AJ144" s="385">
        <v>154.10400000000001</v>
      </c>
      <c r="AK144" s="386"/>
      <c r="AL144" s="386"/>
      <c r="AM144" s="386"/>
      <c r="AN144" s="385">
        <v>158</v>
      </c>
      <c r="AO144" s="386"/>
      <c r="AP144" s="386"/>
      <c r="AQ144" s="386"/>
      <c r="AR144" s="386"/>
      <c r="AS144" s="386"/>
      <c r="AT144" s="386"/>
      <c r="AU144" s="385">
        <v>162.66028800000001</v>
      </c>
      <c r="AV144" s="386"/>
      <c r="AW144" s="386"/>
      <c r="AX144" s="386"/>
      <c r="AY144" s="385">
        <v>164.69627700000001</v>
      </c>
      <c r="AZ144" s="386"/>
      <c r="BA144" s="386"/>
      <c r="BB144" s="386"/>
      <c r="BC144" s="385">
        <v>164.689887</v>
      </c>
      <c r="BD144" s="388"/>
      <c r="BE144" s="386"/>
      <c r="BF144" s="386"/>
      <c r="BG144" s="385">
        <v>166.01801499999999</v>
      </c>
      <c r="BH144" s="170"/>
      <c r="BI144" s="170"/>
      <c r="BJ144" s="170"/>
      <c r="BK144" s="385">
        <v>167.70948799999999</v>
      </c>
      <c r="BL144" s="386"/>
      <c r="BM144" s="386"/>
      <c r="BN144" s="386"/>
      <c r="BO144" s="385">
        <v>168.499638</v>
      </c>
      <c r="BP144" s="386"/>
      <c r="BQ144" s="386"/>
      <c r="BR144" s="387"/>
      <c r="BS144" s="290">
        <v>164.04383799999999</v>
      </c>
      <c r="BT144" s="387"/>
      <c r="BU144" s="387"/>
      <c r="BV144" s="387"/>
      <c r="BW144" s="290">
        <v>144.20166399999999</v>
      </c>
      <c r="BX144" s="387"/>
      <c r="BY144" s="387"/>
      <c r="BZ144" s="387"/>
      <c r="CA144" s="290">
        <v>145.91056699999999</v>
      </c>
      <c r="CB144" s="387"/>
      <c r="CC144" s="387"/>
      <c r="CD144" s="387"/>
      <c r="CE144" s="290">
        <v>147.309575</v>
      </c>
      <c r="CF144" s="387"/>
      <c r="CG144" s="387"/>
      <c r="CH144" s="387"/>
      <c r="CI144" s="290">
        <v>131.643598</v>
      </c>
      <c r="CJ144" s="175"/>
      <c r="CK144" s="175"/>
      <c r="CL144" s="175"/>
      <c r="CM144" s="34">
        <f>CM133+CM199+CM210+CM221</f>
        <v>131.42218338037799</v>
      </c>
      <c r="CN144" s="175"/>
      <c r="CO144" s="175"/>
      <c r="CP144" s="175"/>
      <c r="CQ144" s="34">
        <f>CQ133+CQ199+CQ210+CQ221</f>
        <v>129.41165801815467</v>
      </c>
      <c r="CR144" s="175"/>
      <c r="CS144" s="175"/>
      <c r="CT144" s="175"/>
      <c r="CU144" s="34">
        <f>CU133+CU199+CU210+CU221</f>
        <v>130.24287497748003</v>
      </c>
      <c r="CV144" s="175"/>
      <c r="CW144" s="1472"/>
      <c r="CX144" s="175"/>
      <c r="CY144" s="34">
        <f>CY133+CY199+CY210+CY221</f>
        <v>128.23234961525671</v>
      </c>
      <c r="CZ144" s="175"/>
      <c r="DA144" s="1472"/>
      <c r="DB144" s="175"/>
      <c r="DC144" s="175"/>
      <c r="DD144" s="175"/>
      <c r="DE144" s="266"/>
      <c r="DF144" s="175"/>
      <c r="DG144" s="25"/>
      <c r="DH144" s="25"/>
      <c r="DI144" s="25"/>
      <c r="DJ144" s="25"/>
    </row>
    <row r="145" spans="1:114" s="100" customFormat="1" hidden="1" outlineLevel="1">
      <c r="A145" s="170" t="str">
        <f>$A$13</f>
        <v>4Q</v>
      </c>
      <c r="B145" s="170" t="str">
        <f>$B$13</f>
        <v>Jan</v>
      </c>
      <c r="C145" s="170"/>
      <c r="D145" s="217"/>
      <c r="E145" s="170"/>
      <c r="F145" s="170"/>
      <c r="G145" s="170"/>
      <c r="H145" s="217"/>
      <c r="I145" s="170"/>
      <c r="J145" s="170"/>
      <c r="K145" s="170"/>
      <c r="L145" s="217"/>
      <c r="M145" s="170"/>
      <c r="N145" s="170"/>
      <c r="O145" s="170"/>
      <c r="P145" s="217"/>
      <c r="Q145" s="170"/>
      <c r="R145" s="170"/>
      <c r="S145" s="170"/>
      <c r="T145" s="217"/>
      <c r="U145" s="170"/>
      <c r="V145" s="170"/>
      <c r="W145" s="170"/>
      <c r="X145" s="217"/>
      <c r="Y145" s="170"/>
      <c r="Z145" s="170"/>
      <c r="AA145" s="170"/>
      <c r="AB145" s="385">
        <v>138.024</v>
      </c>
      <c r="AC145" s="386"/>
      <c r="AD145" s="386"/>
      <c r="AE145" s="386"/>
      <c r="AF145" s="385">
        <v>138.82400000000001</v>
      </c>
      <c r="AG145" s="386"/>
      <c r="AH145" s="386"/>
      <c r="AI145" s="386"/>
      <c r="AJ145" s="385">
        <v>155.05600000000001</v>
      </c>
      <c r="AK145" s="386"/>
      <c r="AL145" s="386"/>
      <c r="AM145" s="386"/>
      <c r="AN145" s="385">
        <v>159.55199999999999</v>
      </c>
      <c r="AO145" s="386"/>
      <c r="AP145" s="386"/>
      <c r="AQ145" s="386"/>
      <c r="AR145" s="386"/>
      <c r="AS145" s="386"/>
      <c r="AT145" s="386"/>
      <c r="AU145" s="385">
        <v>163.65147200000001</v>
      </c>
      <c r="AV145" s="386"/>
      <c r="AW145" s="386"/>
      <c r="AX145" s="386"/>
      <c r="AY145" s="385">
        <v>165.00671700000001</v>
      </c>
      <c r="AZ145" s="386"/>
      <c r="BA145" s="386"/>
      <c r="BB145" s="386"/>
      <c r="BC145" s="385">
        <v>165.084463</v>
      </c>
      <c r="BD145" s="386"/>
      <c r="BE145" s="386"/>
      <c r="BF145" s="386"/>
      <c r="BG145" s="385">
        <v>166.56671399999999</v>
      </c>
      <c r="BH145" s="170"/>
      <c r="BI145" s="170"/>
      <c r="BJ145" s="170"/>
      <c r="BK145" s="385">
        <v>167.72968800000001</v>
      </c>
      <c r="BL145" s="386"/>
      <c r="BM145" s="386"/>
      <c r="BN145" s="386"/>
      <c r="BO145" s="385">
        <v>168.888271</v>
      </c>
      <c r="BP145" s="386"/>
      <c r="BQ145" s="386"/>
      <c r="BR145" s="387"/>
      <c r="BS145" s="290">
        <v>162.255448</v>
      </c>
      <c r="BT145" s="387"/>
      <c r="BU145" s="387"/>
      <c r="BV145" s="387"/>
      <c r="BW145" s="290">
        <v>144.706907</v>
      </c>
      <c r="BX145" s="387"/>
      <c r="BY145" s="387"/>
      <c r="BZ145" s="387"/>
      <c r="CA145" s="290">
        <v>146.22846699999999</v>
      </c>
      <c r="CB145" s="387"/>
      <c r="CC145" s="387"/>
      <c r="CD145" s="387"/>
      <c r="CE145" s="290">
        <v>144.56095300000001</v>
      </c>
      <c r="CF145" s="175"/>
      <c r="CG145" s="175"/>
      <c r="CH145" s="175"/>
      <c r="CI145" s="34">
        <f>CI123</f>
        <v>130.44359800000001</v>
      </c>
      <c r="CJ145" s="175"/>
      <c r="CK145" s="175"/>
      <c r="CL145" s="175"/>
      <c r="CM145" s="34">
        <f>CM134+CM200+CM211+CM222</f>
        <v>131.27481495932537</v>
      </c>
      <c r="CN145" s="175"/>
      <c r="CO145" s="175"/>
      <c r="CP145" s="175"/>
      <c r="CQ145" s="34">
        <f>CQ134+CQ200+CQ211+CQ222</f>
        <v>129.26428959710205</v>
      </c>
      <c r="CR145" s="175"/>
      <c r="CS145" s="175"/>
      <c r="CT145" s="175"/>
      <c r="CU145" s="34">
        <f>CU134+CU200+CU211+CU222</f>
        <v>130.09550655642741</v>
      </c>
      <c r="CV145" s="175"/>
      <c r="CW145" s="1472"/>
      <c r="CX145" s="175"/>
      <c r="CY145" s="34">
        <f>CY134+CY200+CY211+CY222</f>
        <v>128.08498119420409</v>
      </c>
      <c r="CZ145" s="175"/>
      <c r="DA145" s="1472"/>
      <c r="DB145" s="175"/>
      <c r="DC145" s="175"/>
      <c r="DD145" s="175"/>
      <c r="DE145" s="266"/>
      <c r="DF145" s="175"/>
      <c r="DG145" s="25"/>
      <c r="DH145" s="25"/>
      <c r="DI145" s="25"/>
      <c r="DJ145" s="25"/>
    </row>
    <row r="146" spans="1:114" s="100" customFormat="1" hidden="1" outlineLevel="1">
      <c r="A146" s="170"/>
      <c r="B146" s="170" t="str">
        <f>$B$14</f>
        <v>Year</v>
      </c>
      <c r="C146" s="170"/>
      <c r="D146" s="217"/>
      <c r="E146" s="170"/>
      <c r="F146" s="170"/>
      <c r="G146" s="170"/>
      <c r="H146" s="217"/>
      <c r="I146" s="170"/>
      <c r="J146" s="170"/>
      <c r="K146" s="170"/>
      <c r="L146" s="217"/>
      <c r="M146" s="170"/>
      <c r="N146" s="170"/>
      <c r="O146" s="170"/>
      <c r="P146" s="217"/>
      <c r="Q146" s="170"/>
      <c r="R146" s="170"/>
      <c r="S146" s="170"/>
      <c r="T146" s="217"/>
      <c r="U146" s="170"/>
      <c r="V146" s="170"/>
      <c r="W146" s="170"/>
      <c r="X146" s="217"/>
      <c r="Y146" s="170"/>
      <c r="Z146" s="170"/>
      <c r="AA146" s="170"/>
      <c r="AB146" s="217">
        <f>AB145</f>
        <v>138.024</v>
      </c>
      <c r="AC146" s="170"/>
      <c r="AD146" s="170"/>
      <c r="AE146" s="170"/>
      <c r="AF146" s="217">
        <f>AF145</f>
        <v>138.82400000000001</v>
      </c>
      <c r="AG146" s="170"/>
      <c r="AH146" s="170"/>
      <c r="AI146" s="170"/>
      <c r="AJ146" s="217">
        <f>AJ145</f>
        <v>155.05600000000001</v>
      </c>
      <c r="AK146" s="170"/>
      <c r="AL146" s="170"/>
      <c r="AM146" s="170"/>
      <c r="AN146" s="217">
        <f>AN145</f>
        <v>159.55199999999999</v>
      </c>
      <c r="AO146" s="170"/>
      <c r="AP146" s="170"/>
      <c r="AQ146" s="170"/>
      <c r="AR146" s="170"/>
      <c r="AS146" s="170"/>
      <c r="AT146" s="170"/>
      <c r="AU146" s="217">
        <f>AU145</f>
        <v>163.65147200000001</v>
      </c>
      <c r="AV146" s="170"/>
      <c r="AW146" s="170"/>
      <c r="AX146" s="170"/>
      <c r="AY146" s="217">
        <f>AY145</f>
        <v>165.00671700000001</v>
      </c>
      <c r="AZ146" s="170"/>
      <c r="BA146" s="170"/>
      <c r="BB146" s="170"/>
      <c r="BC146" s="217">
        <f>BC145</f>
        <v>165.084463</v>
      </c>
      <c r="BD146" s="170"/>
      <c r="BE146" s="170"/>
      <c r="BF146" s="170"/>
      <c r="BG146" s="217">
        <f>BG145</f>
        <v>166.56671399999999</v>
      </c>
      <c r="BH146" s="170"/>
      <c r="BI146" s="170"/>
      <c r="BJ146" s="170"/>
      <c r="BK146" s="217">
        <f>BK145</f>
        <v>167.72968800000001</v>
      </c>
      <c r="BL146" s="170"/>
      <c r="BM146" s="170"/>
      <c r="BN146" s="170"/>
      <c r="BO146" s="217">
        <f>BO145</f>
        <v>168.888271</v>
      </c>
      <c r="BP146" s="170"/>
      <c r="BQ146" s="170"/>
      <c r="BR146" s="25"/>
      <c r="BS146" s="34">
        <f>BS145</f>
        <v>162.255448</v>
      </c>
      <c r="BT146" s="25"/>
      <c r="BU146" s="25"/>
      <c r="BV146" s="25"/>
      <c r="BW146" s="34">
        <f>BW145</f>
        <v>144.706907</v>
      </c>
      <c r="BX146" s="25"/>
      <c r="BY146" s="25"/>
      <c r="BZ146" s="25"/>
      <c r="CA146" s="34">
        <f>CA145</f>
        <v>146.22846699999999</v>
      </c>
      <c r="CB146" s="25"/>
      <c r="CC146" s="25"/>
      <c r="CD146" s="175"/>
      <c r="CE146" s="34">
        <f>CE145</f>
        <v>144.56095300000001</v>
      </c>
      <c r="CF146" s="175"/>
      <c r="CG146" s="175"/>
      <c r="CH146" s="175"/>
      <c r="CI146" s="34">
        <f>CI145</f>
        <v>130.44359800000001</v>
      </c>
      <c r="CJ146" s="175"/>
      <c r="CK146" s="175"/>
      <c r="CL146" s="175"/>
      <c r="CM146" s="34">
        <f>CM145</f>
        <v>131.27481495932537</v>
      </c>
      <c r="CN146" s="175"/>
      <c r="CO146" s="175"/>
      <c r="CP146" s="175"/>
      <c r="CQ146" s="34">
        <f>CQ145</f>
        <v>129.26428959710205</v>
      </c>
      <c r="CR146" s="175"/>
      <c r="CS146" s="175"/>
      <c r="CT146" s="175"/>
      <c r="CU146" s="34">
        <f>CU145</f>
        <v>130.09550655642741</v>
      </c>
      <c r="CV146" s="175"/>
      <c r="CW146" s="1472"/>
      <c r="CX146" s="175"/>
      <c r="CY146" s="34">
        <f>CY145</f>
        <v>128.08498119420409</v>
      </c>
      <c r="CZ146" s="175"/>
      <c r="DA146" s="1472"/>
      <c r="DB146" s="175"/>
      <c r="DC146" s="175"/>
      <c r="DD146" s="175"/>
      <c r="DE146" s="266"/>
      <c r="DF146" s="175"/>
      <c r="DG146" s="25"/>
      <c r="DH146" s="25"/>
      <c r="DI146" s="25"/>
      <c r="DJ146" s="25"/>
    </row>
    <row r="147" spans="1:114" s="100" customFormat="1" hidden="1" outlineLevel="1">
      <c r="A147" s="170" t="str">
        <f>$A$15</f>
        <v>6 Mos</v>
      </c>
      <c r="B147" s="170"/>
      <c r="C147" s="170"/>
      <c r="D147" s="217"/>
      <c r="E147" s="170"/>
      <c r="F147" s="170"/>
      <c r="G147" s="170"/>
      <c r="H147" s="217"/>
      <c r="I147" s="170"/>
      <c r="J147" s="170"/>
      <c r="K147" s="170"/>
      <c r="L147" s="217"/>
      <c r="M147" s="170"/>
      <c r="N147" s="170"/>
      <c r="O147" s="170"/>
      <c r="P147" s="217"/>
      <c r="Q147" s="170"/>
      <c r="R147" s="170"/>
      <c r="S147" s="170"/>
      <c r="T147" s="217"/>
      <c r="U147" s="170"/>
      <c r="V147" s="170"/>
      <c r="W147" s="170"/>
      <c r="X147" s="217"/>
      <c r="Y147" s="170"/>
      <c r="Z147" s="170"/>
      <c r="AA147" s="170"/>
      <c r="AB147" s="217"/>
      <c r="AC147" s="170"/>
      <c r="AD147" s="170"/>
      <c r="AE147" s="170"/>
      <c r="AF147" s="217"/>
      <c r="AG147" s="170"/>
      <c r="AH147" s="170"/>
      <c r="AI147" s="170"/>
      <c r="AJ147" s="217"/>
      <c r="AK147" s="170"/>
      <c r="AL147" s="170"/>
      <c r="AM147" s="170"/>
      <c r="AN147" s="217"/>
      <c r="AO147" s="170"/>
      <c r="AP147" s="170"/>
      <c r="AQ147" s="170"/>
      <c r="AR147" s="170"/>
      <c r="AS147" s="170"/>
      <c r="AT147" s="170"/>
      <c r="AU147" s="217"/>
      <c r="AV147" s="170"/>
      <c r="AW147" s="170"/>
      <c r="AX147" s="170"/>
      <c r="AY147" s="217"/>
      <c r="AZ147" s="170"/>
      <c r="BA147" s="170"/>
      <c r="BB147" s="170"/>
      <c r="BC147" s="217"/>
      <c r="BD147" s="170"/>
      <c r="BE147" s="170"/>
      <c r="BF147" s="170"/>
      <c r="BG147" s="217"/>
      <c r="BH147" s="170"/>
      <c r="BI147" s="170"/>
      <c r="BJ147" s="170"/>
      <c r="BK147" s="217"/>
      <c r="BL147" s="170"/>
      <c r="BM147" s="170"/>
      <c r="BN147" s="170"/>
      <c r="BO147" s="217"/>
      <c r="BP147" s="170"/>
      <c r="BQ147" s="170"/>
      <c r="BR147" s="25"/>
      <c r="BS147" s="34"/>
      <c r="BT147" s="25"/>
      <c r="BU147" s="25"/>
      <c r="BV147" s="25"/>
      <c r="BW147" s="34"/>
      <c r="BX147" s="25"/>
      <c r="BY147" s="25"/>
      <c r="BZ147" s="25"/>
      <c r="CA147" s="34"/>
      <c r="CB147" s="25"/>
      <c r="CC147" s="25"/>
      <c r="CD147" s="175"/>
      <c r="CE147" s="34"/>
      <c r="CF147" s="175"/>
      <c r="CG147" s="175"/>
      <c r="CH147" s="175"/>
      <c r="CI147" s="34"/>
      <c r="CJ147" s="175"/>
      <c r="CK147" s="175"/>
      <c r="CL147" s="175"/>
      <c r="CM147" s="34"/>
      <c r="CN147" s="175"/>
      <c r="CO147" s="175"/>
      <c r="CP147" s="175"/>
      <c r="CQ147" s="34"/>
      <c r="CR147" s="175"/>
      <c r="CS147" s="175"/>
      <c r="CT147" s="175"/>
      <c r="CU147" s="34"/>
      <c r="CV147" s="175"/>
      <c r="CW147" s="1472"/>
      <c r="CX147" s="175"/>
      <c r="CY147" s="34"/>
      <c r="CZ147" s="175"/>
      <c r="DA147" s="1472"/>
      <c r="DB147" s="175"/>
      <c r="DC147" s="175"/>
      <c r="DD147" s="175"/>
      <c r="DE147" s="266"/>
      <c r="DF147" s="175"/>
      <c r="DG147" s="25"/>
      <c r="DH147" s="25"/>
      <c r="DI147" s="25"/>
      <c r="DJ147" s="25"/>
    </row>
    <row r="148" spans="1:114" s="100" customFormat="1" hidden="1" outlineLevel="1">
      <c r="A148" s="170" t="str">
        <f>$A$16</f>
        <v>9 Mos</v>
      </c>
      <c r="B148" s="170"/>
      <c r="C148" s="170"/>
      <c r="D148" s="217"/>
      <c r="E148" s="170"/>
      <c r="F148" s="170"/>
      <c r="G148" s="170"/>
      <c r="H148" s="217"/>
      <c r="I148" s="170"/>
      <c r="J148" s="170"/>
      <c r="K148" s="170"/>
      <c r="L148" s="217"/>
      <c r="M148" s="170"/>
      <c r="N148" s="170"/>
      <c r="O148" s="170"/>
      <c r="P148" s="217"/>
      <c r="Q148" s="170"/>
      <c r="R148" s="170"/>
      <c r="S148" s="170"/>
      <c r="T148" s="217"/>
      <c r="U148" s="170"/>
      <c r="V148" s="170"/>
      <c r="W148" s="170"/>
      <c r="X148" s="217"/>
      <c r="Y148" s="170"/>
      <c r="Z148" s="170"/>
      <c r="AA148" s="170"/>
      <c r="AB148" s="217"/>
      <c r="AC148" s="170"/>
      <c r="AD148" s="170"/>
      <c r="AE148" s="170"/>
      <c r="AF148" s="217"/>
      <c r="AG148" s="170"/>
      <c r="AH148" s="170"/>
      <c r="AI148" s="170"/>
      <c r="AJ148" s="217"/>
      <c r="AK148" s="170"/>
      <c r="AL148" s="170"/>
      <c r="AM148" s="170"/>
      <c r="AN148" s="217"/>
      <c r="AO148" s="170"/>
      <c r="AP148" s="170"/>
      <c r="AQ148" s="170"/>
      <c r="AR148" s="170"/>
      <c r="AS148" s="170"/>
      <c r="AT148" s="170"/>
      <c r="AU148" s="217"/>
      <c r="AV148" s="170"/>
      <c r="AW148" s="170"/>
      <c r="AX148" s="170"/>
      <c r="AY148" s="217"/>
      <c r="AZ148" s="170"/>
      <c r="BA148" s="170"/>
      <c r="BB148" s="170"/>
      <c r="BC148" s="217"/>
      <c r="BD148" s="170"/>
      <c r="BE148" s="170"/>
      <c r="BF148" s="170"/>
      <c r="BG148" s="217"/>
      <c r="BH148" s="170"/>
      <c r="BI148" s="170"/>
      <c r="BJ148" s="170"/>
      <c r="BK148" s="217"/>
      <c r="BL148" s="170"/>
      <c r="BM148" s="170"/>
      <c r="BN148" s="170"/>
      <c r="BO148" s="217"/>
      <c r="BP148" s="170"/>
      <c r="BQ148" s="170"/>
      <c r="BR148" s="25"/>
      <c r="BS148" s="34"/>
      <c r="BT148" s="25"/>
      <c r="BU148" s="25"/>
      <c r="BV148" s="25"/>
      <c r="BW148" s="34"/>
      <c r="BX148" s="25"/>
      <c r="BY148" s="25"/>
      <c r="BZ148" s="25"/>
      <c r="CA148" s="34"/>
      <c r="CB148" s="25"/>
      <c r="CC148" s="25"/>
      <c r="CD148" s="175"/>
      <c r="CE148" s="34"/>
      <c r="CF148" s="175"/>
      <c r="CG148" s="175"/>
      <c r="CH148" s="175"/>
      <c r="CI148" s="34"/>
      <c r="CJ148" s="175"/>
      <c r="CK148" s="175"/>
      <c r="CL148" s="175"/>
      <c r="CM148" s="34"/>
      <c r="CN148" s="175"/>
      <c r="CO148" s="175"/>
      <c r="CP148" s="175"/>
      <c r="CQ148" s="34"/>
      <c r="CR148" s="175"/>
      <c r="CS148" s="175"/>
      <c r="CT148" s="175"/>
      <c r="CU148" s="34"/>
      <c r="CV148" s="175"/>
      <c r="CW148" s="1472"/>
      <c r="CX148" s="175"/>
      <c r="CY148" s="34"/>
      <c r="CZ148" s="175"/>
      <c r="DA148" s="1472"/>
      <c r="DB148" s="175"/>
      <c r="DC148" s="175"/>
      <c r="DD148" s="175"/>
      <c r="DE148" s="266"/>
      <c r="DF148" s="175"/>
      <c r="DG148" s="25"/>
      <c r="DH148" s="25"/>
      <c r="DI148" s="25"/>
      <c r="DJ148" s="25"/>
    </row>
    <row r="149" spans="1:114" s="100" customFormat="1" hidden="1" outlineLevel="1">
      <c r="A149" s="170"/>
      <c r="B149" s="170"/>
      <c r="C149" s="170"/>
      <c r="D149" s="217"/>
      <c r="E149" s="170"/>
      <c r="F149" s="170"/>
      <c r="G149" s="170"/>
      <c r="H149" s="217"/>
      <c r="I149" s="170"/>
      <c r="J149" s="170"/>
      <c r="K149" s="170"/>
      <c r="L149" s="217"/>
      <c r="M149" s="170"/>
      <c r="N149" s="170"/>
      <c r="O149" s="170"/>
      <c r="P149" s="217"/>
      <c r="Q149" s="170"/>
      <c r="R149" s="170"/>
      <c r="S149" s="170"/>
      <c r="T149" s="217"/>
      <c r="U149" s="170"/>
      <c r="V149" s="170"/>
      <c r="W149" s="170"/>
      <c r="X149" s="217"/>
      <c r="Y149" s="170"/>
      <c r="Z149" s="170"/>
      <c r="AA149" s="170"/>
      <c r="AB149" s="217"/>
      <c r="AC149" s="170"/>
      <c r="AD149" s="170"/>
      <c r="AE149" s="170"/>
      <c r="AF149" s="217"/>
      <c r="AG149" s="170"/>
      <c r="AH149" s="170"/>
      <c r="AI149" s="170"/>
      <c r="AJ149" s="217"/>
      <c r="AK149" s="170"/>
      <c r="AL149" s="170"/>
      <c r="AM149" s="170"/>
      <c r="AN149" s="217"/>
      <c r="AO149" s="170"/>
      <c r="AP149" s="170"/>
      <c r="AQ149" s="170"/>
      <c r="AR149" s="170"/>
      <c r="AS149" s="170"/>
      <c r="AT149" s="170"/>
      <c r="AU149" s="217"/>
      <c r="AV149" s="170"/>
      <c r="AW149" s="170"/>
      <c r="AX149" s="170"/>
      <c r="AY149" s="217"/>
      <c r="AZ149" s="170"/>
      <c r="BA149" s="170"/>
      <c r="BB149" s="170"/>
      <c r="BC149" s="217"/>
      <c r="BD149" s="170"/>
      <c r="BE149" s="170"/>
      <c r="BF149" s="170"/>
      <c r="BG149" s="217"/>
      <c r="BH149" s="170"/>
      <c r="BI149" s="170"/>
      <c r="BJ149" s="170"/>
      <c r="BK149" s="217"/>
      <c r="BL149" s="170"/>
      <c r="BM149" s="170"/>
      <c r="BN149" s="170"/>
      <c r="BO149" s="217"/>
      <c r="BP149" s="170"/>
      <c r="BQ149" s="170"/>
      <c r="BR149" s="25"/>
      <c r="BS149" s="34"/>
      <c r="BT149" s="25"/>
      <c r="BU149" s="25"/>
      <c r="BV149" s="25"/>
      <c r="BW149" s="34"/>
      <c r="BX149" s="25"/>
      <c r="BY149" s="25"/>
      <c r="BZ149" s="25"/>
      <c r="CA149" s="34"/>
      <c r="CB149" s="25"/>
      <c r="CC149" s="25"/>
      <c r="CD149" s="175"/>
      <c r="CE149" s="34"/>
      <c r="CF149" s="175"/>
      <c r="CG149" s="175"/>
      <c r="CH149" s="175"/>
      <c r="CI149" s="34"/>
      <c r="CJ149" s="175"/>
      <c r="CK149" s="175"/>
      <c r="CL149" s="175"/>
      <c r="CM149" s="34"/>
      <c r="CN149" s="175"/>
      <c r="CO149" s="175"/>
      <c r="CP149" s="175"/>
      <c r="CQ149" s="34"/>
      <c r="CR149" s="175"/>
      <c r="CS149" s="175"/>
      <c r="CT149" s="175"/>
      <c r="CU149" s="34"/>
      <c r="CV149" s="175"/>
      <c r="CW149" s="1472"/>
      <c r="CX149" s="175"/>
      <c r="CY149" s="34"/>
      <c r="CZ149" s="175"/>
      <c r="DA149" s="1472"/>
      <c r="DB149" s="175"/>
      <c r="DC149" s="175"/>
      <c r="DD149" s="175"/>
      <c r="DE149" s="266"/>
      <c r="DF149" s="175"/>
      <c r="DG149" s="25"/>
      <c r="DH149" s="25"/>
      <c r="DI149" s="25"/>
      <c r="DJ149" s="25"/>
    </row>
    <row r="150" spans="1:114" s="100" customFormat="1" hidden="1" outlineLevel="1">
      <c r="A150" s="170"/>
      <c r="B150" s="170"/>
      <c r="C150" s="170"/>
      <c r="D150" s="217"/>
      <c r="E150" s="170"/>
      <c r="F150" s="170"/>
      <c r="G150" s="170"/>
      <c r="H150" s="217"/>
      <c r="I150" s="170"/>
      <c r="J150" s="170"/>
      <c r="K150" s="170"/>
      <c r="L150" s="217"/>
      <c r="M150" s="170"/>
      <c r="N150" s="170"/>
      <c r="O150" s="170"/>
      <c r="P150" s="217"/>
      <c r="Q150" s="170"/>
      <c r="R150" s="170"/>
      <c r="S150" s="170"/>
      <c r="T150" s="217"/>
      <c r="U150" s="170"/>
      <c r="V150" s="170"/>
      <c r="W150" s="170"/>
      <c r="X150" s="217"/>
      <c r="Y150" s="170"/>
      <c r="Z150" s="170"/>
      <c r="AA150" s="170"/>
      <c r="AB150" s="217"/>
      <c r="AC150" s="170"/>
      <c r="AD150" s="170"/>
      <c r="AE150" s="170"/>
      <c r="AF150" s="217"/>
      <c r="AG150" s="170"/>
      <c r="AH150" s="170"/>
      <c r="AI150" s="170"/>
      <c r="AJ150" s="217"/>
      <c r="AK150" s="170"/>
      <c r="AL150" s="170"/>
      <c r="AM150" s="170"/>
      <c r="AN150" s="217"/>
      <c r="AO150" s="170"/>
      <c r="AP150" s="170"/>
      <c r="AQ150" s="170"/>
      <c r="AR150" s="170"/>
      <c r="AS150" s="170"/>
      <c r="AT150" s="170"/>
      <c r="AU150" s="217"/>
      <c r="AV150" s="170"/>
      <c r="AW150" s="170"/>
      <c r="AX150" s="170"/>
      <c r="AY150" s="217"/>
      <c r="AZ150" s="170"/>
      <c r="BA150" s="170"/>
      <c r="BB150" s="170"/>
      <c r="BC150" s="217"/>
      <c r="BD150" s="170"/>
      <c r="BE150" s="170"/>
      <c r="BF150" s="170"/>
      <c r="BG150" s="217"/>
      <c r="BH150" s="170"/>
      <c r="BI150" s="170"/>
      <c r="BJ150" s="170"/>
      <c r="BK150" s="217"/>
      <c r="BL150" s="170"/>
      <c r="BM150" s="170"/>
      <c r="BN150" s="170"/>
      <c r="BO150" s="217"/>
      <c r="BP150" s="170"/>
      <c r="BQ150" s="170"/>
      <c r="BR150" s="25"/>
      <c r="BS150" s="34"/>
      <c r="BT150" s="25"/>
      <c r="BU150" s="25"/>
      <c r="BV150" s="25"/>
      <c r="BW150" s="34"/>
      <c r="BX150" s="25"/>
      <c r="BY150" s="25"/>
      <c r="BZ150" s="25"/>
      <c r="CA150" s="34"/>
      <c r="CB150" s="25"/>
      <c r="CC150" s="25"/>
      <c r="CD150" s="175"/>
      <c r="CE150" s="34"/>
      <c r="CF150" s="175"/>
      <c r="CG150" s="175"/>
      <c r="CH150" s="175"/>
      <c r="CI150" s="34"/>
      <c r="CJ150" s="175"/>
      <c r="CK150" s="175"/>
      <c r="CL150" s="175"/>
      <c r="CM150" s="34"/>
      <c r="CN150" s="175"/>
      <c r="CO150" s="175"/>
      <c r="CP150" s="175"/>
      <c r="CQ150" s="34"/>
      <c r="CR150" s="175"/>
      <c r="CS150" s="175"/>
      <c r="CT150" s="175"/>
      <c r="CU150" s="34"/>
      <c r="CV150" s="175"/>
      <c r="CW150" s="1472"/>
      <c r="CX150" s="175"/>
      <c r="CY150" s="34"/>
      <c r="CZ150" s="175"/>
      <c r="DA150" s="1472"/>
      <c r="DB150" s="175"/>
      <c r="DC150" s="175"/>
      <c r="DD150" s="175"/>
      <c r="DE150" s="266"/>
      <c r="DF150" s="175"/>
      <c r="DG150" s="25"/>
      <c r="DH150" s="25"/>
      <c r="DI150" s="25"/>
      <c r="DJ150" s="25"/>
    </row>
    <row r="151" spans="1:114" s="100" customFormat="1" hidden="1" outlineLevel="1">
      <c r="A151" s="170"/>
      <c r="B151" s="170"/>
      <c r="C151" s="170"/>
      <c r="D151" s="217"/>
      <c r="E151" s="170"/>
      <c r="F151" s="170"/>
      <c r="G151" s="170"/>
      <c r="H151" s="217"/>
      <c r="I151" s="170"/>
      <c r="J151" s="170"/>
      <c r="K151" s="170"/>
      <c r="L151" s="217"/>
      <c r="M151" s="170"/>
      <c r="N151" s="170"/>
      <c r="O151" s="170"/>
      <c r="P151" s="217"/>
      <c r="Q151" s="170"/>
      <c r="R151" s="170"/>
      <c r="S151" s="170"/>
      <c r="T151" s="217"/>
      <c r="U151" s="170"/>
      <c r="V151" s="170"/>
      <c r="W151" s="170"/>
      <c r="X151" s="217"/>
      <c r="Y151" s="170"/>
      <c r="Z151" s="170"/>
      <c r="AA151" s="170"/>
      <c r="AB151" s="217"/>
      <c r="AC151" s="170"/>
      <c r="AD151" s="170"/>
      <c r="AE151" s="170"/>
      <c r="AF151" s="217"/>
      <c r="AG151" s="170"/>
      <c r="AH151" s="170"/>
      <c r="AI151" s="170"/>
      <c r="AJ151" s="217"/>
      <c r="AK151" s="170"/>
      <c r="AL151" s="170"/>
      <c r="AM151" s="170"/>
      <c r="AN151" s="217"/>
      <c r="AO151" s="170"/>
      <c r="AP151" s="170"/>
      <c r="AQ151" s="170"/>
      <c r="AR151" s="170"/>
      <c r="AS151" s="170"/>
      <c r="AT151" s="170"/>
      <c r="AU151" s="217"/>
      <c r="AV151" s="170"/>
      <c r="AW151" s="170"/>
      <c r="AX151" s="170"/>
      <c r="AY151" s="217"/>
      <c r="AZ151" s="170"/>
      <c r="BA151" s="170"/>
      <c r="BB151" s="170"/>
      <c r="BC151" s="217"/>
      <c r="BD151" s="170"/>
      <c r="BE151" s="170"/>
      <c r="BF151" s="170"/>
      <c r="BG151" s="217"/>
      <c r="BH151" s="170"/>
      <c r="BI151" s="170"/>
      <c r="BJ151" s="170"/>
      <c r="BK151" s="217"/>
      <c r="BL151" s="170"/>
      <c r="BM151" s="170"/>
      <c r="BN151" s="170"/>
      <c r="BO151" s="217"/>
      <c r="BP151" s="170"/>
      <c r="BQ151" s="170"/>
      <c r="BR151" s="25"/>
      <c r="BS151" s="34"/>
      <c r="BT151" s="25"/>
      <c r="BU151" s="25"/>
      <c r="BV151" s="25"/>
      <c r="BW151" s="34"/>
      <c r="BX151" s="25"/>
      <c r="BY151" s="25"/>
      <c r="BZ151" s="25"/>
      <c r="CA151" s="34"/>
      <c r="CB151" s="25"/>
      <c r="CC151" s="25"/>
      <c r="CD151" s="175"/>
      <c r="CE151" s="34"/>
      <c r="CF151" s="175"/>
      <c r="CG151" s="175"/>
      <c r="CH151" s="175"/>
      <c r="CI151" s="34"/>
      <c r="CJ151" s="175"/>
      <c r="CK151" s="175"/>
      <c r="CL151" s="175"/>
      <c r="CM151" s="34"/>
      <c r="CN151" s="175"/>
      <c r="CO151" s="175"/>
      <c r="CP151" s="175"/>
      <c r="CQ151" s="34"/>
      <c r="CR151" s="175"/>
      <c r="CS151" s="175"/>
      <c r="CT151" s="175"/>
      <c r="CU151" s="34"/>
      <c r="CV151" s="175"/>
      <c r="CW151" s="1472"/>
      <c r="CX151" s="175"/>
      <c r="CY151" s="34"/>
      <c r="CZ151" s="175"/>
      <c r="DA151" s="1472"/>
      <c r="DB151" s="175"/>
      <c r="DC151" s="175"/>
      <c r="DD151" s="175"/>
      <c r="DE151" s="266"/>
      <c r="DF151" s="175"/>
      <c r="DG151" s="25"/>
      <c r="DH151" s="25"/>
      <c r="DI151" s="25"/>
      <c r="DJ151" s="25"/>
    </row>
    <row r="152" spans="1:114" s="100" customFormat="1" hidden="1" outlineLevel="1">
      <c r="A152" s="170"/>
      <c r="B152" s="170"/>
      <c r="C152" s="170"/>
      <c r="D152" s="217"/>
      <c r="E152" s="170"/>
      <c r="F152" s="170"/>
      <c r="G152" s="170"/>
      <c r="H152" s="217"/>
      <c r="I152" s="170"/>
      <c r="J152" s="170"/>
      <c r="K152" s="170"/>
      <c r="L152" s="217"/>
      <c r="M152" s="170"/>
      <c r="N152" s="170"/>
      <c r="O152" s="170"/>
      <c r="P152" s="217"/>
      <c r="Q152" s="170"/>
      <c r="R152" s="170"/>
      <c r="S152" s="170"/>
      <c r="T152" s="217"/>
      <c r="U152" s="170"/>
      <c r="V152" s="170"/>
      <c r="W152" s="170"/>
      <c r="X152" s="217"/>
      <c r="Y152" s="170"/>
      <c r="Z152" s="170"/>
      <c r="AA152" s="170"/>
      <c r="AB152" s="217"/>
      <c r="AC152" s="170"/>
      <c r="AD152" s="170"/>
      <c r="AE152" s="170"/>
      <c r="AF152" s="217"/>
      <c r="AG152" s="170"/>
      <c r="AH152" s="170"/>
      <c r="AI152" s="184" t="s">
        <v>451</v>
      </c>
      <c r="AJ152" s="217"/>
      <c r="AK152" s="170"/>
      <c r="AL152" s="170"/>
      <c r="AM152" s="170"/>
      <c r="AN152" s="217"/>
      <c r="AO152" s="170"/>
      <c r="AP152" s="170"/>
      <c r="AQ152" s="170"/>
      <c r="AR152" s="170"/>
      <c r="AS152" s="170"/>
      <c r="AT152" s="170"/>
      <c r="AU152" s="217"/>
      <c r="AV152" s="170"/>
      <c r="AW152" s="170"/>
      <c r="AX152" s="170"/>
      <c r="AY152" s="217"/>
      <c r="AZ152" s="170"/>
      <c r="BA152" s="170"/>
      <c r="BB152" s="170"/>
      <c r="BC152" s="217"/>
      <c r="BD152" s="170"/>
      <c r="BE152" s="170"/>
      <c r="BF152" s="170"/>
      <c r="BG152" s="217"/>
      <c r="BH152" s="170"/>
      <c r="BI152" s="170"/>
      <c r="BJ152" s="170"/>
      <c r="BK152" s="217"/>
      <c r="BL152" s="170"/>
      <c r="BM152" s="184" t="s">
        <v>451</v>
      </c>
      <c r="BN152" s="170"/>
      <c r="BO152" s="217"/>
      <c r="BP152" s="170"/>
      <c r="BQ152" s="170"/>
      <c r="BR152" s="25"/>
      <c r="BS152" s="34"/>
      <c r="BT152" s="25"/>
      <c r="BU152" s="25"/>
      <c r="BV152" s="25"/>
      <c r="BW152" s="34"/>
      <c r="BX152" s="25"/>
      <c r="BY152" s="25"/>
      <c r="BZ152" s="25"/>
      <c r="CA152" s="34"/>
      <c r="CB152" s="25"/>
      <c r="CC152" s="25"/>
      <c r="CD152" s="175"/>
      <c r="CE152" s="34"/>
      <c r="CF152" s="175"/>
      <c r="CG152" s="175"/>
      <c r="CH152" s="175"/>
      <c r="CI152" s="34"/>
      <c r="CJ152" s="175"/>
      <c r="CK152" s="175"/>
      <c r="CL152" s="175"/>
      <c r="CM152" s="34"/>
      <c r="CN152" s="175"/>
      <c r="CO152" s="175"/>
      <c r="CP152" s="175"/>
      <c r="CQ152" s="34"/>
      <c r="CR152" s="175"/>
      <c r="CS152" s="175"/>
      <c r="CT152" s="175"/>
      <c r="CU152" s="34"/>
      <c r="CV152" s="175"/>
      <c r="CW152" s="1472"/>
      <c r="CX152" s="175"/>
      <c r="CY152" s="34"/>
      <c r="CZ152" s="175"/>
      <c r="DA152" s="1472"/>
      <c r="DB152" s="175"/>
      <c r="DC152" s="175"/>
      <c r="DD152" s="175"/>
      <c r="DE152" s="266"/>
      <c r="DF152" s="175"/>
      <c r="DG152" s="25"/>
      <c r="DH152" s="25"/>
      <c r="DI152" s="25"/>
      <c r="DJ152" s="25"/>
    </row>
    <row r="153" spans="1:114" s="100" customFormat="1" hidden="1" outlineLevel="1">
      <c r="A153" s="170" t="str">
        <f>$A$10</f>
        <v>1Q</v>
      </c>
      <c r="B153" s="170" t="str">
        <f>$B$10</f>
        <v>Apr</v>
      </c>
      <c r="C153" s="170"/>
      <c r="D153" s="217"/>
      <c r="E153" s="170"/>
      <c r="F153" s="170"/>
      <c r="G153" s="170"/>
      <c r="H153" s="217"/>
      <c r="I153" s="170"/>
      <c r="J153" s="170"/>
      <c r="K153" s="170"/>
      <c r="L153" s="217"/>
      <c r="M153" s="170"/>
      <c r="N153" s="170"/>
      <c r="O153" s="170"/>
      <c r="P153" s="217"/>
      <c r="Q153" s="170"/>
      <c r="R153" s="170"/>
      <c r="S153" s="170"/>
      <c r="T153" s="217"/>
      <c r="U153" s="170"/>
      <c r="V153" s="170"/>
      <c r="W153" s="170"/>
      <c r="X153" s="217"/>
      <c r="Y153" s="170"/>
      <c r="Z153" s="170"/>
      <c r="AA153" s="170"/>
      <c r="AB153" s="217">
        <v>13.37</v>
      </c>
      <c r="AC153" s="170"/>
      <c r="AD153" s="170"/>
      <c r="AE153" s="170"/>
      <c r="AF153" s="217"/>
      <c r="AG153" s="170"/>
      <c r="AH153" s="170"/>
      <c r="AI153" s="170"/>
      <c r="AJ153" s="385">
        <v>28</v>
      </c>
      <c r="AK153" s="386"/>
      <c r="AL153" s="386"/>
      <c r="AM153" s="386"/>
      <c r="AN153" s="385">
        <v>2.8</v>
      </c>
      <c r="AO153" s="386"/>
      <c r="AP153" s="386"/>
      <c r="AQ153" s="386"/>
      <c r="AR153" s="386"/>
      <c r="AS153" s="386"/>
      <c r="AT153" s="386"/>
      <c r="AU153" s="385">
        <v>11.27</v>
      </c>
      <c r="AV153" s="386"/>
      <c r="AW153" s="386"/>
      <c r="AX153" s="386"/>
      <c r="AY153" s="385">
        <v>22.7</v>
      </c>
      <c r="AZ153" s="386"/>
      <c r="BA153" s="386"/>
      <c r="BB153" s="386"/>
      <c r="BC153" s="385">
        <v>24.97</v>
      </c>
      <c r="BD153" s="386"/>
      <c r="BE153" s="386"/>
      <c r="BF153" s="386"/>
      <c r="BG153" s="385">
        <v>25.67</v>
      </c>
      <c r="BH153" s="170"/>
      <c r="BI153" s="170"/>
      <c r="BJ153" s="170"/>
      <c r="BK153" s="385">
        <v>30.62</v>
      </c>
      <c r="BL153" s="386"/>
      <c r="BM153" s="386"/>
      <c r="BN153" s="386"/>
      <c r="BO153" s="385">
        <v>16.63</v>
      </c>
      <c r="BP153" s="386"/>
      <c r="BQ153" s="386"/>
      <c r="BR153" s="387"/>
      <c r="BS153" s="290">
        <v>35.64</v>
      </c>
      <c r="BT153" s="387"/>
      <c r="BU153" s="387"/>
      <c r="BV153" s="387"/>
      <c r="BW153" s="290">
        <v>30.81</v>
      </c>
      <c r="BX153" s="387"/>
      <c r="BY153" s="387"/>
      <c r="BZ153" s="387"/>
      <c r="CA153" s="290">
        <v>27.75</v>
      </c>
      <c r="CB153" s="387"/>
      <c r="CC153" s="387"/>
      <c r="CD153" s="387"/>
      <c r="CE153" s="290">
        <v>41.95</v>
      </c>
      <c r="CF153" s="387"/>
      <c r="CG153" s="387"/>
      <c r="CH153" s="387"/>
      <c r="CI153" s="290">
        <v>36.43</v>
      </c>
      <c r="CJ153" s="175"/>
      <c r="CK153" s="175"/>
      <c r="CL153" s="175"/>
      <c r="CM153" s="290">
        <v>38</v>
      </c>
      <c r="CN153" s="175"/>
      <c r="CO153" s="175"/>
      <c r="CP153" s="175"/>
      <c r="CQ153" s="290">
        <v>38</v>
      </c>
      <c r="CR153" s="175"/>
      <c r="CS153" s="175"/>
      <c r="CT153" s="175"/>
      <c r="CU153" s="290">
        <v>38</v>
      </c>
      <c r="CV153" s="175"/>
      <c r="CW153" s="1472"/>
      <c r="CX153" s="175"/>
      <c r="CY153" s="290">
        <v>38</v>
      </c>
      <c r="CZ153" s="175"/>
      <c r="DA153" s="1472"/>
      <c r="DB153" s="175"/>
      <c r="DC153" s="175"/>
      <c r="DD153" s="175"/>
      <c r="DE153" s="266"/>
      <c r="DF153" s="175"/>
      <c r="DG153" s="25"/>
      <c r="DH153" s="25"/>
      <c r="DI153" s="25"/>
      <c r="DJ153" s="25"/>
    </row>
    <row r="154" spans="1:114" s="100" customFormat="1" hidden="1" outlineLevel="1">
      <c r="A154" s="170" t="str">
        <f>$A$11</f>
        <v>2Q</v>
      </c>
      <c r="B154" s="170" t="str">
        <f>$B$11</f>
        <v>Jul</v>
      </c>
      <c r="C154" s="170"/>
      <c r="D154" s="217"/>
      <c r="E154" s="170"/>
      <c r="F154" s="170"/>
      <c r="G154" s="170"/>
      <c r="H154" s="217"/>
      <c r="I154" s="170"/>
      <c r="J154" s="170"/>
      <c r="K154" s="170"/>
      <c r="L154" s="217"/>
      <c r="M154" s="170"/>
      <c r="N154" s="170"/>
      <c r="O154" s="170"/>
      <c r="P154" s="217"/>
      <c r="Q154" s="170"/>
      <c r="R154" s="170"/>
      <c r="S154" s="170"/>
      <c r="T154" s="217"/>
      <c r="U154" s="170"/>
      <c r="V154" s="170"/>
      <c r="W154" s="170"/>
      <c r="X154" s="217"/>
      <c r="Y154" s="170"/>
      <c r="Z154" s="170"/>
      <c r="AA154" s="170"/>
      <c r="AB154" s="217"/>
      <c r="AC154" s="170"/>
      <c r="AD154" s="170"/>
      <c r="AE154" s="170"/>
      <c r="AF154" s="217"/>
      <c r="AG154" s="170"/>
      <c r="AH154" s="170"/>
      <c r="AI154" s="170"/>
      <c r="AJ154" s="385">
        <v>3.88</v>
      </c>
      <c r="AK154" s="386"/>
      <c r="AL154" s="386"/>
      <c r="AM154" s="386"/>
      <c r="AN154" s="385">
        <v>4.4400000000000004</v>
      </c>
      <c r="AO154" s="386"/>
      <c r="AP154" s="386"/>
      <c r="AQ154" s="386"/>
      <c r="AR154" s="386"/>
      <c r="AS154" s="386"/>
      <c r="AT154" s="386"/>
      <c r="AU154" s="385">
        <v>13.62</v>
      </c>
      <c r="AV154" s="386"/>
      <c r="AW154" s="386"/>
      <c r="AX154" s="386"/>
      <c r="AY154" s="385">
        <v>28.01</v>
      </c>
      <c r="AZ154" s="386"/>
      <c r="BA154" s="386"/>
      <c r="BB154" s="386"/>
      <c r="BC154" s="385">
        <v>17.22</v>
      </c>
      <c r="BD154" s="386"/>
      <c r="BE154" s="386"/>
      <c r="BF154" s="386"/>
      <c r="BG154" s="385">
        <v>24</v>
      </c>
      <c r="BH154" s="170"/>
      <c r="BI154" s="170"/>
      <c r="BJ154" s="170"/>
      <c r="BK154" s="385">
        <v>31.84</v>
      </c>
      <c r="BL154" s="386"/>
      <c r="BM154" s="386"/>
      <c r="BN154" s="386"/>
      <c r="BO154" s="385">
        <v>20.8</v>
      </c>
      <c r="BP154" s="386"/>
      <c r="BQ154" s="386"/>
      <c r="BR154" s="387"/>
      <c r="BS154" s="290">
        <v>33.74</v>
      </c>
      <c r="BT154" s="387"/>
      <c r="BU154" s="387"/>
      <c r="BV154" s="387"/>
      <c r="BW154" s="290">
        <v>28.76</v>
      </c>
      <c r="BX154" s="387"/>
      <c r="BY154" s="387"/>
      <c r="BZ154" s="387"/>
      <c r="CA154" s="290">
        <v>27.96</v>
      </c>
      <c r="CB154" s="387"/>
      <c r="CC154" s="387"/>
      <c r="CD154" s="387"/>
      <c r="CE154" s="290">
        <v>38.93</v>
      </c>
      <c r="CF154" s="387"/>
      <c r="CG154" s="387"/>
      <c r="CH154" s="387"/>
      <c r="CI154" s="290">
        <v>33.619999999999997</v>
      </c>
      <c r="CJ154" s="175"/>
      <c r="CK154" s="175"/>
      <c r="CL154" s="175"/>
      <c r="CM154" s="290">
        <v>38</v>
      </c>
      <c r="CN154" s="175"/>
      <c r="CO154" s="175"/>
      <c r="CP154" s="175"/>
      <c r="CQ154" s="290">
        <v>38</v>
      </c>
      <c r="CR154" s="175"/>
      <c r="CS154" s="175"/>
      <c r="CT154" s="175"/>
      <c r="CU154" s="290">
        <v>38</v>
      </c>
      <c r="CV154" s="175"/>
      <c r="CW154" s="1472"/>
      <c r="CX154" s="175"/>
      <c r="CY154" s="290">
        <v>38</v>
      </c>
      <c r="CZ154" s="175"/>
      <c r="DA154" s="1472"/>
      <c r="DB154" s="175"/>
      <c r="DC154" s="175"/>
      <c r="DD154" s="175"/>
      <c r="DE154" s="266"/>
      <c r="DF154" s="175"/>
      <c r="DG154" s="25"/>
      <c r="DH154" s="25"/>
      <c r="DI154" s="25"/>
      <c r="DJ154" s="25"/>
    </row>
    <row r="155" spans="1:114" s="100" customFormat="1" hidden="1" outlineLevel="1">
      <c r="A155" s="170" t="str">
        <f>$A$12</f>
        <v>3Q</v>
      </c>
      <c r="B155" s="170" t="str">
        <f>$B$12</f>
        <v>Oct</v>
      </c>
      <c r="C155" s="170"/>
      <c r="D155" s="217"/>
      <c r="E155" s="170"/>
      <c r="F155" s="170"/>
      <c r="G155" s="170"/>
      <c r="H155" s="217"/>
      <c r="I155" s="170"/>
      <c r="J155" s="170"/>
      <c r="K155" s="170"/>
      <c r="L155" s="217"/>
      <c r="M155" s="170"/>
      <c r="N155" s="170"/>
      <c r="O155" s="170"/>
      <c r="P155" s="217"/>
      <c r="Q155" s="170"/>
      <c r="R155" s="170"/>
      <c r="S155" s="170"/>
      <c r="T155" s="217"/>
      <c r="U155" s="170"/>
      <c r="V155" s="170"/>
      <c r="W155" s="170"/>
      <c r="X155" s="217"/>
      <c r="Y155" s="170"/>
      <c r="Z155" s="170"/>
      <c r="AA155" s="170"/>
      <c r="AB155" s="217"/>
      <c r="AC155" s="170"/>
      <c r="AD155" s="170"/>
      <c r="AE155" s="170"/>
      <c r="AF155" s="217"/>
      <c r="AG155" s="170"/>
      <c r="AH155" s="170"/>
      <c r="AI155" s="170"/>
      <c r="AJ155" s="385">
        <v>3.09</v>
      </c>
      <c r="AK155" s="386"/>
      <c r="AL155" s="386"/>
      <c r="AM155" s="386"/>
      <c r="AN155" s="385">
        <v>6.59</v>
      </c>
      <c r="AO155" s="386"/>
      <c r="AP155" s="386"/>
      <c r="AQ155" s="386"/>
      <c r="AR155" s="386"/>
      <c r="AS155" s="386"/>
      <c r="AT155" s="386"/>
      <c r="AU155" s="385">
        <v>16.579999999999998</v>
      </c>
      <c r="AV155" s="386"/>
      <c r="AW155" s="386"/>
      <c r="AX155" s="386"/>
      <c r="AY155" s="385">
        <v>28.52</v>
      </c>
      <c r="AZ155" s="386"/>
      <c r="BA155" s="386"/>
      <c r="BB155" s="386"/>
      <c r="BC155" s="385">
        <v>17.04</v>
      </c>
      <c r="BD155" s="386"/>
      <c r="BE155" s="386"/>
      <c r="BF155" s="386"/>
      <c r="BG155" s="385">
        <v>22.63</v>
      </c>
      <c r="BH155" s="170"/>
      <c r="BI155" s="170"/>
      <c r="BJ155" s="170"/>
      <c r="BK155" s="385">
        <v>30.62</v>
      </c>
      <c r="BL155" s="386"/>
      <c r="BM155" s="386"/>
      <c r="BN155" s="386"/>
      <c r="BO155" s="385">
        <v>30</v>
      </c>
      <c r="BP155" s="386"/>
      <c r="BQ155" s="386"/>
      <c r="BR155" s="387"/>
      <c r="BS155" s="290">
        <v>31.06</v>
      </c>
      <c r="BT155" s="387"/>
      <c r="BU155" s="387"/>
      <c r="BV155" s="387"/>
      <c r="BW155" s="290">
        <v>24.19</v>
      </c>
      <c r="BX155" s="387"/>
      <c r="BY155" s="387"/>
      <c r="BZ155" s="387"/>
      <c r="CA155" s="290">
        <v>36.22</v>
      </c>
      <c r="CB155" s="387"/>
      <c r="CC155" s="387"/>
      <c r="CD155" s="387"/>
      <c r="CE155" s="290">
        <v>35.61</v>
      </c>
      <c r="CF155" s="387"/>
      <c r="CG155" s="387"/>
      <c r="CH155" s="387"/>
      <c r="CI155" s="290">
        <v>36.880000000000003</v>
      </c>
      <c r="CJ155" s="175"/>
      <c r="CK155" s="175"/>
      <c r="CL155" s="175"/>
      <c r="CM155" s="290">
        <v>38</v>
      </c>
      <c r="CN155" s="175"/>
      <c r="CO155" s="175"/>
      <c r="CP155" s="175"/>
      <c r="CQ155" s="290">
        <v>38</v>
      </c>
      <c r="CR155" s="175"/>
      <c r="CS155" s="175"/>
      <c r="CT155" s="175"/>
      <c r="CU155" s="290">
        <v>38</v>
      </c>
      <c r="CV155" s="175"/>
      <c r="CW155" s="1472"/>
      <c r="CX155" s="175"/>
      <c r="CY155" s="290">
        <v>38</v>
      </c>
      <c r="CZ155" s="175"/>
      <c r="DA155" s="1472"/>
      <c r="DB155" s="175"/>
      <c r="DC155" s="175"/>
      <c r="DD155" s="175"/>
      <c r="DE155" s="266"/>
      <c r="DF155" s="175"/>
      <c r="DG155" s="25"/>
      <c r="DH155" s="25"/>
      <c r="DI155" s="25"/>
      <c r="DJ155" s="25"/>
    </row>
    <row r="156" spans="1:114" s="100" customFormat="1" hidden="1" outlineLevel="1">
      <c r="A156" s="170" t="str">
        <f>$A$13</f>
        <v>4Q</v>
      </c>
      <c r="B156" s="170" t="str">
        <f>$B$13</f>
        <v>Jan</v>
      </c>
      <c r="C156" s="170"/>
      <c r="D156" s="217"/>
      <c r="E156" s="170"/>
      <c r="F156" s="170"/>
      <c r="G156" s="170"/>
      <c r="H156" s="217"/>
      <c r="I156" s="170"/>
      <c r="J156" s="170"/>
      <c r="K156" s="170"/>
      <c r="L156" s="217"/>
      <c r="M156" s="170"/>
      <c r="N156" s="170"/>
      <c r="O156" s="170"/>
      <c r="P156" s="217"/>
      <c r="Q156" s="170"/>
      <c r="R156" s="170"/>
      <c r="S156" s="170"/>
      <c r="T156" s="217"/>
      <c r="U156" s="170"/>
      <c r="V156" s="170"/>
      <c r="W156" s="170"/>
      <c r="X156" s="217"/>
      <c r="Y156" s="170"/>
      <c r="Z156" s="170"/>
      <c r="AA156" s="170"/>
      <c r="AB156" s="217"/>
      <c r="AC156" s="170"/>
      <c r="AD156" s="170"/>
      <c r="AE156" s="170"/>
      <c r="AF156" s="217"/>
      <c r="AG156" s="170"/>
      <c r="AH156" s="170"/>
      <c r="AI156" s="170"/>
      <c r="AJ156" s="385">
        <v>3</v>
      </c>
      <c r="AK156" s="386"/>
      <c r="AL156" s="386"/>
      <c r="AM156" s="386"/>
      <c r="AN156" s="385">
        <v>9.36</v>
      </c>
      <c r="AO156" s="386"/>
      <c r="AP156" s="386"/>
      <c r="AQ156" s="386"/>
      <c r="AR156" s="386"/>
      <c r="AS156" s="386"/>
      <c r="AT156" s="386"/>
      <c r="AU156" s="385">
        <v>21.44</v>
      </c>
      <c r="AV156" s="386"/>
      <c r="AW156" s="386"/>
      <c r="AX156" s="386"/>
      <c r="AY156" s="385">
        <v>28.76</v>
      </c>
      <c r="AZ156" s="386"/>
      <c r="BA156" s="386"/>
      <c r="BB156" s="386"/>
      <c r="BC156" s="385">
        <v>22.89</v>
      </c>
      <c r="BD156" s="386"/>
      <c r="BE156" s="386"/>
      <c r="BF156" s="386"/>
      <c r="BG156" s="385">
        <v>26.18</v>
      </c>
      <c r="BH156" s="170"/>
      <c r="BI156" s="170"/>
      <c r="BJ156" s="170"/>
      <c r="BK156" s="385">
        <v>16.34</v>
      </c>
      <c r="BL156" s="386"/>
      <c r="BM156" s="386"/>
      <c r="BN156" s="386"/>
      <c r="BO156" s="385">
        <v>33.049999999999997</v>
      </c>
      <c r="BP156" s="386"/>
      <c r="BQ156" s="386"/>
      <c r="BR156" s="387"/>
      <c r="BS156" s="290">
        <v>31.92</v>
      </c>
      <c r="BT156" s="387"/>
      <c r="BU156" s="387"/>
      <c r="BV156" s="387"/>
      <c r="BW156" s="290">
        <v>26.27</v>
      </c>
      <c r="BX156" s="387"/>
      <c r="BY156" s="387"/>
      <c r="BZ156" s="387"/>
      <c r="CA156" s="290">
        <v>39.130000000000003</v>
      </c>
      <c r="CB156" s="387"/>
      <c r="CC156" s="387"/>
      <c r="CD156" s="387"/>
      <c r="CE156" s="290">
        <v>36.39</v>
      </c>
      <c r="CF156" s="175"/>
      <c r="CG156" s="175"/>
      <c r="CH156" s="175"/>
      <c r="CI156" s="290">
        <v>38</v>
      </c>
      <c r="CJ156" s="175"/>
      <c r="CK156" s="175"/>
      <c r="CL156" s="175"/>
      <c r="CM156" s="290">
        <v>38</v>
      </c>
      <c r="CN156" s="175"/>
      <c r="CO156" s="175"/>
      <c r="CP156" s="175"/>
      <c r="CQ156" s="290">
        <v>38</v>
      </c>
      <c r="CR156" s="175"/>
      <c r="CS156" s="175"/>
      <c r="CT156" s="175"/>
      <c r="CU156" s="290">
        <v>38</v>
      </c>
      <c r="CV156" s="175"/>
      <c r="CW156" s="1472"/>
      <c r="CX156" s="175"/>
      <c r="CY156" s="290">
        <v>38</v>
      </c>
      <c r="CZ156" s="175"/>
      <c r="DA156" s="1472"/>
      <c r="DB156" s="175"/>
      <c r="DC156" s="175"/>
      <c r="DD156" s="175"/>
      <c r="DE156" s="266"/>
      <c r="DF156" s="175"/>
      <c r="DG156" s="25"/>
      <c r="DH156" s="25"/>
      <c r="DI156" s="25"/>
      <c r="DJ156" s="25"/>
    </row>
    <row r="157" spans="1:114" s="100" customFormat="1" hidden="1" outlineLevel="1">
      <c r="A157" s="170"/>
      <c r="B157" s="170" t="str">
        <f>$B$14</f>
        <v>Year</v>
      </c>
      <c r="C157" s="170"/>
      <c r="D157" s="217"/>
      <c r="E157" s="170"/>
      <c r="F157" s="170"/>
      <c r="G157" s="170"/>
      <c r="H157" s="217"/>
      <c r="I157" s="170"/>
      <c r="J157" s="170"/>
      <c r="K157" s="170"/>
      <c r="L157" s="217"/>
      <c r="M157" s="170"/>
      <c r="N157" s="170"/>
      <c r="O157" s="170"/>
      <c r="P157" s="217"/>
      <c r="Q157" s="170"/>
      <c r="R157" s="170"/>
      <c r="S157" s="170"/>
      <c r="T157" s="217"/>
      <c r="U157" s="170"/>
      <c r="V157" s="170"/>
      <c r="W157" s="170"/>
      <c r="X157" s="217"/>
      <c r="Y157" s="170"/>
      <c r="Z157" s="170"/>
      <c r="AA157" s="170"/>
      <c r="AB157" s="217"/>
      <c r="AC157" s="170"/>
      <c r="AD157" s="170"/>
      <c r="AE157" s="170"/>
      <c r="AF157" s="217"/>
      <c r="AG157" s="170"/>
      <c r="AH157" s="170"/>
      <c r="AI157" s="170"/>
      <c r="AJ157" s="217"/>
      <c r="AK157" s="170"/>
      <c r="AL157" s="170"/>
      <c r="AM157" s="170"/>
      <c r="AN157" s="217"/>
      <c r="AO157" s="170"/>
      <c r="AP157" s="170"/>
      <c r="AQ157" s="170"/>
      <c r="AR157" s="170"/>
      <c r="AS157" s="170"/>
      <c r="AT157" s="170"/>
      <c r="AU157" s="217"/>
      <c r="AV157" s="170"/>
      <c r="AW157" s="170"/>
      <c r="AX157" s="170"/>
      <c r="AY157" s="217"/>
      <c r="AZ157" s="170"/>
      <c r="BA157" s="170"/>
      <c r="BB157" s="170"/>
      <c r="BC157" s="217"/>
      <c r="BD157" s="170"/>
      <c r="BE157" s="170"/>
      <c r="BF157" s="170"/>
      <c r="BG157" s="217"/>
      <c r="BH157" s="170"/>
      <c r="BI157" s="170"/>
      <c r="BJ157" s="170"/>
      <c r="BK157" s="217"/>
      <c r="BL157" s="170"/>
      <c r="BM157" s="170"/>
      <c r="BN157" s="170"/>
      <c r="BO157" s="217"/>
      <c r="BP157" s="170"/>
      <c r="BQ157" s="170"/>
      <c r="BR157" s="25"/>
      <c r="BS157" s="34"/>
      <c r="BT157" s="25"/>
      <c r="BU157" s="25"/>
      <c r="BV157" s="25"/>
      <c r="BW157" s="34"/>
      <c r="BX157" s="25"/>
      <c r="BY157" s="25"/>
      <c r="BZ157" s="25"/>
      <c r="CA157" s="34"/>
      <c r="CB157" s="25"/>
      <c r="CC157" s="25"/>
      <c r="CD157" s="175"/>
      <c r="CE157" s="34"/>
      <c r="CF157" s="175"/>
      <c r="CG157" s="175"/>
      <c r="CH157" s="175"/>
      <c r="CI157" s="34"/>
      <c r="CJ157" s="175"/>
      <c r="CK157" s="175"/>
      <c r="CL157" s="175"/>
      <c r="CM157" s="34"/>
      <c r="CN157" s="175"/>
      <c r="CO157" s="175"/>
      <c r="CP157" s="175"/>
      <c r="CQ157" s="34"/>
      <c r="CR157" s="175"/>
      <c r="CS157" s="175"/>
      <c r="CT157" s="175"/>
      <c r="CU157" s="34"/>
      <c r="CV157" s="175"/>
      <c r="CW157" s="1472"/>
      <c r="CX157" s="175"/>
      <c r="CY157" s="34"/>
      <c r="CZ157" s="175"/>
      <c r="DA157" s="1472"/>
      <c r="DB157" s="175"/>
      <c r="DC157" s="175"/>
      <c r="DD157" s="175"/>
      <c r="DE157" s="266"/>
      <c r="DF157" s="175"/>
      <c r="DG157" s="25"/>
      <c r="DH157" s="25"/>
      <c r="DI157" s="25"/>
      <c r="DJ157" s="25"/>
    </row>
    <row r="158" spans="1:114" s="100" customFormat="1" hidden="1" outlineLevel="1">
      <c r="A158" s="170" t="str">
        <f>$A$15</f>
        <v>6 Mos</v>
      </c>
      <c r="B158" s="170"/>
      <c r="C158" s="170"/>
      <c r="D158" s="217"/>
      <c r="E158" s="170"/>
      <c r="F158" s="170"/>
      <c r="G158" s="170"/>
      <c r="H158" s="217"/>
      <c r="I158" s="170"/>
      <c r="J158" s="170"/>
      <c r="K158" s="170"/>
      <c r="L158" s="217"/>
      <c r="M158" s="170"/>
      <c r="N158" s="170"/>
      <c r="O158" s="170"/>
      <c r="P158" s="217"/>
      <c r="Q158" s="170"/>
      <c r="R158" s="170"/>
      <c r="S158" s="170"/>
      <c r="T158" s="217"/>
      <c r="U158" s="170"/>
      <c r="V158" s="170"/>
      <c r="W158" s="170"/>
      <c r="X158" s="217"/>
      <c r="Y158" s="170"/>
      <c r="Z158" s="170"/>
      <c r="AA158" s="170"/>
      <c r="AB158" s="217"/>
      <c r="AC158" s="170"/>
      <c r="AD158" s="170"/>
      <c r="AE158" s="170"/>
      <c r="AF158" s="217"/>
      <c r="AG158" s="170"/>
      <c r="AH158" s="170"/>
      <c r="AI158" s="170"/>
      <c r="AJ158" s="217"/>
      <c r="AK158" s="170"/>
      <c r="AL158" s="170"/>
      <c r="AM158" s="170"/>
      <c r="AN158" s="217"/>
      <c r="AO158" s="170"/>
      <c r="AP158" s="170"/>
      <c r="AQ158" s="170"/>
      <c r="AR158" s="170"/>
      <c r="AS158" s="170"/>
      <c r="AT158" s="170"/>
      <c r="AU158" s="217"/>
      <c r="AV158" s="170"/>
      <c r="AW158" s="170"/>
      <c r="AX158" s="170"/>
      <c r="AY158" s="217"/>
      <c r="AZ158" s="170"/>
      <c r="BA158" s="170"/>
      <c r="BB158" s="170"/>
      <c r="BC158" s="217"/>
      <c r="BD158" s="170"/>
      <c r="BE158" s="170"/>
      <c r="BF158" s="170"/>
      <c r="BG158" s="217"/>
      <c r="BH158" s="170"/>
      <c r="BI158" s="170"/>
      <c r="BJ158" s="170"/>
      <c r="BK158" s="217"/>
      <c r="BL158" s="170"/>
      <c r="BM158" s="170"/>
      <c r="BN158" s="170"/>
      <c r="BO158" s="217"/>
      <c r="BP158" s="170"/>
      <c r="BQ158" s="170"/>
      <c r="BR158" s="25"/>
      <c r="BS158" s="34"/>
      <c r="BT158" s="25"/>
      <c r="BU158" s="25"/>
      <c r="BV158" s="25"/>
      <c r="BW158" s="34"/>
      <c r="BX158" s="25"/>
      <c r="BY158" s="25"/>
      <c r="BZ158" s="25"/>
      <c r="CA158" s="34"/>
      <c r="CB158" s="25"/>
      <c r="CC158" s="25"/>
      <c r="CD158" s="175"/>
      <c r="CE158" s="34"/>
      <c r="CF158" s="175"/>
      <c r="CG158" s="175"/>
      <c r="CH158" s="175"/>
      <c r="CI158" s="34"/>
      <c r="CJ158" s="175"/>
      <c r="CK158" s="175"/>
      <c r="CL158" s="175"/>
      <c r="CM158" s="34"/>
      <c r="CN158" s="175"/>
      <c r="CO158" s="175"/>
      <c r="CP158" s="175"/>
      <c r="CQ158" s="34"/>
      <c r="CR158" s="175"/>
      <c r="CS158" s="175"/>
      <c r="CT158" s="175"/>
      <c r="CU158" s="34"/>
      <c r="CV158" s="175"/>
      <c r="CW158" s="1472"/>
      <c r="CX158" s="175"/>
      <c r="CY158" s="34"/>
      <c r="CZ158" s="175"/>
      <c r="DA158" s="1472"/>
      <c r="DB158" s="175"/>
      <c r="DC158" s="175"/>
      <c r="DD158" s="175"/>
      <c r="DE158" s="266"/>
      <c r="DF158" s="175"/>
      <c r="DG158" s="25"/>
      <c r="DH158" s="25"/>
      <c r="DI158" s="25"/>
      <c r="DJ158" s="25"/>
    </row>
    <row r="159" spans="1:114" s="100" customFormat="1" hidden="1" outlineLevel="1">
      <c r="A159" s="170" t="str">
        <f>$A$16</f>
        <v>9 Mos</v>
      </c>
      <c r="B159" s="170"/>
      <c r="C159" s="170"/>
      <c r="D159" s="217"/>
      <c r="E159" s="170"/>
      <c r="F159" s="170"/>
      <c r="G159" s="170"/>
      <c r="H159" s="217"/>
      <c r="I159" s="170"/>
      <c r="J159" s="170"/>
      <c r="K159" s="170"/>
      <c r="L159" s="217"/>
      <c r="M159" s="170"/>
      <c r="N159" s="170"/>
      <c r="O159" s="170"/>
      <c r="P159" s="217"/>
      <c r="Q159" s="170"/>
      <c r="R159" s="170"/>
      <c r="S159" s="170"/>
      <c r="T159" s="217"/>
      <c r="U159" s="170"/>
      <c r="V159" s="170"/>
      <c r="W159" s="170"/>
      <c r="X159" s="217"/>
      <c r="Y159" s="170"/>
      <c r="Z159" s="170"/>
      <c r="AA159" s="170"/>
      <c r="AB159" s="217"/>
      <c r="AC159" s="170"/>
      <c r="AD159" s="170"/>
      <c r="AE159" s="170"/>
      <c r="AF159" s="217"/>
      <c r="AG159" s="170"/>
      <c r="AH159" s="170"/>
      <c r="AI159" s="170"/>
      <c r="AJ159" s="217"/>
      <c r="AK159" s="170"/>
      <c r="AL159" s="170"/>
      <c r="AM159" s="170"/>
      <c r="AN159" s="217"/>
      <c r="AO159" s="170"/>
      <c r="AP159" s="170"/>
      <c r="AQ159" s="170"/>
      <c r="AR159" s="170"/>
      <c r="AS159" s="170"/>
      <c r="AT159" s="170"/>
      <c r="AU159" s="217"/>
      <c r="AV159" s="170"/>
      <c r="AW159" s="170"/>
      <c r="AX159" s="170"/>
      <c r="AY159" s="217"/>
      <c r="AZ159" s="170"/>
      <c r="BA159" s="170"/>
      <c r="BB159" s="170"/>
      <c r="BC159" s="217"/>
      <c r="BD159" s="170"/>
      <c r="BE159" s="170"/>
      <c r="BF159" s="170"/>
      <c r="BG159" s="217"/>
      <c r="BH159" s="170"/>
      <c r="BI159" s="170"/>
      <c r="BJ159" s="170"/>
      <c r="BK159" s="217"/>
      <c r="BL159" s="170"/>
      <c r="BM159" s="170"/>
      <c r="BN159" s="170"/>
      <c r="BO159" s="217"/>
      <c r="BP159" s="170"/>
      <c r="BQ159" s="170"/>
      <c r="BR159" s="25"/>
      <c r="BS159" s="34"/>
      <c r="BT159" s="25"/>
      <c r="BU159" s="25"/>
      <c r="BV159" s="25"/>
      <c r="BW159" s="34"/>
      <c r="BX159" s="25"/>
      <c r="BY159" s="25"/>
      <c r="BZ159" s="25"/>
      <c r="CA159" s="34"/>
      <c r="CB159" s="25"/>
      <c r="CC159" s="25"/>
      <c r="CD159" s="175"/>
      <c r="CE159" s="34"/>
      <c r="CF159" s="175"/>
      <c r="CG159" s="175"/>
      <c r="CH159" s="175"/>
      <c r="CI159" s="34"/>
      <c r="CJ159" s="175"/>
      <c r="CK159" s="175"/>
      <c r="CL159" s="175"/>
      <c r="CM159" s="34"/>
      <c r="CN159" s="175"/>
      <c r="CO159" s="175"/>
      <c r="CP159" s="175"/>
      <c r="CQ159" s="34"/>
      <c r="CR159" s="175"/>
      <c r="CS159" s="175"/>
      <c r="CT159" s="175"/>
      <c r="CU159" s="34"/>
      <c r="CV159" s="175"/>
      <c r="CW159" s="1472"/>
      <c r="CX159" s="175"/>
      <c r="CY159" s="34"/>
      <c r="CZ159" s="175"/>
      <c r="DA159" s="1472"/>
      <c r="DB159" s="175"/>
      <c r="DC159" s="175"/>
      <c r="DD159" s="175"/>
      <c r="DE159" s="266"/>
      <c r="DF159" s="175"/>
      <c r="DG159" s="25"/>
      <c r="DH159" s="25"/>
      <c r="DI159" s="25"/>
      <c r="DJ159" s="25"/>
    </row>
    <row r="160" spans="1:114" s="100" customFormat="1" hidden="1" outlineLevel="1">
      <c r="A160" s="170"/>
      <c r="B160" s="170"/>
      <c r="C160" s="170"/>
      <c r="D160" s="217"/>
      <c r="E160" s="170"/>
      <c r="F160" s="170"/>
      <c r="G160" s="170"/>
      <c r="H160" s="217"/>
      <c r="I160" s="170"/>
      <c r="J160" s="170"/>
      <c r="K160" s="170"/>
      <c r="L160" s="217"/>
      <c r="M160" s="170"/>
      <c r="N160" s="170"/>
      <c r="O160" s="170"/>
      <c r="P160" s="217"/>
      <c r="Q160" s="170"/>
      <c r="R160" s="170"/>
      <c r="S160" s="170"/>
      <c r="T160" s="217"/>
      <c r="U160" s="170"/>
      <c r="V160" s="170"/>
      <c r="W160" s="170"/>
      <c r="X160" s="217"/>
      <c r="Y160" s="170"/>
      <c r="Z160" s="170"/>
      <c r="AA160" s="170"/>
      <c r="AB160" s="217"/>
      <c r="AC160" s="170"/>
      <c r="AD160" s="170"/>
      <c r="AE160" s="170"/>
      <c r="AF160" s="217"/>
      <c r="AG160" s="170"/>
      <c r="AH160" s="170"/>
      <c r="AI160" s="170"/>
      <c r="AJ160" s="217"/>
      <c r="AK160" s="170"/>
      <c r="AL160" s="170"/>
      <c r="AM160" s="170"/>
      <c r="AN160" s="217"/>
      <c r="AO160" s="170"/>
      <c r="AP160" s="170"/>
      <c r="AQ160" s="170"/>
      <c r="AR160" s="170"/>
      <c r="AS160" s="170"/>
      <c r="AT160" s="170"/>
      <c r="AU160" s="217"/>
      <c r="AV160" s="170"/>
      <c r="AW160" s="170"/>
      <c r="AX160" s="170"/>
      <c r="AY160" s="217"/>
      <c r="AZ160" s="170"/>
      <c r="BA160" s="170"/>
      <c r="BB160" s="170"/>
      <c r="BC160" s="217"/>
      <c r="BD160" s="170"/>
      <c r="BE160" s="170"/>
      <c r="BF160" s="170"/>
      <c r="BG160" s="217"/>
      <c r="BH160" s="170"/>
      <c r="BI160" s="170"/>
      <c r="BJ160" s="170"/>
      <c r="BK160" s="217"/>
      <c r="BL160" s="170"/>
      <c r="BM160" s="170"/>
      <c r="BN160" s="170"/>
      <c r="BO160" s="217"/>
      <c r="BP160" s="170"/>
      <c r="BQ160" s="170"/>
      <c r="BR160" s="25"/>
      <c r="BS160" s="34"/>
      <c r="BT160" s="25"/>
      <c r="BU160" s="25"/>
      <c r="BV160" s="25"/>
      <c r="BW160" s="34"/>
      <c r="BX160" s="25"/>
      <c r="BY160" s="25"/>
      <c r="BZ160" s="25"/>
      <c r="CA160" s="34"/>
      <c r="CB160" s="25"/>
      <c r="CC160" s="25"/>
      <c r="CD160" s="175"/>
      <c r="CE160" s="34"/>
      <c r="CF160" s="175"/>
      <c r="CG160" s="175"/>
      <c r="CH160" s="175"/>
      <c r="CI160" s="34"/>
      <c r="CJ160" s="175"/>
      <c r="CK160" s="175"/>
      <c r="CL160" s="175"/>
      <c r="CM160" s="34"/>
      <c r="CN160" s="175"/>
      <c r="CO160" s="175"/>
      <c r="CP160" s="175"/>
      <c r="CQ160" s="34"/>
      <c r="CR160" s="175"/>
      <c r="CS160" s="175"/>
      <c r="CT160" s="175"/>
      <c r="CU160" s="34"/>
      <c r="CV160" s="175"/>
      <c r="CW160" s="1472"/>
      <c r="CX160" s="175"/>
      <c r="CY160" s="34"/>
      <c r="CZ160" s="175"/>
      <c r="DA160" s="1472"/>
      <c r="DB160" s="175"/>
      <c r="DC160" s="175"/>
      <c r="DD160" s="175"/>
      <c r="DE160" s="266"/>
      <c r="DF160" s="175"/>
      <c r="DG160" s="25"/>
      <c r="DH160" s="25"/>
      <c r="DI160" s="25"/>
      <c r="DJ160" s="25"/>
    </row>
    <row r="161" spans="1:114" s="100" customFormat="1" hidden="1" outlineLevel="1">
      <c r="A161" s="170"/>
      <c r="B161" s="170"/>
      <c r="C161" s="170"/>
      <c r="D161" s="217"/>
      <c r="E161" s="170"/>
      <c r="F161" s="170"/>
      <c r="G161" s="170"/>
      <c r="H161" s="217"/>
      <c r="I161" s="170"/>
      <c r="J161" s="170"/>
      <c r="K161" s="170"/>
      <c r="L161" s="217"/>
      <c r="M161" s="170"/>
      <c r="N161" s="170"/>
      <c r="O161" s="170"/>
      <c r="P161" s="217"/>
      <c r="Q161" s="170"/>
      <c r="R161" s="170"/>
      <c r="S161" s="170"/>
      <c r="T161" s="217"/>
      <c r="U161" s="170"/>
      <c r="V161" s="170"/>
      <c r="W161" s="170"/>
      <c r="X161" s="217"/>
      <c r="Y161" s="170"/>
      <c r="Z161" s="170"/>
      <c r="AA161" s="170"/>
      <c r="AB161" s="217"/>
      <c r="AC161" s="170"/>
      <c r="AD161" s="170"/>
      <c r="AE161" s="170"/>
      <c r="AF161" s="217"/>
      <c r="AG161" s="170"/>
      <c r="AH161" s="170"/>
      <c r="AI161" s="170"/>
      <c r="AJ161" s="217"/>
      <c r="AK161" s="170"/>
      <c r="AL161" s="170"/>
      <c r="AM161" s="170"/>
      <c r="AN161" s="217"/>
      <c r="AO161" s="170"/>
      <c r="AP161" s="170"/>
      <c r="AQ161" s="170"/>
      <c r="AR161" s="170"/>
      <c r="AS161" s="170"/>
      <c r="AT161" s="170"/>
      <c r="AU161" s="217"/>
      <c r="AV161" s="170"/>
      <c r="AW161" s="170"/>
      <c r="AX161" s="170"/>
      <c r="AY161" s="217"/>
      <c r="AZ161" s="170"/>
      <c r="BA161" s="170"/>
      <c r="BB161" s="170"/>
      <c r="BC161" s="217"/>
      <c r="BD161" s="170"/>
      <c r="BE161" s="170"/>
      <c r="BF161" s="170"/>
      <c r="BG161" s="217"/>
      <c r="BH161" s="170"/>
      <c r="BI161" s="170"/>
      <c r="BJ161" s="170"/>
      <c r="BK161" s="217"/>
      <c r="BL161" s="170"/>
      <c r="BM161" s="170"/>
      <c r="BN161" s="170"/>
      <c r="BO161" s="217"/>
      <c r="BP161" s="170"/>
      <c r="BQ161" s="170"/>
      <c r="BR161" s="25"/>
      <c r="BS161" s="34"/>
      <c r="BT161" s="25"/>
      <c r="BU161" s="25"/>
      <c r="BV161" s="25"/>
      <c r="BW161" s="34"/>
      <c r="BX161" s="25"/>
      <c r="BY161" s="25"/>
      <c r="BZ161" s="25"/>
      <c r="CA161" s="34"/>
      <c r="CB161" s="25"/>
      <c r="CC161" s="25"/>
      <c r="CD161" s="175"/>
      <c r="CE161" s="34"/>
      <c r="CF161" s="175"/>
      <c r="CG161" s="175"/>
      <c r="CH161" s="175"/>
      <c r="CI161" s="34"/>
      <c r="CJ161" s="175"/>
      <c r="CK161" s="175"/>
      <c r="CL161" s="175"/>
      <c r="CM161" s="34"/>
      <c r="CN161" s="175"/>
      <c r="CO161" s="175"/>
      <c r="CP161" s="175"/>
      <c r="CQ161" s="34"/>
      <c r="CR161" s="175"/>
      <c r="CS161" s="175"/>
      <c r="CT161" s="175"/>
      <c r="CU161" s="34"/>
      <c r="CV161" s="175"/>
      <c r="CW161" s="1472"/>
      <c r="CX161" s="175"/>
      <c r="CY161" s="34"/>
      <c r="CZ161" s="175"/>
      <c r="DA161" s="1472"/>
      <c r="DB161" s="175"/>
      <c r="DC161" s="175"/>
      <c r="DD161" s="175"/>
      <c r="DE161" s="266"/>
      <c r="DF161" s="175"/>
      <c r="DG161" s="25"/>
      <c r="DH161" s="25"/>
      <c r="DI161" s="25"/>
      <c r="DJ161" s="25"/>
    </row>
    <row r="162" spans="1:114" s="100" customFormat="1" hidden="1" outlineLevel="1">
      <c r="A162" s="170"/>
      <c r="B162" s="170"/>
      <c r="C162" s="170"/>
      <c r="D162" s="217"/>
      <c r="E162" s="170"/>
      <c r="F162" s="170"/>
      <c r="G162" s="170"/>
      <c r="H162" s="217"/>
      <c r="I162" s="170"/>
      <c r="J162" s="170"/>
      <c r="K162" s="170"/>
      <c r="L162" s="217"/>
      <c r="M162" s="170"/>
      <c r="N162" s="170"/>
      <c r="O162" s="170"/>
      <c r="P162" s="217"/>
      <c r="Q162" s="170"/>
      <c r="R162" s="170"/>
      <c r="S162" s="170"/>
      <c r="T162" s="217"/>
      <c r="U162" s="170"/>
      <c r="V162" s="170"/>
      <c r="W162" s="170"/>
      <c r="X162" s="217"/>
      <c r="Y162" s="170"/>
      <c r="Z162" s="170"/>
      <c r="AA162" s="170"/>
      <c r="AB162" s="217"/>
      <c r="AC162" s="170"/>
      <c r="AD162" s="170"/>
      <c r="AE162" s="170"/>
      <c r="AF162" s="217"/>
      <c r="AG162" s="170"/>
      <c r="AH162" s="170"/>
      <c r="AI162" s="170"/>
      <c r="AJ162" s="217"/>
      <c r="AK162" s="170"/>
      <c r="AL162" s="170"/>
      <c r="AM162" s="170"/>
      <c r="AN162" s="217"/>
      <c r="AO162" s="170"/>
      <c r="AP162" s="170"/>
      <c r="AQ162" s="170"/>
      <c r="AR162" s="170"/>
      <c r="AS162" s="170"/>
      <c r="AT162" s="170"/>
      <c r="AU162" s="217"/>
      <c r="AV162" s="170"/>
      <c r="AW162" s="170"/>
      <c r="AX162" s="170"/>
      <c r="AY162" s="217"/>
      <c r="AZ162" s="170"/>
      <c r="BA162" s="170"/>
      <c r="BB162" s="170"/>
      <c r="BC162" s="217"/>
      <c r="BD162" s="170"/>
      <c r="BE162" s="170"/>
      <c r="BF162" s="170"/>
      <c r="BG162" s="217"/>
      <c r="BH162" s="170"/>
      <c r="BI162" s="170"/>
      <c r="BJ162" s="170"/>
      <c r="BK162" s="217"/>
      <c r="BL162" s="170"/>
      <c r="BM162" s="170"/>
      <c r="BN162" s="170"/>
      <c r="BO162" s="217"/>
      <c r="BP162" s="170"/>
      <c r="BQ162" s="170"/>
      <c r="BR162" s="25"/>
      <c r="BS162" s="34"/>
      <c r="BT162" s="25"/>
      <c r="BU162" s="25"/>
      <c r="BV162" s="25"/>
      <c r="BW162" s="34"/>
      <c r="BX162" s="25"/>
      <c r="BY162" s="25"/>
      <c r="BZ162" s="25"/>
      <c r="CA162" s="34"/>
      <c r="CB162" s="25"/>
      <c r="CC162" s="25"/>
      <c r="CD162" s="175"/>
      <c r="CE162" s="34"/>
      <c r="CF162" s="175"/>
      <c r="CG162" s="175"/>
      <c r="CH162" s="175"/>
      <c r="CI162" s="34"/>
      <c r="CJ162" s="175"/>
      <c r="CK162" s="175"/>
      <c r="CL162" s="175"/>
      <c r="CM162" s="34"/>
      <c r="CN162" s="175"/>
      <c r="CO162" s="175"/>
      <c r="CP162" s="175"/>
      <c r="CQ162" s="34"/>
      <c r="CR162" s="175"/>
      <c r="CS162" s="175"/>
      <c r="CT162" s="175"/>
      <c r="CU162" s="34"/>
      <c r="CV162" s="175"/>
      <c r="CW162" s="1472"/>
      <c r="CX162" s="175"/>
      <c r="CY162" s="34"/>
      <c r="CZ162" s="175"/>
      <c r="DA162" s="1472"/>
      <c r="DB162" s="175"/>
      <c r="DC162" s="175"/>
      <c r="DD162" s="175"/>
      <c r="DE162" s="266"/>
      <c r="DF162" s="175"/>
      <c r="DG162" s="25"/>
      <c r="DH162" s="25"/>
      <c r="DI162" s="25"/>
      <c r="DJ162" s="25"/>
    </row>
    <row r="163" spans="1:114" s="100" customFormat="1" hidden="1" outlineLevel="1">
      <c r="A163" s="170"/>
      <c r="B163" s="170"/>
      <c r="C163" s="170"/>
      <c r="D163" s="217"/>
      <c r="E163" s="170"/>
      <c r="F163" s="170"/>
      <c r="G163" s="170"/>
      <c r="H163" s="217"/>
      <c r="I163" s="170"/>
      <c r="J163" s="170"/>
      <c r="K163" s="170"/>
      <c r="L163" s="217"/>
      <c r="M163" s="170"/>
      <c r="N163" s="170"/>
      <c r="O163" s="170"/>
      <c r="P163" s="217"/>
      <c r="Q163" s="170"/>
      <c r="R163" s="170"/>
      <c r="S163" s="170"/>
      <c r="T163" s="217"/>
      <c r="U163" s="170"/>
      <c r="V163" s="170"/>
      <c r="W163" s="170"/>
      <c r="X163" s="217"/>
      <c r="Y163" s="170"/>
      <c r="Z163" s="170"/>
      <c r="AA163" s="170"/>
      <c r="AB163" s="217"/>
      <c r="AC163" s="170"/>
      <c r="AD163" s="170"/>
      <c r="AE163" s="170"/>
      <c r="AF163" s="217"/>
      <c r="AG163" s="170"/>
      <c r="AH163" s="170"/>
      <c r="AI163" s="184" t="s">
        <v>452</v>
      </c>
      <c r="AJ163" s="217"/>
      <c r="AK163" s="170"/>
      <c r="AL163" s="170"/>
      <c r="AM163" s="170"/>
      <c r="AN163" s="217"/>
      <c r="AO163" s="170"/>
      <c r="AP163" s="170"/>
      <c r="AQ163" s="170"/>
      <c r="AR163" s="170"/>
      <c r="AS163" s="170"/>
      <c r="AT163" s="170"/>
      <c r="AU163" s="217"/>
      <c r="AV163" s="170"/>
      <c r="AW163" s="170"/>
      <c r="AX163" s="170"/>
      <c r="AY163" s="217"/>
      <c r="AZ163" s="170"/>
      <c r="BA163" s="170"/>
      <c r="BB163" s="170"/>
      <c r="BC163" s="217"/>
      <c r="BD163" s="170"/>
      <c r="BE163" s="170"/>
      <c r="BF163" s="170"/>
      <c r="BG163" s="217"/>
      <c r="BH163" s="170"/>
      <c r="BI163" s="170"/>
      <c r="BJ163" s="170"/>
      <c r="BK163" s="217"/>
      <c r="BL163" s="170"/>
      <c r="BM163" s="184" t="s">
        <v>452</v>
      </c>
      <c r="BN163" s="170"/>
      <c r="BO163" s="217"/>
      <c r="BP163" s="170"/>
      <c r="BQ163" s="170"/>
      <c r="BR163" s="25"/>
      <c r="BS163" s="34"/>
      <c r="BT163" s="25"/>
      <c r="BU163" s="25"/>
      <c r="BV163" s="25"/>
      <c r="BW163" s="34"/>
      <c r="BX163" s="25"/>
      <c r="BY163" s="25"/>
      <c r="BZ163" s="25"/>
      <c r="CA163" s="34"/>
      <c r="CB163" s="25"/>
      <c r="CC163" s="25"/>
      <c r="CD163" s="175"/>
      <c r="CE163" s="34"/>
      <c r="CF163" s="175"/>
      <c r="CG163" s="175"/>
      <c r="CH163" s="175"/>
      <c r="CI163" s="34"/>
      <c r="CJ163" s="175"/>
      <c r="CK163" s="175"/>
      <c r="CL163" s="175"/>
      <c r="CM163" s="34"/>
      <c r="CN163" s="175"/>
      <c r="CO163" s="175"/>
      <c r="CP163" s="175"/>
      <c r="CQ163" s="34"/>
      <c r="CR163" s="175"/>
      <c r="CS163" s="175"/>
      <c r="CT163" s="175"/>
      <c r="CU163" s="34"/>
      <c r="CV163" s="175"/>
      <c r="CW163" s="1472"/>
      <c r="CX163" s="175"/>
      <c r="CY163" s="34"/>
      <c r="CZ163" s="175"/>
      <c r="DA163" s="1472"/>
      <c r="DB163" s="175"/>
      <c r="DC163" s="175"/>
      <c r="DD163" s="175"/>
      <c r="DE163" s="266"/>
      <c r="DF163" s="175"/>
      <c r="DG163" s="25"/>
      <c r="DH163" s="25"/>
      <c r="DI163" s="25"/>
      <c r="DJ163" s="25"/>
    </row>
    <row r="164" spans="1:114" s="100" customFormat="1" hidden="1" outlineLevel="1">
      <c r="A164" s="170" t="str">
        <f>$A$10</f>
        <v>1Q</v>
      </c>
      <c r="B164" s="170" t="str">
        <f>$B$10</f>
        <v>Apr</v>
      </c>
      <c r="C164" s="170"/>
      <c r="D164" s="217"/>
      <c r="E164" s="170"/>
      <c r="F164" s="170"/>
      <c r="G164" s="170"/>
      <c r="H164" s="217"/>
      <c r="I164" s="170"/>
      <c r="J164" s="170"/>
      <c r="K164" s="170"/>
      <c r="L164" s="217"/>
      <c r="M164" s="170"/>
      <c r="N164" s="170"/>
      <c r="O164" s="170"/>
      <c r="P164" s="217"/>
      <c r="Q164" s="170"/>
      <c r="R164" s="170"/>
      <c r="S164" s="170"/>
      <c r="T164" s="217"/>
      <c r="U164" s="170"/>
      <c r="V164" s="170"/>
      <c r="W164" s="170"/>
      <c r="X164" s="217"/>
      <c r="Y164" s="170"/>
      <c r="Z164" s="170"/>
      <c r="AA164" s="170"/>
      <c r="AB164" s="217">
        <f>-1.412</f>
        <v>-1.4119999999999999</v>
      </c>
      <c r="AC164" s="170"/>
      <c r="AD164" s="170"/>
      <c r="AE164" s="170"/>
      <c r="AF164" s="217">
        <v>0</v>
      </c>
      <c r="AG164" s="170"/>
      <c r="AH164" s="170"/>
      <c r="AI164" s="170"/>
      <c r="AJ164" s="217">
        <v>0</v>
      </c>
      <c r="AK164" s="170"/>
      <c r="AL164" s="170"/>
      <c r="AM164" s="170"/>
      <c r="AN164" s="217">
        <v>0</v>
      </c>
      <c r="AO164" s="170"/>
      <c r="AP164" s="170"/>
      <c r="AQ164" s="170"/>
      <c r="AR164" s="170"/>
      <c r="AS164" s="170"/>
      <c r="AT164" s="170"/>
      <c r="AU164" s="217">
        <v>0</v>
      </c>
      <c r="AV164" s="170"/>
      <c r="AW164" s="170"/>
      <c r="AX164" s="170"/>
      <c r="AY164" s="217">
        <v>0</v>
      </c>
      <c r="AZ164" s="170"/>
      <c r="BA164" s="170"/>
      <c r="BB164" s="170"/>
      <c r="BC164" s="217">
        <v>0</v>
      </c>
      <c r="BD164" s="170"/>
      <c r="BE164" s="170"/>
      <c r="BF164" s="170"/>
      <c r="BG164" s="217">
        <v>0</v>
      </c>
      <c r="BH164" s="170"/>
      <c r="BI164" s="170"/>
      <c r="BJ164" s="170"/>
      <c r="BK164" s="217">
        <v>0</v>
      </c>
      <c r="BL164" s="170"/>
      <c r="BM164" s="170"/>
      <c r="BN164" s="170"/>
      <c r="BO164" s="217">
        <v>0</v>
      </c>
      <c r="BP164" s="170"/>
      <c r="BQ164" s="170"/>
      <c r="BR164" s="25"/>
      <c r="BS164" s="34">
        <v>0</v>
      </c>
      <c r="BT164" s="25"/>
      <c r="BU164" s="25"/>
      <c r="BV164" s="25"/>
      <c r="BW164" s="34">
        <v>-148.67400000000001</v>
      </c>
      <c r="BX164" s="25"/>
      <c r="BY164" s="25"/>
      <c r="BZ164" s="25"/>
      <c r="CA164" s="34">
        <v>0</v>
      </c>
      <c r="CB164" s="25"/>
      <c r="CC164" s="25"/>
      <c r="CD164" s="175"/>
      <c r="CE164" s="34">
        <v>0</v>
      </c>
      <c r="CF164" s="175"/>
      <c r="CG164" s="175"/>
      <c r="CH164" s="175"/>
      <c r="CI164" s="34">
        <f>-353.315</f>
        <v>-353.315</v>
      </c>
      <c r="CJ164" s="175"/>
      <c r="CK164" s="175"/>
      <c r="CL164" s="175"/>
      <c r="CM164" s="353">
        <v>0</v>
      </c>
      <c r="CN164" s="175"/>
      <c r="CO164" s="175"/>
      <c r="CP164" s="175"/>
      <c r="CQ164" s="353">
        <v>0</v>
      </c>
      <c r="CR164" s="175"/>
      <c r="CS164" s="175"/>
      <c r="CT164" s="175"/>
      <c r="CU164" s="353">
        <v>0</v>
      </c>
      <c r="CV164" s="175"/>
      <c r="CW164" s="1472"/>
      <c r="CX164" s="175"/>
      <c r="CY164" s="353">
        <v>0</v>
      </c>
      <c r="CZ164" s="175"/>
      <c r="DA164" s="1472"/>
      <c r="DB164" s="175"/>
      <c r="DC164" s="175"/>
      <c r="DD164" s="175"/>
      <c r="DE164" s="266"/>
      <c r="DF164" s="175"/>
      <c r="DG164" s="25"/>
      <c r="DH164" s="25"/>
      <c r="DI164" s="25"/>
      <c r="DJ164" s="25"/>
    </row>
    <row r="165" spans="1:114" s="100" customFormat="1" hidden="1" outlineLevel="1">
      <c r="A165" s="170" t="str">
        <f>$A$11</f>
        <v>2Q</v>
      </c>
      <c r="B165" s="170" t="str">
        <f>$B$11</f>
        <v>Jul</v>
      </c>
      <c r="C165" s="170"/>
      <c r="D165" s="217"/>
      <c r="E165" s="170"/>
      <c r="F165" s="170"/>
      <c r="G165" s="170"/>
      <c r="H165" s="217"/>
      <c r="I165" s="170"/>
      <c r="J165" s="170"/>
      <c r="K165" s="170"/>
      <c r="L165" s="217"/>
      <c r="M165" s="170"/>
      <c r="N165" s="170"/>
      <c r="O165" s="170"/>
      <c r="P165" s="217"/>
      <c r="Q165" s="170"/>
      <c r="R165" s="170"/>
      <c r="S165" s="170"/>
      <c r="T165" s="217"/>
      <c r="U165" s="170"/>
      <c r="V165" s="170"/>
      <c r="W165" s="170"/>
      <c r="X165" s="217"/>
      <c r="Y165" s="170"/>
      <c r="Z165" s="170"/>
      <c r="AA165" s="170"/>
      <c r="AB165" s="217">
        <f>-1.412-AB164</f>
        <v>0</v>
      </c>
      <c r="AC165" s="170"/>
      <c r="AD165" s="170"/>
      <c r="AE165" s="170"/>
      <c r="AF165" s="217">
        <f>0-AF164</f>
        <v>0</v>
      </c>
      <c r="AG165" s="170"/>
      <c r="AH165" s="170"/>
      <c r="AI165" s="170"/>
      <c r="AJ165" s="217">
        <f>0-AJ164</f>
        <v>0</v>
      </c>
      <c r="AK165" s="170"/>
      <c r="AL165" s="170"/>
      <c r="AM165" s="170"/>
      <c r="AN165" s="217">
        <f>0-AN164</f>
        <v>0</v>
      </c>
      <c r="AO165" s="170"/>
      <c r="AP165" s="170"/>
      <c r="AQ165" s="170"/>
      <c r="AR165" s="170"/>
      <c r="AS165" s="170"/>
      <c r="AT165" s="170"/>
      <c r="AU165" s="217">
        <f>0-AU164</f>
        <v>0</v>
      </c>
      <c r="AV165" s="170"/>
      <c r="AW165" s="170"/>
      <c r="AX165" s="170"/>
      <c r="AY165" s="217">
        <f>0-AY164</f>
        <v>0</v>
      </c>
      <c r="AZ165" s="170"/>
      <c r="BA165" s="170"/>
      <c r="BB165" s="170"/>
      <c r="BC165" s="217">
        <f>-2.928-BC164</f>
        <v>-2.9279999999999999</v>
      </c>
      <c r="BD165" s="170"/>
      <c r="BE165" s="170"/>
      <c r="BF165" s="170"/>
      <c r="BG165" s="217">
        <f>0-BG164</f>
        <v>0</v>
      </c>
      <c r="BH165" s="170"/>
      <c r="BI165" s="170"/>
      <c r="BJ165" s="170"/>
      <c r="BK165" s="217">
        <f>0-BK164</f>
        <v>0</v>
      </c>
      <c r="BL165" s="170"/>
      <c r="BM165" s="170"/>
      <c r="BN165" s="170"/>
      <c r="BO165" s="217">
        <f>0-BO164</f>
        <v>0</v>
      </c>
      <c r="BP165" s="170"/>
      <c r="BQ165" s="170"/>
      <c r="BR165" s="25"/>
      <c r="BS165" s="34">
        <f>-71.988-BS164</f>
        <v>-71.988</v>
      </c>
      <c r="BT165" s="25"/>
      <c r="BU165" s="25"/>
      <c r="BV165" s="25"/>
      <c r="BW165" s="34">
        <f>-215.993-BW164</f>
        <v>-67.318999999999988</v>
      </c>
      <c r="BX165" s="25"/>
      <c r="BY165" s="25"/>
      <c r="BZ165" s="25"/>
      <c r="CA165" s="34">
        <f>0-CA164</f>
        <v>0</v>
      </c>
      <c r="CB165" s="25"/>
      <c r="CC165" s="25"/>
      <c r="CD165" s="175"/>
      <c r="CE165" s="34">
        <f>0-CE164</f>
        <v>0</v>
      </c>
      <c r="CF165" s="175"/>
      <c r="CG165" s="175"/>
      <c r="CH165" s="175"/>
      <c r="CI165" s="34">
        <f>-478.922-CI164</f>
        <v>-125.60700000000003</v>
      </c>
      <c r="CJ165" s="175"/>
      <c r="CK165" s="175"/>
      <c r="CL165" s="175"/>
      <c r="CM165" s="353">
        <v>0</v>
      </c>
      <c r="CN165" s="175"/>
      <c r="CO165" s="175"/>
      <c r="CP165" s="175"/>
      <c r="CQ165" s="353">
        <v>0</v>
      </c>
      <c r="CR165" s="175"/>
      <c r="CS165" s="175"/>
      <c r="CT165" s="175"/>
      <c r="CU165" s="353">
        <v>0</v>
      </c>
      <c r="CV165" s="175"/>
      <c r="CW165" s="1472"/>
      <c r="CX165" s="175"/>
      <c r="CY165" s="353">
        <v>0</v>
      </c>
      <c r="CZ165" s="175"/>
      <c r="DA165" s="1472"/>
      <c r="DB165" s="175"/>
      <c r="DC165" s="175"/>
      <c r="DD165" s="175"/>
      <c r="DE165" s="266"/>
      <c r="DF165" s="175"/>
      <c r="DG165" s="25"/>
      <c r="DH165" s="25"/>
      <c r="DI165" s="25"/>
      <c r="DJ165" s="25"/>
    </row>
    <row r="166" spans="1:114" s="100" customFormat="1" hidden="1" outlineLevel="1">
      <c r="A166" s="170" t="str">
        <f>$A$12</f>
        <v>3Q</v>
      </c>
      <c r="B166" s="170" t="str">
        <f>$B$12</f>
        <v>Oct</v>
      </c>
      <c r="C166" s="170"/>
      <c r="D166" s="217"/>
      <c r="E166" s="170"/>
      <c r="F166" s="170"/>
      <c r="G166" s="170"/>
      <c r="H166" s="217"/>
      <c r="I166" s="170"/>
      <c r="J166" s="170"/>
      <c r="K166" s="170"/>
      <c r="L166" s="217"/>
      <c r="M166" s="170"/>
      <c r="N166" s="170"/>
      <c r="O166" s="170"/>
      <c r="P166" s="217"/>
      <c r="Q166" s="170"/>
      <c r="R166" s="170"/>
      <c r="S166" s="170"/>
      <c r="T166" s="217"/>
      <c r="U166" s="170"/>
      <c r="V166" s="170"/>
      <c r="W166" s="170"/>
      <c r="X166" s="217"/>
      <c r="Y166" s="170"/>
      <c r="Z166" s="170"/>
      <c r="AA166" s="170"/>
      <c r="AB166" s="217">
        <f>-1.412-AB165-AB164</f>
        <v>0</v>
      </c>
      <c r="AC166" s="170"/>
      <c r="AD166" s="170"/>
      <c r="AE166" s="170"/>
      <c r="AF166" s="217">
        <f>0-AF165-AF164</f>
        <v>0</v>
      </c>
      <c r="AG166" s="170"/>
      <c r="AH166" s="170"/>
      <c r="AI166" s="170"/>
      <c r="AJ166" s="217">
        <f>0-AJ165-AJ164</f>
        <v>0</v>
      </c>
      <c r="AK166" s="170"/>
      <c r="AL166" s="170"/>
      <c r="AM166" s="170"/>
      <c r="AN166" s="217">
        <f>0-AN165-AN164</f>
        <v>0</v>
      </c>
      <c r="AO166" s="170"/>
      <c r="AP166" s="170"/>
      <c r="AQ166" s="170"/>
      <c r="AR166" s="170"/>
      <c r="AS166" s="170"/>
      <c r="AT166" s="170"/>
      <c r="AU166" s="217">
        <f>0-AU165-AU164</f>
        <v>0</v>
      </c>
      <c r="AV166" s="170"/>
      <c r="AW166" s="170"/>
      <c r="AX166" s="170"/>
      <c r="AY166" s="217">
        <f>0-AY165-AY164</f>
        <v>0</v>
      </c>
      <c r="AZ166" s="170"/>
      <c r="BA166" s="170"/>
      <c r="BB166" s="170"/>
      <c r="BC166" s="217">
        <f>-20.801-BC165-BC164</f>
        <v>-17.872999999999998</v>
      </c>
      <c r="BD166" s="170"/>
      <c r="BE166" s="170"/>
      <c r="BF166" s="170"/>
      <c r="BG166" s="217">
        <f>0-BG165-BG164</f>
        <v>0</v>
      </c>
      <c r="BH166" s="170"/>
      <c r="BI166" s="170"/>
      <c r="BJ166" s="170"/>
      <c r="BK166" s="217">
        <f>0-BK165-BK164</f>
        <v>0</v>
      </c>
      <c r="BL166" s="170"/>
      <c r="BM166" s="170"/>
      <c r="BN166" s="170"/>
      <c r="BO166" s="217">
        <f>0-BO165-BO164</f>
        <v>0</v>
      </c>
      <c r="BP166" s="170"/>
      <c r="BQ166" s="170"/>
      <c r="BR166" s="25"/>
      <c r="BS166" s="34">
        <f>-204.723-BS165-BS164</f>
        <v>-132.73500000000001</v>
      </c>
      <c r="BT166" s="25"/>
      <c r="BU166" s="25"/>
      <c r="BV166" s="25"/>
      <c r="BW166" s="34">
        <f>-538.311-BW165-BW164</f>
        <v>-322.3180000000001</v>
      </c>
      <c r="BX166" s="25"/>
      <c r="BY166" s="25"/>
      <c r="BZ166" s="25"/>
      <c r="CA166" s="34">
        <f>0-CA165-CA164</f>
        <v>0</v>
      </c>
      <c r="CB166" s="25"/>
      <c r="CC166" s="25"/>
      <c r="CD166" s="175"/>
      <c r="CE166" s="34">
        <f>-10.694-CE165-CE164</f>
        <v>-10.694000000000001</v>
      </c>
      <c r="CF166" s="175"/>
      <c r="CG166" s="175"/>
      <c r="CH166" s="175"/>
      <c r="CI166" s="353">
        <f>-485.805-CI165-CI164</f>
        <v>-6.8829999999999814</v>
      </c>
      <c r="CJ166" s="175"/>
      <c r="CK166" s="175"/>
      <c r="CL166" s="175"/>
      <c r="CM166" s="353">
        <v>0</v>
      </c>
      <c r="CN166" s="175"/>
      <c r="CO166" s="175"/>
      <c r="CP166" s="175"/>
      <c r="CQ166" s="353">
        <v>0</v>
      </c>
      <c r="CR166" s="175"/>
      <c r="CS166" s="175"/>
      <c r="CT166" s="175"/>
      <c r="CU166" s="353">
        <v>0</v>
      </c>
      <c r="CV166" s="175"/>
      <c r="CW166" s="1472"/>
      <c r="CX166" s="175"/>
      <c r="CY166" s="353">
        <v>0</v>
      </c>
      <c r="CZ166" s="175"/>
      <c r="DA166" s="1472"/>
      <c r="DB166" s="175"/>
      <c r="DC166" s="175"/>
      <c r="DD166" s="175"/>
      <c r="DE166" s="266"/>
      <c r="DF166" s="175"/>
      <c r="DG166" s="25"/>
      <c r="DH166" s="25"/>
      <c r="DI166" s="25"/>
      <c r="DJ166" s="25"/>
    </row>
    <row r="167" spans="1:114" s="100" customFormat="1" hidden="1" outlineLevel="1">
      <c r="A167" s="170" t="str">
        <f>$A$13</f>
        <v>4Q</v>
      </c>
      <c r="B167" s="170" t="str">
        <f>$B$13</f>
        <v>Jan</v>
      </c>
      <c r="C167" s="170"/>
      <c r="D167" s="217"/>
      <c r="E167" s="170"/>
      <c r="F167" s="170"/>
      <c r="G167" s="170"/>
      <c r="H167" s="217"/>
      <c r="I167" s="170"/>
      <c r="J167" s="170"/>
      <c r="K167" s="170"/>
      <c r="L167" s="217"/>
      <c r="M167" s="170"/>
      <c r="N167" s="170"/>
      <c r="O167" s="170"/>
      <c r="P167" s="217"/>
      <c r="Q167" s="170"/>
      <c r="R167" s="170"/>
      <c r="S167" s="170"/>
      <c r="T167" s="217"/>
      <c r="U167" s="170"/>
      <c r="V167" s="170"/>
      <c r="W167" s="170"/>
      <c r="X167" s="217"/>
      <c r="Y167" s="170"/>
      <c r="Z167" s="170"/>
      <c r="AA167" s="170"/>
      <c r="AB167" s="217">
        <f>-1.412-AB166-AB165-AB164</f>
        <v>0</v>
      </c>
      <c r="AC167" s="170"/>
      <c r="AD167" s="170"/>
      <c r="AE167" s="170"/>
      <c r="AF167" s="217">
        <f>0-AF166-AF165-AF164</f>
        <v>0</v>
      </c>
      <c r="AG167" s="170"/>
      <c r="AH167" s="170"/>
      <c r="AI167" s="170"/>
      <c r="AJ167" s="217">
        <f>0-AJ166-AJ165-AJ164</f>
        <v>0</v>
      </c>
      <c r="AK167" s="170"/>
      <c r="AL167" s="170"/>
      <c r="AM167" s="170"/>
      <c r="AN167" s="217">
        <f>0-AN166-AN165-AN164</f>
        <v>0</v>
      </c>
      <c r="AO167" s="170"/>
      <c r="AP167" s="170"/>
      <c r="AQ167" s="170"/>
      <c r="AR167" s="170"/>
      <c r="AS167" s="170"/>
      <c r="AT167" s="170"/>
      <c r="AU167" s="217">
        <f>0-AU166-AU165-AU164</f>
        <v>0</v>
      </c>
      <c r="AV167" s="170"/>
      <c r="AW167" s="170"/>
      <c r="AX167" s="170"/>
      <c r="AY167" s="217">
        <f>0-AY166-AY165-AY164</f>
        <v>0</v>
      </c>
      <c r="AZ167" s="170"/>
      <c r="BA167" s="170"/>
      <c r="BB167" s="170"/>
      <c r="BC167" s="217">
        <f>-20.801-BC166-BC165-BC164</f>
        <v>-8.8817841970012523E-16</v>
      </c>
      <c r="BD167" s="170"/>
      <c r="BE167" s="170"/>
      <c r="BF167" s="170"/>
      <c r="BG167" s="217">
        <f>0-BG166-BG165-BG164</f>
        <v>0</v>
      </c>
      <c r="BH167" s="170"/>
      <c r="BI167" s="170"/>
      <c r="BJ167" s="170"/>
      <c r="BK167" s="217">
        <f>0-BK166-BK165-BK164</f>
        <v>0</v>
      </c>
      <c r="BL167" s="170"/>
      <c r="BM167" s="170"/>
      <c r="BN167" s="170"/>
      <c r="BO167" s="217">
        <f>0-BO166-BO165-BO164</f>
        <v>0</v>
      </c>
      <c r="BP167" s="170"/>
      <c r="BQ167" s="170"/>
      <c r="BR167" s="25"/>
      <c r="BS167" s="34">
        <f>-204.718-BS166-BS165-BS164</f>
        <v>5.0000000000238742E-3</v>
      </c>
      <c r="BT167" s="25"/>
      <c r="BU167" s="25"/>
      <c r="BV167" s="25"/>
      <c r="BW167" s="34">
        <f>-545.478-BW166-BW165-BW164</f>
        <v>-7.1669999999998595</v>
      </c>
      <c r="BX167" s="25"/>
      <c r="BY167" s="25"/>
      <c r="BZ167" s="25"/>
      <c r="CA167" s="34">
        <f>0-CA166-CA165-CA164</f>
        <v>0</v>
      </c>
      <c r="CB167" s="25"/>
      <c r="CC167" s="25"/>
      <c r="CD167" s="175"/>
      <c r="CE167" s="34">
        <f>-10.695-CE166-CE165-CE164</f>
        <v>-9.9999999999944578E-4</v>
      </c>
      <c r="CF167" s="175"/>
      <c r="CG167" s="175"/>
      <c r="CH167" s="175"/>
      <c r="CI167" s="353">
        <v>-40</v>
      </c>
      <c r="CJ167" s="175"/>
      <c r="CK167" s="175"/>
      <c r="CL167" s="175"/>
      <c r="CM167" s="353">
        <v>0</v>
      </c>
      <c r="CN167" s="175"/>
      <c r="CO167" s="175"/>
      <c r="CP167" s="175"/>
      <c r="CQ167" s="353">
        <v>0</v>
      </c>
      <c r="CR167" s="175"/>
      <c r="CS167" s="175"/>
      <c r="CT167" s="175"/>
      <c r="CU167" s="353">
        <v>0</v>
      </c>
      <c r="CV167" s="175"/>
      <c r="CW167" s="1472"/>
      <c r="CX167" s="175"/>
      <c r="CY167" s="353">
        <v>0</v>
      </c>
      <c r="CZ167" s="175"/>
      <c r="DA167" s="1472"/>
      <c r="DB167" s="175"/>
      <c r="DC167" s="175"/>
      <c r="DD167" s="175"/>
      <c r="DE167" s="266"/>
      <c r="DF167" s="175"/>
      <c r="DG167" s="25"/>
      <c r="DH167" s="25"/>
      <c r="DI167" s="25"/>
      <c r="DJ167" s="25"/>
    </row>
    <row r="168" spans="1:114" s="100" customFormat="1" hidden="1" outlineLevel="1">
      <c r="A168" s="170"/>
      <c r="B168" s="170" t="str">
        <f>$B$14</f>
        <v>Year</v>
      </c>
      <c r="C168" s="170"/>
      <c r="D168" s="217"/>
      <c r="E168" s="170"/>
      <c r="F168" s="170"/>
      <c r="G168" s="170"/>
      <c r="H168" s="217"/>
      <c r="I168" s="170"/>
      <c r="J168" s="170"/>
      <c r="K168" s="170"/>
      <c r="L168" s="217"/>
      <c r="M168" s="170"/>
      <c r="N168" s="170"/>
      <c r="O168" s="170"/>
      <c r="P168" s="217"/>
      <c r="Q168" s="170"/>
      <c r="R168" s="170"/>
      <c r="S168" s="170"/>
      <c r="T168" s="217"/>
      <c r="U168" s="170"/>
      <c r="V168" s="170"/>
      <c r="W168" s="170"/>
      <c r="X168" s="217"/>
      <c r="Y168" s="170"/>
      <c r="Z168" s="170"/>
      <c r="AA168" s="170"/>
      <c r="AB168" s="217"/>
      <c r="AC168" s="170"/>
      <c r="AD168" s="170"/>
      <c r="AE168" s="170"/>
      <c r="AF168" s="217">
        <f>SUM(AF164:AF167)</f>
        <v>0</v>
      </c>
      <c r="AG168" s="170"/>
      <c r="AH168" s="170"/>
      <c r="AI168" s="170"/>
      <c r="AJ168" s="217">
        <f>SUM(AJ164:AJ167)</f>
        <v>0</v>
      </c>
      <c r="AK168" s="170"/>
      <c r="AL168" s="170"/>
      <c r="AM168" s="170"/>
      <c r="AN168" s="217">
        <f>SUM(AN164:AN167)</f>
        <v>0</v>
      </c>
      <c r="AO168" s="170"/>
      <c r="AP168" s="170"/>
      <c r="AQ168" s="170"/>
      <c r="AR168" s="170"/>
      <c r="AS168" s="170"/>
      <c r="AT168" s="170"/>
      <c r="AU168" s="217">
        <f>SUM(AU164:AU167)</f>
        <v>0</v>
      </c>
      <c r="AV168" s="170"/>
      <c r="AW168" s="170"/>
      <c r="AX168" s="170"/>
      <c r="AY168" s="217">
        <f>SUM(AY164:AY167)</f>
        <v>0</v>
      </c>
      <c r="AZ168" s="170"/>
      <c r="BA168" s="170"/>
      <c r="BB168" s="170"/>
      <c r="BC168" s="217">
        <f>SUM(BC164:BC167)</f>
        <v>-20.800999999999998</v>
      </c>
      <c r="BD168" s="170"/>
      <c r="BE168" s="170"/>
      <c r="BF168" s="170"/>
      <c r="BG168" s="217">
        <f>SUM(BG164:BG167)</f>
        <v>0</v>
      </c>
      <c r="BH168" s="170"/>
      <c r="BI168" s="170"/>
      <c r="BJ168" s="170"/>
      <c r="BK168" s="217">
        <f>SUM(BK164:BK167)</f>
        <v>0</v>
      </c>
      <c r="BL168" s="170"/>
      <c r="BM168" s="170"/>
      <c r="BN168" s="170"/>
      <c r="BO168" s="217">
        <f>SUM(BO164:BO167)</f>
        <v>0</v>
      </c>
      <c r="BP168" s="170"/>
      <c r="BQ168" s="170"/>
      <c r="BR168" s="25"/>
      <c r="BS168" s="34">
        <f>SUM(BS164:BS167)</f>
        <v>-204.71799999999999</v>
      </c>
      <c r="BT168" s="25"/>
      <c r="BU168" s="25"/>
      <c r="BV168" s="25"/>
      <c r="BW168" s="34">
        <f>SUM(BW164:BW167)</f>
        <v>-545.47800000000007</v>
      </c>
      <c r="BX168" s="25"/>
      <c r="BY168" s="25"/>
      <c r="BZ168" s="25"/>
      <c r="CA168" s="34">
        <f>SUM(CA164:CA167)</f>
        <v>0</v>
      </c>
      <c r="CB168" s="25"/>
      <c r="CC168" s="25"/>
      <c r="CD168" s="175"/>
      <c r="CE168" s="34">
        <f>SUM(CE164:CE167)</f>
        <v>-10.695</v>
      </c>
      <c r="CF168" s="175"/>
      <c r="CG168" s="175"/>
      <c r="CH168" s="175"/>
      <c r="CI168" s="34">
        <f>SUM(CI164:CI167)</f>
        <v>-525.80500000000006</v>
      </c>
      <c r="CJ168" s="175"/>
      <c r="CK168" s="175"/>
      <c r="CL168" s="175"/>
      <c r="CM168" s="34">
        <f>SUM(CM164:CM167)</f>
        <v>0</v>
      </c>
      <c r="CN168" s="175"/>
      <c r="CO168" s="175"/>
      <c r="CP168" s="175"/>
      <c r="CQ168" s="34">
        <f>SUM(CQ164:CQ167)</f>
        <v>0</v>
      </c>
      <c r="CR168" s="175"/>
      <c r="CS168" s="175"/>
      <c r="CT168" s="175"/>
      <c r="CU168" s="34">
        <f>SUM(CU164:CU167)</f>
        <v>0</v>
      </c>
      <c r="CV168" s="175"/>
      <c r="CW168" s="1472"/>
      <c r="CX168" s="175"/>
      <c r="CY168" s="34">
        <f>SUM(CY164:CY167)</f>
        <v>0</v>
      </c>
      <c r="CZ168" s="175"/>
      <c r="DA168" s="1472"/>
      <c r="DB168" s="175"/>
      <c r="DC168" s="175"/>
      <c r="DD168" s="175"/>
      <c r="DE168" s="266"/>
      <c r="DF168" s="175"/>
      <c r="DG168" s="25"/>
      <c r="DH168" s="25"/>
      <c r="DI168" s="25"/>
      <c r="DJ168" s="25"/>
    </row>
    <row r="169" spans="1:114" s="100" customFormat="1" hidden="1" outlineLevel="1">
      <c r="A169" s="170" t="str">
        <f>$A$15</f>
        <v>6 Mos</v>
      </c>
      <c r="B169" s="170"/>
      <c r="C169" s="170"/>
      <c r="D169" s="217"/>
      <c r="E169" s="170"/>
      <c r="F169" s="170"/>
      <c r="G169" s="170"/>
      <c r="H169" s="217"/>
      <c r="I169" s="170"/>
      <c r="J169" s="170"/>
      <c r="K169" s="170"/>
      <c r="L169" s="217"/>
      <c r="M169" s="170"/>
      <c r="N169" s="170"/>
      <c r="O169" s="170"/>
      <c r="P169" s="217"/>
      <c r="Q169" s="170"/>
      <c r="R169" s="170"/>
      <c r="S169" s="170"/>
      <c r="T169" s="217"/>
      <c r="U169" s="170"/>
      <c r="V169" s="170"/>
      <c r="W169" s="170"/>
      <c r="X169" s="217"/>
      <c r="Y169" s="170"/>
      <c r="Z169" s="170"/>
      <c r="AA169" s="170"/>
      <c r="AB169" s="217"/>
      <c r="AC169" s="170"/>
      <c r="AD169" s="170"/>
      <c r="AE169" s="170"/>
      <c r="AF169" s="217"/>
      <c r="AG169" s="170"/>
      <c r="AH169" s="170"/>
      <c r="AI169" s="170"/>
      <c r="AJ169" s="217"/>
      <c r="AK169" s="170"/>
      <c r="AL169" s="170"/>
      <c r="AM169" s="170"/>
      <c r="AN169" s="217"/>
      <c r="AO169" s="170"/>
      <c r="AP169" s="170"/>
      <c r="AQ169" s="170"/>
      <c r="AR169" s="170"/>
      <c r="AS169" s="170"/>
      <c r="AT169" s="170"/>
      <c r="AU169" s="217"/>
      <c r="AV169" s="170"/>
      <c r="AW169" s="170"/>
      <c r="AX169" s="170"/>
      <c r="AY169" s="217"/>
      <c r="AZ169" s="170"/>
      <c r="BA169" s="170"/>
      <c r="BB169" s="170"/>
      <c r="BC169" s="217"/>
      <c r="BD169" s="170"/>
      <c r="BE169" s="170"/>
      <c r="BF169" s="170"/>
      <c r="BG169" s="217"/>
      <c r="BH169" s="170"/>
      <c r="BI169" s="170"/>
      <c r="BJ169" s="170"/>
      <c r="BK169" s="217"/>
      <c r="BL169" s="170"/>
      <c r="BM169" s="170"/>
      <c r="BN169" s="170"/>
      <c r="BO169" s="217"/>
      <c r="BP169" s="170"/>
      <c r="BQ169" s="170"/>
      <c r="BR169" s="25"/>
      <c r="BS169" s="34"/>
      <c r="BT169" s="25"/>
      <c r="BU169" s="25"/>
      <c r="BV169" s="25"/>
      <c r="BW169" s="34"/>
      <c r="BX169" s="25"/>
      <c r="BY169" s="25"/>
      <c r="BZ169" s="25"/>
      <c r="CA169" s="34"/>
      <c r="CB169" s="25"/>
      <c r="CC169" s="25"/>
      <c r="CD169" s="175"/>
      <c r="CE169" s="34"/>
      <c r="CF169" s="175"/>
      <c r="CG169" s="175"/>
      <c r="CH169" s="175"/>
      <c r="CI169" s="34"/>
      <c r="CJ169" s="175"/>
      <c r="CK169" s="175"/>
      <c r="CL169" s="175"/>
      <c r="CM169" s="34"/>
      <c r="CN169" s="175"/>
      <c r="CO169" s="175"/>
      <c r="CP169" s="175"/>
      <c r="CQ169" s="34"/>
      <c r="CR169" s="175"/>
      <c r="CS169" s="175"/>
      <c r="CT169" s="175"/>
      <c r="CU169" s="34"/>
      <c r="CV169" s="175"/>
      <c r="CW169" s="1472"/>
      <c r="CX169" s="175"/>
      <c r="CY169" s="34"/>
      <c r="CZ169" s="175"/>
      <c r="DA169" s="1472"/>
      <c r="DB169" s="175"/>
      <c r="DC169" s="175"/>
      <c r="DD169" s="175"/>
      <c r="DE169" s="266"/>
      <c r="DF169" s="175"/>
      <c r="DG169" s="25"/>
      <c r="DH169" s="25"/>
      <c r="DI169" s="25"/>
      <c r="DJ169" s="25"/>
    </row>
    <row r="170" spans="1:114" s="100" customFormat="1" hidden="1" outlineLevel="1">
      <c r="A170" s="170" t="str">
        <f>$A$16</f>
        <v>9 Mos</v>
      </c>
      <c r="B170" s="170"/>
      <c r="C170" s="170"/>
      <c r="D170" s="217"/>
      <c r="E170" s="170"/>
      <c r="F170" s="170"/>
      <c r="G170" s="170"/>
      <c r="H170" s="217"/>
      <c r="I170" s="170"/>
      <c r="J170" s="170"/>
      <c r="K170" s="170"/>
      <c r="L170" s="217"/>
      <c r="M170" s="170"/>
      <c r="N170" s="170"/>
      <c r="O170" s="170"/>
      <c r="P170" s="217"/>
      <c r="Q170" s="170"/>
      <c r="R170" s="170"/>
      <c r="S170" s="170"/>
      <c r="T170" s="217"/>
      <c r="U170" s="170"/>
      <c r="V170" s="170"/>
      <c r="W170" s="170"/>
      <c r="X170" s="217"/>
      <c r="Y170" s="170"/>
      <c r="Z170" s="170"/>
      <c r="AA170" s="170"/>
      <c r="AB170" s="217"/>
      <c r="AC170" s="170"/>
      <c r="AD170" s="170"/>
      <c r="AE170" s="170"/>
      <c r="AF170" s="217"/>
      <c r="AG170" s="170"/>
      <c r="AH170" s="170"/>
      <c r="AI170" s="170"/>
      <c r="AJ170" s="217"/>
      <c r="AK170" s="170"/>
      <c r="AL170" s="170"/>
      <c r="AM170" s="170"/>
      <c r="AN170" s="217"/>
      <c r="AO170" s="170"/>
      <c r="AP170" s="170"/>
      <c r="AQ170" s="170"/>
      <c r="AR170" s="170"/>
      <c r="AS170" s="170"/>
      <c r="AT170" s="170"/>
      <c r="AU170" s="217"/>
      <c r="AV170" s="170"/>
      <c r="AW170" s="170"/>
      <c r="AX170" s="170"/>
      <c r="AY170" s="217"/>
      <c r="AZ170" s="170"/>
      <c r="BA170" s="170"/>
      <c r="BB170" s="170"/>
      <c r="BC170" s="217"/>
      <c r="BD170" s="170"/>
      <c r="BE170" s="170"/>
      <c r="BF170" s="170"/>
      <c r="BG170" s="217"/>
      <c r="BH170" s="170"/>
      <c r="BI170" s="170"/>
      <c r="BJ170" s="170"/>
      <c r="BK170" s="217"/>
      <c r="BL170" s="170"/>
      <c r="BM170" s="170"/>
      <c r="BN170" s="170"/>
      <c r="BO170" s="217"/>
      <c r="BP170" s="170"/>
      <c r="BQ170" s="170"/>
      <c r="BR170" s="25"/>
      <c r="BS170" s="34"/>
      <c r="BT170" s="25"/>
      <c r="BU170" s="25"/>
      <c r="BV170" s="25"/>
      <c r="BW170" s="34"/>
      <c r="BX170" s="25"/>
      <c r="BY170" s="25"/>
      <c r="BZ170" s="25"/>
      <c r="CA170" s="34"/>
      <c r="CB170" s="25"/>
      <c r="CC170" s="25"/>
      <c r="CD170" s="175"/>
      <c r="CE170" s="34"/>
      <c r="CF170" s="175"/>
      <c r="CG170" s="175"/>
      <c r="CH170" s="175"/>
      <c r="CI170" s="34"/>
      <c r="CJ170" s="175"/>
      <c r="CK170" s="175"/>
      <c r="CL170" s="175"/>
      <c r="CM170" s="34"/>
      <c r="CN170" s="175"/>
      <c r="CO170" s="175"/>
      <c r="CP170" s="175"/>
      <c r="CQ170" s="34"/>
      <c r="CR170" s="175"/>
      <c r="CS170" s="175"/>
      <c r="CT170" s="175"/>
      <c r="CU170" s="34"/>
      <c r="CV170" s="175"/>
      <c r="CW170" s="1472"/>
      <c r="CX170" s="175"/>
      <c r="CY170" s="34"/>
      <c r="CZ170" s="175"/>
      <c r="DA170" s="1472"/>
      <c r="DB170" s="175"/>
      <c r="DC170" s="175"/>
      <c r="DD170" s="175"/>
      <c r="DE170" s="266"/>
      <c r="DF170" s="175"/>
      <c r="DG170" s="25"/>
      <c r="DH170" s="25"/>
      <c r="DI170" s="25"/>
      <c r="DJ170" s="25"/>
    </row>
    <row r="171" spans="1:114" s="100" customFormat="1" hidden="1" outlineLevel="1">
      <c r="A171" s="170"/>
      <c r="B171" s="170"/>
      <c r="C171" s="170"/>
      <c r="D171" s="217"/>
      <c r="E171" s="170"/>
      <c r="F171" s="170"/>
      <c r="G171" s="170"/>
      <c r="H171" s="217"/>
      <c r="I171" s="170"/>
      <c r="J171" s="170"/>
      <c r="K171" s="170"/>
      <c r="L171" s="217"/>
      <c r="M171" s="170"/>
      <c r="N171" s="170"/>
      <c r="O171" s="170"/>
      <c r="P171" s="217"/>
      <c r="Q171" s="170"/>
      <c r="R171" s="170"/>
      <c r="S171" s="170"/>
      <c r="T171" s="217"/>
      <c r="U171" s="170"/>
      <c r="V171" s="170"/>
      <c r="W171" s="170"/>
      <c r="X171" s="217"/>
      <c r="Y171" s="170"/>
      <c r="Z171" s="170"/>
      <c r="AA171" s="170"/>
      <c r="AB171" s="217"/>
      <c r="AC171" s="170"/>
      <c r="AD171" s="170"/>
      <c r="AE171" s="170"/>
      <c r="AF171" s="217"/>
      <c r="AG171" s="170"/>
      <c r="AH171" s="170"/>
      <c r="AI171" s="170"/>
      <c r="AJ171" s="217"/>
      <c r="AK171" s="170"/>
      <c r="AL171" s="170"/>
      <c r="AM171" s="170"/>
      <c r="AN171" s="217"/>
      <c r="AO171" s="170"/>
      <c r="AP171" s="170"/>
      <c r="AQ171" s="170"/>
      <c r="AR171" s="170"/>
      <c r="AS171" s="170"/>
      <c r="AT171" s="170"/>
      <c r="AU171" s="217"/>
      <c r="AV171" s="170"/>
      <c r="AW171" s="170"/>
      <c r="AX171" s="170"/>
      <c r="AY171" s="217"/>
      <c r="AZ171" s="170"/>
      <c r="BA171" s="170"/>
      <c r="BB171" s="170"/>
      <c r="BC171" s="217"/>
      <c r="BD171" s="170"/>
      <c r="BE171" s="170"/>
      <c r="BF171" s="170"/>
      <c r="BG171" s="217"/>
      <c r="BH171" s="170"/>
      <c r="BI171" s="170"/>
      <c r="BJ171" s="170"/>
      <c r="BK171" s="217"/>
      <c r="BL171" s="170"/>
      <c r="BM171" s="170"/>
      <c r="BN171" s="170"/>
      <c r="BO171" s="217"/>
      <c r="BP171" s="170"/>
      <c r="BQ171" s="170"/>
      <c r="BR171" s="25"/>
      <c r="BS171" s="34"/>
      <c r="BT171" s="25"/>
      <c r="BU171" s="25"/>
      <c r="BV171" s="25"/>
      <c r="BW171" s="34"/>
      <c r="BX171" s="25"/>
      <c r="BY171" s="25"/>
      <c r="BZ171" s="25"/>
      <c r="CA171" s="34"/>
      <c r="CB171" s="25"/>
      <c r="CC171" s="25"/>
      <c r="CD171" s="175"/>
      <c r="CE171" s="34"/>
      <c r="CF171" s="175"/>
      <c r="CG171" s="175"/>
      <c r="CH171" s="175"/>
      <c r="CI171" s="34"/>
      <c r="CJ171" s="175"/>
      <c r="CK171" s="175"/>
      <c r="CL171" s="175"/>
      <c r="CM171" s="34"/>
      <c r="CN171" s="175"/>
      <c r="CO171" s="175"/>
      <c r="CP171" s="175"/>
      <c r="CQ171" s="34"/>
      <c r="CR171" s="175"/>
      <c r="CS171" s="175"/>
      <c r="CT171" s="175"/>
      <c r="CU171" s="34"/>
      <c r="CV171" s="175"/>
      <c r="CW171" s="1472"/>
      <c r="CX171" s="175"/>
      <c r="CY171" s="34"/>
      <c r="CZ171" s="175"/>
      <c r="DA171" s="1472"/>
      <c r="DB171" s="175"/>
      <c r="DC171" s="175"/>
      <c r="DD171" s="175"/>
      <c r="DE171" s="266"/>
      <c r="DF171" s="175"/>
      <c r="DG171" s="25"/>
      <c r="DH171" s="25"/>
      <c r="DI171" s="25"/>
      <c r="DJ171" s="25"/>
    </row>
    <row r="172" spans="1:114" s="100" customFormat="1" hidden="1" outlineLevel="1">
      <c r="A172" s="170"/>
      <c r="B172" s="170"/>
      <c r="C172" s="170"/>
      <c r="D172" s="217"/>
      <c r="E172" s="170"/>
      <c r="F172" s="170"/>
      <c r="G172" s="170"/>
      <c r="H172" s="217"/>
      <c r="I172" s="170"/>
      <c r="J172" s="170"/>
      <c r="K172" s="170"/>
      <c r="L172" s="217"/>
      <c r="M172" s="170"/>
      <c r="N172" s="170"/>
      <c r="O172" s="170"/>
      <c r="P172" s="217"/>
      <c r="Q172" s="170"/>
      <c r="R172" s="170"/>
      <c r="S172" s="170"/>
      <c r="T172" s="217"/>
      <c r="U172" s="170"/>
      <c r="V172" s="170"/>
      <c r="W172" s="170"/>
      <c r="X172" s="217"/>
      <c r="Y172" s="170"/>
      <c r="Z172" s="170"/>
      <c r="AA172" s="170"/>
      <c r="AB172" s="217"/>
      <c r="AC172" s="170"/>
      <c r="AD172" s="170"/>
      <c r="AE172" s="170"/>
      <c r="AF172" s="217"/>
      <c r="AG172" s="170"/>
      <c r="AH172" s="170"/>
      <c r="AI172" s="170"/>
      <c r="AJ172" s="217"/>
      <c r="AK172" s="170"/>
      <c r="AL172" s="170"/>
      <c r="AM172" s="170"/>
      <c r="AN172" s="217"/>
      <c r="AO172" s="170"/>
      <c r="AP172" s="170"/>
      <c r="AQ172" s="170"/>
      <c r="AR172" s="170"/>
      <c r="AS172" s="170"/>
      <c r="AT172" s="170"/>
      <c r="AU172" s="217"/>
      <c r="AV172" s="170"/>
      <c r="AW172" s="170"/>
      <c r="AX172" s="170"/>
      <c r="AY172" s="217"/>
      <c r="AZ172" s="170"/>
      <c r="BA172" s="170"/>
      <c r="BB172" s="170"/>
      <c r="BC172" s="217"/>
      <c r="BD172" s="170"/>
      <c r="BE172" s="170"/>
      <c r="BF172" s="170"/>
      <c r="BG172" s="217"/>
      <c r="BH172" s="170"/>
      <c r="BI172" s="170"/>
      <c r="BJ172" s="170"/>
      <c r="BK172" s="217"/>
      <c r="BL172" s="170"/>
      <c r="BM172" s="170"/>
      <c r="BN172" s="170"/>
      <c r="BO172" s="217"/>
      <c r="BP172" s="170"/>
      <c r="BQ172" s="170"/>
      <c r="BR172" s="25"/>
      <c r="BS172" s="34"/>
      <c r="BT172" s="25"/>
      <c r="BU172" s="25"/>
      <c r="BV172" s="25"/>
      <c r="BW172" s="34"/>
      <c r="BX172" s="25"/>
      <c r="BY172" s="25"/>
      <c r="BZ172" s="25"/>
      <c r="CA172" s="34"/>
      <c r="CB172" s="25"/>
      <c r="CC172" s="25"/>
      <c r="CD172" s="175"/>
      <c r="CE172" s="34"/>
      <c r="CF172" s="175"/>
      <c r="CG172" s="175"/>
      <c r="CH172" s="175"/>
      <c r="CI172" s="34"/>
      <c r="CJ172" s="175"/>
      <c r="CK172" s="175"/>
      <c r="CL172" s="175"/>
      <c r="CM172" s="34"/>
      <c r="CN172" s="175"/>
      <c r="CO172" s="175"/>
      <c r="CP172" s="175"/>
      <c r="CQ172" s="34"/>
      <c r="CR172" s="175"/>
      <c r="CS172" s="175"/>
      <c r="CT172" s="175"/>
      <c r="CU172" s="34"/>
      <c r="CV172" s="175"/>
      <c r="CW172" s="1472"/>
      <c r="CX172" s="175"/>
      <c r="CY172" s="34"/>
      <c r="CZ172" s="175"/>
      <c r="DA172" s="1472"/>
      <c r="DB172" s="175"/>
      <c r="DC172" s="175"/>
      <c r="DD172" s="175"/>
      <c r="DE172" s="266"/>
      <c r="DF172" s="175"/>
      <c r="DG172" s="25"/>
      <c r="DH172" s="25"/>
      <c r="DI172" s="25"/>
      <c r="DJ172" s="25"/>
    </row>
    <row r="173" spans="1:114" s="100" customFormat="1" hidden="1" outlineLevel="1">
      <c r="A173" s="170"/>
      <c r="B173" s="170"/>
      <c r="C173" s="170"/>
      <c r="D173" s="217"/>
      <c r="E173" s="170"/>
      <c r="F173" s="170"/>
      <c r="G173" s="170"/>
      <c r="H173" s="217"/>
      <c r="I173" s="170"/>
      <c r="J173" s="170"/>
      <c r="K173" s="170"/>
      <c r="L173" s="217"/>
      <c r="M173" s="170"/>
      <c r="N173" s="170"/>
      <c r="O173" s="170"/>
      <c r="P173" s="217"/>
      <c r="Q173" s="170"/>
      <c r="R173" s="170"/>
      <c r="S173" s="170"/>
      <c r="T173" s="217"/>
      <c r="U173" s="170"/>
      <c r="V173" s="170"/>
      <c r="W173" s="170"/>
      <c r="X173" s="217"/>
      <c r="Y173" s="170"/>
      <c r="Z173" s="170"/>
      <c r="AA173" s="170"/>
      <c r="AB173" s="217"/>
      <c r="AC173" s="170"/>
      <c r="AD173" s="170"/>
      <c r="AE173" s="170"/>
      <c r="AF173" s="217"/>
      <c r="AG173" s="170"/>
      <c r="AH173" s="170"/>
      <c r="AI173" s="170"/>
      <c r="AJ173" s="217"/>
      <c r="AK173" s="170"/>
      <c r="AL173" s="170"/>
      <c r="AM173" s="170"/>
      <c r="AN173" s="217"/>
      <c r="AO173" s="170"/>
      <c r="AP173" s="170"/>
      <c r="AQ173" s="170"/>
      <c r="AR173" s="170"/>
      <c r="AS173" s="170"/>
      <c r="AT173" s="170"/>
      <c r="AU173" s="217"/>
      <c r="AV173" s="170"/>
      <c r="AW173" s="170"/>
      <c r="AX173" s="170"/>
      <c r="AY173" s="217"/>
      <c r="AZ173" s="170"/>
      <c r="BA173" s="170"/>
      <c r="BB173" s="170"/>
      <c r="BC173" s="217"/>
      <c r="BD173" s="170"/>
      <c r="BE173" s="170"/>
      <c r="BF173" s="170"/>
      <c r="BG173" s="217"/>
      <c r="BH173" s="170"/>
      <c r="BI173" s="170"/>
      <c r="BJ173" s="170"/>
      <c r="BK173" s="217"/>
      <c r="BL173" s="170"/>
      <c r="BM173" s="170"/>
      <c r="BN173" s="170"/>
      <c r="BO173" s="217"/>
      <c r="BP173" s="170"/>
      <c r="BQ173" s="170"/>
      <c r="BR173" s="25"/>
      <c r="BS173" s="34"/>
      <c r="BT173" s="25"/>
      <c r="BU173" s="25"/>
      <c r="BV173" s="25"/>
      <c r="BW173" s="34"/>
      <c r="BX173" s="25"/>
      <c r="BY173" s="25"/>
      <c r="BZ173" s="25"/>
      <c r="CA173" s="34"/>
      <c r="CB173" s="25"/>
      <c r="CC173" s="25"/>
      <c r="CD173" s="175"/>
      <c r="CE173" s="34"/>
      <c r="CF173" s="175"/>
      <c r="CG173" s="175"/>
      <c r="CH173" s="175"/>
      <c r="CI173" s="34"/>
      <c r="CJ173" s="175"/>
      <c r="CK173" s="175"/>
      <c r="CL173" s="175"/>
      <c r="CM173" s="34"/>
      <c r="CN173" s="175"/>
      <c r="CO173" s="175"/>
      <c r="CP173" s="175"/>
      <c r="CQ173" s="34"/>
      <c r="CR173" s="175"/>
      <c r="CS173" s="175"/>
      <c r="CT173" s="175"/>
      <c r="CU173" s="34"/>
      <c r="CV173" s="175"/>
      <c r="CW173" s="1472"/>
      <c r="CX173" s="175"/>
      <c r="CY173" s="34"/>
      <c r="CZ173" s="175"/>
      <c r="DA173" s="1472"/>
      <c r="DB173" s="175"/>
      <c r="DC173" s="175"/>
      <c r="DD173" s="175"/>
      <c r="DE173" s="266"/>
      <c r="DF173" s="175"/>
      <c r="DG173" s="25"/>
      <c r="DH173" s="25"/>
      <c r="DI173" s="25"/>
      <c r="DJ173" s="25"/>
    </row>
    <row r="174" spans="1:114" s="100" customFormat="1" hidden="1" outlineLevel="1">
      <c r="A174" s="170"/>
      <c r="B174" s="170"/>
      <c r="C174" s="170"/>
      <c r="D174" s="217"/>
      <c r="E174" s="170"/>
      <c r="F174" s="170"/>
      <c r="G174" s="170"/>
      <c r="H174" s="217"/>
      <c r="I174" s="170"/>
      <c r="J174" s="170"/>
      <c r="K174" s="170"/>
      <c r="L174" s="217"/>
      <c r="M174" s="170"/>
      <c r="N174" s="170"/>
      <c r="O174" s="170"/>
      <c r="P174" s="217"/>
      <c r="Q174" s="170"/>
      <c r="R174" s="170"/>
      <c r="S174" s="170"/>
      <c r="T174" s="217"/>
      <c r="U174" s="170"/>
      <c r="V174" s="170"/>
      <c r="W174" s="170"/>
      <c r="X174" s="217"/>
      <c r="Y174" s="170"/>
      <c r="Z174" s="170"/>
      <c r="AA174" s="170"/>
      <c r="AB174" s="217"/>
      <c r="AC174" s="170"/>
      <c r="AD174" s="170"/>
      <c r="AE174" s="170"/>
      <c r="AF174" s="217"/>
      <c r="AG174" s="170"/>
      <c r="AH174" s="170"/>
      <c r="AI174" s="184" t="s">
        <v>453</v>
      </c>
      <c r="AJ174" s="217"/>
      <c r="AK174" s="170"/>
      <c r="AL174" s="170"/>
      <c r="AM174" s="170"/>
      <c r="AN174" s="217"/>
      <c r="AO174" s="170"/>
      <c r="AP174" s="170"/>
      <c r="AQ174" s="170"/>
      <c r="AR174" s="170"/>
      <c r="AS174" s="170"/>
      <c r="AT174" s="170"/>
      <c r="AU174" s="217"/>
      <c r="AV174" s="170"/>
      <c r="AW174" s="170"/>
      <c r="AX174" s="170"/>
      <c r="AY174" s="217"/>
      <c r="AZ174" s="170"/>
      <c r="BA174" s="170"/>
      <c r="BB174" s="170"/>
      <c r="BC174" s="217"/>
      <c r="BD174" s="170"/>
      <c r="BE174" s="170"/>
      <c r="BF174" s="170"/>
      <c r="BG174" s="217"/>
      <c r="BH174" s="170"/>
      <c r="BI174" s="170"/>
      <c r="BJ174" s="170"/>
      <c r="BK174" s="217"/>
      <c r="BL174" s="170"/>
      <c r="BM174" s="184" t="s">
        <v>453</v>
      </c>
      <c r="BN174" s="170"/>
      <c r="BO174" s="217"/>
      <c r="BP174" s="170"/>
      <c r="BQ174" s="170"/>
      <c r="BR174" s="25"/>
      <c r="BS174" s="34"/>
      <c r="BT174" s="25"/>
      <c r="BU174" s="25"/>
      <c r="BV174" s="25"/>
      <c r="BW174" s="34"/>
      <c r="BX174" s="25"/>
      <c r="BY174" s="25"/>
      <c r="BZ174" s="25"/>
      <c r="CA174" s="34"/>
      <c r="CB174" s="25"/>
      <c r="CC174" s="25"/>
      <c r="CD174" s="175"/>
      <c r="CE174" s="34"/>
      <c r="CF174" s="175"/>
      <c r="CG174" s="175"/>
      <c r="CH174" s="175"/>
      <c r="CI174" s="34"/>
      <c r="CJ174" s="175"/>
      <c r="CK174" s="175"/>
      <c r="CL174" s="175"/>
      <c r="CM174" s="34"/>
      <c r="CN174" s="175"/>
      <c r="CO174" s="175"/>
      <c r="CP174" s="175"/>
      <c r="CQ174" s="34"/>
      <c r="CR174" s="175"/>
      <c r="CS174" s="175"/>
      <c r="CT174" s="175"/>
      <c r="CU174" s="34"/>
      <c r="CV174" s="175"/>
      <c r="CW174" s="1472"/>
      <c r="CX174" s="175"/>
      <c r="CY174" s="34"/>
      <c r="CZ174" s="175"/>
      <c r="DA174" s="1472"/>
      <c r="DB174" s="175"/>
      <c r="DC174" s="175"/>
      <c r="DD174" s="175"/>
      <c r="DE174" s="266"/>
      <c r="DF174" s="175"/>
      <c r="DG174" s="25"/>
      <c r="DH174" s="25"/>
      <c r="DI174" s="25"/>
      <c r="DJ174" s="25"/>
    </row>
    <row r="175" spans="1:114" s="100" customFormat="1" hidden="1" outlineLevel="1">
      <c r="A175" s="170" t="str">
        <f>$A$10</f>
        <v>1Q</v>
      </c>
      <c r="B175" s="170" t="str">
        <f>$B$10</f>
        <v>Apr</v>
      </c>
      <c r="C175" s="170"/>
      <c r="D175" s="217"/>
      <c r="E175" s="170"/>
      <c r="F175" s="170"/>
      <c r="G175" s="170"/>
      <c r="H175" s="217"/>
      <c r="I175" s="170"/>
      <c r="J175" s="170"/>
      <c r="K175" s="170"/>
      <c r="L175" s="217"/>
      <c r="M175" s="170"/>
      <c r="N175" s="170"/>
      <c r="O175" s="170"/>
      <c r="P175" s="217"/>
      <c r="Q175" s="170"/>
      <c r="R175" s="170"/>
      <c r="S175" s="170"/>
      <c r="T175" s="217"/>
      <c r="U175" s="170"/>
      <c r="V175" s="170"/>
      <c r="W175" s="170"/>
      <c r="X175" s="217"/>
      <c r="Y175" s="170"/>
      <c r="Z175" s="170"/>
      <c r="AA175" s="170"/>
      <c r="AB175" s="217">
        <v>0</v>
      </c>
      <c r="AC175" s="170"/>
      <c r="AD175" s="170"/>
      <c r="AE175" s="170"/>
      <c r="AF175" s="217">
        <f>0</f>
        <v>0</v>
      </c>
      <c r="AG175" s="170"/>
      <c r="AH175" s="170"/>
      <c r="AI175" s="170"/>
      <c r="AJ175" s="217">
        <f>2.407+41.47</f>
        <v>43.876999999999995</v>
      </c>
      <c r="AK175" s="170"/>
      <c r="AL175" s="170"/>
      <c r="AM175" s="170"/>
      <c r="AN175" s="170">
        <f>1.175</f>
        <v>1.175</v>
      </c>
      <c r="AO175" s="170"/>
      <c r="AP175" s="170"/>
      <c r="AQ175" s="170"/>
      <c r="AR175" s="170"/>
      <c r="AS175" s="170"/>
      <c r="AT175" s="170"/>
      <c r="AU175" s="217">
        <f>2.262</f>
        <v>2.262</v>
      </c>
      <c r="AV175" s="170"/>
      <c r="AW175" s="170"/>
      <c r="AX175" s="170"/>
      <c r="AY175" s="217">
        <f>6.699</f>
        <v>6.6989999999999998</v>
      </c>
      <c r="AZ175" s="170"/>
      <c r="BA175" s="170"/>
      <c r="BB175" s="170"/>
      <c r="BC175" s="217">
        <v>1.41</v>
      </c>
      <c r="BD175" s="170"/>
      <c r="BE175" s="170"/>
      <c r="BF175" s="170"/>
      <c r="BG175" s="217">
        <f>1.767</f>
        <v>1.7669999999999999</v>
      </c>
      <c r="BH175" s="170"/>
      <c r="BI175" s="170"/>
      <c r="BJ175" s="170"/>
      <c r="BK175" s="217">
        <v>6.1120000000000001</v>
      </c>
      <c r="BL175" s="170"/>
      <c r="BM175" s="170"/>
      <c r="BN175" s="170"/>
      <c r="BO175" s="217">
        <v>0.61899999999999999</v>
      </c>
      <c r="BP175" s="170"/>
      <c r="BQ175" s="170"/>
      <c r="BR175" s="25"/>
      <c r="BS175" s="34">
        <v>4.2089999999999996</v>
      </c>
      <c r="BT175" s="25"/>
      <c r="BU175" s="25"/>
      <c r="BV175" s="25"/>
      <c r="BW175" s="34">
        <v>2.3530000000000002</v>
      </c>
      <c r="BX175" s="25"/>
      <c r="BY175" s="25"/>
      <c r="BZ175" s="25"/>
      <c r="CA175" s="34">
        <v>2.109</v>
      </c>
      <c r="CB175" s="25"/>
      <c r="CC175" s="25"/>
      <c r="CD175" s="175"/>
      <c r="CE175" s="34">
        <v>17.504000000000001</v>
      </c>
      <c r="CF175" s="175"/>
      <c r="CG175" s="175"/>
      <c r="CH175" s="175"/>
      <c r="CI175" s="34">
        <v>0.79800000000000004</v>
      </c>
      <c r="CJ175" s="175"/>
      <c r="CK175" s="175"/>
      <c r="CL175" s="175"/>
      <c r="CM175" s="34">
        <f>CM208*CM153</f>
        <v>0.83239088663189686</v>
      </c>
      <c r="CN175" s="175"/>
      <c r="CO175" s="175"/>
      <c r="CP175" s="175"/>
      <c r="CQ175" s="34">
        <f>CQ208*CQ153</f>
        <v>0.83239088663189686</v>
      </c>
      <c r="CR175" s="175"/>
      <c r="CS175" s="175"/>
      <c r="CT175" s="175"/>
      <c r="CU175" s="34">
        <f>CU208*CU153</f>
        <v>0.83239088663189686</v>
      </c>
      <c r="CV175" s="175"/>
      <c r="CW175" s="1472"/>
      <c r="CX175" s="175"/>
      <c r="CY175" s="34">
        <f>CY208*CY153</f>
        <v>0.83239088663189686</v>
      </c>
      <c r="CZ175" s="175"/>
      <c r="DA175" s="1472"/>
      <c r="DB175" s="175"/>
      <c r="DC175" s="175"/>
      <c r="DD175" s="175"/>
      <c r="DE175" s="266"/>
      <c r="DF175" s="175"/>
      <c r="DG175" s="25"/>
      <c r="DH175" s="25"/>
      <c r="DI175" s="25"/>
      <c r="DJ175" s="25"/>
    </row>
    <row r="176" spans="1:114" s="100" customFormat="1" hidden="1" outlineLevel="1">
      <c r="A176" s="170" t="str">
        <f>$A$11</f>
        <v>2Q</v>
      </c>
      <c r="B176" s="170" t="str">
        <f>$B$11</f>
        <v>Jul</v>
      </c>
      <c r="C176" s="170"/>
      <c r="D176" s="217"/>
      <c r="E176" s="170"/>
      <c r="F176" s="170"/>
      <c r="G176" s="170"/>
      <c r="H176" s="217"/>
      <c r="I176" s="170"/>
      <c r="J176" s="170"/>
      <c r="K176" s="170"/>
      <c r="L176" s="217"/>
      <c r="M176" s="170"/>
      <c r="N176" s="170"/>
      <c r="O176" s="170"/>
      <c r="P176" s="217"/>
      <c r="Q176" s="170"/>
      <c r="R176" s="170"/>
      <c r="S176" s="170"/>
      <c r="T176" s="217"/>
      <c r="U176" s="170"/>
      <c r="V176" s="170"/>
      <c r="W176" s="170"/>
      <c r="X176" s="217"/>
      <c r="Y176" s="170"/>
      <c r="Z176" s="170"/>
      <c r="AA176" s="170"/>
      <c r="AB176" s="217">
        <f>0-AB175</f>
        <v>0</v>
      </c>
      <c r="AC176" s="170"/>
      <c r="AD176" s="170"/>
      <c r="AE176" s="170"/>
      <c r="AF176" s="217">
        <f>0.099-AF175</f>
        <v>9.9000000000000005E-2</v>
      </c>
      <c r="AG176" s="170"/>
      <c r="AH176" s="170"/>
      <c r="AI176" s="170"/>
      <c r="AJ176" s="217">
        <f>2.643+41.47-AJ175</f>
        <v>0.23600000000000421</v>
      </c>
      <c r="AK176" s="170"/>
      <c r="AL176" s="170"/>
      <c r="AM176" s="170"/>
      <c r="AN176" s="170">
        <f>4.892-AN175</f>
        <v>3.7170000000000005</v>
      </c>
      <c r="AO176" s="170"/>
      <c r="AP176" s="170"/>
      <c r="AQ176" s="170"/>
      <c r="AR176" s="170"/>
      <c r="AS176" s="170"/>
      <c r="AT176" s="170"/>
      <c r="AU176" s="217">
        <f>4.274-AU175</f>
        <v>2.012</v>
      </c>
      <c r="AV176" s="170"/>
      <c r="AW176" s="170"/>
      <c r="AX176" s="170"/>
      <c r="AY176" s="217">
        <f>11.134-AY175</f>
        <v>4.4350000000000005</v>
      </c>
      <c r="AZ176" s="170"/>
      <c r="BA176" s="170"/>
      <c r="BB176" s="170"/>
      <c r="BC176" s="217">
        <f>3.249-BC175</f>
        <v>1.8390000000000002</v>
      </c>
      <c r="BD176" s="170"/>
      <c r="BE176" s="170"/>
      <c r="BF176" s="170"/>
      <c r="BG176" s="217">
        <f>3.064-BG175</f>
        <v>1.2970000000000002</v>
      </c>
      <c r="BH176" s="170"/>
      <c r="BI176" s="170"/>
      <c r="BJ176" s="170"/>
      <c r="BK176" s="217">
        <f>6.87-BK175</f>
        <v>0.75800000000000001</v>
      </c>
      <c r="BL176" s="170"/>
      <c r="BM176" s="170"/>
      <c r="BN176" s="170"/>
      <c r="BO176" s="217">
        <f>1.225-BO175</f>
        <v>0.60600000000000009</v>
      </c>
      <c r="BP176" s="170"/>
      <c r="BQ176" s="170"/>
      <c r="BR176" s="25"/>
      <c r="BS176" s="34">
        <f>11-BS175</f>
        <v>6.7910000000000004</v>
      </c>
      <c r="BT176" s="25"/>
      <c r="BU176" s="25"/>
      <c r="BV176" s="25"/>
      <c r="BW176" s="34">
        <f>3.466-BW175</f>
        <v>1.113</v>
      </c>
      <c r="BX176" s="25"/>
      <c r="BY176" s="25"/>
      <c r="BZ176" s="25"/>
      <c r="CA176" s="34">
        <f>2.645-CA175</f>
        <v>0.53600000000000003</v>
      </c>
      <c r="CB176" s="25"/>
      <c r="CC176" s="25"/>
      <c r="CD176" s="175"/>
      <c r="CE176" s="34">
        <f>30.188-CE175</f>
        <v>12.683999999999997</v>
      </c>
      <c r="CF176" s="175"/>
      <c r="CG176" s="175"/>
      <c r="CH176" s="175"/>
      <c r="CI176" s="34">
        <f>2.927-CI175</f>
        <v>2.129</v>
      </c>
      <c r="CJ176" s="175"/>
      <c r="CK176" s="175"/>
      <c r="CL176" s="175"/>
      <c r="CM176" s="34">
        <f>CM209*CM154</f>
        <v>2.4063652587745392</v>
      </c>
      <c r="CN176" s="175"/>
      <c r="CO176" s="175"/>
      <c r="CP176" s="175"/>
      <c r="CQ176" s="34">
        <f>CQ209*CQ154</f>
        <v>2.4063652587745392</v>
      </c>
      <c r="CR176" s="175"/>
      <c r="CS176" s="175"/>
      <c r="CT176" s="175"/>
      <c r="CU176" s="34">
        <f>CU209*CU154</f>
        <v>2.4063652587745392</v>
      </c>
      <c r="CV176" s="175"/>
      <c r="CW176" s="1472"/>
      <c r="CX176" s="175"/>
      <c r="CY176" s="34">
        <f>CY209*CY154</f>
        <v>2.4063652587745392</v>
      </c>
      <c r="CZ176" s="175"/>
      <c r="DA176" s="1472"/>
      <c r="DB176" s="175"/>
      <c r="DC176" s="175"/>
      <c r="DD176" s="175"/>
      <c r="DE176" s="266"/>
      <c r="DF176" s="175"/>
      <c r="DG176" s="25"/>
      <c r="DH176" s="25"/>
      <c r="DI176" s="25"/>
      <c r="DJ176" s="25"/>
    </row>
    <row r="177" spans="1:114" s="100" customFormat="1" hidden="1" outlineLevel="1">
      <c r="A177" s="170" t="str">
        <f>$A$12</f>
        <v>3Q</v>
      </c>
      <c r="B177" s="170" t="str">
        <f>$B$12</f>
        <v>Oct</v>
      </c>
      <c r="C177" s="170"/>
      <c r="D177" s="217"/>
      <c r="E177" s="170"/>
      <c r="F177" s="170"/>
      <c r="G177" s="170"/>
      <c r="H177" s="217"/>
      <c r="I177" s="170"/>
      <c r="J177" s="170"/>
      <c r="K177" s="170"/>
      <c r="L177" s="217"/>
      <c r="M177" s="170"/>
      <c r="N177" s="170"/>
      <c r="O177" s="170"/>
      <c r="P177" s="217"/>
      <c r="Q177" s="170"/>
      <c r="R177" s="170"/>
      <c r="S177" s="170"/>
      <c r="T177" s="217"/>
      <c r="U177" s="170"/>
      <c r="V177" s="170"/>
      <c r="W177" s="170"/>
      <c r="X177" s="217"/>
      <c r="Y177" s="170"/>
      <c r="Z177" s="170"/>
      <c r="AA177" s="170"/>
      <c r="AB177" s="217">
        <f>0-AB176-AB175</f>
        <v>0</v>
      </c>
      <c r="AC177" s="170"/>
      <c r="AD177" s="170"/>
      <c r="AE177" s="170"/>
      <c r="AF177" s="217">
        <f>0.106-AF176-AF175</f>
        <v>6.9999999999999923E-3</v>
      </c>
      <c r="AG177" s="170"/>
      <c r="AH177" s="170"/>
      <c r="AI177" s="170"/>
      <c r="AJ177" s="217">
        <f>3.819+41.546-AJ176-AJ175</f>
        <v>1.2520000000000024</v>
      </c>
      <c r="AK177" s="170"/>
      <c r="AL177" s="170"/>
      <c r="AM177" s="170"/>
      <c r="AN177" s="170">
        <f>5.896-AN176-AN175</f>
        <v>1.0039999999999993</v>
      </c>
      <c r="AO177" s="170"/>
      <c r="AP177" s="170"/>
      <c r="AQ177" s="170"/>
      <c r="AR177" s="170"/>
      <c r="AS177" s="170"/>
      <c r="AT177" s="170"/>
      <c r="AU177" s="217">
        <f>5.676-AU176-AU175</f>
        <v>1.4020000000000001</v>
      </c>
      <c r="AV177" s="170"/>
      <c r="AW177" s="170"/>
      <c r="AX177" s="170"/>
      <c r="AY177" s="217">
        <f>11.937-AY176-AY175</f>
        <v>0.80299999999999905</v>
      </c>
      <c r="AZ177" s="170"/>
      <c r="BA177" s="170"/>
      <c r="BB177" s="170"/>
      <c r="BC177" s="217">
        <f>4.431-BC176-BC175</f>
        <v>1.1819999999999997</v>
      </c>
      <c r="BD177" s="170"/>
      <c r="BE177" s="170"/>
      <c r="BF177" s="170"/>
      <c r="BG177" s="217">
        <f>3.997-BG176-BG175</f>
        <v>0.93299999999999983</v>
      </c>
      <c r="BH177" s="170"/>
      <c r="BI177" s="170"/>
      <c r="BJ177" s="170"/>
      <c r="BK177" s="217">
        <f>8.864-BK176-BK175</f>
        <v>1.9940000000000015</v>
      </c>
      <c r="BL177" s="170"/>
      <c r="BM177" s="170"/>
      <c r="BN177" s="170"/>
      <c r="BO177" s="217">
        <f>2.272-BO176-BO175</f>
        <v>1.0469999999999997</v>
      </c>
      <c r="BP177" s="170"/>
      <c r="BQ177" s="170"/>
      <c r="BR177" s="25"/>
      <c r="BS177" s="34">
        <f>11.379-BS176-BS175</f>
        <v>0.37899999999999956</v>
      </c>
      <c r="BT177" s="25"/>
      <c r="BU177" s="25"/>
      <c r="BV177" s="25"/>
      <c r="BW177" s="34">
        <f>3.511-BW176-BW175</f>
        <v>4.4999999999999929E-2</v>
      </c>
      <c r="BX177" s="25"/>
      <c r="BY177" s="25"/>
      <c r="BZ177" s="25"/>
      <c r="CA177" s="34">
        <f>28.068-CA176-CA175</f>
        <v>25.423000000000002</v>
      </c>
      <c r="CB177" s="25"/>
      <c r="CC177" s="25"/>
      <c r="CD177" s="175"/>
      <c r="CE177" s="34">
        <f>34.2-CE176-CE175</f>
        <v>4.012000000000004</v>
      </c>
      <c r="CF177" s="175"/>
      <c r="CG177" s="175"/>
      <c r="CH177" s="175"/>
      <c r="CI177" s="34">
        <f>10.692-CI176-CI175</f>
        <v>7.7650000000000006</v>
      </c>
      <c r="CJ177" s="175"/>
      <c r="CK177" s="175"/>
      <c r="CL177" s="175"/>
      <c r="CM177" s="34">
        <f>CM210*CM155</f>
        <v>8.0008134490238607</v>
      </c>
      <c r="CN177" s="175"/>
      <c r="CO177" s="175"/>
      <c r="CP177" s="175"/>
      <c r="CQ177" s="34">
        <f>CQ210*CQ155</f>
        <v>8.0008134490238607</v>
      </c>
      <c r="CR177" s="175"/>
      <c r="CS177" s="175"/>
      <c r="CT177" s="175"/>
      <c r="CU177" s="34">
        <f>CU210*CU155</f>
        <v>8.0008134490238607</v>
      </c>
      <c r="CV177" s="175"/>
      <c r="CW177" s="1472"/>
      <c r="CX177" s="175"/>
      <c r="CY177" s="34">
        <f>CY210*CY155</f>
        <v>8.0008134490238607</v>
      </c>
      <c r="CZ177" s="175"/>
      <c r="DA177" s="1472"/>
      <c r="DB177" s="175"/>
      <c r="DC177" s="175"/>
      <c r="DD177" s="175"/>
      <c r="DE177" s="266"/>
      <c r="DF177" s="175"/>
      <c r="DG177" s="25"/>
      <c r="DH177" s="25"/>
      <c r="DI177" s="25"/>
      <c r="DJ177" s="25"/>
    </row>
    <row r="178" spans="1:114" s="100" customFormat="1" hidden="1" outlineLevel="1">
      <c r="A178" s="170" t="str">
        <f>$A$13</f>
        <v>4Q</v>
      </c>
      <c r="B178" s="170" t="str">
        <f>$B$13</f>
        <v>Jan</v>
      </c>
      <c r="C178" s="170"/>
      <c r="D178" s="217"/>
      <c r="E178" s="170"/>
      <c r="F178" s="170"/>
      <c r="G178" s="170"/>
      <c r="H178" s="217"/>
      <c r="I178" s="170"/>
      <c r="J178" s="170"/>
      <c r="K178" s="170"/>
      <c r="L178" s="217"/>
      <c r="M178" s="170"/>
      <c r="N178" s="170"/>
      <c r="O178" s="170"/>
      <c r="P178" s="217"/>
      <c r="Q178" s="170"/>
      <c r="R178" s="170"/>
      <c r="S178" s="170"/>
      <c r="T178" s="217"/>
      <c r="U178" s="170"/>
      <c r="V178" s="170"/>
      <c r="W178" s="170"/>
      <c r="X178" s="217"/>
      <c r="Y178" s="170"/>
      <c r="Z178" s="170"/>
      <c r="AA178" s="170"/>
      <c r="AB178" s="217">
        <v>0</v>
      </c>
      <c r="AC178" s="170"/>
      <c r="AD178" s="170"/>
      <c r="AE178" s="170"/>
      <c r="AF178" s="217">
        <f>1.281-AF177-AF176-AF177-AF175</f>
        <v>1.1680000000000001</v>
      </c>
      <c r="AG178" s="170"/>
      <c r="AH178" s="170"/>
      <c r="AI178" s="170"/>
      <c r="AJ178" s="217">
        <f>5.496+41.546-AJ177-AJ176-AJ175</f>
        <v>1.6769999999999996</v>
      </c>
      <c r="AK178" s="170"/>
      <c r="AL178" s="170"/>
      <c r="AM178" s="170"/>
      <c r="AN178" s="217">
        <f>8.542-AN177-AN176-AN175</f>
        <v>2.6459999999999999</v>
      </c>
      <c r="AO178" s="170"/>
      <c r="AP178" s="170"/>
      <c r="AQ178" s="170"/>
      <c r="AR178" s="170"/>
      <c r="AS178" s="170"/>
      <c r="AT178" s="170"/>
      <c r="AU178" s="217">
        <f>6.917-AU177-AU176-AU175</f>
        <v>1.2409999999999997</v>
      </c>
      <c r="AV178" s="170"/>
      <c r="AW178" s="170"/>
      <c r="AX178" s="170"/>
      <c r="AY178" s="217">
        <f>15.23-AY177-AY176-AY175</f>
        <v>3.293000000000001</v>
      </c>
      <c r="AZ178" s="170"/>
      <c r="BA178" s="170"/>
      <c r="BB178" s="170"/>
      <c r="BC178" s="217">
        <f>6.351-BC177-BC176-BC175</f>
        <v>1.9200000000000002</v>
      </c>
      <c r="BD178" s="170"/>
      <c r="BE178" s="170"/>
      <c r="BF178" s="170"/>
      <c r="BG178" s="217">
        <f>5-BG177-BG176-BG175</f>
        <v>1.0030000000000001</v>
      </c>
      <c r="BH178" s="170"/>
      <c r="BI178" s="170"/>
      <c r="BJ178" s="170"/>
      <c r="BK178" s="217">
        <f>8.891-BK177-BK176-BK175</f>
        <v>2.6999999999998359E-2</v>
      </c>
      <c r="BL178" s="170"/>
      <c r="BM178" s="170"/>
      <c r="BN178" s="170"/>
      <c r="BO178" s="217">
        <f>3.25-BO177-BO176-BO175</f>
        <v>0.9780000000000002</v>
      </c>
      <c r="BP178" s="170"/>
      <c r="BQ178" s="170"/>
      <c r="BR178" s="25"/>
      <c r="BS178" s="34">
        <f>24.129-BS177-BS176-BS175</f>
        <v>12.75</v>
      </c>
      <c r="BT178" s="25"/>
      <c r="BU178" s="25"/>
      <c r="BV178" s="25"/>
      <c r="BW178" s="34">
        <f>4.136-BW177-BW176-BW175</f>
        <v>0.625</v>
      </c>
      <c r="BX178" s="25"/>
      <c r="BY178" s="25"/>
      <c r="BZ178" s="25"/>
      <c r="CA178" s="34">
        <f>30.671-CA177-CA176-CA175</f>
        <v>2.602999999999998</v>
      </c>
      <c r="CB178" s="25"/>
      <c r="CC178" s="25"/>
      <c r="CD178" s="175"/>
      <c r="CE178" s="34">
        <f>35.218-CE177-CE176-CE175</f>
        <v>1.0180000000000007</v>
      </c>
      <c r="CF178" s="175"/>
      <c r="CG178" s="175"/>
      <c r="CH178" s="175"/>
      <c r="CI178" s="34">
        <f>CI211*CI156</f>
        <v>1.063039296510031</v>
      </c>
      <c r="CJ178" s="175"/>
      <c r="CK178" s="175"/>
      <c r="CL178" s="175"/>
      <c r="CM178" s="34">
        <f>CM211*CM156</f>
        <v>1.063039296510031</v>
      </c>
      <c r="CN178" s="175"/>
      <c r="CO178" s="175"/>
      <c r="CP178" s="175"/>
      <c r="CQ178" s="34">
        <f>CQ211*CQ156</f>
        <v>1.063039296510031</v>
      </c>
      <c r="CR178" s="175"/>
      <c r="CS178" s="175"/>
      <c r="CT178" s="175"/>
      <c r="CU178" s="34">
        <f>CU211*CU156</f>
        <v>1.063039296510031</v>
      </c>
      <c r="CV178" s="175"/>
      <c r="CW178" s="1472"/>
      <c r="CX178" s="175"/>
      <c r="CY178" s="34">
        <f>CY211*CY156</f>
        <v>1.063039296510031</v>
      </c>
      <c r="CZ178" s="175"/>
      <c r="DA178" s="1472"/>
      <c r="DB178" s="175"/>
      <c r="DC178" s="175"/>
      <c r="DD178" s="175"/>
      <c r="DE178" s="266"/>
      <c r="DF178" s="175"/>
      <c r="DG178" s="25"/>
      <c r="DH178" s="25"/>
      <c r="DI178" s="25"/>
      <c r="DJ178" s="25"/>
    </row>
    <row r="179" spans="1:114" s="100" customFormat="1" hidden="1" outlineLevel="1">
      <c r="A179" s="170"/>
      <c r="B179" s="170" t="str">
        <f>$B$14</f>
        <v>Year</v>
      </c>
      <c r="C179" s="170"/>
      <c r="D179" s="217"/>
      <c r="E179" s="170"/>
      <c r="F179" s="170"/>
      <c r="G179" s="170"/>
      <c r="H179" s="217"/>
      <c r="I179" s="170"/>
      <c r="J179" s="170"/>
      <c r="K179" s="170"/>
      <c r="L179" s="217"/>
      <c r="M179" s="170"/>
      <c r="N179" s="170"/>
      <c r="O179" s="170"/>
      <c r="P179" s="217"/>
      <c r="Q179" s="170"/>
      <c r="R179" s="170"/>
      <c r="S179" s="170"/>
      <c r="T179" s="217"/>
      <c r="U179" s="170"/>
      <c r="V179" s="170"/>
      <c r="W179" s="170"/>
      <c r="X179" s="217"/>
      <c r="Y179" s="170"/>
      <c r="Z179" s="170"/>
      <c r="AA179" s="170"/>
      <c r="AB179" s="217"/>
      <c r="AC179" s="170"/>
      <c r="AD179" s="170"/>
      <c r="AE179" s="170"/>
      <c r="AF179" s="217"/>
      <c r="AG179" s="170"/>
      <c r="AH179" s="170"/>
      <c r="AI179" s="170"/>
      <c r="AJ179" s="217"/>
      <c r="AK179" s="170"/>
      <c r="AL179" s="170"/>
      <c r="AM179" s="170"/>
      <c r="AN179" s="217"/>
      <c r="AO179" s="170"/>
      <c r="AP179" s="170"/>
      <c r="AQ179" s="170"/>
      <c r="AR179" s="170"/>
      <c r="AS179" s="170"/>
      <c r="AT179" s="170"/>
      <c r="AU179" s="217"/>
      <c r="AV179" s="170"/>
      <c r="AW179" s="170"/>
      <c r="AX179" s="170"/>
      <c r="AY179" s="217"/>
      <c r="AZ179" s="170"/>
      <c r="BA179" s="170"/>
      <c r="BB179" s="170"/>
      <c r="BC179" s="217"/>
      <c r="BD179" s="170"/>
      <c r="BE179" s="170"/>
      <c r="BF179" s="170"/>
      <c r="BG179" s="217"/>
      <c r="BH179" s="170"/>
      <c r="BI179" s="170"/>
      <c r="BJ179" s="170"/>
      <c r="BK179" s="217"/>
      <c r="BL179" s="170"/>
      <c r="BM179" s="170"/>
      <c r="BN179" s="170"/>
      <c r="BO179" s="217"/>
      <c r="BP179" s="170"/>
      <c r="BQ179" s="170"/>
      <c r="BR179" s="25"/>
      <c r="BS179" s="34"/>
      <c r="BT179" s="25"/>
      <c r="BU179" s="25"/>
      <c r="BV179" s="25"/>
      <c r="BW179" s="34"/>
      <c r="BX179" s="25"/>
      <c r="BY179" s="25"/>
      <c r="BZ179" s="25"/>
      <c r="CA179" s="34"/>
      <c r="CB179" s="25"/>
      <c r="CC179" s="25"/>
      <c r="CD179" s="175"/>
      <c r="CE179" s="34"/>
      <c r="CF179" s="175"/>
      <c r="CG179" s="175"/>
      <c r="CH179" s="175"/>
      <c r="CI179" s="34"/>
      <c r="CJ179" s="175"/>
      <c r="CK179" s="175"/>
      <c r="CL179" s="175"/>
      <c r="CM179" s="34"/>
      <c r="CN179" s="175"/>
      <c r="CO179" s="175"/>
      <c r="CP179" s="175"/>
      <c r="CQ179" s="34"/>
      <c r="CR179" s="175"/>
      <c r="CS179" s="175"/>
      <c r="CT179" s="175"/>
      <c r="CU179" s="34"/>
      <c r="CV179" s="175"/>
      <c r="CW179" s="1472"/>
      <c r="CX179" s="175"/>
      <c r="CY179" s="34"/>
      <c r="CZ179" s="175"/>
      <c r="DA179" s="1472"/>
      <c r="DB179" s="175"/>
      <c r="DC179" s="175"/>
      <c r="DD179" s="175"/>
      <c r="DE179" s="266"/>
      <c r="DF179" s="175"/>
      <c r="DG179" s="25"/>
      <c r="DH179" s="25"/>
      <c r="DI179" s="25"/>
      <c r="DJ179" s="25"/>
    </row>
    <row r="180" spans="1:114" s="100" customFormat="1" hidden="1" outlineLevel="1">
      <c r="A180" s="170" t="str">
        <f>$A$15</f>
        <v>6 Mos</v>
      </c>
      <c r="B180" s="170"/>
      <c r="C180" s="170"/>
      <c r="D180" s="217"/>
      <c r="E180" s="170"/>
      <c r="F180" s="170"/>
      <c r="G180" s="170"/>
      <c r="H180" s="217"/>
      <c r="I180" s="170"/>
      <c r="J180" s="170"/>
      <c r="K180" s="170"/>
      <c r="L180" s="217"/>
      <c r="M180" s="170"/>
      <c r="N180" s="170"/>
      <c r="O180" s="170"/>
      <c r="P180" s="217"/>
      <c r="Q180" s="170"/>
      <c r="R180" s="170"/>
      <c r="S180" s="170"/>
      <c r="T180" s="217"/>
      <c r="U180" s="170"/>
      <c r="V180" s="170"/>
      <c r="W180" s="170"/>
      <c r="X180" s="217"/>
      <c r="Y180" s="170"/>
      <c r="Z180" s="170"/>
      <c r="AA180" s="170"/>
      <c r="AB180" s="217"/>
      <c r="AC180" s="170"/>
      <c r="AD180" s="170"/>
      <c r="AE180" s="170"/>
      <c r="AF180" s="217"/>
      <c r="AG180" s="170"/>
      <c r="AH180" s="170"/>
      <c r="AI180" s="170"/>
      <c r="AJ180" s="217"/>
      <c r="AK180" s="170"/>
      <c r="AL180" s="170"/>
      <c r="AM180" s="170"/>
      <c r="AN180" s="217"/>
      <c r="AO180" s="170"/>
      <c r="AP180" s="170"/>
      <c r="AQ180" s="170"/>
      <c r="AR180" s="170"/>
      <c r="AS180" s="170"/>
      <c r="AT180" s="170"/>
      <c r="AU180" s="217"/>
      <c r="AV180" s="170"/>
      <c r="AW180" s="170"/>
      <c r="AX180" s="170"/>
      <c r="AY180" s="217"/>
      <c r="AZ180" s="170"/>
      <c r="BA180" s="170"/>
      <c r="BB180" s="170"/>
      <c r="BC180" s="217"/>
      <c r="BD180" s="170"/>
      <c r="BE180" s="170"/>
      <c r="BF180" s="170"/>
      <c r="BG180" s="217"/>
      <c r="BH180" s="170"/>
      <c r="BI180" s="170"/>
      <c r="BJ180" s="170"/>
      <c r="BK180" s="217"/>
      <c r="BL180" s="170"/>
      <c r="BM180" s="170"/>
      <c r="BN180" s="170"/>
      <c r="BO180" s="217"/>
      <c r="BP180" s="170"/>
      <c r="BQ180" s="170"/>
      <c r="BR180" s="25"/>
      <c r="BS180" s="34"/>
      <c r="BT180" s="25"/>
      <c r="BU180" s="25"/>
      <c r="BV180" s="25"/>
      <c r="BW180" s="34"/>
      <c r="BX180" s="25"/>
      <c r="BY180" s="25"/>
      <c r="BZ180" s="25"/>
      <c r="CA180" s="34"/>
      <c r="CB180" s="25"/>
      <c r="CC180" s="25"/>
      <c r="CD180" s="175"/>
      <c r="CE180" s="34"/>
      <c r="CF180" s="175"/>
      <c r="CG180" s="175"/>
      <c r="CH180" s="175"/>
      <c r="CI180" s="34"/>
      <c r="CJ180" s="175"/>
      <c r="CK180" s="175"/>
      <c r="CL180" s="175"/>
      <c r="CM180" s="34"/>
      <c r="CN180" s="175"/>
      <c r="CO180" s="175"/>
      <c r="CP180" s="175"/>
      <c r="CQ180" s="34"/>
      <c r="CR180" s="175"/>
      <c r="CS180" s="175"/>
      <c r="CT180" s="175"/>
      <c r="CU180" s="34"/>
      <c r="CV180" s="175"/>
      <c r="CW180" s="1472"/>
      <c r="CX180" s="175"/>
      <c r="CY180" s="34"/>
      <c r="CZ180" s="175"/>
      <c r="DA180" s="1472"/>
      <c r="DB180" s="175"/>
      <c r="DC180" s="175"/>
      <c r="DD180" s="175"/>
      <c r="DE180" s="266"/>
      <c r="DF180" s="175"/>
      <c r="DG180" s="25"/>
      <c r="DH180" s="25"/>
      <c r="DI180" s="25"/>
      <c r="DJ180" s="25"/>
    </row>
    <row r="181" spans="1:114" s="100" customFormat="1" hidden="1" outlineLevel="1">
      <c r="A181" s="170" t="str">
        <f>$A$16</f>
        <v>9 Mos</v>
      </c>
      <c r="B181" s="170"/>
      <c r="C181" s="170"/>
      <c r="D181" s="217"/>
      <c r="E181" s="170"/>
      <c r="F181" s="170"/>
      <c r="G181" s="170"/>
      <c r="H181" s="217"/>
      <c r="I181" s="170"/>
      <c r="J181" s="170"/>
      <c r="K181" s="170"/>
      <c r="L181" s="217"/>
      <c r="M181" s="170"/>
      <c r="N181" s="170"/>
      <c r="O181" s="170"/>
      <c r="P181" s="217"/>
      <c r="Q181" s="170"/>
      <c r="R181" s="170"/>
      <c r="S181" s="170"/>
      <c r="T181" s="217"/>
      <c r="U181" s="170"/>
      <c r="V181" s="170"/>
      <c r="W181" s="170"/>
      <c r="X181" s="217"/>
      <c r="Y181" s="170"/>
      <c r="Z181" s="170"/>
      <c r="AA181" s="170"/>
      <c r="AB181" s="217"/>
      <c r="AC181" s="170"/>
      <c r="AD181" s="170"/>
      <c r="AE181" s="170"/>
      <c r="AF181" s="217"/>
      <c r="AG181" s="170"/>
      <c r="AH181" s="170"/>
      <c r="AI181" s="170"/>
      <c r="AJ181" s="217"/>
      <c r="AK181" s="170"/>
      <c r="AL181" s="170"/>
      <c r="AM181" s="170"/>
      <c r="AN181" s="217"/>
      <c r="AO181" s="170"/>
      <c r="AP181" s="170"/>
      <c r="AQ181" s="170"/>
      <c r="AR181" s="170"/>
      <c r="AS181" s="170"/>
      <c r="AT181" s="170"/>
      <c r="AU181" s="217"/>
      <c r="AV181" s="170"/>
      <c r="AW181" s="170"/>
      <c r="AX181" s="170"/>
      <c r="AY181" s="217"/>
      <c r="AZ181" s="170"/>
      <c r="BA181" s="170"/>
      <c r="BB181" s="170"/>
      <c r="BC181" s="217"/>
      <c r="BD181" s="170"/>
      <c r="BE181" s="170"/>
      <c r="BF181" s="170"/>
      <c r="BG181" s="217"/>
      <c r="BH181" s="170"/>
      <c r="BI181" s="170"/>
      <c r="BJ181" s="170"/>
      <c r="BK181" s="217"/>
      <c r="BL181" s="170"/>
      <c r="BM181" s="170"/>
      <c r="BN181" s="170"/>
      <c r="BO181" s="217"/>
      <c r="BP181" s="170"/>
      <c r="BQ181" s="170"/>
      <c r="BR181" s="25"/>
      <c r="BS181" s="34"/>
      <c r="BT181" s="25"/>
      <c r="BU181" s="25"/>
      <c r="BV181" s="25"/>
      <c r="BW181" s="34"/>
      <c r="BX181" s="25"/>
      <c r="BY181" s="25"/>
      <c r="BZ181" s="25"/>
      <c r="CA181" s="34"/>
      <c r="CB181" s="25"/>
      <c r="CC181" s="25"/>
      <c r="CD181" s="175"/>
      <c r="CE181" s="34"/>
      <c r="CF181" s="175"/>
      <c r="CG181" s="175"/>
      <c r="CH181" s="175"/>
      <c r="CI181" s="34"/>
      <c r="CJ181" s="175"/>
      <c r="CK181" s="175"/>
      <c r="CL181" s="175"/>
      <c r="CM181" s="34"/>
      <c r="CN181" s="175"/>
      <c r="CO181" s="175"/>
      <c r="CP181" s="175"/>
      <c r="CQ181" s="34"/>
      <c r="CR181" s="175"/>
      <c r="CS181" s="175"/>
      <c r="CT181" s="175"/>
      <c r="CU181" s="34"/>
      <c r="CV181" s="175"/>
      <c r="CW181" s="1472"/>
      <c r="CX181" s="175"/>
      <c r="CY181" s="34"/>
      <c r="CZ181" s="175"/>
      <c r="DA181" s="1472"/>
      <c r="DB181" s="175"/>
      <c r="DC181" s="175"/>
      <c r="DD181" s="175"/>
      <c r="DE181" s="266"/>
      <c r="DF181" s="175"/>
      <c r="DG181" s="25"/>
      <c r="DH181" s="25"/>
      <c r="DI181" s="25"/>
      <c r="DJ181" s="25"/>
    </row>
    <row r="182" spans="1:114" hidden="1" outlineLevel="1">
      <c r="A182" s="170"/>
      <c r="B182" s="170"/>
      <c r="C182" s="170"/>
      <c r="D182" s="217"/>
      <c r="E182" s="170"/>
      <c r="F182" s="170"/>
      <c r="G182" s="170"/>
      <c r="H182" s="217"/>
      <c r="I182" s="170"/>
      <c r="J182" s="170"/>
      <c r="K182" s="170"/>
      <c r="L182" s="217"/>
      <c r="M182" s="170"/>
      <c r="N182" s="170"/>
      <c r="O182" s="170"/>
      <c r="P182" s="217"/>
      <c r="Q182" s="170"/>
      <c r="R182" s="170"/>
      <c r="S182" s="170"/>
      <c r="T182" s="217"/>
      <c r="U182" s="170"/>
      <c r="V182" s="170"/>
      <c r="W182" s="170"/>
      <c r="X182" s="217"/>
      <c r="Y182" s="170"/>
      <c r="Z182" s="170"/>
      <c r="AA182" s="170"/>
      <c r="AB182" s="217"/>
      <c r="AC182" s="170"/>
      <c r="AD182" s="170"/>
      <c r="AE182" s="170"/>
      <c r="AF182" s="217"/>
      <c r="AG182" s="170"/>
      <c r="AH182" s="170"/>
      <c r="AI182" s="170"/>
      <c r="AJ182" s="217"/>
      <c r="AK182" s="170"/>
      <c r="AL182" s="170"/>
      <c r="AM182" s="170"/>
      <c r="AN182" s="217"/>
      <c r="AO182" s="170"/>
      <c r="AP182" s="170"/>
      <c r="AQ182" s="170"/>
      <c r="AR182" s="170"/>
      <c r="AS182" s="170"/>
      <c r="AT182" s="170"/>
      <c r="AU182" s="217"/>
      <c r="AV182" s="170"/>
      <c r="AW182" s="170"/>
      <c r="AX182" s="170"/>
      <c r="AY182" s="217"/>
      <c r="AZ182" s="170"/>
      <c r="BA182" s="170"/>
      <c r="BB182" s="170"/>
      <c r="BC182" s="217"/>
      <c r="BD182" s="170"/>
      <c r="BE182" s="170"/>
      <c r="BF182" s="170"/>
      <c r="BG182" s="217"/>
      <c r="BH182" s="170"/>
      <c r="BI182" s="170"/>
      <c r="BJ182" s="170"/>
      <c r="BK182" s="217"/>
      <c r="BL182" s="170"/>
      <c r="BM182" s="170"/>
      <c r="BN182" s="170"/>
      <c r="BO182" s="217"/>
      <c r="BP182" s="170"/>
      <c r="BQ182" s="170"/>
      <c r="BR182" s="25"/>
      <c r="BS182" s="34"/>
      <c r="BT182" s="25"/>
      <c r="BU182" s="25"/>
      <c r="BV182" s="25"/>
      <c r="BW182" s="34"/>
      <c r="BX182" s="25"/>
      <c r="BY182" s="25"/>
      <c r="BZ182" s="25"/>
      <c r="CA182" s="34"/>
      <c r="CB182" s="25"/>
      <c r="CC182" s="25"/>
      <c r="CD182" s="175"/>
      <c r="CE182" s="34"/>
      <c r="CF182" s="175"/>
      <c r="CG182" s="175"/>
      <c r="CH182" s="175"/>
      <c r="CI182" s="34"/>
      <c r="CJ182" s="175"/>
      <c r="CK182" s="175"/>
      <c r="CL182" s="175"/>
      <c r="CM182" s="34"/>
      <c r="CN182" s="175"/>
      <c r="CO182" s="175"/>
      <c r="CP182" s="175"/>
      <c r="CQ182" s="34"/>
      <c r="CR182" s="175"/>
      <c r="CS182" s="175"/>
      <c r="CT182" s="175"/>
      <c r="CU182" s="34"/>
      <c r="CV182" s="175"/>
      <c r="CW182" s="1472"/>
      <c r="CX182" s="175"/>
      <c r="CY182" s="34"/>
      <c r="CZ182" s="175"/>
      <c r="DA182" s="1472"/>
      <c r="DB182" s="175"/>
      <c r="DC182" s="175"/>
      <c r="DD182" s="175"/>
      <c r="DE182" s="175"/>
      <c r="DF182" s="175"/>
      <c r="DG182" s="25"/>
      <c r="DH182" s="25"/>
      <c r="DI182" s="25"/>
      <c r="DJ182" s="25"/>
    </row>
    <row r="183" spans="1:114" hidden="1" outlineLevel="1">
      <c r="A183" s="170"/>
      <c r="B183" s="170"/>
      <c r="C183" s="170"/>
      <c r="D183" s="217"/>
      <c r="E183" s="170"/>
      <c r="F183" s="170"/>
      <c r="G183" s="170"/>
      <c r="H183" s="217"/>
      <c r="I183" s="170"/>
      <c r="J183" s="170"/>
      <c r="K183" s="170"/>
      <c r="L183" s="217"/>
      <c r="M183" s="170"/>
      <c r="N183" s="170"/>
      <c r="O183" s="170"/>
      <c r="P183" s="217"/>
      <c r="Q183" s="170"/>
      <c r="R183" s="170"/>
      <c r="S183" s="170"/>
      <c r="T183" s="217"/>
      <c r="U183" s="170"/>
      <c r="V183" s="170"/>
      <c r="W183" s="170"/>
      <c r="X183" s="217"/>
      <c r="Y183" s="170"/>
      <c r="Z183" s="170"/>
      <c r="AA183" s="170"/>
      <c r="AB183" s="217"/>
      <c r="AC183" s="170"/>
      <c r="AD183" s="170"/>
      <c r="AE183" s="170"/>
      <c r="AF183" s="217"/>
      <c r="AG183" s="170"/>
      <c r="AH183" s="170"/>
      <c r="AI183" s="170"/>
      <c r="AJ183" s="217"/>
      <c r="AK183" s="170"/>
      <c r="AL183" s="170"/>
      <c r="AM183" s="170"/>
      <c r="AN183" s="217"/>
      <c r="AO183" s="170"/>
      <c r="AP183" s="170"/>
      <c r="AQ183" s="170"/>
      <c r="AR183" s="170"/>
      <c r="AS183" s="170"/>
      <c r="AT183" s="170"/>
      <c r="AU183" s="217"/>
      <c r="AV183" s="170"/>
      <c r="AW183" s="170"/>
      <c r="AX183" s="170"/>
      <c r="AY183" s="217"/>
      <c r="AZ183" s="170"/>
      <c r="BA183" s="170"/>
      <c r="BB183" s="170"/>
      <c r="BC183" s="217"/>
      <c r="BD183" s="170"/>
      <c r="BE183" s="170"/>
      <c r="BF183" s="170"/>
      <c r="BG183" s="217"/>
      <c r="BH183" s="170"/>
      <c r="BI183" s="170"/>
      <c r="BJ183" s="170"/>
      <c r="BK183" s="217"/>
      <c r="BL183" s="170"/>
      <c r="BM183" s="170"/>
      <c r="BN183" s="170"/>
      <c r="BO183" s="217"/>
      <c r="BP183" s="170"/>
      <c r="BQ183" s="170"/>
      <c r="BR183" s="25"/>
      <c r="BS183" s="34"/>
      <c r="BT183" s="25"/>
      <c r="BU183" s="25"/>
      <c r="BV183" s="25"/>
      <c r="BW183" s="34"/>
      <c r="BX183" s="25"/>
      <c r="BY183" s="25"/>
      <c r="BZ183" s="25"/>
      <c r="CA183" s="34"/>
      <c r="CB183" s="25"/>
      <c r="CC183" s="25"/>
      <c r="CD183" s="175"/>
      <c r="CE183" s="34"/>
      <c r="CF183" s="175"/>
      <c r="CG183" s="175"/>
      <c r="CH183" s="175"/>
      <c r="CI183" s="34"/>
      <c r="CJ183" s="175"/>
      <c r="CK183" s="175"/>
      <c r="CL183" s="175"/>
      <c r="CM183" s="34"/>
      <c r="CN183" s="175"/>
      <c r="CO183" s="175"/>
      <c r="CP183" s="175"/>
      <c r="CQ183" s="34"/>
      <c r="CR183" s="175"/>
      <c r="CS183" s="175"/>
      <c r="CT183" s="175"/>
      <c r="CU183" s="34"/>
      <c r="CV183" s="175"/>
      <c r="CW183" s="1472"/>
      <c r="CX183" s="175"/>
      <c r="CY183" s="34"/>
      <c r="CZ183" s="175"/>
      <c r="DA183" s="1472"/>
      <c r="DB183" s="175"/>
      <c r="DC183" s="175"/>
      <c r="DD183" s="175"/>
      <c r="DE183" s="175"/>
      <c r="DF183" s="175"/>
      <c r="DG183" s="25"/>
      <c r="DH183" s="25"/>
      <c r="DI183" s="25"/>
      <c r="DJ183" s="25"/>
    </row>
    <row r="184" spans="1:114" hidden="1" outlineLevel="1">
      <c r="A184" s="170"/>
      <c r="B184" s="170"/>
      <c r="C184" s="170"/>
      <c r="D184" s="217"/>
      <c r="E184" s="170"/>
      <c r="F184" s="170"/>
      <c r="G184" s="170"/>
      <c r="H184" s="217"/>
      <c r="I184" s="170"/>
      <c r="J184" s="170"/>
      <c r="K184" s="170"/>
      <c r="L184" s="217"/>
      <c r="M184" s="170"/>
      <c r="N184" s="170"/>
      <c r="O184" s="170"/>
      <c r="P184" s="217"/>
      <c r="Q184" s="170"/>
      <c r="R184" s="170"/>
      <c r="S184" s="170"/>
      <c r="T184" s="217"/>
      <c r="U184" s="170"/>
      <c r="V184" s="170"/>
      <c r="W184" s="170"/>
      <c r="X184" s="217"/>
      <c r="Y184" s="170"/>
      <c r="Z184" s="170"/>
      <c r="AA184" s="170"/>
      <c r="AB184" s="217"/>
      <c r="AC184" s="170"/>
      <c r="AD184" s="170"/>
      <c r="AE184" s="170"/>
      <c r="AF184" s="217"/>
      <c r="AG184" s="170"/>
      <c r="AH184" s="170"/>
      <c r="AI184" s="170"/>
      <c r="AJ184" s="217"/>
      <c r="AK184" s="170"/>
      <c r="AL184" s="170"/>
      <c r="AM184" s="170"/>
      <c r="AN184" s="217"/>
      <c r="AO184" s="170"/>
      <c r="AP184" s="170"/>
      <c r="AQ184" s="170"/>
      <c r="AR184" s="170"/>
      <c r="AS184" s="170"/>
      <c r="AT184" s="170"/>
      <c r="AU184" s="217"/>
      <c r="AV184" s="170"/>
      <c r="AW184" s="170"/>
      <c r="AX184" s="170"/>
      <c r="AY184" s="217"/>
      <c r="AZ184" s="170"/>
      <c r="BA184" s="170"/>
      <c r="BB184" s="170"/>
      <c r="BC184" s="217"/>
      <c r="BD184" s="170"/>
      <c r="BE184" s="170"/>
      <c r="BF184" s="170"/>
      <c r="BG184" s="217"/>
      <c r="BH184" s="170"/>
      <c r="BI184" s="170"/>
      <c r="BJ184" s="170"/>
      <c r="BK184" s="217"/>
      <c r="BL184" s="170"/>
      <c r="BM184" s="170"/>
      <c r="BN184" s="170"/>
      <c r="BO184" s="217"/>
      <c r="BP184" s="170"/>
      <c r="BQ184" s="170"/>
      <c r="BR184" s="25"/>
      <c r="BS184" s="34"/>
      <c r="BT184" s="25"/>
      <c r="BU184" s="25"/>
      <c r="BV184" s="25"/>
      <c r="BW184" s="34"/>
      <c r="BX184" s="25"/>
      <c r="BY184" s="25"/>
      <c r="BZ184" s="25"/>
      <c r="CA184" s="34"/>
      <c r="CB184" s="25"/>
      <c r="CC184" s="25"/>
      <c r="CD184" s="175"/>
      <c r="CE184" s="34"/>
      <c r="CF184" s="175"/>
      <c r="CG184" s="175"/>
      <c r="CH184" s="175"/>
      <c r="CI184" s="34"/>
      <c r="CJ184" s="175"/>
      <c r="CK184" s="175"/>
      <c r="CL184" s="175"/>
      <c r="CM184" s="34"/>
      <c r="CN184" s="175"/>
      <c r="CO184" s="175"/>
      <c r="CP184" s="175"/>
      <c r="CQ184" s="34"/>
      <c r="CR184" s="175"/>
      <c r="CS184" s="175"/>
      <c r="CT184" s="175"/>
      <c r="CU184" s="34"/>
      <c r="CV184" s="175"/>
      <c r="CW184" s="1472"/>
      <c r="CX184" s="175"/>
      <c r="CY184" s="34"/>
      <c r="CZ184" s="175"/>
      <c r="DA184" s="1472"/>
      <c r="DB184" s="175"/>
      <c r="DC184" s="175"/>
      <c r="DD184" s="175"/>
      <c r="DE184" s="175"/>
      <c r="DF184" s="175"/>
      <c r="DG184" s="25"/>
      <c r="DH184" s="25"/>
      <c r="DI184" s="25"/>
      <c r="DJ184" s="25"/>
    </row>
    <row r="185" spans="1:114" hidden="1" outlineLevel="1">
      <c r="A185" s="170"/>
      <c r="B185" s="170"/>
      <c r="C185" s="170"/>
      <c r="D185" s="217"/>
      <c r="E185" s="170"/>
      <c r="F185" s="170"/>
      <c r="G185" s="170"/>
      <c r="H185" s="217"/>
      <c r="I185" s="170"/>
      <c r="J185" s="170"/>
      <c r="K185" s="170"/>
      <c r="L185" s="217"/>
      <c r="M185" s="170"/>
      <c r="N185" s="170"/>
      <c r="O185" s="170"/>
      <c r="P185" s="217"/>
      <c r="Q185" s="170"/>
      <c r="R185" s="170"/>
      <c r="S185" s="170"/>
      <c r="T185" s="217"/>
      <c r="U185" s="170"/>
      <c r="V185" s="170"/>
      <c r="W185" s="170"/>
      <c r="X185" s="217"/>
      <c r="Y185" s="170"/>
      <c r="Z185" s="170"/>
      <c r="AA185" s="170"/>
      <c r="AB185" s="217"/>
      <c r="AC185" s="170"/>
      <c r="AD185" s="170"/>
      <c r="AE185" s="170"/>
      <c r="AF185" s="217"/>
      <c r="AG185" s="170"/>
      <c r="AH185" s="170"/>
      <c r="AI185" s="184" t="s">
        <v>449</v>
      </c>
      <c r="AJ185" s="217"/>
      <c r="AK185" s="170"/>
      <c r="AL185" s="170"/>
      <c r="AM185" s="170"/>
      <c r="AN185" s="217"/>
      <c r="AO185" s="170"/>
      <c r="AP185" s="170"/>
      <c r="AQ185" s="170"/>
      <c r="AR185" s="170"/>
      <c r="AS185" s="170"/>
      <c r="AT185" s="170"/>
      <c r="AU185" s="217"/>
      <c r="AV185" s="170"/>
      <c r="AW185" s="170"/>
      <c r="AX185" s="170"/>
      <c r="AY185" s="217"/>
      <c r="AZ185" s="170"/>
      <c r="BA185" s="170"/>
      <c r="BB185" s="170"/>
      <c r="BC185" s="217"/>
      <c r="BD185" s="170"/>
      <c r="BE185" s="170"/>
      <c r="BF185" s="170"/>
      <c r="BG185" s="217"/>
      <c r="BH185" s="170"/>
      <c r="BI185" s="170"/>
      <c r="BJ185" s="170"/>
      <c r="BK185" s="217"/>
      <c r="BL185" s="170"/>
      <c r="BM185" s="184" t="s">
        <v>449</v>
      </c>
      <c r="BN185" s="170"/>
      <c r="BO185" s="217"/>
      <c r="BP185" s="170"/>
      <c r="BQ185" s="170"/>
      <c r="BR185" s="25"/>
      <c r="BS185" s="34"/>
      <c r="BT185" s="25"/>
      <c r="BU185" s="25"/>
      <c r="BV185" s="25"/>
      <c r="BW185" s="34"/>
      <c r="BX185" s="25"/>
      <c r="BY185" s="25"/>
      <c r="BZ185" s="25"/>
      <c r="CA185" s="34"/>
      <c r="CB185" s="25"/>
      <c r="CC185" s="25"/>
      <c r="CD185" s="175"/>
      <c r="CE185" s="34"/>
      <c r="CF185" s="175"/>
      <c r="CG185" s="175"/>
      <c r="CH185" s="175"/>
      <c r="CI185" s="34"/>
      <c r="CJ185" s="175"/>
      <c r="CK185" s="175"/>
      <c r="CL185" s="175"/>
      <c r="CM185" s="34"/>
      <c r="CN185" s="175"/>
      <c r="CO185" s="175"/>
      <c r="CP185" s="175"/>
      <c r="CQ185" s="34"/>
      <c r="CR185" s="175"/>
      <c r="CS185" s="175"/>
      <c r="CT185" s="175"/>
      <c r="CU185" s="34"/>
      <c r="CV185" s="175"/>
      <c r="CW185" s="1472"/>
      <c r="CX185" s="175"/>
      <c r="CY185" s="34"/>
      <c r="CZ185" s="175"/>
      <c r="DA185" s="1472"/>
      <c r="DB185" s="175"/>
      <c r="DC185" s="175"/>
      <c r="DD185" s="175"/>
      <c r="DE185" s="175"/>
      <c r="DF185" s="175"/>
      <c r="DG185" s="25"/>
      <c r="DH185" s="25"/>
      <c r="DI185" s="25"/>
      <c r="DJ185" s="25"/>
    </row>
    <row r="186" spans="1:114" hidden="1" outlineLevel="1">
      <c r="A186" s="170" t="str">
        <f>$A$10</f>
        <v>1Q</v>
      </c>
      <c r="B186" s="170" t="str">
        <f>$B$10</f>
        <v>Apr</v>
      </c>
      <c r="C186" s="170"/>
      <c r="D186" s="217"/>
      <c r="E186" s="170"/>
      <c r="F186" s="170"/>
      <c r="G186" s="170"/>
      <c r="H186" s="217"/>
      <c r="I186" s="170"/>
      <c r="J186" s="170"/>
      <c r="K186" s="170"/>
      <c r="L186" s="217"/>
      <c r="M186" s="170"/>
      <c r="N186" s="170"/>
      <c r="O186" s="170"/>
      <c r="P186" s="217"/>
      <c r="Q186" s="170"/>
      <c r="R186" s="170"/>
      <c r="S186" s="170"/>
      <c r="T186" s="217"/>
      <c r="U186" s="170"/>
      <c r="V186" s="170"/>
      <c r="W186" s="170"/>
      <c r="X186" s="217"/>
      <c r="Y186" s="170"/>
      <c r="Z186" s="170"/>
      <c r="AA186" s="170"/>
      <c r="AB186" s="217"/>
      <c r="AC186" s="170"/>
      <c r="AD186" s="170"/>
      <c r="AE186" s="170"/>
      <c r="AF186" s="217">
        <f>AB146</f>
        <v>138.024</v>
      </c>
      <c r="AG186" s="170"/>
      <c r="AH186" s="170"/>
      <c r="AI186" s="170"/>
      <c r="AJ186" s="217">
        <f>AF146</f>
        <v>138.82400000000001</v>
      </c>
      <c r="AK186" s="170"/>
      <c r="AL186" s="170"/>
      <c r="AM186" s="170"/>
      <c r="AN186" s="217">
        <f>AJ146</f>
        <v>155.05600000000001</v>
      </c>
      <c r="AO186" s="170"/>
      <c r="AP186" s="170"/>
      <c r="AQ186" s="170"/>
      <c r="AR186" s="170"/>
      <c r="AS186" s="170"/>
      <c r="AT186" s="170"/>
      <c r="AU186" s="217">
        <f>AN146</f>
        <v>159.55199999999999</v>
      </c>
      <c r="AV186" s="170"/>
      <c r="AW186" s="170"/>
      <c r="AX186" s="170"/>
      <c r="AY186" s="217">
        <f>AU146</f>
        <v>163.65147200000001</v>
      </c>
      <c r="AZ186" s="170"/>
      <c r="BA186" s="170"/>
      <c r="BB186" s="170"/>
      <c r="BC186" s="217">
        <f>AY146</f>
        <v>165.00671700000001</v>
      </c>
      <c r="BD186" s="170"/>
      <c r="BE186" s="170"/>
      <c r="BF186" s="170"/>
      <c r="BG186" s="217">
        <f>BC146</f>
        <v>165.084463</v>
      </c>
      <c r="BH186" s="170"/>
      <c r="BI186" s="170"/>
      <c r="BJ186" s="170"/>
      <c r="BK186" s="217">
        <f>BG146</f>
        <v>166.56671399999999</v>
      </c>
      <c r="BL186" s="170"/>
      <c r="BM186" s="170"/>
      <c r="BN186" s="170"/>
      <c r="BO186" s="217">
        <f>BK146</f>
        <v>167.72968800000001</v>
      </c>
      <c r="BP186" s="170"/>
      <c r="BQ186" s="170"/>
      <c r="BR186" s="25"/>
      <c r="BS186" s="34">
        <f>BO146</f>
        <v>168.888271</v>
      </c>
      <c r="BT186" s="25"/>
      <c r="BU186" s="25"/>
      <c r="BV186" s="25"/>
      <c r="BW186" s="34">
        <f>BS146</f>
        <v>162.255448</v>
      </c>
      <c r="BX186" s="25"/>
      <c r="BY186" s="25"/>
      <c r="BZ186" s="25"/>
      <c r="CA186" s="34">
        <f>BW146</f>
        <v>144.706907</v>
      </c>
      <c r="CB186" s="25"/>
      <c r="CC186" s="25"/>
      <c r="CD186" s="175"/>
      <c r="CE186" s="34">
        <f>CA146</f>
        <v>146.22846699999999</v>
      </c>
      <c r="CF186" s="175"/>
      <c r="CG186" s="175"/>
      <c r="CH186" s="175"/>
      <c r="CI186" s="34">
        <f>CE146</f>
        <v>144.56095300000001</v>
      </c>
      <c r="CJ186" s="175"/>
      <c r="CK186" s="175"/>
      <c r="CL186" s="175"/>
      <c r="CM186" s="34">
        <f>CI146</f>
        <v>130.44359800000001</v>
      </c>
      <c r="CN186" s="175"/>
      <c r="CO186" s="175"/>
      <c r="CP186" s="175"/>
      <c r="CQ186" s="34">
        <f>CM146</f>
        <v>131.27481495932537</v>
      </c>
      <c r="CR186" s="175"/>
      <c r="CS186" s="175"/>
      <c r="CT186" s="175"/>
      <c r="CU186" s="34">
        <f>CQ146</f>
        <v>129.26428959710205</v>
      </c>
      <c r="CV186" s="175"/>
      <c r="CW186" s="1472"/>
      <c r="CX186" s="175"/>
      <c r="CY186" s="34">
        <f>CU146</f>
        <v>130.09550655642741</v>
      </c>
      <c r="CZ186" s="175"/>
      <c r="DA186" s="1472"/>
      <c r="DB186" s="175"/>
      <c r="DC186" s="175"/>
      <c r="DD186" s="175"/>
      <c r="DE186" s="175"/>
      <c r="DF186" s="175"/>
      <c r="DG186" s="25"/>
      <c r="DH186" s="25"/>
      <c r="DI186" s="25"/>
      <c r="DJ186" s="25"/>
    </row>
    <row r="187" spans="1:114" hidden="1" outlineLevel="1">
      <c r="A187" s="170" t="str">
        <f>$A$11</f>
        <v>2Q</v>
      </c>
      <c r="B187" s="170" t="str">
        <f>$B$11</f>
        <v>Jul</v>
      </c>
      <c r="C187" s="170"/>
      <c r="D187" s="217"/>
      <c r="E187" s="170"/>
      <c r="F187" s="170"/>
      <c r="G187" s="170"/>
      <c r="H187" s="217"/>
      <c r="I187" s="170"/>
      <c r="J187" s="170"/>
      <c r="K187" s="170"/>
      <c r="L187" s="217"/>
      <c r="M187" s="170"/>
      <c r="N187" s="170"/>
      <c r="O187" s="170"/>
      <c r="P187" s="217"/>
      <c r="Q187" s="170"/>
      <c r="R187" s="170"/>
      <c r="S187" s="170"/>
      <c r="T187" s="217"/>
      <c r="U187" s="170"/>
      <c r="V187" s="170"/>
      <c r="W187" s="170"/>
      <c r="X187" s="217"/>
      <c r="Y187" s="170"/>
      <c r="Z187" s="170"/>
      <c r="AA187" s="170"/>
      <c r="AB187" s="217"/>
      <c r="AC187" s="170"/>
      <c r="AD187" s="170"/>
      <c r="AE187" s="170"/>
      <c r="AF187" s="217">
        <f>AF142</f>
        <v>138.024</v>
      </c>
      <c r="AG187" s="170"/>
      <c r="AH187" s="170"/>
      <c r="AI187" s="170"/>
      <c r="AJ187" s="217">
        <f>AJ142</f>
        <v>153.22399999999999</v>
      </c>
      <c r="AK187" s="170"/>
      <c r="AL187" s="170"/>
      <c r="AM187" s="170"/>
      <c r="AN187" s="217">
        <f>AN142</f>
        <v>155.66399999999999</v>
      </c>
      <c r="AO187" s="170"/>
      <c r="AP187" s="170"/>
      <c r="AQ187" s="170"/>
      <c r="AR187" s="170"/>
      <c r="AS187" s="170"/>
      <c r="AT187" s="170"/>
      <c r="AU187" s="217">
        <f>AU142</f>
        <v>160.77600000000001</v>
      </c>
      <c r="AV187" s="170"/>
      <c r="AW187" s="170"/>
      <c r="AX187" s="170"/>
      <c r="AY187" s="217">
        <f>AY142</f>
        <v>163.35645400000001</v>
      </c>
      <c r="AZ187" s="170"/>
      <c r="BA187" s="170"/>
      <c r="BB187" s="170"/>
      <c r="BC187" s="217">
        <f>BC142</f>
        <v>165.25818200000001</v>
      </c>
      <c r="BD187" s="170"/>
      <c r="BE187" s="170"/>
      <c r="BF187" s="170"/>
      <c r="BG187" s="217">
        <f>BG142</f>
        <v>165.68393499999999</v>
      </c>
      <c r="BH187" s="170"/>
      <c r="BI187" s="170"/>
      <c r="BJ187" s="170"/>
      <c r="BK187" s="217">
        <f>BK142</f>
        <v>167.10261399999999</v>
      </c>
      <c r="BL187" s="170"/>
      <c r="BM187" s="170"/>
      <c r="BN187" s="170"/>
      <c r="BO187" s="217">
        <f>BO142</f>
        <v>168.14848799999999</v>
      </c>
      <c r="BP187" s="170"/>
      <c r="BQ187" s="170"/>
      <c r="BR187" s="25"/>
      <c r="BS187" s="34">
        <f>BS142</f>
        <v>169.152038</v>
      </c>
      <c r="BT187" s="25"/>
      <c r="BU187" s="25"/>
      <c r="BV187" s="25"/>
      <c r="BW187" s="34">
        <f>BW142</f>
        <v>159.69047499999999</v>
      </c>
      <c r="BX187" s="25"/>
      <c r="BY187" s="25"/>
      <c r="BZ187" s="25"/>
      <c r="CA187" s="34">
        <f>CA142</f>
        <v>144.80920699999999</v>
      </c>
      <c r="CB187" s="25"/>
      <c r="CC187" s="25"/>
      <c r="CD187" s="175"/>
      <c r="CE187" s="34">
        <f>CE142</f>
        <v>146.934867</v>
      </c>
      <c r="CF187" s="175"/>
      <c r="CG187" s="175"/>
      <c r="CH187" s="175"/>
      <c r="CI187" s="34">
        <f>CI142</f>
        <v>137.751372</v>
      </c>
      <c r="CJ187" s="175"/>
      <c r="CK187" s="175"/>
      <c r="CL187" s="175"/>
      <c r="CM187" s="34">
        <f>CM142</f>
        <v>130.76550302333243</v>
      </c>
      <c r="CN187" s="175"/>
      <c r="CO187" s="175"/>
      <c r="CP187" s="175"/>
      <c r="CQ187" s="34">
        <f>CQ142</f>
        <v>131.59671998265779</v>
      </c>
      <c r="CR187" s="175"/>
      <c r="CS187" s="175"/>
      <c r="CT187" s="175"/>
      <c r="CU187" s="34">
        <f>CU142</f>
        <v>129.58619462043447</v>
      </c>
      <c r="CV187" s="175"/>
      <c r="CW187" s="1472"/>
      <c r="CX187" s="175"/>
      <c r="CY187" s="34">
        <f>CY142</f>
        <v>130.41741157975983</v>
      </c>
      <c r="CZ187" s="175"/>
      <c r="DA187" s="1472"/>
      <c r="DB187" s="175"/>
      <c r="DC187" s="175"/>
      <c r="DD187" s="175"/>
      <c r="DE187" s="175"/>
      <c r="DF187" s="175"/>
      <c r="DG187" s="25"/>
      <c r="DH187" s="25"/>
      <c r="DI187" s="25"/>
      <c r="DJ187" s="25"/>
    </row>
    <row r="188" spans="1:114" hidden="1" outlineLevel="1">
      <c r="A188" s="170" t="str">
        <f>$A$12</f>
        <v>3Q</v>
      </c>
      <c r="B188" s="170" t="str">
        <f>$B$12</f>
        <v>Oct</v>
      </c>
      <c r="C188" s="170"/>
      <c r="D188" s="217"/>
      <c r="E188" s="170"/>
      <c r="F188" s="170"/>
      <c r="G188" s="170"/>
      <c r="H188" s="217"/>
      <c r="I188" s="170"/>
      <c r="J188" s="170"/>
      <c r="K188" s="170"/>
      <c r="L188" s="217"/>
      <c r="M188" s="170"/>
      <c r="N188" s="170"/>
      <c r="O188" s="170"/>
      <c r="P188" s="217"/>
      <c r="Q188" s="170"/>
      <c r="R188" s="170"/>
      <c r="S188" s="170"/>
      <c r="T188" s="217"/>
      <c r="U188" s="170"/>
      <c r="V188" s="170"/>
      <c r="W188" s="170"/>
      <c r="X188" s="217"/>
      <c r="Y188" s="170"/>
      <c r="Z188" s="170"/>
      <c r="AA188" s="170"/>
      <c r="AB188" s="217"/>
      <c r="AC188" s="170"/>
      <c r="AD188" s="170"/>
      <c r="AE188" s="170"/>
      <c r="AF188" s="217">
        <f>AF143</f>
        <v>138.10400000000001</v>
      </c>
      <c r="AG188" s="170"/>
      <c r="AH188" s="170"/>
      <c r="AI188" s="170"/>
      <c r="AJ188" s="217">
        <f>AJ143</f>
        <v>153.31200000000001</v>
      </c>
      <c r="AK188" s="170"/>
      <c r="AL188" s="170"/>
      <c r="AM188" s="170"/>
      <c r="AN188" s="217">
        <f>AN143</f>
        <v>157.4846</v>
      </c>
      <c r="AO188" s="170"/>
      <c r="AP188" s="170"/>
      <c r="AQ188" s="170"/>
      <c r="AR188" s="170"/>
      <c r="AS188" s="170"/>
      <c r="AT188" s="170"/>
      <c r="AU188" s="217">
        <f>AU143</f>
        <v>161.791484</v>
      </c>
      <c r="AV188" s="170"/>
      <c r="AW188" s="170"/>
      <c r="AX188" s="170"/>
      <c r="AY188" s="217">
        <f>AY143</f>
        <v>163.61199999999999</v>
      </c>
      <c r="AZ188" s="170"/>
      <c r="BA188" s="170"/>
      <c r="BB188" s="170"/>
      <c r="BC188" s="217">
        <f>BC143</f>
        <v>165.32981699999999</v>
      </c>
      <c r="BD188" s="170"/>
      <c r="BE188" s="170"/>
      <c r="BF188" s="170"/>
      <c r="BG188" s="217">
        <f>BG143</f>
        <v>165.815865</v>
      </c>
      <c r="BH188" s="170"/>
      <c r="BI188" s="170"/>
      <c r="BJ188" s="170"/>
      <c r="BK188" s="217">
        <f>BK143</f>
        <v>167.30113800000001</v>
      </c>
      <c r="BL188" s="170"/>
      <c r="BM188" s="170"/>
      <c r="BN188" s="170"/>
      <c r="BO188" s="217">
        <f>BO143</f>
        <v>168.308888</v>
      </c>
      <c r="BP188" s="170"/>
      <c r="BQ188" s="170"/>
      <c r="BR188" s="25"/>
      <c r="BS188" s="34">
        <f>BS143</f>
        <v>165.08242799999999</v>
      </c>
      <c r="BT188" s="25"/>
      <c r="BU188" s="25"/>
      <c r="BV188" s="25"/>
      <c r="BW188" s="34">
        <f>BW143</f>
        <v>153.91866099999999</v>
      </c>
      <c r="BX188" s="25"/>
      <c r="BY188" s="25"/>
      <c r="BZ188" s="25"/>
      <c r="CA188" s="34">
        <f>CA143</f>
        <v>145.53100699999999</v>
      </c>
      <c r="CB188" s="25"/>
      <c r="CC188" s="25"/>
      <c r="CD188" s="175"/>
      <c r="CE188" s="34">
        <f>CE143</f>
        <v>147.37186399999999</v>
      </c>
      <c r="CF188" s="175"/>
      <c r="CG188" s="175"/>
      <c r="CH188" s="175"/>
      <c r="CI188" s="34">
        <f>CI143</f>
        <v>134.33607000000001</v>
      </c>
      <c r="CJ188" s="175"/>
      <c r="CK188" s="175"/>
      <c r="CL188" s="175"/>
      <c r="CM188" s="34">
        <f>CM143</f>
        <v>131.08628073778812</v>
      </c>
      <c r="CN188" s="175"/>
      <c r="CO188" s="175"/>
      <c r="CP188" s="175"/>
      <c r="CQ188" s="34">
        <f>CQ143</f>
        <v>131.91749769711348</v>
      </c>
      <c r="CR188" s="175"/>
      <c r="CS188" s="175"/>
      <c r="CT188" s="175"/>
      <c r="CU188" s="34">
        <f>CU143</f>
        <v>129.90697233489016</v>
      </c>
      <c r="CV188" s="175"/>
      <c r="CW188" s="1472"/>
      <c r="CX188" s="175"/>
      <c r="CY188" s="34">
        <f>CY143</f>
        <v>130.73818929421552</v>
      </c>
      <c r="CZ188" s="175"/>
      <c r="DA188" s="1472"/>
      <c r="DB188" s="175"/>
      <c r="DC188" s="175"/>
      <c r="DD188" s="175"/>
      <c r="DE188" s="175"/>
      <c r="DF188" s="175"/>
      <c r="DG188" s="25"/>
      <c r="DH188" s="25"/>
      <c r="DI188" s="25"/>
      <c r="DJ188" s="25"/>
    </row>
    <row r="189" spans="1:114" hidden="1" outlineLevel="1">
      <c r="A189" s="170" t="str">
        <f>$A$13</f>
        <v>4Q</v>
      </c>
      <c r="B189" s="170" t="str">
        <f>$B$13</f>
        <v>Jan</v>
      </c>
      <c r="C189" s="170"/>
      <c r="D189" s="217"/>
      <c r="E189" s="170"/>
      <c r="F189" s="170"/>
      <c r="G189" s="170"/>
      <c r="H189" s="217"/>
      <c r="I189" s="170"/>
      <c r="J189" s="170"/>
      <c r="K189" s="170"/>
      <c r="L189" s="217"/>
      <c r="M189" s="170"/>
      <c r="N189" s="170"/>
      <c r="O189" s="170"/>
      <c r="P189" s="217"/>
      <c r="Q189" s="170"/>
      <c r="R189" s="170"/>
      <c r="S189" s="170"/>
      <c r="T189" s="217"/>
      <c r="U189" s="170"/>
      <c r="V189" s="170"/>
      <c r="W189" s="170"/>
      <c r="X189" s="217"/>
      <c r="Y189" s="170"/>
      <c r="Z189" s="170"/>
      <c r="AA189" s="170"/>
      <c r="AB189" s="217"/>
      <c r="AC189" s="170"/>
      <c r="AD189" s="170"/>
      <c r="AE189" s="170"/>
      <c r="AF189" s="217">
        <f>AF144</f>
        <v>138.11199999999999</v>
      </c>
      <c r="AG189" s="170"/>
      <c r="AH189" s="170"/>
      <c r="AI189" s="170"/>
      <c r="AJ189" s="217">
        <f>AJ144</f>
        <v>154.10400000000001</v>
      </c>
      <c r="AK189" s="170"/>
      <c r="AL189" s="170"/>
      <c r="AM189" s="170"/>
      <c r="AN189" s="217">
        <f>AN144</f>
        <v>158</v>
      </c>
      <c r="AO189" s="170"/>
      <c r="AP189" s="170"/>
      <c r="AQ189" s="170"/>
      <c r="AR189" s="170"/>
      <c r="AS189" s="170"/>
      <c r="AT189" s="170"/>
      <c r="AU189" s="217">
        <f>AU144</f>
        <v>162.66028800000001</v>
      </c>
      <c r="AV189" s="170"/>
      <c r="AW189" s="170"/>
      <c r="AX189" s="170"/>
      <c r="AY189" s="217">
        <f>AY144</f>
        <v>164.69627700000001</v>
      </c>
      <c r="AZ189" s="170"/>
      <c r="BA189" s="170"/>
      <c r="BB189" s="170"/>
      <c r="BC189" s="217">
        <f>BC144</f>
        <v>164.689887</v>
      </c>
      <c r="BD189" s="170"/>
      <c r="BE189" s="170"/>
      <c r="BF189" s="170"/>
      <c r="BG189" s="217">
        <f>BG144</f>
        <v>166.01801499999999</v>
      </c>
      <c r="BH189" s="170"/>
      <c r="BI189" s="170"/>
      <c r="BJ189" s="170"/>
      <c r="BK189" s="217">
        <f>BK144</f>
        <v>167.70948799999999</v>
      </c>
      <c r="BL189" s="170"/>
      <c r="BM189" s="170"/>
      <c r="BN189" s="170"/>
      <c r="BO189" s="217">
        <f>BO144</f>
        <v>168.499638</v>
      </c>
      <c r="BP189" s="170"/>
      <c r="BQ189" s="170"/>
      <c r="BR189" s="25"/>
      <c r="BS189" s="34">
        <f>BS144</f>
        <v>164.04383799999999</v>
      </c>
      <c r="BT189" s="25"/>
      <c r="BU189" s="25"/>
      <c r="BV189" s="25"/>
      <c r="BW189" s="34">
        <f>BW144</f>
        <v>144.20166399999999</v>
      </c>
      <c r="BX189" s="25"/>
      <c r="BY189" s="25"/>
      <c r="BZ189" s="25"/>
      <c r="CA189" s="34">
        <f>CA144</f>
        <v>145.91056699999999</v>
      </c>
      <c r="CB189" s="25"/>
      <c r="CC189" s="25"/>
      <c r="CD189" s="175"/>
      <c r="CE189" s="34">
        <f>CE144</f>
        <v>147.309575</v>
      </c>
      <c r="CF189" s="175"/>
      <c r="CG189" s="175"/>
      <c r="CH189" s="175"/>
      <c r="CI189" s="34">
        <f>CI144</f>
        <v>131.643598</v>
      </c>
      <c r="CJ189" s="175"/>
      <c r="CK189" s="175"/>
      <c r="CL189" s="175"/>
      <c r="CM189" s="34">
        <f>CM144</f>
        <v>131.42218338037799</v>
      </c>
      <c r="CN189" s="175"/>
      <c r="CO189" s="175"/>
      <c r="CP189" s="175"/>
      <c r="CQ189" s="34">
        <f>CQ144</f>
        <v>129.41165801815467</v>
      </c>
      <c r="CR189" s="175"/>
      <c r="CS189" s="175"/>
      <c r="CT189" s="175"/>
      <c r="CU189" s="34">
        <f>CU144</f>
        <v>130.24287497748003</v>
      </c>
      <c r="CV189" s="175"/>
      <c r="CW189" s="1472"/>
      <c r="CX189" s="175"/>
      <c r="CY189" s="34">
        <f>CY144</f>
        <v>128.23234961525671</v>
      </c>
      <c r="CZ189" s="175"/>
      <c r="DA189" s="1472"/>
      <c r="DB189" s="175"/>
      <c r="DC189" s="175"/>
      <c r="DD189" s="175"/>
      <c r="DE189" s="175"/>
      <c r="DF189" s="175"/>
      <c r="DG189" s="25"/>
      <c r="DH189" s="25"/>
      <c r="DI189" s="25"/>
      <c r="DJ189" s="25"/>
    </row>
    <row r="190" spans="1:114" hidden="1" outlineLevel="1">
      <c r="A190" s="170"/>
      <c r="B190" s="170" t="str">
        <f>$B$14</f>
        <v>Year</v>
      </c>
      <c r="C190" s="170"/>
      <c r="D190" s="217"/>
      <c r="E190" s="170"/>
      <c r="F190" s="170"/>
      <c r="G190" s="170"/>
      <c r="H190" s="217"/>
      <c r="I190" s="170"/>
      <c r="J190" s="170"/>
      <c r="K190" s="170"/>
      <c r="L190" s="217"/>
      <c r="M190" s="170"/>
      <c r="N190" s="170"/>
      <c r="O190" s="170"/>
      <c r="P190" s="217"/>
      <c r="Q190" s="170"/>
      <c r="R190" s="170"/>
      <c r="S190" s="170"/>
      <c r="T190" s="217"/>
      <c r="U190" s="170"/>
      <c r="V190" s="170"/>
      <c r="W190" s="170"/>
      <c r="X190" s="217"/>
      <c r="Y190" s="170"/>
      <c r="Z190" s="170"/>
      <c r="AA190" s="170"/>
      <c r="AB190" s="217"/>
      <c r="AC190" s="170"/>
      <c r="AD190" s="170"/>
      <c r="AE190" s="170"/>
      <c r="AF190" s="217">
        <f>AF186</f>
        <v>138.024</v>
      </c>
      <c r="AG190" s="170"/>
      <c r="AH190" s="170"/>
      <c r="AI190" s="170"/>
      <c r="AJ190" s="217">
        <f>AJ186</f>
        <v>138.82400000000001</v>
      </c>
      <c r="AK190" s="170"/>
      <c r="AL190" s="170"/>
      <c r="AM190" s="170"/>
      <c r="AN190" s="217">
        <f>AN186</f>
        <v>155.05600000000001</v>
      </c>
      <c r="AO190" s="170"/>
      <c r="AP190" s="170"/>
      <c r="AQ190" s="170"/>
      <c r="AR190" s="170"/>
      <c r="AS190" s="170"/>
      <c r="AT190" s="170"/>
      <c r="AU190" s="217">
        <f>AU186</f>
        <v>159.55199999999999</v>
      </c>
      <c r="AV190" s="170"/>
      <c r="AW190" s="170"/>
      <c r="AX190" s="170"/>
      <c r="AY190" s="217">
        <f>AY186</f>
        <v>163.65147200000001</v>
      </c>
      <c r="AZ190" s="170"/>
      <c r="BA190" s="170"/>
      <c r="BB190" s="170"/>
      <c r="BC190" s="217">
        <f>BC186</f>
        <v>165.00671700000001</v>
      </c>
      <c r="BD190" s="170"/>
      <c r="BE190" s="170"/>
      <c r="BF190" s="170"/>
      <c r="BG190" s="217">
        <f>BG186</f>
        <v>165.084463</v>
      </c>
      <c r="BH190" s="170"/>
      <c r="BI190" s="170"/>
      <c r="BJ190" s="170"/>
      <c r="BK190" s="217">
        <f>BK186</f>
        <v>166.56671399999999</v>
      </c>
      <c r="BL190" s="170"/>
      <c r="BM190" s="170"/>
      <c r="BN190" s="170"/>
      <c r="BO190" s="217">
        <f>BO186</f>
        <v>167.72968800000001</v>
      </c>
      <c r="BP190" s="170"/>
      <c r="BQ190" s="170"/>
      <c r="BR190" s="25"/>
      <c r="BS190" s="34">
        <f>BS186</f>
        <v>168.888271</v>
      </c>
      <c r="BT190" s="25"/>
      <c r="BU190" s="25"/>
      <c r="BV190" s="25"/>
      <c r="BW190" s="34">
        <f>BW186</f>
        <v>162.255448</v>
      </c>
      <c r="BX190" s="25"/>
      <c r="BY190" s="25"/>
      <c r="BZ190" s="25"/>
      <c r="CA190" s="34">
        <f>CA186</f>
        <v>144.706907</v>
      </c>
      <c r="CB190" s="25"/>
      <c r="CC190" s="25"/>
      <c r="CD190" s="175"/>
      <c r="CE190" s="34">
        <f>CE186</f>
        <v>146.22846699999999</v>
      </c>
      <c r="CF190" s="175"/>
      <c r="CG190" s="175"/>
      <c r="CH190" s="175"/>
      <c r="CI190" s="34">
        <f>CI186</f>
        <v>144.56095300000001</v>
      </c>
      <c r="CJ190" s="175"/>
      <c r="CK190" s="175"/>
      <c r="CL190" s="175"/>
      <c r="CM190" s="34">
        <f>CM186</f>
        <v>130.44359800000001</v>
      </c>
      <c r="CN190" s="175"/>
      <c r="CO190" s="175"/>
      <c r="CP190" s="175"/>
      <c r="CQ190" s="34">
        <f>CQ186</f>
        <v>131.27481495932537</v>
      </c>
      <c r="CR190" s="175"/>
      <c r="CS190" s="175"/>
      <c r="CT190" s="175"/>
      <c r="CU190" s="34">
        <f>CU186</f>
        <v>129.26428959710205</v>
      </c>
      <c r="CV190" s="175"/>
      <c r="CW190" s="1472"/>
      <c r="CX190" s="175"/>
      <c r="CY190" s="34">
        <f>CY186</f>
        <v>130.09550655642741</v>
      </c>
      <c r="CZ190" s="175"/>
      <c r="DA190" s="1472"/>
      <c r="DB190" s="175"/>
      <c r="DC190" s="175"/>
      <c r="DD190" s="175"/>
      <c r="DE190" s="175"/>
      <c r="DF190" s="175"/>
      <c r="DG190" s="25"/>
      <c r="DH190" s="25"/>
      <c r="DI190" s="25"/>
      <c r="DJ190" s="25"/>
    </row>
    <row r="191" spans="1:114" hidden="1" outlineLevel="1">
      <c r="A191" s="170" t="str">
        <f>$A$15</f>
        <v>6 Mos</v>
      </c>
      <c r="B191" s="170"/>
      <c r="C191" s="170"/>
      <c r="D191" s="217"/>
      <c r="E191" s="170"/>
      <c r="F191" s="170"/>
      <c r="G191" s="170"/>
      <c r="H191" s="217"/>
      <c r="I191" s="170"/>
      <c r="J191" s="170"/>
      <c r="K191" s="170"/>
      <c r="L191" s="217"/>
      <c r="M191" s="170"/>
      <c r="N191" s="170"/>
      <c r="O191" s="170"/>
      <c r="P191" s="217"/>
      <c r="Q191" s="170"/>
      <c r="R191" s="170"/>
      <c r="S191" s="170"/>
      <c r="T191" s="217"/>
      <c r="U191" s="170"/>
      <c r="V191" s="170"/>
      <c r="W191" s="170"/>
      <c r="X191" s="217"/>
      <c r="Y191" s="170"/>
      <c r="Z191" s="170"/>
      <c r="AA191" s="170"/>
      <c r="AB191" s="217"/>
      <c r="AC191" s="170"/>
      <c r="AD191" s="170"/>
      <c r="AE191" s="170"/>
      <c r="AF191" s="217"/>
      <c r="AG191" s="170"/>
      <c r="AH191" s="170"/>
      <c r="AI191" s="170"/>
      <c r="AJ191" s="217"/>
      <c r="AK191" s="170"/>
      <c r="AL191" s="170"/>
      <c r="AM191" s="170"/>
      <c r="AN191" s="217"/>
      <c r="AO191" s="170"/>
      <c r="AP191" s="170"/>
      <c r="AQ191" s="170"/>
      <c r="AR191" s="170"/>
      <c r="AS191" s="170"/>
      <c r="AT191" s="170"/>
      <c r="AU191" s="217"/>
      <c r="AV191" s="170"/>
      <c r="AW191" s="170"/>
      <c r="AX191" s="170"/>
      <c r="AY191" s="217"/>
      <c r="AZ191" s="170"/>
      <c r="BA191" s="170"/>
      <c r="BB191" s="170"/>
      <c r="BC191" s="217"/>
      <c r="BD191" s="170"/>
      <c r="BE191" s="170"/>
      <c r="BF191" s="170"/>
      <c r="BG191" s="217"/>
      <c r="BH191" s="170"/>
      <c r="BI191" s="170"/>
      <c r="BJ191" s="170"/>
      <c r="BK191" s="217"/>
      <c r="BL191" s="170"/>
      <c r="BM191" s="170"/>
      <c r="BN191" s="170"/>
      <c r="BO191" s="217"/>
      <c r="BP191" s="170"/>
      <c r="BQ191" s="170"/>
      <c r="BR191" s="25"/>
      <c r="BS191" s="34"/>
      <c r="BT191" s="25"/>
      <c r="BU191" s="25"/>
      <c r="BV191" s="25"/>
      <c r="BW191" s="34"/>
      <c r="BX191" s="25"/>
      <c r="BY191" s="25"/>
      <c r="BZ191" s="25"/>
      <c r="CA191" s="34"/>
      <c r="CB191" s="25"/>
      <c r="CC191" s="25"/>
      <c r="CD191" s="175"/>
      <c r="CE191" s="34"/>
      <c r="CF191" s="175"/>
      <c r="CG191" s="175"/>
      <c r="CH191" s="175"/>
      <c r="CI191" s="34"/>
      <c r="CJ191" s="175"/>
      <c r="CK191" s="175"/>
      <c r="CL191" s="175"/>
      <c r="CM191" s="34"/>
      <c r="CN191" s="175"/>
      <c r="CO191" s="175"/>
      <c r="CP191" s="175"/>
      <c r="CQ191" s="34"/>
      <c r="CR191" s="175"/>
      <c r="CS191" s="175"/>
      <c r="CT191" s="175"/>
      <c r="CU191" s="34"/>
      <c r="CV191" s="175"/>
      <c r="CW191" s="1472"/>
      <c r="CX191" s="175"/>
      <c r="CY191" s="34"/>
      <c r="CZ191" s="175"/>
      <c r="DA191" s="1472"/>
      <c r="DB191" s="175"/>
      <c r="DC191" s="175"/>
      <c r="DD191" s="175"/>
      <c r="DE191" s="175"/>
      <c r="DF191" s="175"/>
      <c r="DG191" s="25"/>
      <c r="DH191" s="25"/>
      <c r="DI191" s="25"/>
      <c r="DJ191" s="25"/>
    </row>
    <row r="192" spans="1:114" hidden="1" outlineLevel="1">
      <c r="A192" s="170" t="str">
        <f>$A$16</f>
        <v>9 Mos</v>
      </c>
      <c r="B192" s="170"/>
      <c r="C192" s="170"/>
      <c r="D192" s="217"/>
      <c r="E192" s="170"/>
      <c r="F192" s="170"/>
      <c r="G192" s="170"/>
      <c r="H192" s="217"/>
      <c r="I192" s="170"/>
      <c r="J192" s="170"/>
      <c r="K192" s="170"/>
      <c r="L192" s="217"/>
      <c r="M192" s="170"/>
      <c r="N192" s="170"/>
      <c r="O192" s="170"/>
      <c r="P192" s="217"/>
      <c r="Q192" s="170"/>
      <c r="R192" s="170"/>
      <c r="S192" s="170"/>
      <c r="T192" s="217"/>
      <c r="U192" s="170"/>
      <c r="V192" s="170"/>
      <c r="W192" s="170"/>
      <c r="X192" s="217"/>
      <c r="Y192" s="170"/>
      <c r="Z192" s="170"/>
      <c r="AA192" s="170"/>
      <c r="AB192" s="217"/>
      <c r="AC192" s="170"/>
      <c r="AD192" s="170"/>
      <c r="AE192" s="170"/>
      <c r="AF192" s="217"/>
      <c r="AG192" s="170"/>
      <c r="AH192" s="170"/>
      <c r="AI192" s="170"/>
      <c r="AJ192" s="217"/>
      <c r="AK192" s="170"/>
      <c r="AL192" s="170"/>
      <c r="AM192" s="170"/>
      <c r="AN192" s="217"/>
      <c r="AO192" s="170"/>
      <c r="AP192" s="170"/>
      <c r="AQ192" s="170"/>
      <c r="AR192" s="170"/>
      <c r="AS192" s="170"/>
      <c r="AT192" s="170"/>
      <c r="AU192" s="217"/>
      <c r="AV192" s="170"/>
      <c r="AW192" s="170"/>
      <c r="AX192" s="170"/>
      <c r="AY192" s="217"/>
      <c r="AZ192" s="170"/>
      <c r="BA192" s="170"/>
      <c r="BB192" s="170"/>
      <c r="BC192" s="217"/>
      <c r="BD192" s="170"/>
      <c r="BE192" s="170"/>
      <c r="BF192" s="170"/>
      <c r="BG192" s="217"/>
      <c r="BH192" s="170"/>
      <c r="BI192" s="170"/>
      <c r="BJ192" s="170"/>
      <c r="BK192" s="217"/>
      <c r="BL192" s="170"/>
      <c r="BM192" s="170"/>
      <c r="BN192" s="170"/>
      <c r="BO192" s="217"/>
      <c r="BP192" s="170"/>
      <c r="BQ192" s="170"/>
      <c r="BR192" s="25"/>
      <c r="BS192" s="34"/>
      <c r="BT192" s="25"/>
      <c r="BU192" s="25"/>
      <c r="BV192" s="25"/>
      <c r="BW192" s="34"/>
      <c r="BX192" s="25"/>
      <c r="BY192" s="25"/>
      <c r="BZ192" s="25"/>
      <c r="CA192" s="34"/>
      <c r="CB192" s="25"/>
      <c r="CC192" s="25"/>
      <c r="CD192" s="175"/>
      <c r="CE192" s="34"/>
      <c r="CF192" s="175"/>
      <c r="CG192" s="175"/>
      <c r="CH192" s="175"/>
      <c r="CI192" s="34"/>
      <c r="CJ192" s="175"/>
      <c r="CK192" s="175"/>
      <c r="CL192" s="175"/>
      <c r="CM192" s="34"/>
      <c r="CN192" s="175"/>
      <c r="CO192" s="175"/>
      <c r="CP192" s="175"/>
      <c r="CQ192" s="34"/>
      <c r="CR192" s="175"/>
      <c r="CS192" s="175"/>
      <c r="CT192" s="175"/>
      <c r="CU192" s="34"/>
      <c r="CV192" s="175"/>
      <c r="CW192" s="1472"/>
      <c r="CX192" s="175"/>
      <c r="CY192" s="34"/>
      <c r="CZ192" s="175"/>
      <c r="DA192" s="1472"/>
      <c r="DB192" s="175"/>
      <c r="DC192" s="175"/>
      <c r="DD192" s="175"/>
      <c r="DE192" s="175"/>
      <c r="DF192" s="175"/>
      <c r="DG192" s="25"/>
      <c r="DH192" s="25"/>
      <c r="DI192" s="25"/>
      <c r="DJ192" s="25"/>
    </row>
    <row r="193" spans="1:114" hidden="1" outlineLevel="1">
      <c r="A193" s="170"/>
      <c r="B193" s="170"/>
      <c r="C193" s="170"/>
      <c r="D193" s="217"/>
      <c r="E193" s="170"/>
      <c r="F193" s="170"/>
      <c r="G193" s="170"/>
      <c r="H193" s="217"/>
      <c r="I193" s="170"/>
      <c r="J193" s="170"/>
      <c r="K193" s="170"/>
      <c r="L193" s="217"/>
      <c r="M193" s="170"/>
      <c r="N193" s="170"/>
      <c r="O193" s="170"/>
      <c r="P193" s="217"/>
      <c r="Q193" s="170"/>
      <c r="R193" s="170"/>
      <c r="S193" s="170"/>
      <c r="T193" s="217"/>
      <c r="U193" s="170"/>
      <c r="V193" s="170"/>
      <c r="W193" s="170"/>
      <c r="X193" s="217"/>
      <c r="Y193" s="170"/>
      <c r="Z193" s="170"/>
      <c r="AA193" s="170"/>
      <c r="AB193" s="217"/>
      <c r="AC193" s="170"/>
      <c r="AD193" s="170"/>
      <c r="AE193" s="170"/>
      <c r="AF193" s="217"/>
      <c r="AG193" s="170"/>
      <c r="AH193" s="170"/>
      <c r="AI193" s="170"/>
      <c r="AJ193" s="217"/>
      <c r="AK193" s="170"/>
      <c r="AL193" s="170"/>
      <c r="AM193" s="170"/>
      <c r="AN193" s="217"/>
      <c r="AO193" s="170"/>
      <c r="AP193" s="170"/>
      <c r="AQ193" s="170"/>
      <c r="AR193" s="170"/>
      <c r="AS193" s="170"/>
      <c r="AT193" s="170"/>
      <c r="AU193" s="217"/>
      <c r="AV193" s="170"/>
      <c r="AW193" s="170"/>
      <c r="AX193" s="170"/>
      <c r="AY193" s="217"/>
      <c r="AZ193" s="170"/>
      <c r="BA193" s="170"/>
      <c r="BB193" s="170"/>
      <c r="BC193" s="217"/>
      <c r="BD193" s="170"/>
      <c r="BE193" s="170"/>
      <c r="BF193" s="170"/>
      <c r="BG193" s="217"/>
      <c r="BH193" s="170"/>
      <c r="BI193" s="170"/>
      <c r="BJ193" s="170"/>
      <c r="BK193" s="217"/>
      <c r="BL193" s="170"/>
      <c r="BM193" s="170"/>
      <c r="BN193" s="170"/>
      <c r="BO193" s="217"/>
      <c r="BP193" s="170"/>
      <c r="BQ193" s="170"/>
      <c r="BR193" s="25"/>
      <c r="BS193" s="34"/>
      <c r="BT193" s="25"/>
      <c r="BU193" s="25"/>
      <c r="BV193" s="25"/>
      <c r="BW193" s="34"/>
      <c r="BX193" s="25"/>
      <c r="BY193" s="25"/>
      <c r="BZ193" s="25"/>
      <c r="CA193" s="34"/>
      <c r="CB193" s="25"/>
      <c r="CC193" s="25"/>
      <c r="CD193" s="175"/>
      <c r="CE193" s="34"/>
      <c r="CF193" s="175"/>
      <c r="CG193" s="175"/>
      <c r="CH193" s="175"/>
      <c r="CI193" s="34"/>
      <c r="CJ193" s="175"/>
      <c r="CK193" s="175"/>
      <c r="CL193" s="175"/>
      <c r="CM193" s="34"/>
      <c r="CN193" s="175"/>
      <c r="CO193" s="175"/>
      <c r="CP193" s="175"/>
      <c r="CQ193" s="34"/>
      <c r="CR193" s="175"/>
      <c r="CS193" s="175"/>
      <c r="CT193" s="175"/>
      <c r="CU193" s="34"/>
      <c r="CV193" s="175"/>
      <c r="CW193" s="1472"/>
      <c r="CX193" s="175"/>
      <c r="CY193" s="34"/>
      <c r="CZ193" s="175"/>
      <c r="DA193" s="1472"/>
      <c r="DB193" s="175"/>
      <c r="DC193" s="175"/>
      <c r="DD193" s="175"/>
      <c r="DE193" s="175"/>
      <c r="DF193" s="175"/>
      <c r="DG193" s="25"/>
      <c r="DH193" s="25"/>
      <c r="DI193" s="25"/>
      <c r="DJ193" s="25"/>
    </row>
    <row r="194" spans="1:114" hidden="1" outlineLevel="1">
      <c r="A194" s="170"/>
      <c r="B194" s="170"/>
      <c r="C194" s="170"/>
      <c r="D194" s="217"/>
      <c r="E194" s="170"/>
      <c r="F194" s="170"/>
      <c r="G194" s="170"/>
      <c r="H194" s="217"/>
      <c r="I194" s="170"/>
      <c r="J194" s="170"/>
      <c r="K194" s="170"/>
      <c r="L194" s="217"/>
      <c r="M194" s="170"/>
      <c r="N194" s="170"/>
      <c r="O194" s="170"/>
      <c r="P194" s="217"/>
      <c r="Q194" s="170"/>
      <c r="R194" s="170"/>
      <c r="S194" s="170"/>
      <c r="T194" s="217"/>
      <c r="U194" s="170"/>
      <c r="V194" s="170"/>
      <c r="W194" s="170"/>
      <c r="X194" s="217"/>
      <c r="Y194" s="170"/>
      <c r="Z194" s="170"/>
      <c r="AA194" s="170"/>
      <c r="AB194" s="217"/>
      <c r="AC194" s="170"/>
      <c r="AD194" s="170"/>
      <c r="AE194" s="170"/>
      <c r="AF194" s="217"/>
      <c r="AG194" s="170"/>
      <c r="AH194" s="170"/>
      <c r="AI194" s="170"/>
      <c r="AJ194" s="217"/>
      <c r="AK194" s="170"/>
      <c r="AL194" s="170"/>
      <c r="AM194" s="170"/>
      <c r="AN194" s="217"/>
      <c r="AO194" s="170"/>
      <c r="AP194" s="170"/>
      <c r="AQ194" s="170"/>
      <c r="AR194" s="170"/>
      <c r="AS194" s="170"/>
      <c r="AT194" s="170"/>
      <c r="AU194" s="217"/>
      <c r="AV194" s="170"/>
      <c r="AW194" s="170"/>
      <c r="AX194" s="170"/>
      <c r="AY194" s="217"/>
      <c r="AZ194" s="170"/>
      <c r="BA194" s="170"/>
      <c r="BB194" s="170"/>
      <c r="BC194" s="217"/>
      <c r="BD194" s="170"/>
      <c r="BE194" s="170"/>
      <c r="BF194" s="170"/>
      <c r="BG194" s="217"/>
      <c r="BH194" s="170"/>
      <c r="BI194" s="170"/>
      <c r="BJ194" s="170"/>
      <c r="BK194" s="217"/>
      <c r="BL194" s="170"/>
      <c r="BM194" s="170"/>
      <c r="BN194" s="170"/>
      <c r="BO194" s="217"/>
      <c r="BP194" s="170"/>
      <c r="BQ194" s="170"/>
      <c r="BR194" s="25"/>
      <c r="BS194" s="34"/>
      <c r="BT194" s="25"/>
      <c r="BU194" s="25"/>
      <c r="BV194" s="25"/>
      <c r="BW194" s="34"/>
      <c r="BX194" s="25"/>
      <c r="BY194" s="25"/>
      <c r="BZ194" s="25"/>
      <c r="CA194" s="34"/>
      <c r="CB194" s="25"/>
      <c r="CC194" s="25"/>
      <c r="CD194" s="175"/>
      <c r="CE194" s="34"/>
      <c r="CF194" s="175"/>
      <c r="CG194" s="175"/>
      <c r="CH194" s="175"/>
      <c r="CI194" s="34"/>
      <c r="CJ194" s="175"/>
      <c r="CK194" s="175"/>
      <c r="CL194" s="175"/>
      <c r="CM194" s="34"/>
      <c r="CN194" s="175"/>
      <c r="CO194" s="175"/>
      <c r="CP194" s="175"/>
      <c r="CQ194" s="34"/>
      <c r="CR194" s="175"/>
      <c r="CS194" s="175"/>
      <c r="CT194" s="175"/>
      <c r="CU194" s="34"/>
      <c r="CV194" s="175"/>
      <c r="CW194" s="1472"/>
      <c r="CX194" s="175"/>
      <c r="CY194" s="34"/>
      <c r="CZ194" s="175"/>
      <c r="DA194" s="1472"/>
      <c r="DB194" s="175"/>
      <c r="DC194" s="175"/>
      <c r="DD194" s="175"/>
      <c r="DE194" s="175"/>
      <c r="DF194" s="175"/>
      <c r="DG194" s="25"/>
      <c r="DH194" s="25"/>
      <c r="DI194" s="25"/>
      <c r="DJ194" s="25"/>
    </row>
    <row r="195" spans="1:114" hidden="1" outlineLevel="1">
      <c r="A195" s="170"/>
      <c r="B195" s="170"/>
      <c r="C195" s="170"/>
      <c r="D195" s="217"/>
      <c r="E195" s="170"/>
      <c r="F195" s="170"/>
      <c r="G195" s="170"/>
      <c r="H195" s="217"/>
      <c r="I195" s="170"/>
      <c r="J195" s="170"/>
      <c r="K195" s="170"/>
      <c r="L195" s="217"/>
      <c r="M195" s="170"/>
      <c r="N195" s="170"/>
      <c r="O195" s="170"/>
      <c r="P195" s="217"/>
      <c r="Q195" s="170"/>
      <c r="R195" s="170"/>
      <c r="S195" s="170"/>
      <c r="T195" s="217"/>
      <c r="U195" s="170"/>
      <c r="V195" s="170"/>
      <c r="W195" s="170"/>
      <c r="X195" s="217"/>
      <c r="Y195" s="170"/>
      <c r="Z195" s="170"/>
      <c r="AA195" s="170"/>
      <c r="AB195" s="217"/>
      <c r="AC195" s="170"/>
      <c r="AD195" s="170"/>
      <c r="AE195" s="170"/>
      <c r="AF195" s="217"/>
      <c r="AG195" s="170"/>
      <c r="AH195" s="170"/>
      <c r="AI195" s="170"/>
      <c r="AJ195" s="217"/>
      <c r="AK195" s="170"/>
      <c r="AL195" s="170"/>
      <c r="AM195" s="170"/>
      <c r="AN195" s="217"/>
      <c r="AO195" s="170"/>
      <c r="AP195" s="170"/>
      <c r="AQ195" s="170"/>
      <c r="AR195" s="170"/>
      <c r="AS195" s="170"/>
      <c r="AT195" s="170"/>
      <c r="AU195" s="217"/>
      <c r="AV195" s="170"/>
      <c r="AW195" s="170"/>
      <c r="AX195" s="170"/>
      <c r="AY195" s="217"/>
      <c r="AZ195" s="170"/>
      <c r="BA195" s="170"/>
      <c r="BB195" s="170"/>
      <c r="BC195" s="217"/>
      <c r="BD195" s="170"/>
      <c r="BE195" s="170"/>
      <c r="BF195" s="170"/>
      <c r="BG195" s="217"/>
      <c r="BH195" s="170"/>
      <c r="BI195" s="170"/>
      <c r="BJ195" s="170"/>
      <c r="BK195" s="217"/>
      <c r="BL195" s="170"/>
      <c r="BM195" s="170"/>
      <c r="BN195" s="170"/>
      <c r="BO195" s="217"/>
      <c r="BP195" s="170"/>
      <c r="BQ195" s="170"/>
      <c r="BR195" s="25"/>
      <c r="BS195" s="34"/>
      <c r="BT195" s="25"/>
      <c r="BU195" s="25"/>
      <c r="BV195" s="25"/>
      <c r="BW195" s="34"/>
      <c r="BX195" s="25"/>
      <c r="BY195" s="25"/>
      <c r="BZ195" s="25"/>
      <c r="CA195" s="34"/>
      <c r="CB195" s="25"/>
      <c r="CC195" s="25"/>
      <c r="CD195" s="175"/>
      <c r="CE195" s="34"/>
      <c r="CF195" s="175"/>
      <c r="CG195" s="175"/>
      <c r="CH195" s="175"/>
      <c r="CI195" s="34"/>
      <c r="CJ195" s="175"/>
      <c r="CK195" s="175"/>
      <c r="CL195" s="175"/>
      <c r="CM195" s="34"/>
      <c r="CN195" s="175"/>
      <c r="CO195" s="175"/>
      <c r="CP195" s="175"/>
      <c r="CQ195" s="34"/>
      <c r="CR195" s="175"/>
      <c r="CS195" s="175"/>
      <c r="CT195" s="175"/>
      <c r="CU195" s="34"/>
      <c r="CV195" s="175"/>
      <c r="CW195" s="1472"/>
      <c r="CX195" s="175"/>
      <c r="CY195" s="34"/>
      <c r="CZ195" s="175"/>
      <c r="DA195" s="1472"/>
      <c r="DB195" s="175"/>
      <c r="DC195" s="175"/>
      <c r="DD195" s="175"/>
      <c r="DE195" s="175"/>
      <c r="DF195" s="175"/>
      <c r="DG195" s="25"/>
      <c r="DH195" s="25"/>
      <c r="DI195" s="25"/>
      <c r="DJ195" s="25"/>
    </row>
    <row r="196" spans="1:114" hidden="1" outlineLevel="1">
      <c r="A196" s="170"/>
      <c r="B196" s="170"/>
      <c r="C196" s="170"/>
      <c r="D196" s="217"/>
      <c r="E196" s="170"/>
      <c r="F196" s="170"/>
      <c r="G196" s="170"/>
      <c r="H196" s="217"/>
      <c r="I196" s="170"/>
      <c r="J196" s="170"/>
      <c r="K196" s="170"/>
      <c r="L196" s="217"/>
      <c r="M196" s="170"/>
      <c r="N196" s="170"/>
      <c r="O196" s="170"/>
      <c r="P196" s="217"/>
      <c r="Q196" s="170"/>
      <c r="R196" s="170"/>
      <c r="S196" s="170"/>
      <c r="T196" s="217"/>
      <c r="U196" s="170"/>
      <c r="V196" s="170"/>
      <c r="W196" s="170"/>
      <c r="X196" s="217"/>
      <c r="Y196" s="170"/>
      <c r="Z196" s="170"/>
      <c r="AA196" s="170"/>
      <c r="AB196" s="217"/>
      <c r="AC196" s="170"/>
      <c r="AD196" s="170"/>
      <c r="AE196" s="170"/>
      <c r="AF196" s="217"/>
      <c r="AG196" s="170"/>
      <c r="AH196" s="170"/>
      <c r="AI196" s="184" t="s">
        <v>454</v>
      </c>
      <c r="AJ196" s="217"/>
      <c r="AK196" s="170"/>
      <c r="AL196" s="170"/>
      <c r="AM196" s="170"/>
      <c r="AN196" s="217"/>
      <c r="AO196" s="170"/>
      <c r="AP196" s="170"/>
      <c r="AQ196" s="170"/>
      <c r="AR196" s="170"/>
      <c r="AS196" s="170"/>
      <c r="AT196" s="170"/>
      <c r="AU196" s="217"/>
      <c r="AV196" s="170"/>
      <c r="AW196" s="170"/>
      <c r="AX196" s="170"/>
      <c r="AY196" s="217"/>
      <c r="AZ196" s="170"/>
      <c r="BA196" s="170"/>
      <c r="BB196" s="170"/>
      <c r="BC196" s="217"/>
      <c r="BD196" s="170"/>
      <c r="BE196" s="170"/>
      <c r="BF196" s="170"/>
      <c r="BG196" s="217"/>
      <c r="BH196" s="170"/>
      <c r="BI196" s="170"/>
      <c r="BJ196" s="170"/>
      <c r="BK196" s="217"/>
      <c r="BL196" s="170"/>
      <c r="BM196" s="184" t="s">
        <v>454</v>
      </c>
      <c r="BN196" s="170"/>
      <c r="BO196" s="217"/>
      <c r="BP196" s="170"/>
      <c r="BQ196" s="170"/>
      <c r="BR196" s="25"/>
      <c r="BS196" s="34"/>
      <c r="BT196" s="25"/>
      <c r="BU196" s="25"/>
      <c r="BV196" s="25"/>
      <c r="BW196" s="34"/>
      <c r="BX196" s="25"/>
      <c r="BY196" s="25"/>
      <c r="BZ196" s="25"/>
      <c r="CA196" s="34"/>
      <c r="CB196" s="25"/>
      <c r="CC196" s="25"/>
      <c r="CD196" s="175"/>
      <c r="CE196" s="34"/>
      <c r="CF196" s="175"/>
      <c r="CG196" s="175"/>
      <c r="CH196" s="175"/>
      <c r="CI196" s="34"/>
      <c r="CJ196" s="175"/>
      <c r="CK196" s="175"/>
      <c r="CL196" s="175"/>
      <c r="CM196" s="34"/>
      <c r="CN196" s="175"/>
      <c r="CO196" s="175"/>
      <c r="CP196" s="175"/>
      <c r="CQ196" s="34"/>
      <c r="CR196" s="175"/>
      <c r="CS196" s="175"/>
      <c r="CT196" s="175"/>
      <c r="CU196" s="34"/>
      <c r="CV196" s="175"/>
      <c r="CW196" s="1472"/>
      <c r="CX196" s="175"/>
      <c r="CY196" s="34"/>
      <c r="CZ196" s="175"/>
      <c r="DA196" s="1472"/>
      <c r="DB196" s="175"/>
      <c r="DC196" s="175"/>
      <c r="DD196" s="175"/>
      <c r="DE196" s="175"/>
      <c r="DF196" s="175"/>
      <c r="DG196" s="25"/>
      <c r="DH196" s="25"/>
      <c r="DI196" s="25"/>
      <c r="DJ196" s="25"/>
    </row>
    <row r="197" spans="1:114" hidden="1" outlineLevel="1">
      <c r="A197" s="170" t="str">
        <f>$A$10</f>
        <v>1Q</v>
      </c>
      <c r="B197" s="170" t="str">
        <f>$B$10</f>
        <v>Apr</v>
      </c>
      <c r="C197" s="170"/>
      <c r="D197" s="217"/>
      <c r="E197" s="170"/>
      <c r="F197" s="170"/>
      <c r="G197" s="170"/>
      <c r="H197" s="217"/>
      <c r="I197" s="170"/>
      <c r="J197" s="170"/>
      <c r="K197" s="170"/>
      <c r="L197" s="217"/>
      <c r="M197" s="170"/>
      <c r="N197" s="170"/>
      <c r="O197" s="170"/>
      <c r="P197" s="217"/>
      <c r="Q197" s="170"/>
      <c r="R197" s="170"/>
      <c r="S197" s="170"/>
      <c r="T197" s="217"/>
      <c r="U197" s="170"/>
      <c r="V197" s="170"/>
      <c r="W197" s="170"/>
      <c r="X197" s="217"/>
      <c r="Y197" s="170"/>
      <c r="Z197" s="170"/>
      <c r="AA197" s="170"/>
      <c r="AB197" s="217"/>
      <c r="AC197" s="170"/>
      <c r="AD197" s="170"/>
      <c r="AE197" s="170"/>
      <c r="AF197" s="217"/>
      <c r="AG197" s="170"/>
      <c r="AH197" s="170"/>
      <c r="AI197" s="170"/>
      <c r="AJ197" s="217">
        <f>AJ164/AJ153</f>
        <v>0</v>
      </c>
      <c r="AK197" s="170"/>
      <c r="AL197" s="170"/>
      <c r="AM197" s="170"/>
      <c r="AN197" s="217">
        <f>AN164/AN153</f>
        <v>0</v>
      </c>
      <c r="AO197" s="170"/>
      <c r="AP197" s="170"/>
      <c r="AQ197" s="170"/>
      <c r="AR197" s="170"/>
      <c r="AS197" s="170"/>
      <c r="AT197" s="170"/>
      <c r="AU197" s="217">
        <f>AU164/AU153</f>
        <v>0</v>
      </c>
      <c r="AV197" s="170"/>
      <c r="AW197" s="170"/>
      <c r="AX197" s="170"/>
      <c r="AY197" s="217">
        <f>AY164/AY153</f>
        <v>0</v>
      </c>
      <c r="AZ197" s="170"/>
      <c r="BA197" s="170"/>
      <c r="BB197" s="170"/>
      <c r="BC197" s="217">
        <f>BC164/BC153</f>
        <v>0</v>
      </c>
      <c r="BD197" s="170"/>
      <c r="BE197" s="170"/>
      <c r="BF197" s="170"/>
      <c r="BG197" s="217">
        <f>BG164/BG153</f>
        <v>0</v>
      </c>
      <c r="BH197" s="170"/>
      <c r="BI197" s="170"/>
      <c r="BJ197" s="170"/>
      <c r="BK197" s="217">
        <f>BK164/BK153</f>
        <v>0</v>
      </c>
      <c r="BL197" s="170"/>
      <c r="BM197" s="170"/>
      <c r="BN197" s="170"/>
      <c r="BO197" s="217">
        <f>BO164/BO153</f>
        <v>0</v>
      </c>
      <c r="BP197" s="170"/>
      <c r="BQ197" s="170"/>
      <c r="BR197" s="25"/>
      <c r="BS197" s="34">
        <f>BS164/BS153</f>
        <v>0</v>
      </c>
      <c r="BT197" s="25"/>
      <c r="BU197" s="25"/>
      <c r="BV197" s="25"/>
      <c r="BW197" s="34">
        <f>BW164/BW153</f>
        <v>-4.8255111976630971</v>
      </c>
      <c r="BX197" s="25"/>
      <c r="BY197" s="25"/>
      <c r="BZ197" s="25"/>
      <c r="CA197" s="34">
        <f>CA164/CA153</f>
        <v>0</v>
      </c>
      <c r="CB197" s="25"/>
      <c r="CC197" s="25"/>
      <c r="CD197" s="175"/>
      <c r="CE197" s="34">
        <f>CE164/CE153</f>
        <v>0</v>
      </c>
      <c r="CF197" s="175"/>
      <c r="CG197" s="175"/>
      <c r="CH197" s="175"/>
      <c r="CI197" s="34">
        <f>CI164/CI153</f>
        <v>-9.6984628053801814</v>
      </c>
      <c r="CJ197" s="175"/>
      <c r="CK197" s="175"/>
      <c r="CL197" s="175"/>
      <c r="CM197" s="34">
        <f>CM164/CM153</f>
        <v>0</v>
      </c>
      <c r="CN197" s="175"/>
      <c r="CO197" s="175"/>
      <c r="CP197" s="175"/>
      <c r="CQ197" s="34">
        <f>CQ164/CQ153</f>
        <v>0</v>
      </c>
      <c r="CR197" s="175"/>
      <c r="CS197" s="175"/>
      <c r="CT197" s="175"/>
      <c r="CU197" s="34">
        <f>CU164/CU153</f>
        <v>0</v>
      </c>
      <c r="CV197" s="175"/>
      <c r="CW197" s="1472"/>
      <c r="CX197" s="175"/>
      <c r="CY197" s="34">
        <f>CY164/CY153</f>
        <v>0</v>
      </c>
      <c r="CZ197" s="175"/>
      <c r="DA197" s="1472"/>
      <c r="DB197" s="175"/>
      <c r="DC197" s="175"/>
      <c r="DD197" s="175"/>
      <c r="DE197" s="175"/>
      <c r="DF197" s="175"/>
      <c r="DG197" s="25"/>
      <c r="DH197" s="25"/>
      <c r="DI197" s="25"/>
      <c r="DJ197" s="25"/>
    </row>
    <row r="198" spans="1:114" hidden="1" outlineLevel="1">
      <c r="A198" s="170" t="str">
        <f>$A$11</f>
        <v>2Q</v>
      </c>
      <c r="B198" s="170" t="str">
        <f>$B$11</f>
        <v>Jul</v>
      </c>
      <c r="C198" s="170"/>
      <c r="D198" s="217"/>
      <c r="E198" s="170"/>
      <c r="F198" s="170"/>
      <c r="G198" s="170"/>
      <c r="H198" s="217"/>
      <c r="I198" s="170"/>
      <c r="J198" s="170"/>
      <c r="K198" s="170"/>
      <c r="L198" s="217"/>
      <c r="M198" s="170"/>
      <c r="N198" s="170"/>
      <c r="O198" s="170"/>
      <c r="P198" s="217"/>
      <c r="Q198" s="170"/>
      <c r="R198" s="170"/>
      <c r="S198" s="170"/>
      <c r="T198" s="217"/>
      <c r="U198" s="170"/>
      <c r="V198" s="170"/>
      <c r="W198" s="170"/>
      <c r="X198" s="217"/>
      <c r="Y198" s="170"/>
      <c r="Z198" s="170"/>
      <c r="AA198" s="170"/>
      <c r="AB198" s="217"/>
      <c r="AC198" s="170"/>
      <c r="AD198" s="170"/>
      <c r="AE198" s="170"/>
      <c r="AF198" s="217"/>
      <c r="AG198" s="170"/>
      <c r="AH198" s="170"/>
      <c r="AI198" s="170"/>
      <c r="AJ198" s="217">
        <f>AJ165/AJ154</f>
        <v>0</v>
      </c>
      <c r="AK198" s="170"/>
      <c r="AL198" s="170"/>
      <c r="AM198" s="170"/>
      <c r="AN198" s="217">
        <f>AN165/AN154</f>
        <v>0</v>
      </c>
      <c r="AO198" s="170"/>
      <c r="AP198" s="170"/>
      <c r="AQ198" s="170"/>
      <c r="AR198" s="170"/>
      <c r="AS198" s="170"/>
      <c r="AT198" s="170"/>
      <c r="AU198" s="217">
        <f>AU165/AU154</f>
        <v>0</v>
      </c>
      <c r="AV198" s="170"/>
      <c r="AW198" s="170"/>
      <c r="AX198" s="170"/>
      <c r="AY198" s="217">
        <f>AY165/AY154</f>
        <v>0</v>
      </c>
      <c r="AZ198" s="170"/>
      <c r="BA198" s="170"/>
      <c r="BB198" s="170"/>
      <c r="BC198" s="217">
        <f>BC165/BC154</f>
        <v>-0.17003484320557491</v>
      </c>
      <c r="BD198" s="170"/>
      <c r="BE198" s="170"/>
      <c r="BF198" s="170"/>
      <c r="BG198" s="217">
        <f>BG165/BG154</f>
        <v>0</v>
      </c>
      <c r="BH198" s="170"/>
      <c r="BI198" s="170"/>
      <c r="BJ198" s="170"/>
      <c r="BK198" s="217">
        <f>BK165/BK154</f>
        <v>0</v>
      </c>
      <c r="BL198" s="170"/>
      <c r="BM198" s="170"/>
      <c r="BN198" s="170"/>
      <c r="BO198" s="217">
        <f>BO165/BO154</f>
        <v>0</v>
      </c>
      <c r="BP198" s="170"/>
      <c r="BQ198" s="170"/>
      <c r="BR198" s="25"/>
      <c r="BS198" s="34">
        <f>BS165/BS154</f>
        <v>-2.133609958506224</v>
      </c>
      <c r="BT198" s="25"/>
      <c r="BU198" s="25"/>
      <c r="BV198" s="25"/>
      <c r="BW198" s="34">
        <f>BW165/BW154</f>
        <v>-2.3407162726008339</v>
      </c>
      <c r="BX198" s="25"/>
      <c r="BY198" s="25"/>
      <c r="BZ198" s="25"/>
      <c r="CA198" s="34">
        <f>CA165/CA154</f>
        <v>0</v>
      </c>
      <c r="CB198" s="25"/>
      <c r="CC198" s="25"/>
      <c r="CD198" s="175"/>
      <c r="CE198" s="34">
        <f>CE165/CE154</f>
        <v>0</v>
      </c>
      <c r="CF198" s="175"/>
      <c r="CG198" s="175"/>
      <c r="CH198" s="175"/>
      <c r="CI198" s="34">
        <f>CI165/CI154</f>
        <v>-3.7360797144556823</v>
      </c>
      <c r="CJ198" s="175"/>
      <c r="CK198" s="175"/>
      <c r="CL198" s="175"/>
      <c r="CM198" s="34">
        <f>CM165/CM154</f>
        <v>0</v>
      </c>
      <c r="CN198" s="175"/>
      <c r="CO198" s="175"/>
      <c r="CP198" s="175"/>
      <c r="CQ198" s="34">
        <f>CQ165/CQ154</f>
        <v>0</v>
      </c>
      <c r="CR198" s="175"/>
      <c r="CS198" s="175"/>
      <c r="CT198" s="175"/>
      <c r="CU198" s="34">
        <f>CU165/CU154</f>
        <v>0</v>
      </c>
      <c r="CV198" s="175"/>
      <c r="CW198" s="1472"/>
      <c r="CX198" s="175"/>
      <c r="CY198" s="34">
        <f>CY165/CY154</f>
        <v>0</v>
      </c>
      <c r="CZ198" s="175"/>
      <c r="DA198" s="1472"/>
      <c r="DB198" s="175"/>
      <c r="DC198" s="175"/>
      <c r="DD198" s="175"/>
      <c r="DE198" s="175"/>
      <c r="DF198" s="175"/>
      <c r="DG198" s="25"/>
      <c r="DH198" s="25"/>
      <c r="DI198" s="25"/>
      <c r="DJ198" s="25"/>
    </row>
    <row r="199" spans="1:114" hidden="1" outlineLevel="1">
      <c r="A199" s="170" t="str">
        <f>$A$12</f>
        <v>3Q</v>
      </c>
      <c r="B199" s="170" t="str">
        <f>$B$12</f>
        <v>Oct</v>
      </c>
      <c r="C199" s="170"/>
      <c r="D199" s="217"/>
      <c r="E199" s="170"/>
      <c r="F199" s="170"/>
      <c r="G199" s="170"/>
      <c r="H199" s="217"/>
      <c r="I199" s="170"/>
      <c r="J199" s="170"/>
      <c r="K199" s="170"/>
      <c r="L199" s="217"/>
      <c r="M199" s="170"/>
      <c r="N199" s="170"/>
      <c r="O199" s="170"/>
      <c r="P199" s="217"/>
      <c r="Q199" s="170"/>
      <c r="R199" s="170"/>
      <c r="S199" s="170"/>
      <c r="T199" s="217"/>
      <c r="U199" s="170"/>
      <c r="V199" s="170"/>
      <c r="W199" s="170"/>
      <c r="X199" s="217"/>
      <c r="Y199" s="170"/>
      <c r="Z199" s="170"/>
      <c r="AA199" s="170"/>
      <c r="AB199" s="217"/>
      <c r="AC199" s="170"/>
      <c r="AD199" s="170"/>
      <c r="AE199" s="170"/>
      <c r="AF199" s="217"/>
      <c r="AG199" s="170"/>
      <c r="AH199" s="170"/>
      <c r="AI199" s="170"/>
      <c r="AJ199" s="217">
        <f>AJ166/AJ155</f>
        <v>0</v>
      </c>
      <c r="AK199" s="170"/>
      <c r="AL199" s="170"/>
      <c r="AM199" s="170"/>
      <c r="AN199" s="217">
        <f>AN166/AN155</f>
        <v>0</v>
      </c>
      <c r="AO199" s="170"/>
      <c r="AP199" s="170"/>
      <c r="AQ199" s="170"/>
      <c r="AR199" s="170"/>
      <c r="AS199" s="170"/>
      <c r="AT199" s="170"/>
      <c r="AU199" s="217">
        <f>AU166/AU155</f>
        <v>0</v>
      </c>
      <c r="AV199" s="170"/>
      <c r="AW199" s="170"/>
      <c r="AX199" s="170"/>
      <c r="AY199" s="217">
        <f>AY166/AY155</f>
        <v>0</v>
      </c>
      <c r="AZ199" s="170"/>
      <c r="BA199" s="170"/>
      <c r="BB199" s="170"/>
      <c r="BC199" s="217">
        <f>BC166/BC155</f>
        <v>-1.0488849765258215</v>
      </c>
      <c r="BD199" s="170"/>
      <c r="BE199" s="170"/>
      <c r="BF199" s="170"/>
      <c r="BG199" s="217">
        <f>BG166/BG155</f>
        <v>0</v>
      </c>
      <c r="BH199" s="170"/>
      <c r="BI199" s="170"/>
      <c r="BJ199" s="170"/>
      <c r="BK199" s="217">
        <f>BK166/BK155</f>
        <v>0</v>
      </c>
      <c r="BL199" s="170"/>
      <c r="BM199" s="170"/>
      <c r="BN199" s="170"/>
      <c r="BO199" s="217">
        <f>BO166/BO155</f>
        <v>0</v>
      </c>
      <c r="BP199" s="170"/>
      <c r="BQ199" s="170"/>
      <c r="BR199" s="25"/>
      <c r="BS199" s="34">
        <f>BS166/BS155</f>
        <v>-4.2735028976175151</v>
      </c>
      <c r="BT199" s="25"/>
      <c r="BU199" s="25"/>
      <c r="BV199" s="25"/>
      <c r="BW199" s="34">
        <f>BW166/BW155</f>
        <v>-13.324431583298887</v>
      </c>
      <c r="BX199" s="25"/>
      <c r="BY199" s="25"/>
      <c r="BZ199" s="25"/>
      <c r="CA199" s="34">
        <f>CA166/CA155</f>
        <v>0</v>
      </c>
      <c r="CB199" s="25"/>
      <c r="CC199" s="25"/>
      <c r="CD199" s="175"/>
      <c r="CE199" s="340">
        <f>CE166/CE155</f>
        <v>-0.30030890199382199</v>
      </c>
      <c r="CF199" s="175"/>
      <c r="CG199" s="175"/>
      <c r="CH199" s="175"/>
      <c r="CI199" s="340">
        <f>CI166/CI155</f>
        <v>-0.18663232104121424</v>
      </c>
      <c r="CJ199" s="175"/>
      <c r="CK199" s="175"/>
      <c r="CL199" s="175"/>
      <c r="CM199" s="340">
        <f>CM166/CM155</f>
        <v>0</v>
      </c>
      <c r="CN199" s="175"/>
      <c r="CO199" s="175"/>
      <c r="CP199" s="175"/>
      <c r="CQ199" s="340">
        <f>CQ166/CQ155</f>
        <v>0</v>
      </c>
      <c r="CR199" s="175"/>
      <c r="CS199" s="175"/>
      <c r="CT199" s="175"/>
      <c r="CU199" s="340">
        <f>CU166/CU155</f>
        <v>0</v>
      </c>
      <c r="CV199" s="175"/>
      <c r="CW199" s="1472"/>
      <c r="CX199" s="175"/>
      <c r="CY199" s="340">
        <f>CY166/CY155</f>
        <v>0</v>
      </c>
      <c r="CZ199" s="175"/>
      <c r="DA199" s="1472"/>
      <c r="DB199" s="175"/>
      <c r="DC199" s="175"/>
      <c r="DD199" s="175"/>
      <c r="DE199" s="175"/>
      <c r="DF199" s="175"/>
      <c r="DG199" s="25"/>
      <c r="DH199" s="25"/>
      <c r="DI199" s="25"/>
      <c r="DJ199" s="25"/>
    </row>
    <row r="200" spans="1:114" hidden="1" outlineLevel="1">
      <c r="A200" s="170" t="str">
        <f>$A$13</f>
        <v>4Q</v>
      </c>
      <c r="B200" s="170" t="str">
        <f>$B$13</f>
        <v>Jan</v>
      </c>
      <c r="C200" s="170"/>
      <c r="D200" s="217"/>
      <c r="E200" s="170"/>
      <c r="F200" s="170"/>
      <c r="G200" s="170"/>
      <c r="H200" s="217"/>
      <c r="I200" s="170"/>
      <c r="J200" s="170"/>
      <c r="K200" s="170"/>
      <c r="L200" s="217"/>
      <c r="M200" s="170"/>
      <c r="N200" s="170"/>
      <c r="O200" s="170"/>
      <c r="P200" s="217"/>
      <c r="Q200" s="170"/>
      <c r="R200" s="170"/>
      <c r="S200" s="170"/>
      <c r="T200" s="217"/>
      <c r="U200" s="170"/>
      <c r="V200" s="170"/>
      <c r="W200" s="170"/>
      <c r="X200" s="217"/>
      <c r="Y200" s="170"/>
      <c r="Z200" s="170"/>
      <c r="AA200" s="170"/>
      <c r="AB200" s="217"/>
      <c r="AC200" s="170"/>
      <c r="AD200" s="170"/>
      <c r="AE200" s="170"/>
      <c r="AF200" s="217"/>
      <c r="AG200" s="170"/>
      <c r="AH200" s="170"/>
      <c r="AI200" s="170"/>
      <c r="AJ200" s="217">
        <f>AJ167/AJ156</f>
        <v>0</v>
      </c>
      <c r="AK200" s="170"/>
      <c r="AL200" s="170"/>
      <c r="AM200" s="170"/>
      <c r="AN200" s="217">
        <f>AN167/AN156</f>
        <v>0</v>
      </c>
      <c r="AO200" s="170"/>
      <c r="AP200" s="170"/>
      <c r="AQ200" s="170"/>
      <c r="AR200" s="170"/>
      <c r="AS200" s="170"/>
      <c r="AT200" s="170"/>
      <c r="AU200" s="217">
        <f>AU167/AU156</f>
        <v>0</v>
      </c>
      <c r="AV200" s="170"/>
      <c r="AW200" s="170"/>
      <c r="AX200" s="170"/>
      <c r="AY200" s="217">
        <f>AY167/AY156</f>
        <v>0</v>
      </c>
      <c r="AZ200" s="170"/>
      <c r="BA200" s="170"/>
      <c r="BB200" s="170"/>
      <c r="BC200" s="217">
        <f>BC167/BC156</f>
        <v>-3.8802027946707089E-17</v>
      </c>
      <c r="BD200" s="170"/>
      <c r="BE200" s="170"/>
      <c r="BF200" s="170"/>
      <c r="BG200" s="217">
        <f>BG167/BG156</f>
        <v>0</v>
      </c>
      <c r="BH200" s="170"/>
      <c r="BI200" s="170"/>
      <c r="BJ200" s="170"/>
      <c r="BK200" s="217">
        <f>BK167/BK156</f>
        <v>0</v>
      </c>
      <c r="BL200" s="170"/>
      <c r="BM200" s="170"/>
      <c r="BN200" s="170"/>
      <c r="BO200" s="217">
        <f>BO167/BO156</f>
        <v>0</v>
      </c>
      <c r="BP200" s="170"/>
      <c r="BQ200" s="170"/>
      <c r="BR200" s="25"/>
      <c r="BS200" s="34">
        <f>BS167/BS156</f>
        <v>1.5664160401077299E-4</v>
      </c>
      <c r="BT200" s="25"/>
      <c r="BU200" s="25"/>
      <c r="BV200" s="25"/>
      <c r="BW200" s="34">
        <f>BW167/BW156</f>
        <v>-0.27282070803197028</v>
      </c>
      <c r="BX200" s="25"/>
      <c r="BY200" s="25"/>
      <c r="BZ200" s="25"/>
      <c r="CA200" s="34">
        <f>CA167/CA156</f>
        <v>0</v>
      </c>
      <c r="CB200" s="25"/>
      <c r="CC200" s="25"/>
      <c r="CD200" s="175"/>
      <c r="CE200" s="340">
        <f>CE167/CE156</f>
        <v>-2.7480076944200212E-5</v>
      </c>
      <c r="CF200" s="175"/>
      <c r="CG200" s="175"/>
      <c r="CH200" s="175"/>
      <c r="CI200" s="340">
        <f>CI167/CI156</f>
        <v>-1.0526315789473684</v>
      </c>
      <c r="CJ200" s="175"/>
      <c r="CK200" s="175"/>
      <c r="CL200" s="175"/>
      <c r="CM200" s="340">
        <f>CM167/CM156</f>
        <v>0</v>
      </c>
      <c r="CN200" s="175"/>
      <c r="CO200" s="175"/>
      <c r="CP200" s="175"/>
      <c r="CQ200" s="340">
        <f>CQ167/CQ156</f>
        <v>0</v>
      </c>
      <c r="CR200" s="175"/>
      <c r="CS200" s="175"/>
      <c r="CT200" s="175"/>
      <c r="CU200" s="340">
        <f>CU167/CU156</f>
        <v>0</v>
      </c>
      <c r="CV200" s="175"/>
      <c r="CW200" s="1472"/>
      <c r="CX200" s="175"/>
      <c r="CY200" s="340">
        <f>CY167/CY156</f>
        <v>0</v>
      </c>
      <c r="CZ200" s="175"/>
      <c r="DA200" s="1472"/>
      <c r="DB200" s="175"/>
      <c r="DC200" s="175"/>
      <c r="DD200" s="175"/>
      <c r="DE200" s="175"/>
      <c r="DF200" s="175"/>
      <c r="DG200" s="25"/>
      <c r="DH200" s="25"/>
      <c r="DI200" s="25"/>
      <c r="DJ200" s="25"/>
    </row>
    <row r="201" spans="1:114" hidden="1" outlineLevel="1">
      <c r="A201" s="170"/>
      <c r="B201" s="170" t="str">
        <f>$B$14</f>
        <v>Year</v>
      </c>
      <c r="C201" s="170"/>
      <c r="D201" s="217"/>
      <c r="E201" s="170"/>
      <c r="F201" s="170"/>
      <c r="G201" s="170"/>
      <c r="H201" s="217"/>
      <c r="I201" s="170"/>
      <c r="J201" s="170"/>
      <c r="K201" s="170"/>
      <c r="L201" s="217"/>
      <c r="M201" s="170"/>
      <c r="N201" s="170"/>
      <c r="O201" s="170"/>
      <c r="P201" s="217"/>
      <c r="Q201" s="170"/>
      <c r="R201" s="170"/>
      <c r="S201" s="170"/>
      <c r="T201" s="217"/>
      <c r="U201" s="170"/>
      <c r="V201" s="170"/>
      <c r="W201" s="170"/>
      <c r="X201" s="217"/>
      <c r="Y201" s="170"/>
      <c r="Z201" s="170"/>
      <c r="AA201" s="170"/>
      <c r="AB201" s="217"/>
      <c r="AC201" s="170"/>
      <c r="AD201" s="170"/>
      <c r="AE201" s="170"/>
      <c r="AF201" s="217"/>
      <c r="AG201" s="170"/>
      <c r="AH201" s="170"/>
      <c r="AI201" s="170"/>
      <c r="AJ201" s="217">
        <f>SUM(AJ197:AJ200)</f>
        <v>0</v>
      </c>
      <c r="AK201" s="170"/>
      <c r="AL201" s="170"/>
      <c r="AM201" s="170"/>
      <c r="AN201" s="217">
        <f>SUM(AN197:AN200)</f>
        <v>0</v>
      </c>
      <c r="AO201" s="170"/>
      <c r="AP201" s="170"/>
      <c r="AQ201" s="170"/>
      <c r="AR201" s="170"/>
      <c r="AS201" s="170"/>
      <c r="AT201" s="170"/>
      <c r="AU201" s="217">
        <f>SUM(AU197:AU200)</f>
        <v>0</v>
      </c>
      <c r="AV201" s="170"/>
      <c r="AW201" s="170"/>
      <c r="AX201" s="170"/>
      <c r="AY201" s="217">
        <f>SUM(AY197:AY200)</f>
        <v>0</v>
      </c>
      <c r="AZ201" s="217"/>
      <c r="BA201" s="170"/>
      <c r="BB201" s="170"/>
      <c r="BC201" s="217">
        <f>SUM(BC197:BC200)</f>
        <v>-1.2189198197313964</v>
      </c>
      <c r="BD201" s="170"/>
      <c r="BE201" s="170"/>
      <c r="BF201" s="170"/>
      <c r="BG201" s="217">
        <f>SUM(BG197:BG200)</f>
        <v>0</v>
      </c>
      <c r="BH201" s="170"/>
      <c r="BI201" s="170"/>
      <c r="BJ201" s="170"/>
      <c r="BK201" s="217">
        <f>SUM(BK197:BK200)</f>
        <v>0</v>
      </c>
      <c r="BL201" s="170"/>
      <c r="BM201" s="170"/>
      <c r="BN201" s="170"/>
      <c r="BO201" s="217">
        <f>SUM(BO197:BO200)</f>
        <v>0</v>
      </c>
      <c r="BP201" s="170"/>
      <c r="BQ201" s="170"/>
      <c r="BR201" s="25"/>
      <c r="BS201" s="34">
        <f>SUM(BS197:BS200)</f>
        <v>-6.4069562145197283</v>
      </c>
      <c r="BT201" s="25"/>
      <c r="BU201" s="25"/>
      <c r="BV201" s="25"/>
      <c r="BW201" s="34">
        <f>SUM(BW197:BW200)</f>
        <v>-20.763479761594791</v>
      </c>
      <c r="BX201" s="25"/>
      <c r="BY201" s="25"/>
      <c r="BZ201" s="25"/>
      <c r="CA201" s="34">
        <f>SUM(CA197:CA200)</f>
        <v>0</v>
      </c>
      <c r="CB201" s="25"/>
      <c r="CC201" s="25"/>
      <c r="CD201" s="175"/>
      <c r="CE201" s="34">
        <f>SUM(CE197:CE200)</f>
        <v>-0.30033638207076618</v>
      </c>
      <c r="CF201" s="175"/>
      <c r="CG201" s="175"/>
      <c r="CH201" s="175"/>
      <c r="CI201" s="34">
        <f>SUM(CI197:CI200)</f>
        <v>-14.673806419824446</v>
      </c>
      <c r="CJ201" s="175"/>
      <c r="CK201" s="175"/>
      <c r="CL201" s="175"/>
      <c r="CM201" s="34">
        <f>SUM(CM197:CM200)</f>
        <v>0</v>
      </c>
      <c r="CN201" s="175"/>
      <c r="CO201" s="175"/>
      <c r="CP201" s="175"/>
      <c r="CQ201" s="34">
        <f>SUM(CQ197:CQ200)</f>
        <v>0</v>
      </c>
      <c r="CR201" s="175"/>
      <c r="CS201" s="175"/>
      <c r="CT201" s="175"/>
      <c r="CU201" s="34">
        <f>SUM(CU197:CU200)</f>
        <v>0</v>
      </c>
      <c r="CV201" s="175"/>
      <c r="CW201" s="1472"/>
      <c r="CX201" s="175"/>
      <c r="CY201" s="34">
        <f>SUM(CY197:CY200)</f>
        <v>0</v>
      </c>
      <c r="CZ201" s="175"/>
      <c r="DA201" s="1472"/>
      <c r="DB201" s="175"/>
      <c r="DC201" s="175"/>
      <c r="DD201" s="175"/>
      <c r="DE201" s="175"/>
      <c r="DF201" s="175"/>
      <c r="DG201" s="25"/>
      <c r="DH201" s="25"/>
      <c r="DI201" s="25"/>
      <c r="DJ201" s="25"/>
    </row>
    <row r="202" spans="1:114" hidden="1" outlineLevel="1">
      <c r="A202" s="170" t="str">
        <f>$A$15</f>
        <v>6 Mos</v>
      </c>
      <c r="B202" s="170"/>
      <c r="C202" s="170"/>
      <c r="D202" s="217"/>
      <c r="E202" s="170"/>
      <c r="F202" s="170"/>
      <c r="G202" s="170"/>
      <c r="H202" s="217"/>
      <c r="I202" s="170"/>
      <c r="J202" s="170"/>
      <c r="K202" s="170"/>
      <c r="L202" s="217"/>
      <c r="M202" s="170"/>
      <c r="N202" s="170"/>
      <c r="O202" s="170"/>
      <c r="P202" s="217"/>
      <c r="Q202" s="170"/>
      <c r="R202" s="170"/>
      <c r="S202" s="170"/>
      <c r="T202" s="217"/>
      <c r="U202" s="170"/>
      <c r="V202" s="170"/>
      <c r="W202" s="170"/>
      <c r="X202" s="217"/>
      <c r="Y202" s="170"/>
      <c r="Z202" s="170"/>
      <c r="AA202" s="170"/>
      <c r="AB202" s="217"/>
      <c r="AC202" s="170"/>
      <c r="AD202" s="170"/>
      <c r="AE202" s="170"/>
      <c r="AF202" s="217"/>
      <c r="AG202" s="170"/>
      <c r="AH202" s="170"/>
      <c r="AI202" s="170"/>
      <c r="AJ202" s="217"/>
      <c r="AK202" s="170"/>
      <c r="AL202" s="170"/>
      <c r="AM202" s="170"/>
      <c r="AN202" s="217"/>
      <c r="AO202" s="170"/>
      <c r="AP202" s="170"/>
      <c r="AQ202" s="170"/>
      <c r="AR202" s="170"/>
      <c r="AS202" s="170"/>
      <c r="AT202" s="170"/>
      <c r="AU202" s="217"/>
      <c r="AV202" s="170"/>
      <c r="AW202" s="170"/>
      <c r="AX202" s="170"/>
      <c r="AY202" s="217"/>
      <c r="AZ202" s="170"/>
      <c r="BA202" s="170"/>
      <c r="BB202" s="170"/>
      <c r="BC202" s="217"/>
      <c r="BD202" s="170"/>
      <c r="BE202" s="170"/>
      <c r="BF202" s="170"/>
      <c r="BG202" s="217"/>
      <c r="BH202" s="170"/>
      <c r="BI202" s="170"/>
      <c r="BJ202" s="170"/>
      <c r="BK202" s="217"/>
      <c r="BL202" s="170"/>
      <c r="BM202" s="170"/>
      <c r="BN202" s="170"/>
      <c r="BO202" s="217"/>
      <c r="BP202" s="170"/>
      <c r="BQ202" s="170"/>
      <c r="BR202" s="25"/>
      <c r="BS202" s="34"/>
      <c r="BT202" s="25"/>
      <c r="BU202" s="25"/>
      <c r="BV202" s="25"/>
      <c r="BW202" s="34"/>
      <c r="BX202" s="25"/>
      <c r="BY202" s="25"/>
      <c r="BZ202" s="25"/>
      <c r="CA202" s="34"/>
      <c r="CB202" s="25"/>
      <c r="CC202" s="25"/>
      <c r="CD202" s="175"/>
      <c r="CE202" s="34"/>
      <c r="CF202" s="175"/>
      <c r="CG202" s="175"/>
      <c r="CH202" s="175"/>
      <c r="CI202" s="34"/>
      <c r="CJ202" s="175"/>
      <c r="CK202" s="175"/>
      <c r="CL202" s="175"/>
      <c r="CM202" s="34"/>
      <c r="CN202" s="175"/>
      <c r="CO202" s="175"/>
      <c r="CP202" s="175"/>
      <c r="CQ202" s="34"/>
      <c r="CR202" s="175"/>
      <c r="CS202" s="175"/>
      <c r="CT202" s="175"/>
      <c r="CU202" s="34"/>
      <c r="CV202" s="175"/>
      <c r="CW202" s="1472"/>
      <c r="CX202" s="175"/>
      <c r="CY202" s="34"/>
      <c r="CZ202" s="175"/>
      <c r="DA202" s="1472"/>
      <c r="DB202" s="175"/>
      <c r="DC202" s="175"/>
      <c r="DD202" s="175"/>
      <c r="DE202" s="175"/>
      <c r="DF202" s="175"/>
      <c r="DG202" s="25"/>
      <c r="DH202" s="25"/>
      <c r="DI202" s="25"/>
      <c r="DJ202" s="25"/>
    </row>
    <row r="203" spans="1:114" hidden="1" outlineLevel="1">
      <c r="A203" s="170" t="str">
        <f>$A$16</f>
        <v>9 Mos</v>
      </c>
      <c r="B203" s="170"/>
      <c r="C203" s="170"/>
      <c r="D203" s="217"/>
      <c r="E203" s="170"/>
      <c r="F203" s="170"/>
      <c r="G203" s="170"/>
      <c r="H203" s="217"/>
      <c r="I203" s="170"/>
      <c r="J203" s="170"/>
      <c r="K203" s="170"/>
      <c r="L203" s="217"/>
      <c r="M203" s="170"/>
      <c r="N203" s="170"/>
      <c r="O203" s="170"/>
      <c r="P203" s="217"/>
      <c r="Q203" s="170"/>
      <c r="R203" s="170"/>
      <c r="S203" s="170"/>
      <c r="T203" s="217"/>
      <c r="U203" s="170"/>
      <c r="V203" s="170"/>
      <c r="W203" s="170"/>
      <c r="X203" s="217"/>
      <c r="Y203" s="170"/>
      <c r="Z203" s="170"/>
      <c r="AA203" s="170"/>
      <c r="AB203" s="217"/>
      <c r="AC203" s="170"/>
      <c r="AD203" s="170"/>
      <c r="AE203" s="170"/>
      <c r="AF203" s="217"/>
      <c r="AG203" s="170"/>
      <c r="AH203" s="170"/>
      <c r="AI203" s="170"/>
      <c r="AJ203" s="217"/>
      <c r="AK203" s="170"/>
      <c r="AL203" s="170"/>
      <c r="AM203" s="170"/>
      <c r="AN203" s="217"/>
      <c r="AO203" s="170"/>
      <c r="AP203" s="170"/>
      <c r="AQ203" s="170"/>
      <c r="AR203" s="170"/>
      <c r="AS203" s="170"/>
      <c r="AT203" s="170"/>
      <c r="AU203" s="217"/>
      <c r="AV203" s="170"/>
      <c r="AW203" s="170"/>
      <c r="AX203" s="170"/>
      <c r="AY203" s="217"/>
      <c r="AZ203" s="170"/>
      <c r="BA203" s="170"/>
      <c r="BB203" s="170"/>
      <c r="BC203" s="217"/>
      <c r="BD203" s="170"/>
      <c r="BE203" s="170"/>
      <c r="BF203" s="170"/>
      <c r="BG203" s="217"/>
      <c r="BH203" s="170"/>
      <c r="BI203" s="170"/>
      <c r="BJ203" s="170"/>
      <c r="BK203" s="217"/>
      <c r="BL203" s="170"/>
      <c r="BM203" s="170"/>
      <c r="BN203" s="170"/>
      <c r="BO203" s="217"/>
      <c r="BP203" s="170"/>
      <c r="BQ203" s="170"/>
      <c r="BR203" s="25"/>
      <c r="BS203" s="34"/>
      <c r="BT203" s="25"/>
      <c r="BU203" s="25"/>
      <c r="BV203" s="25"/>
      <c r="BW203" s="34"/>
      <c r="BX203" s="25"/>
      <c r="BY203" s="25"/>
      <c r="BZ203" s="25"/>
      <c r="CA203" s="34"/>
      <c r="CB203" s="25"/>
      <c r="CC203" s="25"/>
      <c r="CD203" s="175"/>
      <c r="CE203" s="34"/>
      <c r="CF203" s="175"/>
      <c r="CG203" s="175"/>
      <c r="CH203" s="175"/>
      <c r="CI203" s="34"/>
      <c r="CJ203" s="175"/>
      <c r="CK203" s="175"/>
      <c r="CL203" s="175"/>
      <c r="CM203" s="34"/>
      <c r="CN203" s="175"/>
      <c r="CO203" s="175"/>
      <c r="CP203" s="175"/>
      <c r="CQ203" s="34"/>
      <c r="CR203" s="175"/>
      <c r="CS203" s="175"/>
      <c r="CT203" s="175"/>
      <c r="CU203" s="34"/>
      <c r="CV203" s="175"/>
      <c r="CW203" s="1472"/>
      <c r="CX203" s="175"/>
      <c r="CY203" s="34"/>
      <c r="CZ203" s="175"/>
      <c r="DA203" s="1472"/>
      <c r="DB203" s="175"/>
      <c r="DC203" s="175"/>
      <c r="DD203" s="175"/>
      <c r="DE203" s="175"/>
      <c r="DF203" s="175"/>
      <c r="DG203" s="25"/>
      <c r="DH203" s="25"/>
      <c r="DI203" s="25"/>
      <c r="DJ203" s="25"/>
    </row>
    <row r="204" spans="1:114" hidden="1" outlineLevel="1">
      <c r="A204" s="170"/>
      <c r="B204" s="170"/>
      <c r="C204" s="170"/>
      <c r="D204" s="217"/>
      <c r="E204" s="170"/>
      <c r="F204" s="170"/>
      <c r="G204" s="170"/>
      <c r="H204" s="217"/>
      <c r="I204" s="170"/>
      <c r="J204" s="170"/>
      <c r="K204" s="170"/>
      <c r="L204" s="217"/>
      <c r="M204" s="170"/>
      <c r="N204" s="170"/>
      <c r="O204" s="170"/>
      <c r="P204" s="217"/>
      <c r="Q204" s="170"/>
      <c r="R204" s="170"/>
      <c r="S204" s="170"/>
      <c r="T204" s="217"/>
      <c r="U204" s="170"/>
      <c r="V204" s="170"/>
      <c r="W204" s="170"/>
      <c r="X204" s="217"/>
      <c r="Y204" s="170"/>
      <c r="Z204" s="170"/>
      <c r="AA204" s="170"/>
      <c r="AB204" s="217"/>
      <c r="AC204" s="170"/>
      <c r="AD204" s="170"/>
      <c r="AE204" s="170"/>
      <c r="AF204" s="217"/>
      <c r="AG204" s="170"/>
      <c r="AH204" s="170"/>
      <c r="AI204" s="170"/>
      <c r="AJ204" s="217"/>
      <c r="AK204" s="170"/>
      <c r="AL204" s="170"/>
      <c r="AM204" s="170"/>
      <c r="AN204" s="217"/>
      <c r="AO204" s="170"/>
      <c r="AP204" s="170"/>
      <c r="AQ204" s="170"/>
      <c r="AR204" s="170"/>
      <c r="AS204" s="170"/>
      <c r="AT204" s="170"/>
      <c r="AU204" s="217"/>
      <c r="AV204" s="170"/>
      <c r="AW204" s="170"/>
      <c r="AX204" s="170"/>
      <c r="AY204" s="217"/>
      <c r="AZ204" s="170"/>
      <c r="BA204" s="170"/>
      <c r="BB204" s="170"/>
      <c r="BC204" s="217"/>
      <c r="BD204" s="170"/>
      <c r="BE204" s="170"/>
      <c r="BF204" s="170"/>
      <c r="BG204" s="217"/>
      <c r="BH204" s="170"/>
      <c r="BI204" s="170"/>
      <c r="BJ204" s="170"/>
      <c r="BK204" s="217"/>
      <c r="BL204" s="170"/>
      <c r="BM204" s="170"/>
      <c r="BN204" s="170"/>
      <c r="BO204" s="217"/>
      <c r="BP204" s="170"/>
      <c r="BQ204" s="170"/>
      <c r="BR204" s="25"/>
      <c r="BS204" s="34"/>
      <c r="BT204" s="25"/>
      <c r="BU204" s="25"/>
      <c r="BV204" s="25"/>
      <c r="BW204" s="34"/>
      <c r="BX204" s="25"/>
      <c r="BY204" s="25"/>
      <c r="BZ204" s="25"/>
      <c r="CA204" s="34"/>
      <c r="CB204" s="25"/>
      <c r="CC204" s="25"/>
      <c r="CD204" s="175"/>
      <c r="CE204" s="34"/>
      <c r="CF204" s="175"/>
      <c r="CG204" s="175"/>
      <c r="CH204" s="175"/>
      <c r="CI204" s="34"/>
      <c r="CJ204" s="175"/>
      <c r="CK204" s="175"/>
      <c r="CL204" s="175"/>
      <c r="CM204" s="34"/>
      <c r="CN204" s="175"/>
      <c r="CO204" s="175"/>
      <c r="CP204" s="175"/>
      <c r="CQ204" s="34"/>
      <c r="CR204" s="175"/>
      <c r="CS204" s="175"/>
      <c r="CT204" s="175"/>
      <c r="CU204" s="34"/>
      <c r="CV204" s="175"/>
      <c r="CW204" s="1472"/>
      <c r="CX204" s="175"/>
      <c r="CY204" s="34"/>
      <c r="CZ204" s="175"/>
      <c r="DA204" s="1472"/>
      <c r="DB204" s="175"/>
      <c r="DC204" s="175"/>
      <c r="DD204" s="175"/>
      <c r="DE204" s="175"/>
      <c r="DF204" s="175"/>
      <c r="DG204" s="25"/>
      <c r="DH204" s="25"/>
      <c r="DI204" s="25"/>
      <c r="DJ204" s="25"/>
    </row>
    <row r="205" spans="1:114" hidden="1" outlineLevel="1">
      <c r="A205" s="170"/>
      <c r="B205" s="170"/>
      <c r="C205" s="170"/>
      <c r="D205" s="217"/>
      <c r="E205" s="170"/>
      <c r="F205" s="170"/>
      <c r="G205" s="170"/>
      <c r="H205" s="217"/>
      <c r="I205" s="170"/>
      <c r="J205" s="170"/>
      <c r="K205" s="170"/>
      <c r="L205" s="217"/>
      <c r="M205" s="170"/>
      <c r="N205" s="170"/>
      <c r="O205" s="170"/>
      <c r="P205" s="217"/>
      <c r="Q205" s="170"/>
      <c r="R205" s="170"/>
      <c r="S205" s="170"/>
      <c r="T205" s="217"/>
      <c r="U205" s="170"/>
      <c r="V205" s="170"/>
      <c r="W205" s="170"/>
      <c r="X205" s="217"/>
      <c r="Y205" s="170"/>
      <c r="Z205" s="170"/>
      <c r="AA205" s="170"/>
      <c r="AB205" s="217"/>
      <c r="AC205" s="170"/>
      <c r="AD205" s="170"/>
      <c r="AE205" s="170"/>
      <c r="AF205" s="217"/>
      <c r="AG205" s="170"/>
      <c r="AH205" s="170"/>
      <c r="AI205" s="170"/>
      <c r="AJ205" s="217"/>
      <c r="AK205" s="170"/>
      <c r="AL205" s="170"/>
      <c r="AM205" s="170"/>
      <c r="AN205" s="217"/>
      <c r="AO205" s="170"/>
      <c r="AP205" s="170"/>
      <c r="AQ205" s="170"/>
      <c r="AR205" s="170"/>
      <c r="AS205" s="170"/>
      <c r="AT205" s="170"/>
      <c r="AU205" s="217"/>
      <c r="AV205" s="170"/>
      <c r="AW205" s="170"/>
      <c r="AX205" s="170"/>
      <c r="AY205" s="217"/>
      <c r="AZ205" s="170"/>
      <c r="BA205" s="170"/>
      <c r="BB205" s="170"/>
      <c r="BC205" s="217"/>
      <c r="BD205" s="170"/>
      <c r="BE205" s="170"/>
      <c r="BF205" s="170"/>
      <c r="BG205" s="217"/>
      <c r="BH205" s="170"/>
      <c r="BI205" s="170"/>
      <c r="BJ205" s="170"/>
      <c r="BK205" s="217"/>
      <c r="BL205" s="170"/>
      <c r="BM205" s="170"/>
      <c r="BN205" s="170"/>
      <c r="BO205" s="217"/>
      <c r="BP205" s="170"/>
      <c r="BQ205" s="170"/>
      <c r="BR205" s="25"/>
      <c r="BS205" s="34"/>
      <c r="BT205" s="25"/>
      <c r="BU205" s="25"/>
      <c r="BV205" s="25"/>
      <c r="BW205" s="34"/>
      <c r="BX205" s="25"/>
      <c r="BY205" s="25"/>
      <c r="BZ205" s="25"/>
      <c r="CA205" s="34"/>
      <c r="CB205" s="25"/>
      <c r="CC205" s="25"/>
      <c r="CD205" s="175"/>
      <c r="CE205" s="34"/>
      <c r="CF205" s="175"/>
      <c r="CG205" s="175"/>
      <c r="CH205" s="175"/>
      <c r="CI205" s="34"/>
      <c r="CJ205" s="175"/>
      <c r="CK205" s="175"/>
      <c r="CL205" s="175"/>
      <c r="CM205" s="34"/>
      <c r="CN205" s="175"/>
      <c r="CO205" s="175"/>
      <c r="CP205" s="175"/>
      <c r="CQ205" s="34"/>
      <c r="CR205" s="175"/>
      <c r="CS205" s="175"/>
      <c r="CT205" s="175"/>
      <c r="CU205" s="34"/>
      <c r="CV205" s="175"/>
      <c r="CW205" s="1472"/>
      <c r="CX205" s="175"/>
      <c r="CY205" s="34"/>
      <c r="CZ205" s="175"/>
      <c r="DA205" s="1472"/>
      <c r="DB205" s="175"/>
      <c r="DC205" s="175"/>
      <c r="DD205" s="175"/>
      <c r="DE205" s="175"/>
      <c r="DF205" s="175"/>
      <c r="DG205" s="25"/>
      <c r="DH205" s="25"/>
      <c r="DI205" s="25"/>
      <c r="DJ205" s="25"/>
    </row>
    <row r="206" spans="1:114" hidden="1" outlineLevel="1">
      <c r="A206" s="170"/>
      <c r="B206" s="170"/>
      <c r="C206" s="170"/>
      <c r="D206" s="217"/>
      <c r="E206" s="170"/>
      <c r="F206" s="170"/>
      <c r="G206" s="170"/>
      <c r="H206" s="217"/>
      <c r="I206" s="170"/>
      <c r="J206" s="170"/>
      <c r="K206" s="170"/>
      <c r="L206" s="217"/>
      <c r="M206" s="170"/>
      <c r="N206" s="170"/>
      <c r="O206" s="170"/>
      <c r="P206" s="217"/>
      <c r="Q206" s="170"/>
      <c r="R206" s="170"/>
      <c r="S206" s="170"/>
      <c r="T206" s="217"/>
      <c r="U206" s="170"/>
      <c r="V206" s="170"/>
      <c r="W206" s="170"/>
      <c r="X206" s="217"/>
      <c r="Y206" s="170"/>
      <c r="Z206" s="170"/>
      <c r="AA206" s="170"/>
      <c r="AB206" s="217"/>
      <c r="AC206" s="170"/>
      <c r="AD206" s="170"/>
      <c r="AE206" s="170"/>
      <c r="AF206" s="217"/>
      <c r="AG206" s="170"/>
      <c r="AH206" s="170"/>
      <c r="AI206" s="170"/>
      <c r="AJ206" s="217"/>
      <c r="AK206" s="170"/>
      <c r="AL206" s="170"/>
      <c r="AM206" s="170"/>
      <c r="AN206" s="217"/>
      <c r="AO206" s="170"/>
      <c r="AP206" s="170"/>
      <c r="AQ206" s="170"/>
      <c r="AR206" s="170"/>
      <c r="AS206" s="170"/>
      <c r="AT206" s="170"/>
      <c r="AU206" s="217"/>
      <c r="AV206" s="170"/>
      <c r="AW206" s="170"/>
      <c r="AX206" s="170"/>
      <c r="AY206" s="217"/>
      <c r="AZ206" s="170"/>
      <c r="BA206" s="170"/>
      <c r="BB206" s="170"/>
      <c r="BC206" s="217"/>
      <c r="BD206" s="170"/>
      <c r="BE206" s="170"/>
      <c r="BF206" s="170"/>
      <c r="BG206" s="217"/>
      <c r="BH206" s="170"/>
      <c r="BI206" s="170"/>
      <c r="BJ206" s="170"/>
      <c r="BK206" s="217"/>
      <c r="BL206" s="170"/>
      <c r="BM206" s="170"/>
      <c r="BN206" s="170"/>
      <c r="BO206" s="217"/>
      <c r="BP206" s="170"/>
      <c r="BQ206" s="170"/>
      <c r="BR206" s="25"/>
      <c r="BS206" s="34"/>
      <c r="BT206" s="25"/>
      <c r="BU206" s="25"/>
      <c r="BV206" s="25"/>
      <c r="BW206" s="34"/>
      <c r="BX206" s="25"/>
      <c r="BY206" s="25"/>
      <c r="BZ206" s="25"/>
      <c r="CA206" s="34"/>
      <c r="CB206" s="25"/>
      <c r="CC206" s="25"/>
      <c r="CD206" s="175"/>
      <c r="CE206" s="34"/>
      <c r="CF206" s="175"/>
      <c r="CG206" s="175"/>
      <c r="CH206" s="175"/>
      <c r="CI206" s="34"/>
      <c r="CJ206" s="175"/>
      <c r="CK206" s="175"/>
      <c r="CL206" s="175"/>
      <c r="CM206" s="34"/>
      <c r="CN206" s="175"/>
      <c r="CO206" s="175"/>
      <c r="CP206" s="175"/>
      <c r="CQ206" s="34"/>
      <c r="CR206" s="175"/>
      <c r="CS206" s="175"/>
      <c r="CT206" s="175"/>
      <c r="CU206" s="34"/>
      <c r="CV206" s="175"/>
      <c r="CW206" s="1472"/>
      <c r="CX206" s="175"/>
      <c r="CY206" s="34"/>
      <c r="CZ206" s="175"/>
      <c r="DA206" s="1472"/>
      <c r="DB206" s="175"/>
      <c r="DC206" s="175"/>
      <c r="DD206" s="175"/>
      <c r="DE206" s="175"/>
      <c r="DF206" s="175"/>
      <c r="DG206" s="25"/>
      <c r="DH206" s="25"/>
      <c r="DI206" s="25"/>
      <c r="DJ206" s="25"/>
    </row>
    <row r="207" spans="1:114" hidden="1" outlineLevel="1">
      <c r="A207" s="170"/>
      <c r="B207" s="170"/>
      <c r="C207" s="170"/>
      <c r="D207" s="217"/>
      <c r="E207" s="170"/>
      <c r="F207" s="170"/>
      <c r="G207" s="170"/>
      <c r="H207" s="217"/>
      <c r="I207" s="170"/>
      <c r="J207" s="170"/>
      <c r="K207" s="170"/>
      <c r="L207" s="217"/>
      <c r="M207" s="170"/>
      <c r="N207" s="170"/>
      <c r="O207" s="170"/>
      <c r="P207" s="217"/>
      <c r="Q207" s="170"/>
      <c r="R207" s="170"/>
      <c r="S207" s="170"/>
      <c r="T207" s="217"/>
      <c r="U207" s="170"/>
      <c r="V207" s="170"/>
      <c r="W207" s="170"/>
      <c r="X207" s="217"/>
      <c r="Y207" s="170"/>
      <c r="Z207" s="170"/>
      <c r="AA207" s="170"/>
      <c r="AB207" s="217"/>
      <c r="AC207" s="170"/>
      <c r="AD207" s="170"/>
      <c r="AE207" s="170"/>
      <c r="AF207" s="217"/>
      <c r="AG207" s="170"/>
      <c r="AH207" s="170"/>
      <c r="AI207" s="184" t="s">
        <v>455</v>
      </c>
      <c r="AJ207" s="217"/>
      <c r="AK207" s="170"/>
      <c r="AL207" s="170"/>
      <c r="AM207" s="170"/>
      <c r="AN207" s="217"/>
      <c r="AO207" s="170"/>
      <c r="AP207" s="170"/>
      <c r="AQ207" s="170"/>
      <c r="AR207" s="170"/>
      <c r="AS207" s="170"/>
      <c r="AT207" s="170"/>
      <c r="AU207" s="217"/>
      <c r="AV207" s="170"/>
      <c r="AW207" s="170"/>
      <c r="AX207" s="170"/>
      <c r="AY207" s="217"/>
      <c r="AZ207" s="170"/>
      <c r="BA207" s="170"/>
      <c r="BB207" s="170"/>
      <c r="BC207" s="217"/>
      <c r="BD207" s="170"/>
      <c r="BE207" s="170"/>
      <c r="BF207" s="170"/>
      <c r="BG207" s="217"/>
      <c r="BH207" s="170"/>
      <c r="BI207" s="170"/>
      <c r="BJ207" s="170"/>
      <c r="BK207" s="217"/>
      <c r="BL207" s="170"/>
      <c r="BM207" s="184" t="s">
        <v>455</v>
      </c>
      <c r="BN207" s="170"/>
      <c r="BO207" s="217"/>
      <c r="BP207" s="170"/>
      <c r="BQ207" s="170"/>
      <c r="BR207" s="25"/>
      <c r="BS207" s="34"/>
      <c r="BT207" s="25"/>
      <c r="BU207" s="25"/>
      <c r="BV207" s="25"/>
      <c r="BW207" s="34"/>
      <c r="BX207" s="25"/>
      <c r="BY207" s="25"/>
      <c r="BZ207" s="25"/>
      <c r="CA207" s="34"/>
      <c r="CB207" s="25"/>
      <c r="CC207" s="25"/>
      <c r="CD207" s="175"/>
      <c r="CE207" s="34"/>
      <c r="CF207" s="175"/>
      <c r="CG207" s="175"/>
      <c r="CH207" s="175"/>
      <c r="CI207" s="34"/>
      <c r="CJ207" s="175"/>
      <c r="CK207" s="175"/>
      <c r="CL207" s="175"/>
      <c r="CM207" s="34"/>
      <c r="CN207" s="175"/>
      <c r="CO207" s="175"/>
      <c r="CP207" s="175"/>
      <c r="CQ207" s="34"/>
      <c r="CR207" s="175"/>
      <c r="CS207" s="175"/>
      <c r="CT207" s="175"/>
      <c r="CU207" s="34"/>
      <c r="CV207" s="175"/>
      <c r="CW207" s="1472"/>
      <c r="CX207" s="175"/>
      <c r="CY207" s="34"/>
      <c r="CZ207" s="175"/>
      <c r="DA207" s="1472"/>
      <c r="DB207" s="175"/>
      <c r="DC207" s="175"/>
      <c r="DD207" s="175"/>
      <c r="DE207" s="175"/>
      <c r="DF207" s="175"/>
      <c r="DG207" s="25"/>
      <c r="DH207" s="25"/>
      <c r="DI207" s="25"/>
      <c r="DJ207" s="25"/>
    </row>
    <row r="208" spans="1:114" hidden="1" outlineLevel="1">
      <c r="A208" s="170" t="str">
        <f>$A$10</f>
        <v>1Q</v>
      </c>
      <c r="B208" s="170" t="str">
        <f>$B$10</f>
        <v>Apr</v>
      </c>
      <c r="C208" s="170"/>
      <c r="D208" s="217"/>
      <c r="E208" s="170"/>
      <c r="F208" s="170"/>
      <c r="G208" s="170"/>
      <c r="H208" s="217"/>
      <c r="I208" s="170"/>
      <c r="J208" s="170"/>
      <c r="K208" s="170"/>
      <c r="L208" s="217"/>
      <c r="M208" s="170"/>
      <c r="N208" s="170"/>
      <c r="O208" s="170"/>
      <c r="P208" s="217"/>
      <c r="Q208" s="170"/>
      <c r="R208" s="170"/>
      <c r="S208" s="170"/>
      <c r="T208" s="217"/>
      <c r="U208" s="170"/>
      <c r="V208" s="170"/>
      <c r="W208" s="170"/>
      <c r="X208" s="217"/>
      <c r="Y208" s="170"/>
      <c r="Z208" s="170"/>
      <c r="AA208" s="170"/>
      <c r="AB208" s="217"/>
      <c r="AC208" s="170"/>
      <c r="AD208" s="170"/>
      <c r="AE208" s="170"/>
      <c r="AF208" s="217"/>
      <c r="AG208" s="170"/>
      <c r="AH208" s="170"/>
      <c r="AI208" s="170"/>
      <c r="AJ208" s="217">
        <f>AJ175/AJ153</f>
        <v>1.5670357142857141</v>
      </c>
      <c r="AK208" s="170"/>
      <c r="AL208" s="170"/>
      <c r="AM208" s="170"/>
      <c r="AN208" s="217">
        <f>AN175/AN153</f>
        <v>0.41964285714285721</v>
      </c>
      <c r="AO208" s="170"/>
      <c r="AP208" s="170"/>
      <c r="AQ208" s="170"/>
      <c r="AR208" s="170"/>
      <c r="AS208" s="170"/>
      <c r="AT208" s="170"/>
      <c r="AU208" s="217">
        <f>AU175/AU153</f>
        <v>0.20070984915705414</v>
      </c>
      <c r="AV208" s="170"/>
      <c r="AW208" s="170"/>
      <c r="AX208" s="170"/>
      <c r="AY208" s="217">
        <f>AY175/AY153</f>
        <v>0.29511013215859033</v>
      </c>
      <c r="AZ208" s="170"/>
      <c r="BA208" s="170"/>
      <c r="BB208" s="170"/>
      <c r="BC208" s="217">
        <f>BC175/BC153</f>
        <v>5.6467761313576288E-2</v>
      </c>
      <c r="BD208" s="170"/>
      <c r="BE208" s="170"/>
      <c r="BF208" s="170"/>
      <c r="BG208" s="217">
        <f>BG175/BG153</f>
        <v>6.8835216205687569E-2</v>
      </c>
      <c r="BH208" s="170"/>
      <c r="BI208" s="170"/>
      <c r="BJ208" s="170"/>
      <c r="BK208" s="217">
        <f>BK175/BK153</f>
        <v>0.19960809928151535</v>
      </c>
      <c r="BL208" s="170"/>
      <c r="BM208" s="170"/>
      <c r="BN208" s="170"/>
      <c r="BO208" s="217">
        <f>BO175/BO153</f>
        <v>3.7221888153938669E-2</v>
      </c>
      <c r="BP208" s="170"/>
      <c r="BQ208" s="170"/>
      <c r="BR208" s="25"/>
      <c r="BS208" s="34">
        <f>BS175/BS153</f>
        <v>0.11809764309764309</v>
      </c>
      <c r="BT208" s="25"/>
      <c r="BU208" s="25"/>
      <c r="BV208" s="25"/>
      <c r="BW208" s="34">
        <f>BW175/BW153</f>
        <v>7.6371308016877651E-2</v>
      </c>
      <c r="BX208" s="25"/>
      <c r="BY208" s="25"/>
      <c r="BZ208" s="25"/>
      <c r="CA208" s="34">
        <f>CA175/CA153</f>
        <v>7.5999999999999998E-2</v>
      </c>
      <c r="CB208" s="25"/>
      <c r="CC208" s="25"/>
      <c r="CD208" s="175"/>
      <c r="CE208" s="34">
        <f>CE175/CE153</f>
        <v>0.4172586412395709</v>
      </c>
      <c r="CF208" s="175"/>
      <c r="CG208" s="175"/>
      <c r="CH208" s="175"/>
      <c r="CI208" s="34">
        <f>CI175/CI153</f>
        <v>2.1905023332418339E-2</v>
      </c>
      <c r="CJ208" s="175"/>
      <c r="CK208" s="175"/>
      <c r="CL208" s="175"/>
      <c r="CM208" s="353">
        <f>CI208</f>
        <v>2.1905023332418339E-2</v>
      </c>
      <c r="CN208" s="175"/>
      <c r="CO208" s="175"/>
      <c r="CP208" s="175"/>
      <c r="CQ208" s="353">
        <f>CM208</f>
        <v>2.1905023332418339E-2</v>
      </c>
      <c r="CR208" s="175"/>
      <c r="CS208" s="175"/>
      <c r="CT208" s="175"/>
      <c r="CU208" s="353">
        <f>CQ208</f>
        <v>2.1905023332418339E-2</v>
      </c>
      <c r="CV208" s="175"/>
      <c r="CW208" s="1472"/>
      <c r="CX208" s="175"/>
      <c r="CY208" s="353">
        <f>CU208</f>
        <v>2.1905023332418339E-2</v>
      </c>
      <c r="CZ208" s="175"/>
      <c r="DA208" s="1472"/>
      <c r="DB208" s="175"/>
      <c r="DC208" s="175"/>
      <c r="DD208" s="175"/>
      <c r="DE208" s="175"/>
      <c r="DF208" s="175"/>
      <c r="DG208" s="25"/>
      <c r="DH208" s="25"/>
      <c r="DI208" s="25"/>
      <c r="DJ208" s="25"/>
    </row>
    <row r="209" spans="1:114" hidden="1" outlineLevel="1">
      <c r="A209" s="170" t="str">
        <f>$A$11</f>
        <v>2Q</v>
      </c>
      <c r="B209" s="170" t="str">
        <f>$B$11</f>
        <v>Jul</v>
      </c>
      <c r="C209" s="170"/>
      <c r="D209" s="217"/>
      <c r="E209" s="170"/>
      <c r="F209" s="170"/>
      <c r="G209" s="170"/>
      <c r="H209" s="217"/>
      <c r="I209" s="170"/>
      <c r="J209" s="170"/>
      <c r="K209" s="170"/>
      <c r="L209" s="217"/>
      <c r="M209" s="170"/>
      <c r="N209" s="170"/>
      <c r="O209" s="170"/>
      <c r="P209" s="217"/>
      <c r="Q209" s="170"/>
      <c r="R209" s="170"/>
      <c r="S209" s="170"/>
      <c r="T209" s="217"/>
      <c r="U209" s="170"/>
      <c r="V209" s="170"/>
      <c r="W209" s="170"/>
      <c r="X209" s="217"/>
      <c r="Y209" s="170"/>
      <c r="Z209" s="170"/>
      <c r="AA209" s="170"/>
      <c r="AB209" s="217"/>
      <c r="AC209" s="170"/>
      <c r="AD209" s="170"/>
      <c r="AE209" s="170"/>
      <c r="AF209" s="217"/>
      <c r="AG209" s="170"/>
      <c r="AH209" s="170"/>
      <c r="AI209" s="170"/>
      <c r="AJ209" s="217">
        <f>AJ176/AJ154</f>
        <v>6.0824742268042326E-2</v>
      </c>
      <c r="AK209" s="170"/>
      <c r="AL209" s="170"/>
      <c r="AM209" s="170"/>
      <c r="AN209" s="217">
        <f>AN176/AN154</f>
        <v>0.83716216216216222</v>
      </c>
      <c r="AO209" s="170"/>
      <c r="AP209" s="170"/>
      <c r="AQ209" s="170"/>
      <c r="AR209" s="170"/>
      <c r="AS209" s="170"/>
      <c r="AT209" s="170"/>
      <c r="AU209" s="217">
        <f>AU176/AU154</f>
        <v>0.14772393538913364</v>
      </c>
      <c r="AV209" s="170"/>
      <c r="AW209" s="170"/>
      <c r="AX209" s="170"/>
      <c r="AY209" s="217">
        <f>AY176/AY154</f>
        <v>0.15833630846126384</v>
      </c>
      <c r="AZ209" s="170"/>
      <c r="BA209" s="170"/>
      <c r="BB209" s="170"/>
      <c r="BC209" s="217">
        <f>BC176/BC154</f>
        <v>0.10679442508710803</v>
      </c>
      <c r="BD209" s="170"/>
      <c r="BE209" s="170"/>
      <c r="BF209" s="170"/>
      <c r="BG209" s="217">
        <f>BG176/BG154</f>
        <v>5.4041666666666675E-2</v>
      </c>
      <c r="BH209" s="170"/>
      <c r="BI209" s="170"/>
      <c r="BJ209" s="170"/>
      <c r="BK209" s="217">
        <f>BK176/BK154</f>
        <v>2.3806532663316584E-2</v>
      </c>
      <c r="BL209" s="170"/>
      <c r="BM209" s="170"/>
      <c r="BN209" s="170"/>
      <c r="BO209" s="217">
        <f>BO176/BO154</f>
        <v>2.9134615384615387E-2</v>
      </c>
      <c r="BP209" s="170"/>
      <c r="BQ209" s="170"/>
      <c r="BR209" s="25"/>
      <c r="BS209" s="34">
        <f>BS176/BS154</f>
        <v>0.20127445168938946</v>
      </c>
      <c r="BT209" s="25"/>
      <c r="BU209" s="25"/>
      <c r="BV209" s="25"/>
      <c r="BW209" s="34">
        <f>BW176/BW154</f>
        <v>3.8699582753824756E-2</v>
      </c>
      <c r="BX209" s="25"/>
      <c r="BY209" s="25"/>
      <c r="BZ209" s="25"/>
      <c r="CA209" s="34">
        <f>CA176/CA154</f>
        <v>1.9170243204577969E-2</v>
      </c>
      <c r="CB209" s="25"/>
      <c r="CC209" s="25"/>
      <c r="CD209" s="175"/>
      <c r="CE209" s="34">
        <f>CE176/CE154</f>
        <v>0.32581556640123294</v>
      </c>
      <c r="CF209" s="175"/>
      <c r="CG209" s="175"/>
      <c r="CH209" s="175"/>
      <c r="CI209" s="34">
        <f>CI176/CI154</f>
        <v>6.3325401546698398E-2</v>
      </c>
      <c r="CJ209" s="175"/>
      <c r="CK209" s="175"/>
      <c r="CL209" s="175"/>
      <c r="CM209" s="353">
        <f>CI209</f>
        <v>6.3325401546698398E-2</v>
      </c>
      <c r="CN209" s="175"/>
      <c r="CO209" s="175"/>
      <c r="CP209" s="175"/>
      <c r="CQ209" s="353">
        <f>CM209</f>
        <v>6.3325401546698398E-2</v>
      </c>
      <c r="CR209" s="175"/>
      <c r="CS209" s="175"/>
      <c r="CT209" s="175"/>
      <c r="CU209" s="353">
        <f>CQ209</f>
        <v>6.3325401546698398E-2</v>
      </c>
      <c r="CV209" s="175"/>
      <c r="CW209" s="1472"/>
      <c r="CX209" s="175"/>
      <c r="CY209" s="353">
        <f>CU209</f>
        <v>6.3325401546698398E-2</v>
      </c>
      <c r="CZ209" s="175"/>
      <c r="DA209" s="1472"/>
      <c r="DB209" s="175"/>
      <c r="DC209" s="175"/>
      <c r="DD209" s="175"/>
      <c r="DE209" s="175"/>
      <c r="DF209" s="175"/>
      <c r="DG209" s="25"/>
      <c r="DH209" s="25"/>
      <c r="DI209" s="25"/>
      <c r="DJ209" s="25"/>
    </row>
    <row r="210" spans="1:114" hidden="1" outlineLevel="1">
      <c r="A210" s="170" t="str">
        <f>$A$12</f>
        <v>3Q</v>
      </c>
      <c r="B210" s="170" t="str">
        <f>$B$12</f>
        <v>Oct</v>
      </c>
      <c r="C210" s="170"/>
      <c r="D210" s="217"/>
      <c r="E210" s="170"/>
      <c r="F210" s="170"/>
      <c r="G210" s="170"/>
      <c r="H210" s="217"/>
      <c r="I210" s="170"/>
      <c r="J210" s="170"/>
      <c r="K210" s="170"/>
      <c r="L210" s="217"/>
      <c r="M210" s="170"/>
      <c r="N210" s="170"/>
      <c r="O210" s="170"/>
      <c r="P210" s="217"/>
      <c r="Q210" s="170"/>
      <c r="R210" s="170"/>
      <c r="S210" s="170"/>
      <c r="T210" s="217"/>
      <c r="U210" s="170"/>
      <c r="V210" s="170"/>
      <c r="W210" s="170"/>
      <c r="X210" s="217"/>
      <c r="Y210" s="170"/>
      <c r="Z210" s="170"/>
      <c r="AA210" s="170"/>
      <c r="AB210" s="217"/>
      <c r="AC210" s="170"/>
      <c r="AD210" s="170"/>
      <c r="AE210" s="170"/>
      <c r="AF210" s="217"/>
      <c r="AG210" s="170"/>
      <c r="AH210" s="170"/>
      <c r="AI210" s="170"/>
      <c r="AJ210" s="217">
        <f>AJ177/AJ155</f>
        <v>0.40517799352750888</v>
      </c>
      <c r="AK210" s="170"/>
      <c r="AL210" s="170"/>
      <c r="AM210" s="170"/>
      <c r="AN210" s="217">
        <f>AN177/AN155</f>
        <v>0.15235204855842174</v>
      </c>
      <c r="AO210" s="170"/>
      <c r="AP210" s="170"/>
      <c r="AQ210" s="170"/>
      <c r="AR210" s="170"/>
      <c r="AS210" s="170"/>
      <c r="AT210" s="170"/>
      <c r="AU210" s="217">
        <f>AU177/AU155</f>
        <v>8.4559710494571796E-2</v>
      </c>
      <c r="AV210" s="170"/>
      <c r="AW210" s="170"/>
      <c r="AX210" s="170"/>
      <c r="AY210" s="217">
        <f>AY177/AY155</f>
        <v>2.8155680224403894E-2</v>
      </c>
      <c r="AZ210" s="170"/>
      <c r="BA210" s="170"/>
      <c r="BB210" s="170"/>
      <c r="BC210" s="217">
        <f>BC177/BC155</f>
        <v>6.9366197183098582E-2</v>
      </c>
      <c r="BD210" s="170"/>
      <c r="BE210" s="170"/>
      <c r="BF210" s="170"/>
      <c r="BG210" s="217">
        <f>BG177/BG155</f>
        <v>4.1228457799381349E-2</v>
      </c>
      <c r="BH210" s="170"/>
      <c r="BI210" s="170"/>
      <c r="BJ210" s="170"/>
      <c r="BK210" s="217">
        <f>BK177/BK155</f>
        <v>6.5120836054866155E-2</v>
      </c>
      <c r="BL210" s="170"/>
      <c r="BM210" s="170"/>
      <c r="BN210" s="170"/>
      <c r="BO210" s="217">
        <f>BO177/BO155</f>
        <v>3.4899999999999994E-2</v>
      </c>
      <c r="BP210" s="170"/>
      <c r="BQ210" s="170"/>
      <c r="BR210" s="25"/>
      <c r="BS210" s="34">
        <f>BS177/BS155</f>
        <v>1.2202189311010933E-2</v>
      </c>
      <c r="BT210" s="25"/>
      <c r="BU210" s="25"/>
      <c r="BV210" s="25"/>
      <c r="BW210" s="34">
        <f>BW177/BW155</f>
        <v>1.8602728400165327E-3</v>
      </c>
      <c r="BX210" s="25"/>
      <c r="BY210" s="25"/>
      <c r="BZ210" s="25"/>
      <c r="CA210" s="34">
        <f>CA177/CA155</f>
        <v>0.70190502484815032</v>
      </c>
      <c r="CB210" s="25"/>
      <c r="CC210" s="25"/>
      <c r="CD210" s="175"/>
      <c r="CE210" s="34">
        <f>CE177/CE155</f>
        <v>0.11266498174670048</v>
      </c>
      <c r="CF210" s="175"/>
      <c r="CG210" s="175"/>
      <c r="CH210" s="175"/>
      <c r="CI210" s="34">
        <f>CI177/CI155</f>
        <v>0.2105477223427332</v>
      </c>
      <c r="CJ210" s="175"/>
      <c r="CK210" s="175"/>
      <c r="CL210" s="175"/>
      <c r="CM210" s="353">
        <f>CI210</f>
        <v>0.2105477223427332</v>
      </c>
      <c r="CN210" s="175"/>
      <c r="CO210" s="175"/>
      <c r="CP210" s="175"/>
      <c r="CQ210" s="353">
        <f>CM210</f>
        <v>0.2105477223427332</v>
      </c>
      <c r="CR210" s="175"/>
      <c r="CS210" s="175"/>
      <c r="CT210" s="175"/>
      <c r="CU210" s="353">
        <f>CQ210</f>
        <v>0.2105477223427332</v>
      </c>
      <c r="CV210" s="175"/>
      <c r="CW210" s="1472"/>
      <c r="CX210" s="175"/>
      <c r="CY210" s="353">
        <f>CU210</f>
        <v>0.2105477223427332</v>
      </c>
      <c r="CZ210" s="175"/>
      <c r="DA210" s="1472"/>
      <c r="DB210" s="175"/>
      <c r="DC210" s="175"/>
      <c r="DD210" s="175"/>
      <c r="DE210" s="175"/>
      <c r="DF210" s="175"/>
      <c r="DG210" s="25"/>
      <c r="DH210" s="25"/>
      <c r="DI210" s="25"/>
      <c r="DJ210" s="25"/>
    </row>
    <row r="211" spans="1:114" hidden="1" outlineLevel="1">
      <c r="A211" s="170" t="str">
        <f>$A$13</f>
        <v>4Q</v>
      </c>
      <c r="B211" s="170" t="str">
        <f>$B$13</f>
        <v>Jan</v>
      </c>
      <c r="C211" s="170"/>
      <c r="D211" s="217"/>
      <c r="E211" s="170"/>
      <c r="F211" s="170"/>
      <c r="G211" s="170"/>
      <c r="H211" s="217"/>
      <c r="I211" s="170"/>
      <c r="J211" s="170"/>
      <c r="K211" s="170"/>
      <c r="L211" s="217"/>
      <c r="M211" s="170"/>
      <c r="N211" s="170"/>
      <c r="O211" s="170"/>
      <c r="P211" s="217"/>
      <c r="Q211" s="170"/>
      <c r="R211" s="170"/>
      <c r="S211" s="170"/>
      <c r="T211" s="217"/>
      <c r="U211" s="170"/>
      <c r="V211" s="170"/>
      <c r="W211" s="170"/>
      <c r="X211" s="217"/>
      <c r="Y211" s="170"/>
      <c r="Z211" s="170"/>
      <c r="AA211" s="170"/>
      <c r="AB211" s="217"/>
      <c r="AC211" s="170"/>
      <c r="AD211" s="170"/>
      <c r="AE211" s="170"/>
      <c r="AF211" s="217"/>
      <c r="AG211" s="170"/>
      <c r="AH211" s="170"/>
      <c r="AI211" s="170"/>
      <c r="AJ211" s="217">
        <f>AJ178/AJ156</f>
        <v>0.55899999999999983</v>
      </c>
      <c r="AK211" s="170"/>
      <c r="AL211" s="170"/>
      <c r="AM211" s="170"/>
      <c r="AN211" s="217">
        <f>AN178/AN156</f>
        <v>0.28269230769230769</v>
      </c>
      <c r="AO211" s="170"/>
      <c r="AP211" s="170"/>
      <c r="AQ211" s="170"/>
      <c r="AR211" s="170"/>
      <c r="AS211" s="170"/>
      <c r="AT211" s="170"/>
      <c r="AU211" s="217">
        <f>AU178/AU156</f>
        <v>5.7882462686567146E-2</v>
      </c>
      <c r="AV211" s="170"/>
      <c r="AW211" s="170"/>
      <c r="AX211" s="170"/>
      <c r="AY211" s="217">
        <f>AY178/AY156</f>
        <v>0.11449930458970796</v>
      </c>
      <c r="AZ211" s="170"/>
      <c r="BA211" s="170"/>
      <c r="BB211" s="170"/>
      <c r="BC211" s="217">
        <f>BC178/BC156</f>
        <v>8.3879423328964614E-2</v>
      </c>
      <c r="BD211" s="170"/>
      <c r="BE211" s="170"/>
      <c r="BF211" s="170"/>
      <c r="BG211" s="217">
        <f>BG178/BG156</f>
        <v>3.8311688311688318E-2</v>
      </c>
      <c r="BH211" s="170"/>
      <c r="BI211" s="170"/>
      <c r="BJ211" s="170"/>
      <c r="BK211" s="217">
        <f>BK178/BK156</f>
        <v>1.6523867809056523E-3</v>
      </c>
      <c r="BL211" s="170"/>
      <c r="BM211" s="170"/>
      <c r="BN211" s="170"/>
      <c r="BO211" s="217">
        <f>BO178/BO156</f>
        <v>2.9591527987897135E-2</v>
      </c>
      <c r="BP211" s="170"/>
      <c r="BQ211" s="170"/>
      <c r="BR211" s="25"/>
      <c r="BS211" s="34">
        <f>BS178/BS156</f>
        <v>0.39943609022556387</v>
      </c>
      <c r="BT211" s="25"/>
      <c r="BU211" s="25"/>
      <c r="BV211" s="25"/>
      <c r="BW211" s="34">
        <f>BW178/BW156</f>
        <v>2.379139703083365E-2</v>
      </c>
      <c r="BX211" s="25"/>
      <c r="BY211" s="25"/>
      <c r="BZ211" s="25"/>
      <c r="CA211" s="34">
        <f>CA178/CA156</f>
        <v>6.6521850242780414E-2</v>
      </c>
      <c r="CB211" s="25"/>
      <c r="CC211" s="25"/>
      <c r="CD211" s="175"/>
      <c r="CE211" s="34">
        <f>CE178/CE156</f>
        <v>2.7974718329211341E-2</v>
      </c>
      <c r="CF211" s="175"/>
      <c r="CG211" s="175"/>
      <c r="CH211" s="175"/>
      <c r="CI211" s="353">
        <f>CE211</f>
        <v>2.7974718329211341E-2</v>
      </c>
      <c r="CJ211" s="175"/>
      <c r="CK211" s="175"/>
      <c r="CL211" s="175"/>
      <c r="CM211" s="353">
        <f>CI211</f>
        <v>2.7974718329211341E-2</v>
      </c>
      <c r="CN211" s="175"/>
      <c r="CO211" s="175"/>
      <c r="CP211" s="175"/>
      <c r="CQ211" s="353">
        <f>CM211</f>
        <v>2.7974718329211341E-2</v>
      </c>
      <c r="CR211" s="175"/>
      <c r="CS211" s="175"/>
      <c r="CT211" s="175"/>
      <c r="CU211" s="353">
        <f>CQ211</f>
        <v>2.7974718329211341E-2</v>
      </c>
      <c r="CV211" s="175"/>
      <c r="CW211" s="1472"/>
      <c r="CX211" s="175"/>
      <c r="CY211" s="353">
        <f>CU211</f>
        <v>2.7974718329211341E-2</v>
      </c>
      <c r="CZ211" s="175"/>
      <c r="DA211" s="1472"/>
      <c r="DB211" s="175"/>
      <c r="DC211" s="175"/>
      <c r="DD211" s="175"/>
      <c r="DE211" s="175"/>
      <c r="DF211" s="175"/>
      <c r="DG211" s="25"/>
      <c r="DH211" s="25"/>
      <c r="DI211" s="25"/>
      <c r="DJ211" s="25"/>
    </row>
    <row r="212" spans="1:114" hidden="1" outlineLevel="1">
      <c r="A212" s="170"/>
      <c r="B212" s="170" t="str">
        <f>$B$14</f>
        <v>Year</v>
      </c>
      <c r="C212" s="170"/>
      <c r="D212" s="217"/>
      <c r="E212" s="170"/>
      <c r="F212" s="170"/>
      <c r="G212" s="170"/>
      <c r="H212" s="217"/>
      <c r="I212" s="170"/>
      <c r="J212" s="170"/>
      <c r="K212" s="170"/>
      <c r="L212" s="217"/>
      <c r="M212" s="170"/>
      <c r="N212" s="170"/>
      <c r="O212" s="170"/>
      <c r="P212" s="217"/>
      <c r="Q212" s="170"/>
      <c r="R212" s="170"/>
      <c r="S212" s="170"/>
      <c r="T212" s="217"/>
      <c r="U212" s="170"/>
      <c r="V212" s="170"/>
      <c r="W212" s="170"/>
      <c r="X212" s="217"/>
      <c r="Y212" s="170"/>
      <c r="Z212" s="170"/>
      <c r="AA212" s="170"/>
      <c r="AB212" s="217"/>
      <c r="AC212" s="170"/>
      <c r="AD212" s="170"/>
      <c r="AE212" s="170"/>
      <c r="AF212" s="217"/>
      <c r="AG212" s="170"/>
      <c r="AH212" s="170"/>
      <c r="AI212" s="170"/>
      <c r="AJ212" s="217"/>
      <c r="AK212" s="170"/>
      <c r="AL212" s="170"/>
      <c r="AM212" s="170"/>
      <c r="AN212" s="217"/>
      <c r="AO212" s="170"/>
      <c r="AP212" s="170"/>
      <c r="AQ212" s="170"/>
      <c r="AR212" s="170"/>
      <c r="AS212" s="170"/>
      <c r="AT212" s="170"/>
      <c r="AU212" s="217"/>
      <c r="AV212" s="170"/>
      <c r="AW212" s="170"/>
      <c r="AX212" s="170"/>
      <c r="AY212" s="217"/>
      <c r="AZ212" s="170"/>
      <c r="BA212" s="170"/>
      <c r="BB212" s="170"/>
      <c r="BC212" s="217"/>
      <c r="BD212" s="170"/>
      <c r="BE212" s="170"/>
      <c r="BF212" s="170"/>
      <c r="BG212" s="217"/>
      <c r="BH212" s="170"/>
      <c r="BI212" s="170"/>
      <c r="BJ212" s="170"/>
      <c r="BK212" s="217"/>
      <c r="BL212" s="170"/>
      <c r="BM212" s="170"/>
      <c r="BN212" s="170"/>
      <c r="BO212" s="217"/>
      <c r="BP212" s="170"/>
      <c r="BQ212" s="170"/>
      <c r="BR212" s="25"/>
      <c r="BS212" s="34"/>
      <c r="BT212" s="25"/>
      <c r="BU212" s="25"/>
      <c r="BV212" s="25"/>
      <c r="BW212" s="34"/>
      <c r="BX212" s="25"/>
      <c r="BY212" s="25"/>
      <c r="BZ212" s="25"/>
      <c r="CA212" s="34"/>
      <c r="CB212" s="25"/>
      <c r="CC212" s="25"/>
      <c r="CD212" s="175"/>
      <c r="CE212" s="34"/>
      <c r="CF212" s="175"/>
      <c r="CG212" s="175"/>
      <c r="CH212" s="175"/>
      <c r="CI212" s="34"/>
      <c r="CJ212" s="175"/>
      <c r="CK212" s="175"/>
      <c r="CL212" s="175"/>
      <c r="CM212" s="34"/>
      <c r="CN212" s="175"/>
      <c r="CO212" s="175"/>
      <c r="CP212" s="175"/>
      <c r="CQ212" s="34"/>
      <c r="CR212" s="175"/>
      <c r="CS212" s="175"/>
      <c r="CT212" s="175"/>
      <c r="CU212" s="34"/>
      <c r="CV212" s="175"/>
      <c r="CW212" s="1472"/>
      <c r="CX212" s="175"/>
      <c r="CY212" s="34"/>
      <c r="CZ212" s="175"/>
      <c r="DA212" s="1472"/>
      <c r="DB212" s="175"/>
      <c r="DC212" s="175"/>
      <c r="DD212" s="175"/>
      <c r="DE212" s="175"/>
      <c r="DF212" s="175"/>
      <c r="DG212" s="25"/>
      <c r="DH212" s="25"/>
      <c r="DI212" s="25"/>
      <c r="DJ212" s="25"/>
    </row>
    <row r="213" spans="1:114" hidden="1" outlineLevel="1">
      <c r="A213" s="170" t="str">
        <f>$A$15</f>
        <v>6 Mos</v>
      </c>
      <c r="B213" s="170"/>
      <c r="C213" s="170"/>
      <c r="D213" s="217"/>
      <c r="E213" s="170"/>
      <c r="F213" s="170"/>
      <c r="G213" s="170"/>
      <c r="H213" s="217"/>
      <c r="I213" s="170"/>
      <c r="J213" s="170"/>
      <c r="K213" s="170"/>
      <c r="L213" s="217"/>
      <c r="M213" s="170"/>
      <c r="N213" s="170"/>
      <c r="O213" s="170"/>
      <c r="P213" s="217"/>
      <c r="Q213" s="170"/>
      <c r="R213" s="170"/>
      <c r="S213" s="170"/>
      <c r="T213" s="217"/>
      <c r="U213" s="170"/>
      <c r="V213" s="170"/>
      <c r="W213" s="170"/>
      <c r="X213" s="217"/>
      <c r="Y213" s="170"/>
      <c r="Z213" s="170"/>
      <c r="AA213" s="170"/>
      <c r="AB213" s="217"/>
      <c r="AC213" s="170"/>
      <c r="AD213" s="170"/>
      <c r="AE213" s="170"/>
      <c r="AF213" s="217"/>
      <c r="AG213" s="170"/>
      <c r="AH213" s="170"/>
      <c r="AI213" s="170"/>
      <c r="AJ213" s="217"/>
      <c r="AK213" s="170"/>
      <c r="AL213" s="170"/>
      <c r="AM213" s="170"/>
      <c r="AN213" s="217"/>
      <c r="AO213" s="170"/>
      <c r="AP213" s="170"/>
      <c r="AQ213" s="170"/>
      <c r="AR213" s="170"/>
      <c r="AS213" s="170"/>
      <c r="AT213" s="170"/>
      <c r="AU213" s="217"/>
      <c r="AV213" s="170"/>
      <c r="AW213" s="170"/>
      <c r="AX213" s="170"/>
      <c r="AY213" s="217"/>
      <c r="AZ213" s="170"/>
      <c r="BA213" s="170"/>
      <c r="BB213" s="170"/>
      <c r="BC213" s="217"/>
      <c r="BD213" s="170"/>
      <c r="BE213" s="170"/>
      <c r="BF213" s="170"/>
      <c r="BG213" s="217"/>
      <c r="BH213" s="170"/>
      <c r="BI213" s="170"/>
      <c r="BJ213" s="170"/>
      <c r="BK213" s="217"/>
      <c r="BL213" s="170"/>
      <c r="BM213" s="170"/>
      <c r="BN213" s="170"/>
      <c r="BO213" s="217"/>
      <c r="BP213" s="170"/>
      <c r="BQ213" s="170"/>
      <c r="BR213" s="25"/>
      <c r="BS213" s="34"/>
      <c r="BT213" s="25"/>
      <c r="BU213" s="25"/>
      <c r="BV213" s="25"/>
      <c r="BW213" s="34"/>
      <c r="BX213" s="25"/>
      <c r="BY213" s="25"/>
      <c r="BZ213" s="25"/>
      <c r="CA213" s="34"/>
      <c r="CB213" s="25"/>
      <c r="CC213" s="25"/>
      <c r="CD213" s="175"/>
      <c r="CE213" s="34"/>
      <c r="CF213" s="175"/>
      <c r="CG213" s="175"/>
      <c r="CH213" s="175"/>
      <c r="CI213" s="34"/>
      <c r="CJ213" s="175"/>
      <c r="CK213" s="175"/>
      <c r="CL213" s="175"/>
      <c r="CM213" s="34"/>
      <c r="CN213" s="175"/>
      <c r="CO213" s="175"/>
      <c r="CP213" s="175"/>
      <c r="CQ213" s="34"/>
      <c r="CR213" s="175"/>
      <c r="CS213" s="175"/>
      <c r="CT213" s="175"/>
      <c r="CU213" s="34"/>
      <c r="CV213" s="175"/>
      <c r="CW213" s="1472"/>
      <c r="CX213" s="175"/>
      <c r="CY213" s="34"/>
      <c r="CZ213" s="175"/>
      <c r="DA213" s="1472"/>
      <c r="DB213" s="175"/>
      <c r="DC213" s="175"/>
      <c r="DD213" s="175"/>
      <c r="DE213" s="175"/>
      <c r="DF213" s="175"/>
      <c r="DG213" s="25"/>
      <c r="DH213" s="25"/>
      <c r="DI213" s="25"/>
      <c r="DJ213" s="25"/>
    </row>
    <row r="214" spans="1:114" hidden="1" outlineLevel="1">
      <c r="A214" s="170" t="str">
        <f>$A$16</f>
        <v>9 Mos</v>
      </c>
      <c r="B214" s="170"/>
      <c r="C214" s="170"/>
      <c r="D214" s="217"/>
      <c r="E214" s="170"/>
      <c r="F214" s="170"/>
      <c r="G214" s="170"/>
      <c r="H214" s="217"/>
      <c r="I214" s="170"/>
      <c r="J214" s="170"/>
      <c r="K214" s="170"/>
      <c r="L214" s="217"/>
      <c r="M214" s="170"/>
      <c r="N214" s="170"/>
      <c r="O214" s="170"/>
      <c r="P214" s="217"/>
      <c r="Q214" s="170"/>
      <c r="R214" s="170"/>
      <c r="S214" s="170"/>
      <c r="T214" s="217"/>
      <c r="U214" s="170"/>
      <c r="V214" s="170"/>
      <c r="W214" s="170"/>
      <c r="X214" s="217"/>
      <c r="Y214" s="170"/>
      <c r="Z214" s="170"/>
      <c r="AA214" s="170"/>
      <c r="AB214" s="217"/>
      <c r="AC214" s="170"/>
      <c r="AD214" s="170"/>
      <c r="AE214" s="170"/>
      <c r="AF214" s="217"/>
      <c r="AG214" s="170"/>
      <c r="AH214" s="170"/>
      <c r="AI214" s="170"/>
      <c r="AJ214" s="217"/>
      <c r="AK214" s="170"/>
      <c r="AL214" s="170"/>
      <c r="AM214" s="170"/>
      <c r="AN214" s="217"/>
      <c r="AO214" s="170"/>
      <c r="AP214" s="170"/>
      <c r="AQ214" s="170"/>
      <c r="AR214" s="170"/>
      <c r="AS214" s="170"/>
      <c r="AT214" s="170"/>
      <c r="AU214" s="217"/>
      <c r="AV214" s="170"/>
      <c r="AW214" s="170"/>
      <c r="AX214" s="170"/>
      <c r="AY214" s="217"/>
      <c r="AZ214" s="170"/>
      <c r="BA214" s="170"/>
      <c r="BB214" s="170"/>
      <c r="BC214" s="217"/>
      <c r="BD214" s="170"/>
      <c r="BE214" s="170"/>
      <c r="BF214" s="170"/>
      <c r="BG214" s="217"/>
      <c r="BH214" s="170"/>
      <c r="BI214" s="170"/>
      <c r="BJ214" s="170"/>
      <c r="BK214" s="217"/>
      <c r="BL214" s="170"/>
      <c r="BM214" s="170"/>
      <c r="BN214" s="170"/>
      <c r="BO214" s="217"/>
      <c r="BP214" s="170"/>
      <c r="BQ214" s="170"/>
      <c r="BR214" s="25"/>
      <c r="BS214" s="34"/>
      <c r="BT214" s="25"/>
      <c r="BU214" s="25"/>
      <c r="BV214" s="25"/>
      <c r="BW214" s="34"/>
      <c r="BX214" s="25"/>
      <c r="BY214" s="25"/>
      <c r="BZ214" s="25"/>
      <c r="CA214" s="34"/>
      <c r="CB214" s="25"/>
      <c r="CC214" s="25"/>
      <c r="CD214" s="175"/>
      <c r="CE214" s="34"/>
      <c r="CF214" s="175"/>
      <c r="CG214" s="175"/>
      <c r="CH214" s="175"/>
      <c r="CI214" s="34"/>
      <c r="CJ214" s="175"/>
      <c r="CK214" s="175"/>
      <c r="CL214" s="175"/>
      <c r="CM214" s="34"/>
      <c r="CN214" s="175"/>
      <c r="CO214" s="175"/>
      <c r="CP214" s="175"/>
      <c r="CQ214" s="34"/>
      <c r="CR214" s="175"/>
      <c r="CS214" s="175"/>
      <c r="CT214" s="175"/>
      <c r="CU214" s="34"/>
      <c r="CV214" s="175"/>
      <c r="CW214" s="1472"/>
      <c r="CX214" s="175"/>
      <c r="CY214" s="34"/>
      <c r="CZ214" s="175"/>
      <c r="DA214" s="1472"/>
      <c r="DB214" s="175"/>
      <c r="DC214" s="175"/>
      <c r="DD214" s="175"/>
      <c r="DE214" s="175"/>
      <c r="DF214" s="175"/>
      <c r="DG214" s="25"/>
      <c r="DH214" s="25"/>
      <c r="DI214" s="25"/>
      <c r="DJ214" s="25"/>
    </row>
    <row r="215" spans="1:114" hidden="1" outlineLevel="1">
      <c r="A215" s="170"/>
      <c r="B215" s="170"/>
      <c r="C215" s="170"/>
      <c r="D215" s="217"/>
      <c r="E215" s="170"/>
      <c r="F215" s="170"/>
      <c r="G215" s="170"/>
      <c r="H215" s="217"/>
      <c r="I215" s="170"/>
      <c r="J215" s="170"/>
      <c r="K215" s="170"/>
      <c r="L215" s="217"/>
      <c r="M215" s="170"/>
      <c r="N215" s="170"/>
      <c r="O215" s="170"/>
      <c r="P215" s="217"/>
      <c r="Q215" s="170"/>
      <c r="R215" s="170"/>
      <c r="S215" s="170"/>
      <c r="T215" s="217"/>
      <c r="U215" s="170"/>
      <c r="V215" s="170"/>
      <c r="W215" s="170"/>
      <c r="X215" s="217"/>
      <c r="Y215" s="170"/>
      <c r="Z215" s="170"/>
      <c r="AA215" s="170"/>
      <c r="AB215" s="217"/>
      <c r="AC215" s="170"/>
      <c r="AD215" s="170"/>
      <c r="AE215" s="170"/>
      <c r="AF215" s="217"/>
      <c r="AG215" s="170"/>
      <c r="AH215" s="170"/>
      <c r="AI215" s="170"/>
      <c r="AJ215" s="217"/>
      <c r="AK215" s="170"/>
      <c r="AL215" s="170"/>
      <c r="AM215" s="170"/>
      <c r="AN215" s="217"/>
      <c r="AO215" s="170"/>
      <c r="AP215" s="170"/>
      <c r="AQ215" s="170"/>
      <c r="AR215" s="170"/>
      <c r="AS215" s="170"/>
      <c r="AT215" s="170"/>
      <c r="AU215" s="217"/>
      <c r="AV215" s="170"/>
      <c r="AW215" s="170"/>
      <c r="AX215" s="170"/>
      <c r="AY215" s="217"/>
      <c r="AZ215" s="170"/>
      <c r="BA215" s="170"/>
      <c r="BB215" s="170"/>
      <c r="BC215" s="217"/>
      <c r="BD215" s="170"/>
      <c r="BE215" s="170"/>
      <c r="BF215" s="170"/>
      <c r="BG215" s="217"/>
      <c r="BH215" s="170"/>
      <c r="BI215" s="170"/>
      <c r="BJ215" s="170"/>
      <c r="BK215" s="217"/>
      <c r="BL215" s="170"/>
      <c r="BM215" s="170"/>
      <c r="BN215" s="170"/>
      <c r="BO215" s="217"/>
      <c r="BP215" s="170"/>
      <c r="BQ215" s="170"/>
      <c r="BR215" s="25"/>
      <c r="BS215" s="34"/>
      <c r="BT215" s="25"/>
      <c r="BU215" s="25"/>
      <c r="BV215" s="25"/>
      <c r="BW215" s="34"/>
      <c r="BX215" s="25"/>
      <c r="BY215" s="25"/>
      <c r="BZ215" s="25"/>
      <c r="CA215" s="34"/>
      <c r="CB215" s="25"/>
      <c r="CC215" s="25"/>
      <c r="CD215" s="175"/>
      <c r="CE215" s="34"/>
      <c r="CF215" s="175"/>
      <c r="CG215" s="175"/>
      <c r="CH215" s="175"/>
      <c r="CI215" s="34"/>
      <c r="CJ215" s="175"/>
      <c r="CK215" s="175"/>
      <c r="CL215" s="175"/>
      <c r="CM215" s="34"/>
      <c r="CN215" s="175"/>
      <c r="CO215" s="175"/>
      <c r="CP215" s="175"/>
      <c r="CQ215" s="34"/>
      <c r="CR215" s="175"/>
      <c r="CS215" s="175"/>
      <c r="CT215" s="175"/>
      <c r="CU215" s="34"/>
      <c r="CV215" s="175"/>
      <c r="CW215" s="1472"/>
      <c r="CX215" s="175"/>
      <c r="CY215" s="34"/>
      <c r="CZ215" s="175"/>
      <c r="DA215" s="1472"/>
      <c r="DB215" s="175"/>
      <c r="DC215" s="175"/>
      <c r="DD215" s="175"/>
      <c r="DE215" s="175"/>
      <c r="DF215" s="175"/>
      <c r="DG215" s="25"/>
      <c r="DH215" s="25"/>
      <c r="DI215" s="25"/>
      <c r="DJ215" s="25"/>
    </row>
    <row r="216" spans="1:114" hidden="1" outlineLevel="1">
      <c r="A216" s="170"/>
      <c r="B216" s="170"/>
      <c r="C216" s="170"/>
      <c r="D216" s="217"/>
      <c r="E216" s="170"/>
      <c r="F216" s="170"/>
      <c r="G216" s="170"/>
      <c r="H216" s="217"/>
      <c r="I216" s="170"/>
      <c r="J216" s="170"/>
      <c r="K216" s="170"/>
      <c r="L216" s="217"/>
      <c r="M216" s="170"/>
      <c r="N216" s="170"/>
      <c r="O216" s="170"/>
      <c r="P216" s="217"/>
      <c r="Q216" s="170"/>
      <c r="R216" s="170"/>
      <c r="S216" s="170"/>
      <c r="T216" s="217"/>
      <c r="U216" s="170"/>
      <c r="V216" s="170"/>
      <c r="W216" s="170"/>
      <c r="X216" s="217"/>
      <c r="Y216" s="170"/>
      <c r="Z216" s="170"/>
      <c r="AA216" s="170"/>
      <c r="AB216" s="217"/>
      <c r="AC216" s="170"/>
      <c r="AD216" s="170"/>
      <c r="AE216" s="170"/>
      <c r="AF216" s="217"/>
      <c r="AG216" s="170"/>
      <c r="AH216" s="170"/>
      <c r="AI216" s="170"/>
      <c r="AJ216" s="217"/>
      <c r="AK216" s="170"/>
      <c r="AL216" s="170"/>
      <c r="AM216" s="170"/>
      <c r="AN216" s="217"/>
      <c r="AO216" s="170"/>
      <c r="AP216" s="170"/>
      <c r="AQ216" s="170"/>
      <c r="AR216" s="170"/>
      <c r="AS216" s="170"/>
      <c r="AT216" s="170"/>
      <c r="AU216" s="217"/>
      <c r="AV216" s="170"/>
      <c r="AW216" s="170"/>
      <c r="AX216" s="170"/>
      <c r="AY216" s="217"/>
      <c r="AZ216" s="170"/>
      <c r="BA216" s="170"/>
      <c r="BB216" s="170"/>
      <c r="BC216" s="217"/>
      <c r="BD216" s="170"/>
      <c r="BE216" s="170"/>
      <c r="BF216" s="170"/>
      <c r="BG216" s="217"/>
      <c r="BH216" s="170"/>
      <c r="BI216" s="170"/>
      <c r="BJ216" s="170"/>
      <c r="BK216" s="217"/>
      <c r="BL216" s="170"/>
      <c r="BM216" s="170"/>
      <c r="BN216" s="170"/>
      <c r="BO216" s="217"/>
      <c r="BP216" s="170"/>
      <c r="BQ216" s="170"/>
      <c r="BR216" s="25"/>
      <c r="BS216" s="34"/>
      <c r="BT216" s="25"/>
      <c r="BU216" s="25"/>
      <c r="BV216" s="25"/>
      <c r="BW216" s="34"/>
      <c r="BX216" s="25"/>
      <c r="BY216" s="25"/>
      <c r="BZ216" s="25"/>
      <c r="CA216" s="34"/>
      <c r="CB216" s="25"/>
      <c r="CC216" s="25"/>
      <c r="CD216" s="175"/>
      <c r="CE216" s="34"/>
      <c r="CF216" s="175"/>
      <c r="CG216" s="175"/>
      <c r="CH216" s="175"/>
      <c r="CI216" s="34"/>
      <c r="CJ216" s="175"/>
      <c r="CK216" s="175"/>
      <c r="CL216" s="175"/>
      <c r="CM216" s="34"/>
      <c r="CN216" s="175"/>
      <c r="CO216" s="175"/>
      <c r="CP216" s="175"/>
      <c r="CQ216" s="34"/>
      <c r="CR216" s="175"/>
      <c r="CS216" s="175"/>
      <c r="CT216" s="175"/>
      <c r="CU216" s="34"/>
      <c r="CV216" s="175"/>
      <c r="CW216" s="1472"/>
      <c r="CX216" s="175"/>
      <c r="CY216" s="34"/>
      <c r="CZ216" s="175"/>
      <c r="DA216" s="1472"/>
      <c r="DB216" s="175"/>
      <c r="DC216" s="175"/>
      <c r="DD216" s="175"/>
      <c r="DE216" s="175"/>
      <c r="DF216" s="175"/>
      <c r="DG216" s="25"/>
      <c r="DH216" s="25"/>
      <c r="DI216" s="25"/>
      <c r="DJ216" s="25"/>
    </row>
    <row r="217" spans="1:114" hidden="1" outlineLevel="1">
      <c r="A217" s="170"/>
      <c r="B217" s="170"/>
      <c r="C217" s="170"/>
      <c r="D217" s="217"/>
      <c r="E217" s="170"/>
      <c r="F217" s="170"/>
      <c r="G217" s="170"/>
      <c r="H217" s="217"/>
      <c r="I217" s="170"/>
      <c r="J217" s="170"/>
      <c r="K217" s="170"/>
      <c r="L217" s="217"/>
      <c r="M217" s="170"/>
      <c r="N217" s="170"/>
      <c r="O217" s="170"/>
      <c r="P217" s="217"/>
      <c r="Q217" s="170"/>
      <c r="R217" s="170"/>
      <c r="S217" s="170"/>
      <c r="T217" s="217"/>
      <c r="U217" s="170"/>
      <c r="V217" s="170"/>
      <c r="W217" s="170"/>
      <c r="X217" s="217"/>
      <c r="Y217" s="170"/>
      <c r="Z217" s="170"/>
      <c r="AA217" s="170"/>
      <c r="AB217" s="217"/>
      <c r="AC217" s="170"/>
      <c r="AD217" s="170"/>
      <c r="AE217" s="170"/>
      <c r="AF217" s="217"/>
      <c r="AG217" s="170"/>
      <c r="AH217" s="170"/>
      <c r="AI217" s="170"/>
      <c r="AJ217" s="217"/>
      <c r="AK217" s="170"/>
      <c r="AL217" s="170"/>
      <c r="AM217" s="170"/>
      <c r="AN217" s="217"/>
      <c r="AO217" s="170"/>
      <c r="AP217" s="170"/>
      <c r="AQ217" s="170"/>
      <c r="AR217" s="170"/>
      <c r="AS217" s="170"/>
      <c r="AT217" s="170"/>
      <c r="AU217" s="217"/>
      <c r="AV217" s="170"/>
      <c r="AW217" s="170"/>
      <c r="AX217" s="170"/>
      <c r="AY217" s="217"/>
      <c r="AZ217" s="170"/>
      <c r="BA217" s="170"/>
      <c r="BB217" s="170"/>
      <c r="BC217" s="217"/>
      <c r="BD217" s="170"/>
      <c r="BE217" s="170"/>
      <c r="BF217" s="170"/>
      <c r="BG217" s="217"/>
      <c r="BH217" s="170"/>
      <c r="BI217" s="170"/>
      <c r="BJ217" s="170"/>
      <c r="BK217" s="217"/>
      <c r="BL217" s="170"/>
      <c r="BM217" s="170"/>
      <c r="BN217" s="170"/>
      <c r="BO217" s="217"/>
      <c r="BP217" s="170"/>
      <c r="BQ217" s="170"/>
      <c r="BR217" s="25"/>
      <c r="BS217" s="34"/>
      <c r="BT217" s="25"/>
      <c r="BU217" s="25"/>
      <c r="BV217" s="25"/>
      <c r="BW217" s="34"/>
      <c r="BX217" s="25"/>
      <c r="BY217" s="25"/>
      <c r="BZ217" s="25"/>
      <c r="CA217" s="34"/>
      <c r="CB217" s="25"/>
      <c r="CC217" s="25"/>
      <c r="CD217" s="175"/>
      <c r="CE217" s="34"/>
      <c r="CF217" s="175"/>
      <c r="CG217" s="175"/>
      <c r="CH217" s="175"/>
      <c r="CI217" s="34"/>
      <c r="CJ217" s="175"/>
      <c r="CK217" s="175"/>
      <c r="CL217" s="175"/>
      <c r="CM217" s="34"/>
      <c r="CN217" s="175"/>
      <c r="CO217" s="175"/>
      <c r="CP217" s="175"/>
      <c r="CQ217" s="34"/>
      <c r="CR217" s="175"/>
      <c r="CS217" s="175"/>
      <c r="CT217" s="175"/>
      <c r="CU217" s="34"/>
      <c r="CV217" s="175"/>
      <c r="CW217" s="1472"/>
      <c r="CX217" s="175"/>
      <c r="CY217" s="34"/>
      <c r="CZ217" s="175"/>
      <c r="DA217" s="1472"/>
      <c r="DB217" s="175"/>
      <c r="DC217" s="175"/>
      <c r="DD217" s="175"/>
      <c r="DE217" s="175"/>
      <c r="DF217" s="175"/>
      <c r="DG217" s="25"/>
      <c r="DH217" s="25"/>
      <c r="DI217" s="25"/>
      <c r="DJ217" s="25"/>
    </row>
    <row r="218" spans="1:114" hidden="1" outlineLevel="1">
      <c r="A218" s="170"/>
      <c r="B218" s="170"/>
      <c r="C218" s="170"/>
      <c r="D218" s="217"/>
      <c r="E218" s="170"/>
      <c r="F218" s="170"/>
      <c r="G218" s="170"/>
      <c r="H218" s="217"/>
      <c r="I218" s="170"/>
      <c r="J218" s="170"/>
      <c r="K218" s="170"/>
      <c r="L218" s="217"/>
      <c r="M218" s="170"/>
      <c r="N218" s="170"/>
      <c r="O218" s="170"/>
      <c r="P218" s="217"/>
      <c r="Q218" s="170"/>
      <c r="R218" s="170"/>
      <c r="S218" s="170"/>
      <c r="T218" s="217"/>
      <c r="U218" s="170"/>
      <c r="V218" s="170"/>
      <c r="W218" s="170"/>
      <c r="X218" s="217"/>
      <c r="Y218" s="170"/>
      <c r="Z218" s="170"/>
      <c r="AA218" s="170"/>
      <c r="AB218" s="217"/>
      <c r="AC218" s="170"/>
      <c r="AD218" s="184" t="s">
        <v>456</v>
      </c>
      <c r="AE218" s="170"/>
      <c r="AF218" s="217"/>
      <c r="AG218" s="170"/>
      <c r="AH218" s="170"/>
      <c r="AI218" s="170"/>
      <c r="AJ218" s="217"/>
      <c r="AK218" s="170"/>
      <c r="AL218" s="170"/>
      <c r="AM218" s="170"/>
      <c r="AN218" s="217"/>
      <c r="AO218" s="170"/>
      <c r="AP218" s="170"/>
      <c r="AQ218" s="170"/>
      <c r="AR218" s="170"/>
      <c r="AS218" s="170"/>
      <c r="AT218" s="170"/>
      <c r="AU218" s="217"/>
      <c r="AV218" s="170"/>
      <c r="AW218" s="170"/>
      <c r="AX218" s="170"/>
      <c r="AY218" s="217"/>
      <c r="AZ218" s="170"/>
      <c r="BA218" s="170"/>
      <c r="BB218" s="170"/>
      <c r="BC218" s="217"/>
      <c r="BD218" s="170"/>
      <c r="BE218" s="170"/>
      <c r="BF218" s="170"/>
      <c r="BG218" s="217"/>
      <c r="BH218" s="170"/>
      <c r="BI218" s="170"/>
      <c r="BJ218" s="170"/>
      <c r="BK218" s="217"/>
      <c r="BL218" s="170"/>
      <c r="BM218" s="184" t="s">
        <v>456</v>
      </c>
      <c r="BN218" s="170"/>
      <c r="BO218" s="217"/>
      <c r="BP218" s="170"/>
      <c r="BQ218" s="170"/>
      <c r="BR218" s="25"/>
      <c r="BS218" s="34"/>
      <c r="BT218" s="25"/>
      <c r="BU218" s="25"/>
      <c r="BV218" s="25"/>
      <c r="BW218" s="34"/>
      <c r="BX218" s="25"/>
      <c r="BY218" s="25"/>
      <c r="BZ218" s="25"/>
      <c r="CA218" s="34"/>
      <c r="CB218" s="25"/>
      <c r="CC218" s="25"/>
      <c r="CD218" s="175"/>
      <c r="CE218" s="34"/>
      <c r="CF218" s="175"/>
      <c r="CG218" s="175"/>
      <c r="CH218" s="175"/>
      <c r="CI218" s="34"/>
      <c r="CJ218" s="175"/>
      <c r="CK218" s="175"/>
      <c r="CL218" s="175"/>
      <c r="CM218" s="34"/>
      <c r="CN218" s="175"/>
      <c r="CO218" s="175"/>
      <c r="CP218" s="175"/>
      <c r="CQ218" s="34"/>
      <c r="CR218" s="175"/>
      <c r="CS218" s="175"/>
      <c r="CT218" s="175"/>
      <c r="CU218" s="34"/>
      <c r="CV218" s="175"/>
      <c r="CW218" s="1472"/>
      <c r="CX218" s="175"/>
      <c r="CY218" s="34"/>
      <c r="CZ218" s="175"/>
      <c r="DA218" s="1472"/>
      <c r="DB218" s="175"/>
      <c r="DC218" s="175"/>
      <c r="DD218" s="175"/>
      <c r="DE218" s="175"/>
      <c r="DF218" s="175"/>
      <c r="DG218" s="25"/>
      <c r="DH218" s="25"/>
      <c r="DI218" s="25"/>
      <c r="DJ218" s="25"/>
    </row>
    <row r="219" spans="1:114" hidden="1" outlineLevel="1">
      <c r="A219" s="170" t="str">
        <f>$A$10</f>
        <v>1Q</v>
      </c>
      <c r="B219" s="170" t="str">
        <f>$B$10</f>
        <v>Apr</v>
      </c>
      <c r="C219" s="170"/>
      <c r="D219" s="217"/>
      <c r="E219" s="170"/>
      <c r="F219" s="170"/>
      <c r="G219" s="170"/>
      <c r="H219" s="217"/>
      <c r="I219" s="170"/>
      <c r="J219" s="170"/>
      <c r="K219" s="170"/>
      <c r="L219" s="217"/>
      <c r="M219" s="170"/>
      <c r="N219" s="170"/>
      <c r="O219" s="170"/>
      <c r="P219" s="217"/>
      <c r="Q219" s="170"/>
      <c r="R219" s="170"/>
      <c r="S219" s="170"/>
      <c r="T219" s="217"/>
      <c r="U219" s="170"/>
      <c r="V219" s="170"/>
      <c r="W219" s="170"/>
      <c r="X219" s="217"/>
      <c r="Y219" s="170"/>
      <c r="Z219" s="170"/>
      <c r="AA219" s="170"/>
      <c r="AB219" s="217"/>
      <c r="AC219" s="170"/>
      <c r="AD219" s="170"/>
      <c r="AE219" s="170"/>
      <c r="AF219" s="217"/>
      <c r="AG219" s="170"/>
      <c r="AH219" s="170"/>
      <c r="AI219" s="170"/>
      <c r="AJ219" s="217">
        <f>AJ230-SUM(AJ186,AJ197,AJ208)</f>
        <v>12.832964285714269</v>
      </c>
      <c r="AK219" s="170"/>
      <c r="AL219" s="170"/>
      <c r="AM219" s="170"/>
      <c r="AN219" s="217">
        <f>AN230-SUM(AN186,AN197,AN208)</f>
        <v>0.18835714285711447</v>
      </c>
      <c r="AO219" s="170"/>
      <c r="AP219" s="170"/>
      <c r="AQ219" s="170"/>
      <c r="AR219" s="170"/>
      <c r="AS219" s="170"/>
      <c r="AT219" s="170"/>
      <c r="AU219" s="217">
        <f>AU230-SUM(AU186,AU197,AU208)</f>
        <v>1.0232901508429677</v>
      </c>
      <c r="AV219" s="170"/>
      <c r="AW219" s="170"/>
      <c r="AX219" s="170"/>
      <c r="AY219" s="217">
        <f>AY230-SUM(AY186,AY197,AY208)</f>
        <v>-0.59012813215858273</v>
      </c>
      <c r="AZ219" s="170"/>
      <c r="BA219" s="170"/>
      <c r="BB219" s="170"/>
      <c r="BC219" s="217">
        <f>BC230-SUM(BC186,BC197,BC208)</f>
        <v>0.19499723868642604</v>
      </c>
      <c r="BD219" s="170"/>
      <c r="BE219" s="170"/>
      <c r="BF219" s="170"/>
      <c r="BG219" s="217">
        <f>BG230-SUM(BG186,BG197,BG208)</f>
        <v>0.53063678379430712</v>
      </c>
      <c r="BH219" s="170"/>
      <c r="BI219" s="170"/>
      <c r="BJ219" s="170"/>
      <c r="BK219" s="217">
        <f>BK230-SUM(BK186,BK197,BK208)</f>
        <v>0.3362919007184928</v>
      </c>
      <c r="BL219" s="170"/>
      <c r="BM219" s="170"/>
      <c r="BN219" s="170"/>
      <c r="BO219" s="217">
        <f>BO230-SUM(BO186,BO197,BO208)</f>
        <v>0.38157811184603929</v>
      </c>
      <c r="BP219" s="170"/>
      <c r="BQ219" s="170"/>
      <c r="BR219" s="25"/>
      <c r="BS219" s="34">
        <f>BS230-SUM(BS186,BS197,BS208)</f>
        <v>0.14566935690234573</v>
      </c>
      <c r="BT219" s="25"/>
      <c r="BU219" s="25"/>
      <c r="BV219" s="25"/>
      <c r="BW219" s="34">
        <f>BW230-SUM(BW186,BW197,BW208)</f>
        <v>2.1841668896462068</v>
      </c>
      <c r="BX219" s="25"/>
      <c r="BY219" s="25"/>
      <c r="BZ219" s="25"/>
      <c r="CA219" s="34">
        <f>CA230-SUM(CA186,CA197,CA208)</f>
        <v>2.6299999999991996E-2</v>
      </c>
      <c r="CB219" s="25"/>
      <c r="CC219" s="25"/>
      <c r="CD219" s="175"/>
      <c r="CE219" s="34">
        <f>CE230-SUM(CE186,CE197,CE208)</f>
        <v>0.28914135876041769</v>
      </c>
      <c r="CF219" s="175"/>
      <c r="CG219" s="175"/>
      <c r="CH219" s="175"/>
      <c r="CI219" s="34">
        <f>CI230-SUM(CI186,CI197,CI208)</f>
        <v>2.8669767820477716</v>
      </c>
      <c r="CJ219" s="175"/>
      <c r="CK219" s="175"/>
      <c r="CL219" s="175"/>
      <c r="CM219" s="353">
        <v>0.3</v>
      </c>
      <c r="CN219" s="175"/>
      <c r="CO219" s="175"/>
      <c r="CP219" s="175"/>
      <c r="CQ219" s="353">
        <v>0.3</v>
      </c>
      <c r="CR219" s="175"/>
      <c r="CS219" s="175"/>
      <c r="CT219" s="175"/>
      <c r="CU219" s="353">
        <v>0.3</v>
      </c>
      <c r="CV219" s="175"/>
      <c r="CW219" s="1472"/>
      <c r="CX219" s="175"/>
      <c r="CY219" s="353">
        <v>0.3</v>
      </c>
      <c r="CZ219" s="175"/>
      <c r="DA219" s="1472"/>
      <c r="DB219" s="175"/>
      <c r="DC219" s="175"/>
      <c r="DD219" s="175"/>
      <c r="DE219" s="175"/>
      <c r="DF219" s="175"/>
      <c r="DG219" s="25"/>
      <c r="DH219" s="25"/>
      <c r="DI219" s="25"/>
      <c r="DJ219" s="25"/>
    </row>
    <row r="220" spans="1:114" hidden="1" outlineLevel="1">
      <c r="A220" s="170" t="str">
        <f>$A$11</f>
        <v>2Q</v>
      </c>
      <c r="B220" s="170" t="str">
        <f>$B$11</f>
        <v>Jul</v>
      </c>
      <c r="C220" s="170"/>
      <c r="D220" s="217"/>
      <c r="E220" s="170"/>
      <c r="F220" s="170"/>
      <c r="G220" s="170"/>
      <c r="H220" s="217"/>
      <c r="I220" s="170"/>
      <c r="J220" s="170"/>
      <c r="K220" s="170"/>
      <c r="L220" s="217"/>
      <c r="M220" s="170"/>
      <c r="N220" s="170"/>
      <c r="O220" s="170"/>
      <c r="P220" s="217"/>
      <c r="Q220" s="170"/>
      <c r="R220" s="170"/>
      <c r="S220" s="170"/>
      <c r="T220" s="217"/>
      <c r="U220" s="170"/>
      <c r="V220" s="170"/>
      <c r="W220" s="170"/>
      <c r="X220" s="217"/>
      <c r="Y220" s="170"/>
      <c r="Z220" s="170"/>
      <c r="AA220" s="170"/>
      <c r="AB220" s="217"/>
      <c r="AC220" s="170"/>
      <c r="AD220" s="170"/>
      <c r="AE220" s="170"/>
      <c r="AF220" s="217"/>
      <c r="AG220" s="170"/>
      <c r="AH220" s="170"/>
      <c r="AI220" s="170"/>
      <c r="AJ220" s="217">
        <f>AJ231-SUM(AJ187,AJ198,AJ209)</f>
        <v>2.7175257731983038E-2</v>
      </c>
      <c r="AK220" s="170"/>
      <c r="AL220" s="170"/>
      <c r="AM220" s="170"/>
      <c r="AN220" s="217">
        <f>AN231-SUM(AN187,AN198,AN209)</f>
        <v>0.98343783783784033</v>
      </c>
      <c r="AO220" s="170"/>
      <c r="AP220" s="170"/>
      <c r="AQ220" s="170"/>
      <c r="AR220" s="170"/>
      <c r="AS220" s="170"/>
      <c r="AT220" s="170"/>
      <c r="AU220" s="217">
        <f>AU231-SUM(AU187,AU198,AU209)</f>
        <v>0.86776006461084876</v>
      </c>
      <c r="AV220" s="170"/>
      <c r="AW220" s="170"/>
      <c r="AX220" s="170"/>
      <c r="AY220" s="217">
        <f>AY231-SUM(AY187,AY198,AY209)</f>
        <v>9.7209691538722609E-2</v>
      </c>
      <c r="AZ220" s="170"/>
      <c r="BA220" s="170"/>
      <c r="BB220" s="170"/>
      <c r="BC220" s="217">
        <f>BC231-SUM(BC187,BC198,BC209)</f>
        <v>0.13487541811844039</v>
      </c>
      <c r="BD220" s="170"/>
      <c r="BE220" s="170"/>
      <c r="BF220" s="170"/>
      <c r="BG220" s="217">
        <f>BG231-SUM(BG187,BG198,BG209)</f>
        <v>7.7888333333334003E-2</v>
      </c>
      <c r="BH220" s="170"/>
      <c r="BI220" s="170"/>
      <c r="BJ220" s="170"/>
      <c r="BK220" s="217">
        <f>BK231-SUM(BK187,BK198,BK209)</f>
        <v>0.17471746733670557</v>
      </c>
      <c r="BL220" s="170"/>
      <c r="BM220" s="170"/>
      <c r="BN220" s="170"/>
      <c r="BO220" s="217">
        <f>BO231-SUM(BO187,BO198,BO209)</f>
        <v>0.13126538461540349</v>
      </c>
      <c r="BP220" s="170"/>
      <c r="BQ220" s="170"/>
      <c r="BR220" s="25"/>
      <c r="BS220" s="34">
        <f>BS231-SUM(BS187,BS198,BS209)</f>
        <v>-2.1372744931831846</v>
      </c>
      <c r="BT220" s="25"/>
      <c r="BU220" s="25"/>
      <c r="BV220" s="25"/>
      <c r="BW220" s="34">
        <f>BW231-SUM(BW187,BW198,BW209)</f>
        <v>-3.469797310152984</v>
      </c>
      <c r="BX220" s="25"/>
      <c r="BY220" s="25"/>
      <c r="BZ220" s="25"/>
      <c r="CA220" s="34">
        <f>CA231-SUM(CA187,CA198,CA209)</f>
        <v>0.7026297567954316</v>
      </c>
      <c r="CB220" s="25"/>
      <c r="CC220" s="25"/>
      <c r="CD220" s="175"/>
      <c r="CE220" s="34">
        <f>CE231-SUM(CE187,CE198,CE209)</f>
        <v>0.11118143359874466</v>
      </c>
      <c r="CF220" s="175"/>
      <c r="CG220" s="175"/>
      <c r="CH220" s="175"/>
      <c r="CI220" s="34">
        <f>CI231-SUM(CI187,CI198,CI209)</f>
        <v>0.25745231290898118</v>
      </c>
      <c r="CJ220" s="175"/>
      <c r="CK220" s="175"/>
      <c r="CL220" s="175"/>
      <c r="CM220" s="353">
        <f>CI220</f>
        <v>0.25745231290898118</v>
      </c>
      <c r="CN220" s="175"/>
      <c r="CO220" s="175"/>
      <c r="CP220" s="175"/>
      <c r="CQ220" s="353">
        <f>CM220</f>
        <v>0.25745231290898118</v>
      </c>
      <c r="CR220" s="175"/>
      <c r="CS220" s="175"/>
      <c r="CT220" s="175"/>
      <c r="CU220" s="353">
        <f>CQ220</f>
        <v>0.25745231290898118</v>
      </c>
      <c r="CV220" s="175"/>
      <c r="CW220" s="1472"/>
      <c r="CX220" s="175"/>
      <c r="CY220" s="353">
        <f>CU220</f>
        <v>0.25745231290898118</v>
      </c>
      <c r="CZ220" s="175"/>
      <c r="DA220" s="1472"/>
      <c r="DB220" s="175"/>
      <c r="DC220" s="175"/>
      <c r="DD220" s="175"/>
      <c r="DE220" s="175"/>
      <c r="DF220" s="175"/>
      <c r="DG220" s="25"/>
      <c r="DH220" s="25"/>
      <c r="DI220" s="25"/>
      <c r="DJ220" s="25"/>
    </row>
    <row r="221" spans="1:114" hidden="1" outlineLevel="1">
      <c r="A221" s="170" t="str">
        <f>$A$12</f>
        <v>3Q</v>
      </c>
      <c r="B221" s="170" t="str">
        <f>$B$12</f>
        <v>Oct</v>
      </c>
      <c r="C221" s="170"/>
      <c r="D221" s="217"/>
      <c r="E221" s="170"/>
      <c r="F221" s="170"/>
      <c r="G221" s="170"/>
      <c r="H221" s="217"/>
      <c r="I221" s="170"/>
      <c r="J221" s="170"/>
      <c r="K221" s="170"/>
      <c r="L221" s="217"/>
      <c r="M221" s="170"/>
      <c r="N221" s="170"/>
      <c r="O221" s="170"/>
      <c r="P221" s="217"/>
      <c r="Q221" s="170"/>
      <c r="R221" s="170"/>
      <c r="S221" s="170"/>
      <c r="T221" s="217"/>
      <c r="U221" s="170"/>
      <c r="V221" s="170"/>
      <c r="W221" s="170"/>
      <c r="X221" s="217"/>
      <c r="Y221" s="170"/>
      <c r="Z221" s="170"/>
      <c r="AA221" s="170"/>
      <c r="AB221" s="217"/>
      <c r="AC221" s="170"/>
      <c r="AD221" s="170"/>
      <c r="AE221" s="170"/>
      <c r="AF221" s="217"/>
      <c r="AG221" s="170"/>
      <c r="AH221" s="170"/>
      <c r="AI221" s="170"/>
      <c r="AJ221" s="217">
        <f>AJ232-SUM(AJ188,AJ199,AJ210)</f>
        <v>0.38682200647249942</v>
      </c>
      <c r="AK221" s="170"/>
      <c r="AL221" s="170"/>
      <c r="AM221" s="170"/>
      <c r="AN221" s="217">
        <f>AN232-SUM(AN188,AN199,AN210)</f>
        <v>0.36304795144158675</v>
      </c>
      <c r="AO221" s="170"/>
      <c r="AP221" s="170"/>
      <c r="AQ221" s="170"/>
      <c r="AR221" s="170"/>
      <c r="AS221" s="170"/>
      <c r="AT221" s="170"/>
      <c r="AU221" s="217">
        <f>AU232-SUM(AU188,AU199,AU210)</f>
        <v>0.78424428950543756</v>
      </c>
      <c r="AV221" s="170"/>
      <c r="AW221" s="170"/>
      <c r="AX221" s="170"/>
      <c r="AY221" s="217">
        <f>AY232-SUM(AY188,AY199,AY210)</f>
        <v>1.056121319775599</v>
      </c>
      <c r="AZ221" s="170"/>
      <c r="BA221" s="170"/>
      <c r="BB221" s="170"/>
      <c r="BC221" s="217">
        <f>BC232-SUM(BC188,BC199,BC210)</f>
        <v>0.33958877934273346</v>
      </c>
      <c r="BD221" s="170"/>
      <c r="BE221" s="170"/>
      <c r="BF221" s="170"/>
      <c r="BG221" s="217">
        <f>BG232-SUM(BG188,BG199,BG210)</f>
        <v>0.16092154220061161</v>
      </c>
      <c r="BH221" s="170"/>
      <c r="BI221" s="170"/>
      <c r="BJ221" s="170"/>
      <c r="BK221" s="217">
        <f>BK232-SUM(BK188,BK199,BK210)</f>
        <v>0.34322916394512504</v>
      </c>
      <c r="BL221" s="170"/>
      <c r="BM221" s="170"/>
      <c r="BN221" s="170"/>
      <c r="BO221" s="217">
        <f>BO232-SUM(BO188,BO199,BO210)</f>
        <v>0.15585000000001514</v>
      </c>
      <c r="BP221" s="170"/>
      <c r="BQ221" s="170"/>
      <c r="BR221" s="25"/>
      <c r="BS221" s="34">
        <f>BS232-SUM(BS188,BS199,BS210)</f>
        <v>3.2227107083064936</v>
      </c>
      <c r="BT221" s="25"/>
      <c r="BU221" s="25"/>
      <c r="BV221" s="25"/>
      <c r="BW221" s="34">
        <f>BW232-SUM(BW188,BW199,BW210)</f>
        <v>3.6055743104588771</v>
      </c>
      <c r="BX221" s="25"/>
      <c r="BY221" s="25"/>
      <c r="BZ221" s="25"/>
      <c r="CA221" s="34">
        <f>CA232-SUM(CA188,CA199,CA210)</f>
        <v>-0.32234502484814698</v>
      </c>
      <c r="CB221" s="25"/>
      <c r="CC221" s="25"/>
      <c r="CD221" s="175"/>
      <c r="CE221" s="34">
        <f>CE232-SUM(CE188,CE199,CE210)</f>
        <v>0.12535492024713335</v>
      </c>
      <c r="CF221" s="175"/>
      <c r="CG221" s="175"/>
      <c r="CH221" s="175"/>
      <c r="CI221" s="34">
        <f>CI232-SUM(CI188,CI199,CI210)</f>
        <v>-2.7163874013015459</v>
      </c>
      <c r="CJ221" s="175"/>
      <c r="CK221" s="175"/>
      <c r="CL221" s="175"/>
      <c r="CM221" s="353">
        <f>CE221</f>
        <v>0.12535492024713335</v>
      </c>
      <c r="CN221" s="175"/>
      <c r="CO221" s="175"/>
      <c r="CP221" s="175"/>
      <c r="CQ221" s="353">
        <f>CI221</f>
        <v>-2.7163874013015459</v>
      </c>
      <c r="CR221" s="175"/>
      <c r="CS221" s="175"/>
      <c r="CT221" s="175"/>
      <c r="CU221" s="353">
        <f>CM221</f>
        <v>0.12535492024713335</v>
      </c>
      <c r="CV221" s="175"/>
      <c r="CW221" s="1472"/>
      <c r="CX221" s="175"/>
      <c r="CY221" s="353">
        <f>CQ221</f>
        <v>-2.7163874013015459</v>
      </c>
      <c r="CZ221" s="175"/>
      <c r="DA221" s="1472"/>
      <c r="DB221" s="175"/>
      <c r="DC221" s="175"/>
      <c r="DD221" s="175"/>
      <c r="DE221" s="175"/>
      <c r="DF221" s="175"/>
      <c r="DG221" s="25"/>
      <c r="DH221" s="25"/>
      <c r="DI221" s="25"/>
      <c r="DJ221" s="25"/>
    </row>
    <row r="222" spans="1:114" hidden="1" outlineLevel="1">
      <c r="A222" s="170" t="str">
        <f>$A$13</f>
        <v>4Q</v>
      </c>
      <c r="B222" s="170" t="str">
        <f>$B$13</f>
        <v>Jan</v>
      </c>
      <c r="C222" s="170"/>
      <c r="D222" s="217"/>
      <c r="E222" s="170"/>
      <c r="F222" s="170"/>
      <c r="G222" s="170"/>
      <c r="H222" s="217"/>
      <c r="I222" s="170"/>
      <c r="J222" s="170"/>
      <c r="K222" s="170"/>
      <c r="L222" s="217"/>
      <c r="M222" s="170"/>
      <c r="N222" s="170"/>
      <c r="O222" s="170"/>
      <c r="P222" s="217"/>
      <c r="Q222" s="170"/>
      <c r="R222" s="170"/>
      <c r="S222" s="170"/>
      <c r="T222" s="217"/>
      <c r="U222" s="170"/>
      <c r="V222" s="170"/>
      <c r="W222" s="170"/>
      <c r="X222" s="217"/>
      <c r="Y222" s="170"/>
      <c r="Z222" s="170"/>
      <c r="AA222" s="170"/>
      <c r="AB222" s="217"/>
      <c r="AC222" s="170"/>
      <c r="AD222" s="170"/>
      <c r="AE222" s="170"/>
      <c r="AF222" s="217"/>
      <c r="AG222" s="170"/>
      <c r="AH222" s="170"/>
      <c r="AI222" s="170"/>
      <c r="AJ222" s="217">
        <f>AJ233-SUM(AJ189,AJ200,AJ211)</f>
        <v>0.39300000000000068</v>
      </c>
      <c r="AK222" s="170"/>
      <c r="AL222" s="170"/>
      <c r="AM222" s="170"/>
      <c r="AN222" s="217">
        <f>AN233-SUM(AN189,AN200,AN211)</f>
        <v>1.2693076923076774</v>
      </c>
      <c r="AO222" s="170"/>
      <c r="AP222" s="170"/>
      <c r="AQ222" s="170"/>
      <c r="AR222" s="170"/>
      <c r="AS222" s="170"/>
      <c r="AT222" s="170"/>
      <c r="AU222" s="217">
        <f>AU233-SUM(AU189,AU200,AU211)</f>
        <v>0.93330153731344012</v>
      </c>
      <c r="AV222" s="170"/>
      <c r="AW222" s="170"/>
      <c r="AX222" s="170"/>
      <c r="AY222" s="217">
        <f>AY233-SUM(AY189,AY200,AY211)</f>
        <v>0.19594069541028603</v>
      </c>
      <c r="AZ222" s="170"/>
      <c r="BA222" s="170"/>
      <c r="BB222" s="170"/>
      <c r="BC222" s="217">
        <f>BC233-SUM(BC189,BC200,BC211)</f>
        <v>0.31069657667103456</v>
      </c>
      <c r="BD222" s="170"/>
      <c r="BE222" s="170"/>
      <c r="BF222" s="170"/>
      <c r="BG222" s="217">
        <f>BG233-SUM(BG189,BG200,BG211)</f>
        <v>0.51038731168830509</v>
      </c>
      <c r="BH222" s="170"/>
      <c r="BI222" s="170"/>
      <c r="BJ222" s="170"/>
      <c r="BK222" s="217">
        <f>BK233-SUM(BK189,BK200,BK211)</f>
        <v>1.8547613219112691E-2</v>
      </c>
      <c r="BL222" s="170"/>
      <c r="BM222" s="170"/>
      <c r="BN222" s="170"/>
      <c r="BO222" s="217">
        <f>BO233-SUM(BO189,BO200,BO211)</f>
        <v>0.3590414720121089</v>
      </c>
      <c r="BP222" s="170"/>
      <c r="BQ222" s="170"/>
      <c r="BR222" s="25"/>
      <c r="BS222" s="34">
        <f>BS233-SUM(BS189,BS200,BS211)</f>
        <v>-2.1879827318295781</v>
      </c>
      <c r="BT222" s="25"/>
      <c r="BU222" s="25"/>
      <c r="BV222" s="25"/>
      <c r="BW222" s="34">
        <f>BW233-SUM(BW189,BW200,BW211)</f>
        <v>0.7542723110011309</v>
      </c>
      <c r="BX222" s="25"/>
      <c r="BY222" s="25"/>
      <c r="BZ222" s="25"/>
      <c r="CA222" s="34">
        <f>CA233-SUM(CA189,CA200,CA211)</f>
        <v>0.2513781497572154</v>
      </c>
      <c r="CB222" s="25"/>
      <c r="CC222" s="25"/>
      <c r="CD222" s="175"/>
      <c r="CE222" s="34">
        <f>CE233-SUM(CE189,CE200,CE211)</f>
        <v>-2.7765692382522502</v>
      </c>
      <c r="CF222" s="175"/>
      <c r="CG222" s="175"/>
      <c r="CH222" s="175"/>
      <c r="CI222" s="34">
        <f>CI233-SUM(CI189,CI200,CI211)</f>
        <v>-0.17534313938182322</v>
      </c>
      <c r="CJ222" s="175"/>
      <c r="CK222" s="175"/>
      <c r="CL222" s="175"/>
      <c r="CM222" s="353">
        <f>CI222</f>
        <v>-0.17534313938182322</v>
      </c>
      <c r="CN222" s="175"/>
      <c r="CO222" s="175"/>
      <c r="CP222" s="175"/>
      <c r="CQ222" s="353">
        <f>CM222</f>
        <v>-0.17534313938182322</v>
      </c>
      <c r="CR222" s="175"/>
      <c r="CS222" s="175"/>
      <c r="CT222" s="175"/>
      <c r="CU222" s="353">
        <f>CQ222</f>
        <v>-0.17534313938182322</v>
      </c>
      <c r="CV222" s="175"/>
      <c r="CW222" s="1472"/>
      <c r="CX222" s="175"/>
      <c r="CY222" s="353">
        <f>CU222</f>
        <v>-0.17534313938182322</v>
      </c>
      <c r="CZ222" s="175"/>
      <c r="DA222" s="1472"/>
      <c r="DB222" s="175"/>
      <c r="DC222" s="175"/>
      <c r="DD222" s="175"/>
      <c r="DE222" s="175"/>
      <c r="DF222" s="175"/>
      <c r="DG222" s="25"/>
      <c r="DH222" s="25"/>
      <c r="DI222" s="25"/>
      <c r="DJ222" s="25"/>
    </row>
    <row r="223" spans="1:114" hidden="1" outlineLevel="1">
      <c r="A223" s="170"/>
      <c r="B223" s="170" t="str">
        <f>$B$14</f>
        <v>Year</v>
      </c>
      <c r="C223" s="170"/>
      <c r="D223" s="217"/>
      <c r="E223" s="170"/>
      <c r="F223" s="170"/>
      <c r="G223" s="170"/>
      <c r="H223" s="217"/>
      <c r="I223" s="170"/>
      <c r="J223" s="170"/>
      <c r="K223" s="170"/>
      <c r="L223" s="217"/>
      <c r="M223" s="170"/>
      <c r="N223" s="170"/>
      <c r="O223" s="170"/>
      <c r="P223" s="217"/>
      <c r="Q223" s="170"/>
      <c r="R223" s="170"/>
      <c r="S223" s="170"/>
      <c r="T223" s="217"/>
      <c r="U223" s="170"/>
      <c r="V223" s="170"/>
      <c r="W223" s="170"/>
      <c r="X223" s="217"/>
      <c r="Y223" s="170"/>
      <c r="Z223" s="170"/>
      <c r="AA223" s="170"/>
      <c r="AB223" s="217"/>
      <c r="AC223" s="170"/>
      <c r="AD223" s="170"/>
      <c r="AE223" s="170"/>
      <c r="AF223" s="217"/>
      <c r="AG223" s="170"/>
      <c r="AH223" s="170"/>
      <c r="AI223" s="170"/>
      <c r="AJ223" s="217"/>
      <c r="AK223" s="170"/>
      <c r="AL223" s="170"/>
      <c r="AM223" s="170"/>
      <c r="AN223" s="217"/>
      <c r="AO223" s="170"/>
      <c r="AP223" s="170"/>
      <c r="AQ223" s="170"/>
      <c r="AR223" s="170"/>
      <c r="AS223" s="170"/>
      <c r="AT223" s="170"/>
      <c r="AU223" s="217"/>
      <c r="AV223" s="170"/>
      <c r="AW223" s="170"/>
      <c r="AX223" s="170"/>
      <c r="AY223" s="217"/>
      <c r="AZ223" s="170"/>
      <c r="BA223" s="170"/>
      <c r="BB223" s="170"/>
      <c r="BC223" s="217"/>
      <c r="BD223" s="170"/>
      <c r="BE223" s="170"/>
      <c r="BF223" s="170"/>
      <c r="BG223" s="217"/>
      <c r="BH223" s="170"/>
      <c r="BI223" s="170"/>
      <c r="BJ223" s="170"/>
      <c r="BK223" s="217"/>
      <c r="BL223" s="170"/>
      <c r="BM223" s="170"/>
      <c r="BN223" s="170"/>
      <c r="BO223" s="217"/>
      <c r="BP223" s="170"/>
      <c r="BQ223" s="170"/>
      <c r="BR223" s="25"/>
      <c r="BS223" s="34"/>
      <c r="BT223" s="25"/>
      <c r="BU223" s="25"/>
      <c r="BV223" s="25"/>
      <c r="BW223" s="34"/>
      <c r="BX223" s="25"/>
      <c r="BY223" s="25"/>
      <c r="BZ223" s="25"/>
      <c r="CA223" s="34"/>
      <c r="CB223" s="25"/>
      <c r="CC223" s="25"/>
      <c r="CD223" s="175"/>
      <c r="CE223" s="34"/>
      <c r="CF223" s="175"/>
      <c r="CG223" s="175"/>
      <c r="CH223" s="175"/>
      <c r="CI223" s="34"/>
      <c r="CJ223" s="175"/>
      <c r="CK223" s="175"/>
      <c r="CL223" s="175"/>
      <c r="CM223" s="34"/>
      <c r="CN223" s="175"/>
      <c r="CO223" s="175"/>
      <c r="CP223" s="175"/>
      <c r="CQ223" s="34"/>
      <c r="CR223" s="175"/>
      <c r="CS223" s="175"/>
      <c r="CT223" s="175"/>
      <c r="CU223" s="34"/>
      <c r="CV223" s="175"/>
      <c r="CW223" s="1472"/>
      <c r="CX223" s="175"/>
      <c r="CY223" s="34"/>
      <c r="CZ223" s="175"/>
      <c r="DA223" s="1472"/>
      <c r="DB223" s="175"/>
      <c r="DC223" s="175"/>
      <c r="DD223" s="175"/>
      <c r="DE223" s="175"/>
      <c r="DF223" s="175"/>
      <c r="DG223" s="25"/>
      <c r="DH223" s="25"/>
      <c r="DI223" s="25"/>
      <c r="DJ223" s="25"/>
    </row>
    <row r="224" spans="1:114" hidden="1" outlineLevel="1">
      <c r="A224" s="170" t="str">
        <f>$A$15</f>
        <v>6 Mos</v>
      </c>
      <c r="B224" s="170"/>
      <c r="C224" s="170"/>
      <c r="D224" s="217"/>
      <c r="E224" s="170"/>
      <c r="F224" s="170"/>
      <c r="G224" s="170"/>
      <c r="H224" s="217"/>
      <c r="I224" s="170"/>
      <c r="J224" s="170"/>
      <c r="K224" s="170"/>
      <c r="L224" s="217"/>
      <c r="M224" s="170"/>
      <c r="N224" s="170"/>
      <c r="O224" s="170"/>
      <c r="P224" s="217"/>
      <c r="Q224" s="170"/>
      <c r="R224" s="170"/>
      <c r="S224" s="170"/>
      <c r="T224" s="217"/>
      <c r="U224" s="170"/>
      <c r="V224" s="170"/>
      <c r="W224" s="170"/>
      <c r="X224" s="217"/>
      <c r="Y224" s="170"/>
      <c r="Z224" s="170"/>
      <c r="AA224" s="170"/>
      <c r="AB224" s="217"/>
      <c r="AC224" s="170"/>
      <c r="AD224" s="170"/>
      <c r="AE224" s="170"/>
      <c r="AF224" s="217"/>
      <c r="AG224" s="170"/>
      <c r="AH224" s="170"/>
      <c r="AI224" s="170"/>
      <c r="AJ224" s="217"/>
      <c r="AK224" s="170"/>
      <c r="AL224" s="170"/>
      <c r="AM224" s="170"/>
      <c r="AN224" s="217"/>
      <c r="AO224" s="170"/>
      <c r="AP224" s="170"/>
      <c r="AQ224" s="170"/>
      <c r="AR224" s="170"/>
      <c r="AS224" s="170"/>
      <c r="AT224" s="170"/>
      <c r="AU224" s="217"/>
      <c r="AV224" s="170"/>
      <c r="AW224" s="170"/>
      <c r="AX224" s="170"/>
      <c r="AY224" s="217"/>
      <c r="AZ224" s="170"/>
      <c r="BA224" s="170"/>
      <c r="BB224" s="170"/>
      <c r="BC224" s="217"/>
      <c r="BD224" s="170"/>
      <c r="BE224" s="170"/>
      <c r="BF224" s="170"/>
      <c r="BG224" s="217"/>
      <c r="BH224" s="170"/>
      <c r="BI224" s="170"/>
      <c r="BJ224" s="170"/>
      <c r="BK224" s="217"/>
      <c r="BL224" s="170"/>
      <c r="BM224" s="170"/>
      <c r="BN224" s="170"/>
      <c r="BO224" s="217"/>
      <c r="BP224" s="170"/>
      <c r="BQ224" s="170"/>
      <c r="BR224" s="25"/>
      <c r="BS224" s="34"/>
      <c r="BT224" s="25"/>
      <c r="BU224" s="25"/>
      <c r="BV224" s="25"/>
      <c r="BW224" s="34"/>
      <c r="BX224" s="25"/>
      <c r="BY224" s="25"/>
      <c r="BZ224" s="25"/>
      <c r="CA224" s="34"/>
      <c r="CB224" s="25"/>
      <c r="CC224" s="25"/>
      <c r="CD224" s="175"/>
      <c r="CE224" s="34"/>
      <c r="CF224" s="175"/>
      <c r="CG224" s="175"/>
      <c r="CH224" s="175"/>
      <c r="CI224" s="34"/>
      <c r="CJ224" s="175"/>
      <c r="CK224" s="175"/>
      <c r="CL224" s="175"/>
      <c r="CM224" s="34"/>
      <c r="CN224" s="175"/>
      <c r="CO224" s="175"/>
      <c r="CP224" s="175"/>
      <c r="CQ224" s="34"/>
      <c r="CR224" s="175"/>
      <c r="CS224" s="175"/>
      <c r="CT224" s="175"/>
      <c r="CU224" s="34"/>
      <c r="CV224" s="175"/>
      <c r="CW224" s="1472"/>
      <c r="CX224" s="175"/>
      <c r="CY224" s="34"/>
      <c r="CZ224" s="175"/>
      <c r="DA224" s="1472"/>
      <c r="DB224" s="175"/>
      <c r="DC224" s="175"/>
      <c r="DD224" s="175"/>
      <c r="DE224" s="175"/>
      <c r="DF224" s="175"/>
      <c r="DG224" s="25"/>
      <c r="DH224" s="25"/>
      <c r="DI224" s="25"/>
      <c r="DJ224" s="25"/>
    </row>
    <row r="225" spans="1:114" hidden="1" outlineLevel="1">
      <c r="A225" s="170" t="str">
        <f>$A$16</f>
        <v>9 Mos</v>
      </c>
      <c r="B225" s="170"/>
      <c r="C225" s="170"/>
      <c r="D225" s="217"/>
      <c r="E225" s="170"/>
      <c r="F225" s="170"/>
      <c r="G225" s="170"/>
      <c r="H225" s="217"/>
      <c r="I225" s="170"/>
      <c r="J225" s="170"/>
      <c r="K225" s="170"/>
      <c r="L225" s="217"/>
      <c r="M225" s="170"/>
      <c r="N225" s="170"/>
      <c r="O225" s="170"/>
      <c r="P225" s="217"/>
      <c r="Q225" s="170"/>
      <c r="R225" s="170"/>
      <c r="S225" s="170"/>
      <c r="T225" s="217"/>
      <c r="U225" s="170"/>
      <c r="V225" s="170"/>
      <c r="W225" s="170"/>
      <c r="X225" s="217"/>
      <c r="Y225" s="170"/>
      <c r="Z225" s="170"/>
      <c r="AA225" s="170"/>
      <c r="AB225" s="217"/>
      <c r="AC225" s="170"/>
      <c r="AD225" s="170"/>
      <c r="AE225" s="170"/>
      <c r="AF225" s="217"/>
      <c r="AG225" s="170"/>
      <c r="AH225" s="170"/>
      <c r="AI225" s="170"/>
      <c r="AJ225" s="217"/>
      <c r="AK225" s="170"/>
      <c r="AL225" s="170"/>
      <c r="AM225" s="170"/>
      <c r="AN225" s="217"/>
      <c r="AO225" s="170"/>
      <c r="AP225" s="170"/>
      <c r="AQ225" s="170"/>
      <c r="AR225" s="170"/>
      <c r="AS225" s="170"/>
      <c r="AT225" s="170"/>
      <c r="AU225" s="217"/>
      <c r="AV225" s="170"/>
      <c r="AW225" s="170"/>
      <c r="AX225" s="170"/>
      <c r="AY225" s="217"/>
      <c r="AZ225" s="170"/>
      <c r="BA225" s="170"/>
      <c r="BB225" s="170"/>
      <c r="BC225" s="217"/>
      <c r="BD225" s="170"/>
      <c r="BE225" s="170"/>
      <c r="BF225" s="170"/>
      <c r="BG225" s="217"/>
      <c r="BH225" s="170"/>
      <c r="BI225" s="170"/>
      <c r="BJ225" s="170"/>
      <c r="BK225" s="217"/>
      <c r="BL225" s="170"/>
      <c r="BM225" s="170"/>
      <c r="BN225" s="170"/>
      <c r="BO225" s="217"/>
      <c r="BP225" s="170"/>
      <c r="BQ225" s="170"/>
      <c r="BR225" s="25"/>
      <c r="BS225" s="34"/>
      <c r="BT225" s="25"/>
      <c r="BU225" s="25"/>
      <c r="BV225" s="25"/>
      <c r="BW225" s="34"/>
      <c r="BX225" s="25"/>
      <c r="BY225" s="25"/>
      <c r="BZ225" s="25"/>
      <c r="CA225" s="34"/>
      <c r="CB225" s="25"/>
      <c r="CC225" s="25"/>
      <c r="CD225" s="175"/>
      <c r="CE225" s="34"/>
      <c r="CF225" s="175"/>
      <c r="CG225" s="175"/>
      <c r="CH225" s="175"/>
      <c r="CI225" s="34"/>
      <c r="CJ225" s="175"/>
      <c r="CK225" s="175"/>
      <c r="CL225" s="175"/>
      <c r="CM225" s="34"/>
      <c r="CN225" s="175"/>
      <c r="CO225" s="175"/>
      <c r="CP225" s="175"/>
      <c r="CQ225" s="34"/>
      <c r="CR225" s="175"/>
      <c r="CS225" s="175"/>
      <c r="CT225" s="175"/>
      <c r="CU225" s="34"/>
      <c r="CV225" s="175"/>
      <c r="CW225" s="1472"/>
      <c r="CX225" s="175"/>
      <c r="CY225" s="34"/>
      <c r="CZ225" s="175"/>
      <c r="DA225" s="1472"/>
      <c r="DB225" s="175"/>
      <c r="DC225" s="175"/>
      <c r="DD225" s="175"/>
      <c r="DE225" s="175"/>
      <c r="DF225" s="175"/>
      <c r="DG225" s="25"/>
      <c r="DH225" s="25"/>
      <c r="DI225" s="25"/>
      <c r="DJ225" s="25"/>
    </row>
    <row r="226" spans="1:114" hidden="1" outlineLevel="1">
      <c r="A226" s="170"/>
      <c r="B226" s="170"/>
      <c r="C226" s="170"/>
      <c r="D226" s="217"/>
      <c r="E226" s="170"/>
      <c r="F226" s="170"/>
      <c r="G226" s="170"/>
      <c r="H226" s="217"/>
      <c r="I226" s="170"/>
      <c r="J226" s="170"/>
      <c r="K226" s="170"/>
      <c r="L226" s="217"/>
      <c r="M226" s="170"/>
      <c r="N226" s="170"/>
      <c r="O226" s="170"/>
      <c r="P226" s="217"/>
      <c r="Q226" s="170"/>
      <c r="R226" s="170"/>
      <c r="S226" s="170"/>
      <c r="T226" s="217"/>
      <c r="U226" s="170"/>
      <c r="V226" s="170"/>
      <c r="W226" s="170"/>
      <c r="X226" s="217"/>
      <c r="Y226" s="170"/>
      <c r="Z226" s="170"/>
      <c r="AA226" s="170"/>
      <c r="AB226" s="217"/>
      <c r="AC226" s="170"/>
      <c r="AD226" s="170"/>
      <c r="AE226" s="170"/>
      <c r="AF226" s="217"/>
      <c r="AG226" s="170"/>
      <c r="AH226" s="170"/>
      <c r="AI226" s="170"/>
      <c r="AJ226" s="217"/>
      <c r="AK226" s="170"/>
      <c r="AL226" s="170"/>
      <c r="AM226" s="170"/>
      <c r="AN226" s="217"/>
      <c r="AO226" s="170"/>
      <c r="AP226" s="170"/>
      <c r="AQ226" s="170"/>
      <c r="AR226" s="170"/>
      <c r="AS226" s="170"/>
      <c r="AT226" s="170"/>
      <c r="AU226" s="217"/>
      <c r="AV226" s="170"/>
      <c r="AW226" s="170"/>
      <c r="AX226" s="170"/>
      <c r="AY226" s="217"/>
      <c r="AZ226" s="170"/>
      <c r="BA226" s="170"/>
      <c r="BB226" s="170"/>
      <c r="BC226" s="217"/>
      <c r="BD226" s="170"/>
      <c r="BE226" s="170"/>
      <c r="BF226" s="170"/>
      <c r="BG226" s="217"/>
      <c r="BH226" s="170"/>
      <c r="BI226" s="170"/>
      <c r="BJ226" s="170"/>
      <c r="BK226" s="217"/>
      <c r="BL226" s="170"/>
      <c r="BM226" s="170"/>
      <c r="BN226" s="170"/>
      <c r="BO226" s="217"/>
      <c r="BP226" s="170"/>
      <c r="BQ226" s="170"/>
      <c r="BR226" s="25"/>
      <c r="BS226" s="34"/>
      <c r="BT226" s="25"/>
      <c r="BU226" s="25"/>
      <c r="BV226" s="25"/>
      <c r="BW226" s="34"/>
      <c r="BX226" s="25"/>
      <c r="BY226" s="25"/>
      <c r="BZ226" s="25"/>
      <c r="CA226" s="34"/>
      <c r="CB226" s="25"/>
      <c r="CC226" s="25"/>
      <c r="CD226" s="175"/>
      <c r="CE226" s="34"/>
      <c r="CF226" s="175"/>
      <c r="CG226" s="175"/>
      <c r="CH226" s="175"/>
      <c r="CI226" s="34"/>
      <c r="CJ226" s="175"/>
      <c r="CK226" s="175"/>
      <c r="CL226" s="175"/>
      <c r="CM226" s="34"/>
      <c r="CN226" s="175"/>
      <c r="CO226" s="175"/>
      <c r="CP226" s="175"/>
      <c r="CQ226" s="34"/>
      <c r="CR226" s="175"/>
      <c r="CS226" s="175"/>
      <c r="CT226" s="175"/>
      <c r="CU226" s="34"/>
      <c r="CV226" s="175"/>
      <c r="CW226" s="1472"/>
      <c r="CX226" s="175"/>
      <c r="CY226" s="34"/>
      <c r="CZ226" s="175"/>
      <c r="DA226" s="1472"/>
      <c r="DB226" s="175"/>
      <c r="DC226" s="175"/>
      <c r="DD226" s="175"/>
      <c r="DE226" s="175"/>
      <c r="DF226" s="175"/>
      <c r="DG226" s="25"/>
      <c r="DH226" s="25"/>
      <c r="DI226" s="25"/>
      <c r="DJ226" s="25"/>
    </row>
    <row r="227" spans="1:114" hidden="1" outlineLevel="1">
      <c r="A227" s="170"/>
      <c r="B227" s="170"/>
      <c r="C227" s="170"/>
      <c r="D227" s="217"/>
      <c r="E227" s="170"/>
      <c r="F227" s="170"/>
      <c r="G227" s="170"/>
      <c r="H227" s="217"/>
      <c r="I227" s="170"/>
      <c r="J227" s="170"/>
      <c r="K227" s="170"/>
      <c r="L227" s="217"/>
      <c r="M227" s="170"/>
      <c r="N227" s="170"/>
      <c r="O227" s="170"/>
      <c r="P227" s="217"/>
      <c r="Q227" s="170"/>
      <c r="R227" s="170"/>
      <c r="S227" s="170"/>
      <c r="T227" s="217"/>
      <c r="U227" s="170"/>
      <c r="V227" s="170"/>
      <c r="W227" s="170"/>
      <c r="X227" s="217"/>
      <c r="Y227" s="170"/>
      <c r="Z227" s="170"/>
      <c r="AA227" s="170"/>
      <c r="AB227" s="217"/>
      <c r="AC227" s="170"/>
      <c r="AD227" s="170"/>
      <c r="AE227" s="170"/>
      <c r="AF227" s="217"/>
      <c r="AG227" s="170"/>
      <c r="AH227" s="170"/>
      <c r="AI227" s="170"/>
      <c r="AJ227" s="217"/>
      <c r="AK227" s="170"/>
      <c r="AL227" s="170"/>
      <c r="AM227" s="170"/>
      <c r="AN227" s="217"/>
      <c r="AO227" s="170"/>
      <c r="AP227" s="170"/>
      <c r="AQ227" s="170"/>
      <c r="AR227" s="170"/>
      <c r="AS227" s="170"/>
      <c r="AT227" s="170"/>
      <c r="AU227" s="217"/>
      <c r="AV227" s="170"/>
      <c r="AW227" s="170"/>
      <c r="AX227" s="170"/>
      <c r="AY227" s="217"/>
      <c r="AZ227" s="170"/>
      <c r="BA227" s="170"/>
      <c r="BB227" s="170"/>
      <c r="BC227" s="217"/>
      <c r="BD227" s="170"/>
      <c r="BE227" s="170"/>
      <c r="BF227" s="170"/>
      <c r="BG227" s="217"/>
      <c r="BH227" s="170"/>
      <c r="BI227" s="170"/>
      <c r="BJ227" s="170"/>
      <c r="BK227" s="217"/>
      <c r="BL227" s="170"/>
      <c r="BM227" s="170"/>
      <c r="BN227" s="170"/>
      <c r="BO227" s="217"/>
      <c r="BP227" s="170"/>
      <c r="BQ227" s="170"/>
      <c r="BR227" s="25"/>
      <c r="BS227" s="34"/>
      <c r="BT227" s="25"/>
      <c r="BU227" s="25"/>
      <c r="BV227" s="25"/>
      <c r="BW227" s="34"/>
      <c r="BX227" s="25"/>
      <c r="BY227" s="25"/>
      <c r="BZ227" s="25"/>
      <c r="CA227" s="34"/>
      <c r="CB227" s="25"/>
      <c r="CC227" s="25"/>
      <c r="CD227" s="175"/>
      <c r="CE227" s="34"/>
      <c r="CF227" s="175"/>
      <c r="CG227" s="175"/>
      <c r="CH227" s="175"/>
      <c r="CI227" s="34"/>
      <c r="CJ227" s="175"/>
      <c r="CK227" s="175"/>
      <c r="CL227" s="175"/>
      <c r="CM227" s="34"/>
      <c r="CN227" s="175"/>
      <c r="CO227" s="175"/>
      <c r="CP227" s="175"/>
      <c r="CQ227" s="34"/>
      <c r="CR227" s="175"/>
      <c r="CS227" s="175"/>
      <c r="CT227" s="175"/>
      <c r="CU227" s="34"/>
      <c r="CV227" s="175"/>
      <c r="CW227" s="1472"/>
      <c r="CX227" s="175"/>
      <c r="CY227" s="34"/>
      <c r="CZ227" s="175"/>
      <c r="DA227" s="1472"/>
      <c r="DB227" s="175"/>
      <c r="DC227" s="175"/>
      <c r="DD227" s="175"/>
      <c r="DE227" s="175"/>
      <c r="DF227" s="175"/>
      <c r="DG227" s="25"/>
      <c r="DH227" s="25"/>
      <c r="DI227" s="25"/>
      <c r="DJ227" s="25"/>
    </row>
    <row r="228" spans="1:114" hidden="1" outlineLevel="1">
      <c r="A228" s="170"/>
      <c r="B228" s="170"/>
      <c r="C228" s="170"/>
      <c r="D228" s="217"/>
      <c r="E228" s="170"/>
      <c r="F228" s="170"/>
      <c r="G228" s="170"/>
      <c r="H228" s="217"/>
      <c r="I228" s="170"/>
      <c r="J228" s="170"/>
      <c r="K228" s="170"/>
      <c r="L228" s="217"/>
      <c r="M228" s="170"/>
      <c r="N228" s="170"/>
      <c r="O228" s="170"/>
      <c r="P228" s="217"/>
      <c r="Q228" s="170"/>
      <c r="R228" s="170"/>
      <c r="S228" s="170"/>
      <c r="T228" s="217"/>
      <c r="U228" s="170"/>
      <c r="V228" s="170"/>
      <c r="W228" s="170"/>
      <c r="X228" s="217"/>
      <c r="Y228" s="170"/>
      <c r="Z228" s="170"/>
      <c r="AA228" s="170"/>
      <c r="AB228" s="217"/>
      <c r="AC228" s="170"/>
      <c r="AD228" s="170"/>
      <c r="AE228" s="170"/>
      <c r="AF228" s="217"/>
      <c r="AG228" s="170"/>
      <c r="AH228" s="170"/>
      <c r="AI228" s="170"/>
      <c r="AJ228" s="217"/>
      <c r="AK228" s="170"/>
      <c r="AL228" s="170"/>
      <c r="AM228" s="170"/>
      <c r="AN228" s="217"/>
      <c r="AO228" s="170"/>
      <c r="AP228" s="170"/>
      <c r="AQ228" s="170"/>
      <c r="AR228" s="170"/>
      <c r="AS228" s="170"/>
      <c r="AT228" s="170"/>
      <c r="AU228" s="217"/>
      <c r="AV228" s="170"/>
      <c r="AW228" s="170"/>
      <c r="AX228" s="170"/>
      <c r="AY228" s="217"/>
      <c r="AZ228" s="170"/>
      <c r="BA228" s="170"/>
      <c r="BB228" s="170"/>
      <c r="BC228" s="217"/>
      <c r="BD228" s="170"/>
      <c r="BE228" s="170"/>
      <c r="BF228" s="170"/>
      <c r="BG228" s="217"/>
      <c r="BH228" s="170"/>
      <c r="BI228" s="170"/>
      <c r="BJ228" s="170"/>
      <c r="BK228" s="217"/>
      <c r="BL228" s="170"/>
      <c r="BM228" s="170"/>
      <c r="BN228" s="170"/>
      <c r="BO228" s="217"/>
      <c r="BP228" s="170"/>
      <c r="BQ228" s="170"/>
      <c r="BR228" s="25"/>
      <c r="BS228" s="34"/>
      <c r="BT228" s="25"/>
      <c r="BU228" s="25"/>
      <c r="BV228" s="25"/>
      <c r="BW228" s="34"/>
      <c r="BX228" s="25"/>
      <c r="BY228" s="25"/>
      <c r="BZ228" s="25"/>
      <c r="CA228" s="34"/>
      <c r="CB228" s="25"/>
      <c r="CC228" s="25"/>
      <c r="CD228" s="175"/>
      <c r="CE228" s="34"/>
      <c r="CF228" s="175"/>
      <c r="CG228" s="175"/>
      <c r="CH228" s="175"/>
      <c r="CI228" s="34"/>
      <c r="CJ228" s="175"/>
      <c r="CK228" s="175"/>
      <c r="CL228" s="175"/>
      <c r="CM228" s="34"/>
      <c r="CN228" s="175"/>
      <c r="CO228" s="175"/>
      <c r="CP228" s="175"/>
      <c r="CQ228" s="34"/>
      <c r="CR228" s="175"/>
      <c r="CS228" s="175"/>
      <c r="CT228" s="175"/>
      <c r="CU228" s="34"/>
      <c r="CV228" s="175"/>
      <c r="CW228" s="1472"/>
      <c r="CX228" s="175"/>
      <c r="CY228" s="34"/>
      <c r="CZ228" s="175"/>
      <c r="DA228" s="1472"/>
      <c r="DB228" s="175"/>
      <c r="DC228" s="175"/>
      <c r="DD228" s="175"/>
      <c r="DE228" s="175"/>
      <c r="DF228" s="175"/>
      <c r="DG228" s="25"/>
      <c r="DH228" s="25"/>
      <c r="DI228" s="25"/>
      <c r="DJ228" s="25"/>
    </row>
    <row r="229" spans="1:114" hidden="1" outlineLevel="1">
      <c r="A229" s="170"/>
      <c r="B229" s="170"/>
      <c r="C229" s="170"/>
      <c r="D229" s="217"/>
      <c r="E229" s="170"/>
      <c r="F229" s="170"/>
      <c r="G229" s="170"/>
      <c r="H229" s="217"/>
      <c r="I229" s="170"/>
      <c r="J229" s="170"/>
      <c r="K229" s="170"/>
      <c r="L229" s="217"/>
      <c r="M229" s="170"/>
      <c r="N229" s="170"/>
      <c r="O229" s="170"/>
      <c r="P229" s="217"/>
      <c r="Q229" s="170"/>
      <c r="R229" s="170"/>
      <c r="S229" s="170"/>
      <c r="T229" s="217"/>
      <c r="U229" s="170"/>
      <c r="V229" s="170"/>
      <c r="W229" s="170"/>
      <c r="X229" s="217"/>
      <c r="Y229" s="170"/>
      <c r="Z229" s="170"/>
      <c r="AA229" s="170"/>
      <c r="AB229" s="217"/>
      <c r="AC229" s="170"/>
      <c r="AD229" s="184" t="s">
        <v>457</v>
      </c>
      <c r="AE229" s="170"/>
      <c r="AF229" s="217"/>
      <c r="AG229" s="170"/>
      <c r="AH229" s="170"/>
      <c r="AI229" s="170"/>
      <c r="AJ229" s="217"/>
      <c r="AK229" s="170"/>
      <c r="AL229" s="170"/>
      <c r="AM229" s="170"/>
      <c r="AN229" s="217"/>
      <c r="AO229" s="170"/>
      <c r="AP229" s="170"/>
      <c r="AQ229" s="170"/>
      <c r="AR229" s="170"/>
      <c r="AS229" s="170"/>
      <c r="AT229" s="170"/>
      <c r="AU229" s="217"/>
      <c r="AV229" s="170"/>
      <c r="AW229" s="170"/>
      <c r="AX229" s="170"/>
      <c r="AY229" s="217"/>
      <c r="AZ229" s="170"/>
      <c r="BA229" s="170"/>
      <c r="BB229" s="170"/>
      <c r="BC229" s="217"/>
      <c r="BD229" s="170"/>
      <c r="BE229" s="170"/>
      <c r="BF229" s="170"/>
      <c r="BG229" s="217"/>
      <c r="BH229" s="170"/>
      <c r="BI229" s="170"/>
      <c r="BJ229" s="170"/>
      <c r="BK229" s="217"/>
      <c r="BL229" s="170"/>
      <c r="BM229" s="184" t="s">
        <v>457</v>
      </c>
      <c r="BN229" s="170"/>
      <c r="BO229" s="217"/>
      <c r="BP229" s="170"/>
      <c r="BQ229" s="170"/>
      <c r="BR229" s="25"/>
      <c r="BS229" s="34"/>
      <c r="BT229" s="25"/>
      <c r="BU229" s="25"/>
      <c r="BV229" s="25"/>
      <c r="BW229" s="34"/>
      <c r="BX229" s="25"/>
      <c r="BY229" s="25"/>
      <c r="BZ229" s="25"/>
      <c r="CA229" s="34"/>
      <c r="CB229" s="25"/>
      <c r="CC229" s="25"/>
      <c r="CD229" s="175"/>
      <c r="CE229" s="34"/>
      <c r="CF229" s="175"/>
      <c r="CG229" s="175"/>
      <c r="CH229" s="175"/>
      <c r="CI229" s="34"/>
      <c r="CJ229" s="175"/>
      <c r="CK229" s="175"/>
      <c r="CL229" s="175"/>
      <c r="CM229" s="34"/>
      <c r="CN229" s="175"/>
      <c r="CO229" s="175"/>
      <c r="CP229" s="175"/>
      <c r="CQ229" s="34"/>
      <c r="CR229" s="175"/>
      <c r="CS229" s="175"/>
      <c r="CT229" s="175"/>
      <c r="CU229" s="34"/>
      <c r="CV229" s="175"/>
      <c r="CW229" s="1472"/>
      <c r="CX229" s="175"/>
      <c r="CY229" s="34"/>
      <c r="CZ229" s="175"/>
      <c r="DA229" s="1472"/>
      <c r="DB229" s="175"/>
      <c r="DC229" s="175"/>
      <c r="DD229" s="175"/>
      <c r="DE229" s="175"/>
      <c r="DF229" s="175"/>
      <c r="DG229" s="25"/>
      <c r="DH229" s="25"/>
      <c r="DI229" s="25"/>
      <c r="DJ229" s="25"/>
    </row>
    <row r="230" spans="1:114" hidden="1" outlineLevel="1">
      <c r="A230" s="170" t="str">
        <f>$A$10</f>
        <v>1Q</v>
      </c>
      <c r="B230" s="170" t="str">
        <f>$B$10</f>
        <v>Apr</v>
      </c>
      <c r="C230" s="170"/>
      <c r="D230" s="217"/>
      <c r="E230" s="170"/>
      <c r="F230" s="170"/>
      <c r="G230" s="170"/>
      <c r="H230" s="217"/>
      <c r="I230" s="170"/>
      <c r="J230" s="170"/>
      <c r="K230" s="170"/>
      <c r="L230" s="217"/>
      <c r="M230" s="170"/>
      <c r="N230" s="170"/>
      <c r="O230" s="170"/>
      <c r="P230" s="217"/>
      <c r="Q230" s="170"/>
      <c r="R230" s="170"/>
      <c r="S230" s="170"/>
      <c r="T230" s="217"/>
      <c r="U230" s="170"/>
      <c r="V230" s="170"/>
      <c r="W230" s="170"/>
      <c r="X230" s="217"/>
      <c r="Y230" s="170"/>
      <c r="Z230" s="170"/>
      <c r="AA230" s="170"/>
      <c r="AB230" s="217"/>
      <c r="AC230" s="170"/>
      <c r="AD230" s="170"/>
      <c r="AE230" s="170"/>
      <c r="AF230" s="217">
        <f>AF142</f>
        <v>138.024</v>
      </c>
      <c r="AG230" s="170"/>
      <c r="AH230" s="170"/>
      <c r="AI230" s="170"/>
      <c r="AJ230" s="217">
        <f>AJ142</f>
        <v>153.22399999999999</v>
      </c>
      <c r="AK230" s="170"/>
      <c r="AL230" s="170"/>
      <c r="AM230" s="170"/>
      <c r="AN230" s="217">
        <f>AN142</f>
        <v>155.66399999999999</v>
      </c>
      <c r="AO230" s="170"/>
      <c r="AP230" s="170"/>
      <c r="AQ230" s="170"/>
      <c r="AR230" s="170"/>
      <c r="AS230" s="170"/>
      <c r="AT230" s="170"/>
      <c r="AU230" s="217">
        <f>AU142</f>
        <v>160.77600000000001</v>
      </c>
      <c r="AV230" s="170"/>
      <c r="AW230" s="170"/>
      <c r="AX230" s="170"/>
      <c r="AY230" s="217">
        <f>AY142</f>
        <v>163.35645400000001</v>
      </c>
      <c r="AZ230" s="170"/>
      <c r="BA230" s="170"/>
      <c r="BB230" s="170"/>
      <c r="BC230" s="217">
        <f>BC142</f>
        <v>165.25818200000001</v>
      </c>
      <c r="BD230" s="170"/>
      <c r="BE230" s="170"/>
      <c r="BF230" s="170"/>
      <c r="BG230" s="217">
        <f>BG142</f>
        <v>165.68393499999999</v>
      </c>
      <c r="BH230" s="170"/>
      <c r="BI230" s="170"/>
      <c r="BJ230" s="170"/>
      <c r="BK230" s="217">
        <f>BK142</f>
        <v>167.10261399999999</v>
      </c>
      <c r="BL230" s="170"/>
      <c r="BM230" s="170"/>
      <c r="BN230" s="170"/>
      <c r="BO230" s="217">
        <f>BO142</f>
        <v>168.14848799999999</v>
      </c>
      <c r="BP230" s="170"/>
      <c r="BQ230" s="170"/>
      <c r="BR230" s="25"/>
      <c r="BS230" s="34">
        <f>BS142</f>
        <v>169.152038</v>
      </c>
      <c r="BT230" s="25"/>
      <c r="BU230" s="25"/>
      <c r="BV230" s="25"/>
      <c r="BW230" s="34">
        <f>BW142</f>
        <v>159.69047499999999</v>
      </c>
      <c r="BX230" s="25"/>
      <c r="BY230" s="25"/>
      <c r="BZ230" s="25"/>
      <c r="CA230" s="34">
        <f>CA142</f>
        <v>144.80920699999999</v>
      </c>
      <c r="CB230" s="25"/>
      <c r="CC230" s="25"/>
      <c r="CD230" s="175"/>
      <c r="CE230" s="34">
        <f>CE142</f>
        <v>146.934867</v>
      </c>
      <c r="CF230" s="175"/>
      <c r="CG230" s="175"/>
      <c r="CH230" s="175"/>
      <c r="CI230" s="34">
        <f>CI142</f>
        <v>137.751372</v>
      </c>
      <c r="CJ230" s="175"/>
      <c r="CK230" s="175"/>
      <c r="CL230" s="175"/>
      <c r="CM230" s="34">
        <f>CM142</f>
        <v>130.76550302333243</v>
      </c>
      <c r="CN230" s="175"/>
      <c r="CO230" s="175"/>
      <c r="CP230" s="175"/>
      <c r="CQ230" s="34">
        <f>CQ142</f>
        <v>131.59671998265779</v>
      </c>
      <c r="CR230" s="175"/>
      <c r="CS230" s="175"/>
      <c r="CT230" s="175"/>
      <c r="CU230" s="34">
        <f>CU142</f>
        <v>129.58619462043447</v>
      </c>
      <c r="CV230" s="175"/>
      <c r="CW230" s="1472"/>
      <c r="CX230" s="175"/>
      <c r="CY230" s="34">
        <f>CY142</f>
        <v>130.41741157975983</v>
      </c>
      <c r="CZ230" s="175"/>
      <c r="DA230" s="1472"/>
      <c r="DB230" s="175"/>
      <c r="DC230" s="175"/>
      <c r="DD230" s="175"/>
      <c r="DE230" s="175"/>
      <c r="DF230" s="175"/>
      <c r="DG230" s="25"/>
      <c r="DH230" s="25"/>
      <c r="DI230" s="25"/>
      <c r="DJ230" s="25"/>
    </row>
    <row r="231" spans="1:114" hidden="1" outlineLevel="1">
      <c r="A231" s="170" t="str">
        <f>$A$11</f>
        <v>2Q</v>
      </c>
      <c r="B231" s="170" t="str">
        <f>$B$11</f>
        <v>Jul</v>
      </c>
      <c r="C231" s="170"/>
      <c r="D231" s="217"/>
      <c r="E231" s="170"/>
      <c r="F231" s="170"/>
      <c r="G231" s="170"/>
      <c r="H231" s="217"/>
      <c r="I231" s="170"/>
      <c r="J231" s="170"/>
      <c r="K231" s="170"/>
      <c r="L231" s="217"/>
      <c r="M231" s="170"/>
      <c r="N231" s="170"/>
      <c r="O231" s="170"/>
      <c r="P231" s="217"/>
      <c r="Q231" s="170"/>
      <c r="R231" s="170"/>
      <c r="S231" s="170"/>
      <c r="T231" s="217"/>
      <c r="U231" s="170"/>
      <c r="V231" s="170"/>
      <c r="W231" s="170"/>
      <c r="X231" s="217"/>
      <c r="Y231" s="170"/>
      <c r="Z231" s="170"/>
      <c r="AA231" s="170"/>
      <c r="AB231" s="217"/>
      <c r="AC231" s="170"/>
      <c r="AD231" s="170"/>
      <c r="AE231" s="170"/>
      <c r="AF231" s="217">
        <f>AF143</f>
        <v>138.10400000000001</v>
      </c>
      <c r="AG231" s="170"/>
      <c r="AH231" s="170"/>
      <c r="AI231" s="170"/>
      <c r="AJ231" s="217">
        <f>AJ143</f>
        <v>153.31200000000001</v>
      </c>
      <c r="AK231" s="170"/>
      <c r="AL231" s="170"/>
      <c r="AM231" s="170"/>
      <c r="AN231" s="217">
        <f>AN143</f>
        <v>157.4846</v>
      </c>
      <c r="AO231" s="170"/>
      <c r="AP231" s="170"/>
      <c r="AQ231" s="170"/>
      <c r="AR231" s="170"/>
      <c r="AS231" s="170"/>
      <c r="AT231" s="170"/>
      <c r="AU231" s="217">
        <f>AU143</f>
        <v>161.791484</v>
      </c>
      <c r="AV231" s="170"/>
      <c r="AW231" s="170"/>
      <c r="AX231" s="170"/>
      <c r="AY231" s="217">
        <f>AY143</f>
        <v>163.61199999999999</v>
      </c>
      <c r="AZ231" s="170"/>
      <c r="BA231" s="170"/>
      <c r="BB231" s="170"/>
      <c r="BC231" s="217">
        <f>BC143</f>
        <v>165.32981699999999</v>
      </c>
      <c r="BD231" s="170"/>
      <c r="BE231" s="170"/>
      <c r="BF231" s="170"/>
      <c r="BG231" s="217">
        <f>BG143</f>
        <v>165.815865</v>
      </c>
      <c r="BH231" s="170"/>
      <c r="BI231" s="170"/>
      <c r="BJ231" s="170"/>
      <c r="BK231" s="217">
        <f>BK143</f>
        <v>167.30113800000001</v>
      </c>
      <c r="BL231" s="170"/>
      <c r="BM231" s="170"/>
      <c r="BN231" s="170"/>
      <c r="BO231" s="217">
        <f>BO143</f>
        <v>168.308888</v>
      </c>
      <c r="BP231" s="170"/>
      <c r="BQ231" s="170"/>
      <c r="BR231" s="25"/>
      <c r="BS231" s="34">
        <f>BS143</f>
        <v>165.08242799999999</v>
      </c>
      <c r="BT231" s="25"/>
      <c r="BU231" s="25"/>
      <c r="BV231" s="25"/>
      <c r="BW231" s="34">
        <f>BW143</f>
        <v>153.91866099999999</v>
      </c>
      <c r="BX231" s="25"/>
      <c r="BY231" s="25"/>
      <c r="BZ231" s="25"/>
      <c r="CA231" s="34">
        <f>CA143</f>
        <v>145.53100699999999</v>
      </c>
      <c r="CB231" s="25"/>
      <c r="CC231" s="25"/>
      <c r="CD231" s="175"/>
      <c r="CE231" s="34">
        <f>CE143</f>
        <v>147.37186399999999</v>
      </c>
      <c r="CF231" s="175"/>
      <c r="CG231" s="175"/>
      <c r="CH231" s="175"/>
      <c r="CI231" s="34">
        <f>CI143</f>
        <v>134.33607000000001</v>
      </c>
      <c r="CJ231" s="175"/>
      <c r="CK231" s="175"/>
      <c r="CL231" s="175"/>
      <c r="CM231" s="34">
        <f>CM143</f>
        <v>131.08628073778812</v>
      </c>
      <c r="CN231" s="175"/>
      <c r="CO231" s="175"/>
      <c r="CP231" s="175"/>
      <c r="CQ231" s="34">
        <f>CQ143</f>
        <v>131.91749769711348</v>
      </c>
      <c r="CR231" s="175"/>
      <c r="CS231" s="175"/>
      <c r="CT231" s="175"/>
      <c r="CU231" s="34">
        <f>CU143</f>
        <v>129.90697233489016</v>
      </c>
      <c r="CV231" s="175"/>
      <c r="CW231" s="1472"/>
      <c r="CX231" s="175"/>
      <c r="CY231" s="34">
        <f>CY143</f>
        <v>130.73818929421552</v>
      </c>
      <c r="CZ231" s="175"/>
      <c r="DA231" s="1472"/>
      <c r="DB231" s="175"/>
      <c r="DC231" s="175"/>
      <c r="DD231" s="175"/>
      <c r="DE231" s="175"/>
      <c r="DF231" s="175"/>
      <c r="DG231" s="25"/>
      <c r="DH231" s="25"/>
      <c r="DI231" s="25"/>
      <c r="DJ231" s="25"/>
    </row>
    <row r="232" spans="1:114" hidden="1" outlineLevel="1">
      <c r="A232" s="170" t="str">
        <f>$A$12</f>
        <v>3Q</v>
      </c>
      <c r="B232" s="170" t="str">
        <f>$B$12</f>
        <v>Oct</v>
      </c>
      <c r="C232" s="170"/>
      <c r="D232" s="217"/>
      <c r="E232" s="170"/>
      <c r="F232" s="170"/>
      <c r="G232" s="170"/>
      <c r="H232" s="217"/>
      <c r="I232" s="170"/>
      <c r="J232" s="170"/>
      <c r="K232" s="170"/>
      <c r="L232" s="217"/>
      <c r="M232" s="170"/>
      <c r="N232" s="170"/>
      <c r="O232" s="170"/>
      <c r="P232" s="217"/>
      <c r="Q232" s="170"/>
      <c r="R232" s="170"/>
      <c r="S232" s="170"/>
      <c r="T232" s="217"/>
      <c r="U232" s="170"/>
      <c r="V232" s="170"/>
      <c r="W232" s="170"/>
      <c r="X232" s="217"/>
      <c r="Y232" s="170"/>
      <c r="Z232" s="170"/>
      <c r="AA232" s="170"/>
      <c r="AB232" s="217"/>
      <c r="AC232" s="170"/>
      <c r="AD232" s="170"/>
      <c r="AE232" s="170"/>
      <c r="AF232" s="217">
        <f>AF144</f>
        <v>138.11199999999999</v>
      </c>
      <c r="AG232" s="170"/>
      <c r="AH232" s="170"/>
      <c r="AI232" s="170"/>
      <c r="AJ232" s="217">
        <f>AJ144</f>
        <v>154.10400000000001</v>
      </c>
      <c r="AK232" s="170"/>
      <c r="AL232" s="170"/>
      <c r="AM232" s="170"/>
      <c r="AN232" s="217">
        <f>AN144</f>
        <v>158</v>
      </c>
      <c r="AO232" s="170"/>
      <c r="AP232" s="170"/>
      <c r="AQ232" s="170"/>
      <c r="AR232" s="170"/>
      <c r="AS232" s="170"/>
      <c r="AT232" s="170"/>
      <c r="AU232" s="217">
        <f>AU144</f>
        <v>162.66028800000001</v>
      </c>
      <c r="AV232" s="170"/>
      <c r="AW232" s="170"/>
      <c r="AX232" s="170"/>
      <c r="AY232" s="217">
        <f>AY144</f>
        <v>164.69627700000001</v>
      </c>
      <c r="AZ232" s="170"/>
      <c r="BA232" s="170"/>
      <c r="BB232" s="170"/>
      <c r="BC232" s="217">
        <f>BC144</f>
        <v>164.689887</v>
      </c>
      <c r="BD232" s="170"/>
      <c r="BE232" s="170"/>
      <c r="BF232" s="170"/>
      <c r="BG232" s="217">
        <f>BG144</f>
        <v>166.01801499999999</v>
      </c>
      <c r="BH232" s="170"/>
      <c r="BI232" s="170"/>
      <c r="BJ232" s="170"/>
      <c r="BK232" s="217">
        <f>BK144</f>
        <v>167.70948799999999</v>
      </c>
      <c r="BL232" s="170"/>
      <c r="BM232" s="170"/>
      <c r="BN232" s="170"/>
      <c r="BO232" s="217">
        <f>BO144</f>
        <v>168.499638</v>
      </c>
      <c r="BP232" s="170"/>
      <c r="BQ232" s="170"/>
      <c r="BR232" s="25"/>
      <c r="BS232" s="34">
        <f>BS144</f>
        <v>164.04383799999999</v>
      </c>
      <c r="BT232" s="25"/>
      <c r="BU232" s="25"/>
      <c r="BV232" s="25"/>
      <c r="BW232" s="34">
        <f>BW144</f>
        <v>144.20166399999999</v>
      </c>
      <c r="BX232" s="25"/>
      <c r="BY232" s="25"/>
      <c r="BZ232" s="25"/>
      <c r="CA232" s="34">
        <f>CA144</f>
        <v>145.91056699999999</v>
      </c>
      <c r="CB232" s="25"/>
      <c r="CC232" s="25"/>
      <c r="CD232" s="175"/>
      <c r="CE232" s="34">
        <f>CE144</f>
        <v>147.309575</v>
      </c>
      <c r="CF232" s="175"/>
      <c r="CG232" s="175"/>
      <c r="CH232" s="175"/>
      <c r="CI232" s="34">
        <f>CI144</f>
        <v>131.643598</v>
      </c>
      <c r="CJ232" s="175"/>
      <c r="CK232" s="175"/>
      <c r="CL232" s="175"/>
      <c r="CM232" s="34">
        <f>CM144</f>
        <v>131.42218338037799</v>
      </c>
      <c r="CN232" s="175"/>
      <c r="CO232" s="175"/>
      <c r="CP232" s="175"/>
      <c r="CQ232" s="34">
        <f>CQ144</f>
        <v>129.41165801815467</v>
      </c>
      <c r="CR232" s="175"/>
      <c r="CS232" s="175"/>
      <c r="CT232" s="175"/>
      <c r="CU232" s="34">
        <f>CU144</f>
        <v>130.24287497748003</v>
      </c>
      <c r="CV232" s="175"/>
      <c r="CW232" s="1472"/>
      <c r="CX232" s="175"/>
      <c r="CY232" s="34">
        <f>CY144</f>
        <v>128.23234961525671</v>
      </c>
      <c r="CZ232" s="175"/>
      <c r="DA232" s="1472"/>
      <c r="DB232" s="175"/>
      <c r="DC232" s="175"/>
      <c r="DD232" s="175"/>
      <c r="DE232" s="175"/>
      <c r="DF232" s="175"/>
      <c r="DG232" s="25"/>
      <c r="DH232" s="25"/>
      <c r="DI232" s="25"/>
      <c r="DJ232" s="25"/>
    </row>
    <row r="233" spans="1:114" hidden="1" outlineLevel="1">
      <c r="A233" s="170" t="str">
        <f>$A$13</f>
        <v>4Q</v>
      </c>
      <c r="B233" s="170" t="str">
        <f>$B$13</f>
        <v>Jan</v>
      </c>
      <c r="C233" s="170"/>
      <c r="D233" s="217"/>
      <c r="E233" s="170"/>
      <c r="F233" s="170"/>
      <c r="G233" s="170"/>
      <c r="H233" s="217"/>
      <c r="I233" s="170"/>
      <c r="J233" s="170"/>
      <c r="K233" s="170"/>
      <c r="L233" s="217"/>
      <c r="M233" s="170"/>
      <c r="N233" s="170"/>
      <c r="O233" s="170"/>
      <c r="P233" s="217"/>
      <c r="Q233" s="170"/>
      <c r="R233" s="170"/>
      <c r="S233" s="170"/>
      <c r="T233" s="217"/>
      <c r="U233" s="170"/>
      <c r="V233" s="170"/>
      <c r="W233" s="170"/>
      <c r="X233" s="217"/>
      <c r="Y233" s="170"/>
      <c r="Z233" s="170"/>
      <c r="AA233" s="170"/>
      <c r="AB233" s="217"/>
      <c r="AC233" s="170"/>
      <c r="AD233" s="170"/>
      <c r="AE233" s="170"/>
      <c r="AF233" s="217">
        <f>AF145</f>
        <v>138.82400000000001</v>
      </c>
      <c r="AG233" s="170"/>
      <c r="AH233" s="170"/>
      <c r="AI233" s="170"/>
      <c r="AJ233" s="217">
        <f>AJ145</f>
        <v>155.05600000000001</v>
      </c>
      <c r="AK233" s="170"/>
      <c r="AL233" s="170"/>
      <c r="AM233" s="170"/>
      <c r="AN233" s="217">
        <f>AN145</f>
        <v>159.55199999999999</v>
      </c>
      <c r="AO233" s="170"/>
      <c r="AP233" s="170"/>
      <c r="AQ233" s="170"/>
      <c r="AR233" s="170"/>
      <c r="AS233" s="170"/>
      <c r="AT233" s="170"/>
      <c r="AU233" s="217">
        <f>AU145</f>
        <v>163.65147200000001</v>
      </c>
      <c r="AV233" s="170"/>
      <c r="AW233" s="170"/>
      <c r="AX233" s="170"/>
      <c r="AY233" s="217">
        <f>AY145</f>
        <v>165.00671700000001</v>
      </c>
      <c r="AZ233" s="170"/>
      <c r="BA233" s="170"/>
      <c r="BB233" s="170"/>
      <c r="BC233" s="217">
        <f>BC145</f>
        <v>165.084463</v>
      </c>
      <c r="BD233" s="170"/>
      <c r="BE233" s="170"/>
      <c r="BF233" s="170"/>
      <c r="BG233" s="217">
        <f>BG145</f>
        <v>166.56671399999999</v>
      </c>
      <c r="BH233" s="170"/>
      <c r="BI233" s="170"/>
      <c r="BJ233" s="170"/>
      <c r="BK233" s="217">
        <f>BK145</f>
        <v>167.72968800000001</v>
      </c>
      <c r="BL233" s="170"/>
      <c r="BM233" s="170"/>
      <c r="BN233" s="170"/>
      <c r="BO233" s="217">
        <f>BO145</f>
        <v>168.888271</v>
      </c>
      <c r="BP233" s="170"/>
      <c r="BQ233" s="170"/>
      <c r="BR233" s="25"/>
      <c r="BS233" s="34">
        <f>BS145</f>
        <v>162.255448</v>
      </c>
      <c r="BT233" s="25"/>
      <c r="BU233" s="25"/>
      <c r="BV233" s="25"/>
      <c r="BW233" s="34">
        <f>BW145</f>
        <v>144.706907</v>
      </c>
      <c r="BX233" s="25"/>
      <c r="BY233" s="25"/>
      <c r="BZ233" s="25"/>
      <c r="CA233" s="34">
        <f>CA145</f>
        <v>146.22846699999999</v>
      </c>
      <c r="CB233" s="25"/>
      <c r="CC233" s="25"/>
      <c r="CD233" s="175"/>
      <c r="CE233" s="34">
        <f>CE145</f>
        <v>144.56095300000001</v>
      </c>
      <c r="CF233" s="175"/>
      <c r="CG233" s="175"/>
      <c r="CH233" s="175"/>
      <c r="CI233" s="34">
        <f>CI145</f>
        <v>130.44359800000001</v>
      </c>
      <c r="CJ233" s="175"/>
      <c r="CK233" s="175"/>
      <c r="CL233" s="175"/>
      <c r="CM233" s="34">
        <f>CM145</f>
        <v>131.27481495932537</v>
      </c>
      <c r="CN233" s="175"/>
      <c r="CO233" s="175"/>
      <c r="CP233" s="175"/>
      <c r="CQ233" s="34">
        <f>CQ145</f>
        <v>129.26428959710205</v>
      </c>
      <c r="CR233" s="175"/>
      <c r="CS233" s="175"/>
      <c r="CT233" s="175"/>
      <c r="CU233" s="34">
        <f>CU145</f>
        <v>130.09550655642741</v>
      </c>
      <c r="CV233" s="175"/>
      <c r="CW233" s="1472"/>
      <c r="CX233" s="175"/>
      <c r="CY233" s="34">
        <f>CY145</f>
        <v>128.08498119420409</v>
      </c>
      <c r="CZ233" s="175"/>
      <c r="DA233" s="1472"/>
      <c r="DB233" s="175"/>
      <c r="DC233" s="175"/>
      <c r="DD233" s="175"/>
      <c r="DE233" s="175"/>
      <c r="DF233" s="175"/>
      <c r="DG233" s="25"/>
      <c r="DH233" s="25"/>
      <c r="DI233" s="25"/>
      <c r="DJ233" s="25"/>
    </row>
    <row r="234" spans="1:114" hidden="1" outlineLevel="1">
      <c r="A234" s="170"/>
      <c r="B234" s="170" t="str">
        <f>$B$14</f>
        <v>Year</v>
      </c>
      <c r="C234" s="170"/>
      <c r="D234" s="217"/>
      <c r="E234" s="170"/>
      <c r="F234" s="170"/>
      <c r="G234" s="170"/>
      <c r="H234" s="217"/>
      <c r="I234" s="170"/>
      <c r="J234" s="170"/>
      <c r="K234" s="170"/>
      <c r="L234" s="217"/>
      <c r="M234" s="170"/>
      <c r="N234" s="170"/>
      <c r="O234" s="170"/>
      <c r="P234" s="217"/>
      <c r="Q234" s="170"/>
      <c r="R234" s="170"/>
      <c r="S234" s="170"/>
      <c r="T234" s="217"/>
      <c r="U234" s="170"/>
      <c r="V234" s="170"/>
      <c r="W234" s="170"/>
      <c r="X234" s="217"/>
      <c r="Y234" s="170"/>
      <c r="Z234" s="170"/>
      <c r="AA234" s="170"/>
      <c r="AB234" s="217"/>
      <c r="AC234" s="170"/>
      <c r="AD234" s="170"/>
      <c r="AE234" s="170"/>
      <c r="AF234" s="217"/>
      <c r="AG234" s="170"/>
      <c r="AH234" s="170"/>
      <c r="AI234" s="170"/>
      <c r="AJ234" s="217"/>
      <c r="AK234" s="170"/>
      <c r="AL234" s="170"/>
      <c r="AM234" s="170"/>
      <c r="AN234" s="217"/>
      <c r="AO234" s="170"/>
      <c r="AP234" s="170"/>
      <c r="AQ234" s="170"/>
      <c r="AR234" s="170"/>
      <c r="AS234" s="170"/>
      <c r="AT234" s="170"/>
      <c r="AU234" s="217"/>
      <c r="AV234" s="170"/>
      <c r="AW234" s="170"/>
      <c r="AX234" s="170"/>
      <c r="AY234" s="217"/>
      <c r="AZ234" s="170"/>
      <c r="BA234" s="170"/>
      <c r="BB234" s="170"/>
      <c r="BC234" s="217"/>
      <c r="BD234" s="170"/>
      <c r="BE234" s="170"/>
      <c r="BF234" s="170"/>
      <c r="BG234" s="217"/>
      <c r="BH234" s="170"/>
      <c r="BI234" s="170"/>
      <c r="BJ234" s="170"/>
      <c r="BK234" s="217"/>
      <c r="BL234" s="170"/>
      <c r="BM234" s="170"/>
      <c r="BN234" s="170"/>
      <c r="BO234" s="217"/>
      <c r="BP234" s="170"/>
      <c r="BQ234" s="170"/>
      <c r="BR234" s="25"/>
      <c r="BS234" s="34"/>
      <c r="BT234" s="25"/>
      <c r="BU234" s="25"/>
      <c r="BV234" s="25"/>
      <c r="BW234" s="34"/>
      <c r="BX234" s="25"/>
      <c r="BY234" s="25"/>
      <c r="BZ234" s="25"/>
      <c r="CA234" s="34"/>
      <c r="CB234" s="25"/>
      <c r="CC234" s="25"/>
      <c r="CD234" s="175"/>
      <c r="CE234" s="34"/>
      <c r="CF234" s="175"/>
      <c r="CG234" s="175"/>
      <c r="CH234" s="175"/>
      <c r="CI234" s="34"/>
      <c r="CJ234" s="175"/>
      <c r="CK234" s="175"/>
      <c r="CL234" s="175"/>
      <c r="CM234" s="34"/>
      <c r="CN234" s="175"/>
      <c r="CO234" s="175"/>
      <c r="CP234" s="175"/>
      <c r="CQ234" s="34"/>
      <c r="CR234" s="175"/>
      <c r="CS234" s="175"/>
      <c r="CT234" s="175"/>
      <c r="CU234" s="34"/>
      <c r="CV234" s="175"/>
      <c r="CW234" s="1472"/>
      <c r="CX234" s="175"/>
      <c r="CY234" s="34"/>
      <c r="CZ234" s="175"/>
      <c r="DA234" s="1472"/>
      <c r="DB234" s="175"/>
      <c r="DC234" s="175"/>
      <c r="DD234" s="175"/>
      <c r="DE234" s="175"/>
      <c r="DF234" s="175"/>
      <c r="DG234" s="25"/>
      <c r="DH234" s="25"/>
      <c r="DI234" s="25"/>
      <c r="DJ234" s="25"/>
    </row>
    <row r="235" spans="1:114" hidden="1" outlineLevel="1">
      <c r="A235" s="170" t="str">
        <f>$A$15</f>
        <v>6 Mos</v>
      </c>
      <c r="B235" s="170"/>
      <c r="C235" s="170"/>
      <c r="D235" s="217"/>
      <c r="E235" s="170"/>
      <c r="F235" s="170"/>
      <c r="G235" s="170"/>
      <c r="H235" s="217"/>
      <c r="I235" s="170"/>
      <c r="J235" s="170"/>
      <c r="K235" s="170"/>
      <c r="L235" s="217"/>
      <c r="M235" s="170"/>
      <c r="N235" s="170"/>
      <c r="O235" s="170"/>
      <c r="P235" s="217"/>
      <c r="Q235" s="170"/>
      <c r="R235" s="170"/>
      <c r="S235" s="170"/>
      <c r="T235" s="217"/>
      <c r="U235" s="170"/>
      <c r="V235" s="170"/>
      <c r="W235" s="170"/>
      <c r="X235" s="217"/>
      <c r="Y235" s="170"/>
      <c r="Z235" s="170"/>
      <c r="AA235" s="170"/>
      <c r="AB235" s="217"/>
      <c r="AC235" s="170"/>
      <c r="AD235" s="170"/>
      <c r="AE235" s="170"/>
      <c r="AF235" s="217"/>
      <c r="AG235" s="170"/>
      <c r="AH235" s="170"/>
      <c r="AI235" s="170"/>
      <c r="AJ235" s="217"/>
      <c r="AK235" s="170"/>
      <c r="AL235" s="170"/>
      <c r="AM235" s="170"/>
      <c r="AN235" s="217"/>
      <c r="AO235" s="170"/>
      <c r="AP235" s="170"/>
      <c r="AQ235" s="170"/>
      <c r="AR235" s="170"/>
      <c r="AS235" s="170"/>
      <c r="AT235" s="170"/>
      <c r="AU235" s="217"/>
      <c r="AV235" s="170"/>
      <c r="AW235" s="170"/>
      <c r="AX235" s="170"/>
      <c r="AY235" s="217"/>
      <c r="AZ235" s="170"/>
      <c r="BA235" s="170"/>
      <c r="BB235" s="170"/>
      <c r="BC235" s="217"/>
      <c r="BD235" s="170"/>
      <c r="BE235" s="170"/>
      <c r="BF235" s="170"/>
      <c r="BG235" s="217"/>
      <c r="BH235" s="170"/>
      <c r="BI235" s="170"/>
      <c r="BJ235" s="170"/>
      <c r="BK235" s="217"/>
      <c r="BL235" s="170"/>
      <c r="BM235" s="170"/>
      <c r="BN235" s="170"/>
      <c r="BO235" s="217"/>
      <c r="BP235" s="170"/>
      <c r="BQ235" s="170"/>
      <c r="BR235" s="25"/>
      <c r="BS235" s="34"/>
      <c r="BT235" s="25"/>
      <c r="BU235" s="25"/>
      <c r="BV235" s="25"/>
      <c r="BW235" s="34"/>
      <c r="BX235" s="25"/>
      <c r="BY235" s="25"/>
      <c r="BZ235" s="25"/>
      <c r="CA235" s="34"/>
      <c r="CB235" s="25"/>
      <c r="CC235" s="25"/>
      <c r="CD235" s="175"/>
      <c r="CE235" s="34"/>
      <c r="CF235" s="175"/>
      <c r="CG235" s="175"/>
      <c r="CH235" s="175"/>
      <c r="CI235" s="34"/>
      <c r="CJ235" s="175"/>
      <c r="CK235" s="175"/>
      <c r="CL235" s="175"/>
      <c r="CM235" s="34"/>
      <c r="CN235" s="175"/>
      <c r="CO235" s="175"/>
      <c r="CP235" s="175"/>
      <c r="CQ235" s="34"/>
      <c r="CR235" s="175"/>
      <c r="CS235" s="175"/>
      <c r="CT235" s="175"/>
      <c r="CU235" s="34"/>
      <c r="CV235" s="175"/>
      <c r="CW235" s="1472"/>
      <c r="CX235" s="175"/>
      <c r="CY235" s="34"/>
      <c r="CZ235" s="175"/>
      <c r="DA235" s="1472"/>
      <c r="DB235" s="175"/>
      <c r="DC235" s="175"/>
      <c r="DD235" s="175"/>
      <c r="DE235" s="175"/>
      <c r="DF235" s="175"/>
      <c r="DG235" s="25"/>
      <c r="DH235" s="25"/>
      <c r="DI235" s="25"/>
      <c r="DJ235" s="25"/>
    </row>
    <row r="236" spans="1:114" hidden="1" outlineLevel="1">
      <c r="A236" s="170" t="str">
        <f>$A$16</f>
        <v>9 Mos</v>
      </c>
      <c r="B236" s="170"/>
      <c r="C236" s="170"/>
      <c r="D236" s="217"/>
      <c r="E236" s="170"/>
      <c r="F236" s="170"/>
      <c r="G236" s="170"/>
      <c r="H236" s="217"/>
      <c r="I236" s="170"/>
      <c r="J236" s="170"/>
      <c r="K236" s="170"/>
      <c r="L236" s="217"/>
      <c r="M236" s="170"/>
      <c r="N236" s="170"/>
      <c r="O236" s="170"/>
      <c r="P236" s="217"/>
      <c r="Q236" s="170"/>
      <c r="R236" s="170"/>
      <c r="S236" s="170"/>
      <c r="T236" s="217"/>
      <c r="U236" s="170"/>
      <c r="V236" s="170"/>
      <c r="W236" s="170"/>
      <c r="X236" s="217"/>
      <c r="Y236" s="170"/>
      <c r="Z236" s="170"/>
      <c r="AA236" s="170"/>
      <c r="AB236" s="217"/>
      <c r="AC236" s="170"/>
      <c r="AD236" s="170"/>
      <c r="AE236" s="170"/>
      <c r="AF236" s="217"/>
      <c r="AG236" s="170"/>
      <c r="AH236" s="170"/>
      <c r="AI236" s="170"/>
      <c r="AJ236" s="217"/>
      <c r="AK236" s="170"/>
      <c r="AL236" s="170"/>
      <c r="AM236" s="170"/>
      <c r="AN236" s="217"/>
      <c r="AO236" s="170"/>
      <c r="AP236" s="170"/>
      <c r="AQ236" s="170"/>
      <c r="AR236" s="170"/>
      <c r="AS236" s="170"/>
      <c r="AT236" s="170"/>
      <c r="AU236" s="217"/>
      <c r="AV236" s="170"/>
      <c r="AW236" s="170"/>
      <c r="AX236" s="170"/>
      <c r="AY236" s="217"/>
      <c r="AZ236" s="170"/>
      <c r="BA236" s="170"/>
      <c r="BB236" s="170"/>
      <c r="BC236" s="217"/>
      <c r="BD236" s="170"/>
      <c r="BE236" s="170"/>
      <c r="BF236" s="170"/>
      <c r="BG236" s="217"/>
      <c r="BH236" s="170"/>
      <c r="BI236" s="170"/>
      <c r="BJ236" s="170"/>
      <c r="BK236" s="217"/>
      <c r="BL236" s="170"/>
      <c r="BM236" s="170"/>
      <c r="BN236" s="170"/>
      <c r="BO236" s="217"/>
      <c r="BP236" s="170"/>
      <c r="BQ236" s="170"/>
      <c r="BR236" s="25"/>
      <c r="BS236" s="34"/>
      <c r="BT236" s="25"/>
      <c r="BU236" s="25"/>
      <c r="BV236" s="25"/>
      <c r="BW236" s="34"/>
      <c r="BX236" s="25"/>
      <c r="BY236" s="25"/>
      <c r="BZ236" s="25"/>
      <c r="CA236" s="34"/>
      <c r="CB236" s="25"/>
      <c r="CC236" s="25"/>
      <c r="CD236" s="175"/>
      <c r="CE236" s="34"/>
      <c r="CF236" s="175"/>
      <c r="CG236" s="175"/>
      <c r="CH236" s="175"/>
      <c r="CI236" s="34"/>
      <c r="CJ236" s="175"/>
      <c r="CK236" s="175"/>
      <c r="CL236" s="175"/>
      <c r="CM236" s="34"/>
      <c r="CN236" s="175"/>
      <c r="CO236" s="175"/>
      <c r="CP236" s="175"/>
      <c r="CQ236" s="34"/>
      <c r="CR236" s="175"/>
      <c r="CS236" s="175"/>
      <c r="CT236" s="175"/>
      <c r="CU236" s="34"/>
      <c r="CV236" s="175"/>
      <c r="CW236" s="1472"/>
      <c r="CX236" s="175"/>
      <c r="CY236" s="34"/>
      <c r="CZ236" s="175"/>
      <c r="DA236" s="1472"/>
      <c r="DB236" s="175"/>
      <c r="DC236" s="175"/>
      <c r="DD236" s="175"/>
      <c r="DE236" s="175"/>
      <c r="DF236" s="175"/>
      <c r="DG236" s="25"/>
      <c r="DH236" s="25"/>
      <c r="DI236" s="25"/>
      <c r="DJ236" s="25"/>
    </row>
    <row r="237" spans="1:114" hidden="1" outlineLevel="1">
      <c r="A237" s="170"/>
      <c r="B237" s="170"/>
      <c r="C237" s="170"/>
      <c r="D237" s="217"/>
      <c r="E237" s="170"/>
      <c r="F237" s="170"/>
      <c r="G237" s="170"/>
      <c r="H237" s="217"/>
      <c r="I237" s="170"/>
      <c r="J237" s="170"/>
      <c r="K237" s="170"/>
      <c r="L237" s="217"/>
      <c r="M237" s="170"/>
      <c r="N237" s="170"/>
      <c r="O237" s="170"/>
      <c r="P237" s="217"/>
      <c r="Q237" s="170"/>
      <c r="R237" s="170"/>
      <c r="S237" s="170"/>
      <c r="T237" s="217"/>
      <c r="U237" s="170"/>
      <c r="V237" s="170"/>
      <c r="W237" s="170"/>
      <c r="X237" s="217"/>
      <c r="Y237" s="170"/>
      <c r="Z237" s="170"/>
      <c r="AA237" s="170"/>
      <c r="AB237" s="217"/>
      <c r="AC237" s="170"/>
      <c r="AD237" s="170"/>
      <c r="AE237" s="170"/>
      <c r="AF237" s="217"/>
      <c r="AG237" s="170"/>
      <c r="AH237" s="170"/>
      <c r="AI237" s="170"/>
      <c r="AJ237" s="217"/>
      <c r="AK237" s="170"/>
      <c r="AL237" s="170"/>
      <c r="AM237" s="170"/>
      <c r="AN237" s="217"/>
      <c r="AO237" s="170"/>
      <c r="AP237" s="170"/>
      <c r="AQ237" s="170"/>
      <c r="AR237" s="170"/>
      <c r="AS237" s="170"/>
      <c r="AT237" s="170"/>
      <c r="AU237" s="217"/>
      <c r="AV237" s="170"/>
      <c r="AW237" s="170"/>
      <c r="AX237" s="170"/>
      <c r="AY237" s="217"/>
      <c r="AZ237" s="170"/>
      <c r="BA237" s="170"/>
      <c r="BB237" s="170"/>
      <c r="BC237" s="217"/>
      <c r="BD237" s="170"/>
      <c r="BE237" s="170"/>
      <c r="BF237" s="170"/>
      <c r="BG237" s="217"/>
      <c r="BH237" s="170"/>
      <c r="BI237" s="170"/>
      <c r="BJ237" s="170"/>
      <c r="BK237" s="217"/>
      <c r="BL237" s="170"/>
      <c r="BM237" s="170"/>
      <c r="BN237" s="170"/>
      <c r="BO237" s="217"/>
      <c r="BP237" s="170"/>
      <c r="BQ237" s="170"/>
      <c r="BR237" s="25"/>
      <c r="BS237" s="34"/>
      <c r="BT237" s="25"/>
      <c r="BU237" s="25"/>
      <c r="BV237" s="25"/>
      <c r="BW237" s="34"/>
      <c r="BX237" s="25"/>
      <c r="BY237" s="25"/>
      <c r="BZ237" s="25"/>
      <c r="CA237" s="34"/>
      <c r="CB237" s="25"/>
      <c r="CC237" s="25"/>
      <c r="CD237" s="175"/>
      <c r="CE237" s="34"/>
      <c r="CF237" s="175"/>
      <c r="CG237" s="175"/>
      <c r="CH237" s="175"/>
      <c r="CI237" s="34"/>
      <c r="CJ237" s="175"/>
      <c r="CK237" s="175"/>
      <c r="CL237" s="175"/>
      <c r="CM237" s="34"/>
      <c r="CN237" s="175"/>
      <c r="CO237" s="175"/>
      <c r="CP237" s="175"/>
      <c r="CQ237" s="34"/>
      <c r="CR237" s="175"/>
      <c r="CS237" s="175"/>
      <c r="CT237" s="175"/>
      <c r="CU237" s="34"/>
      <c r="CV237" s="175"/>
      <c r="CW237" s="1472"/>
      <c r="CX237" s="175"/>
      <c r="CY237" s="34"/>
      <c r="CZ237" s="175"/>
      <c r="DA237" s="1472"/>
      <c r="DB237" s="175"/>
      <c r="DC237" s="175"/>
      <c r="DD237" s="175"/>
      <c r="DE237" s="175"/>
      <c r="DF237" s="175"/>
      <c r="DG237" s="25"/>
      <c r="DH237" s="25"/>
      <c r="DI237" s="25"/>
      <c r="DJ237" s="25"/>
    </row>
    <row r="238" spans="1:114" hidden="1" outlineLevel="1">
      <c r="A238" s="170"/>
      <c r="B238" s="170"/>
      <c r="C238" s="170"/>
      <c r="D238" s="217"/>
      <c r="E238" s="170"/>
      <c r="F238" s="170"/>
      <c r="G238" s="170"/>
      <c r="H238" s="217"/>
      <c r="I238" s="170"/>
      <c r="J238" s="170"/>
      <c r="K238" s="170"/>
      <c r="L238" s="217"/>
      <c r="M238" s="170"/>
      <c r="N238" s="170"/>
      <c r="O238" s="170"/>
      <c r="P238" s="217"/>
      <c r="Q238" s="170"/>
      <c r="R238" s="170"/>
      <c r="S238" s="170"/>
      <c r="T238" s="217"/>
      <c r="U238" s="170"/>
      <c r="V238" s="170"/>
      <c r="W238" s="170"/>
      <c r="X238" s="217"/>
      <c r="Y238" s="170"/>
      <c r="Z238" s="170"/>
      <c r="AA238" s="170"/>
      <c r="AB238" s="217"/>
      <c r="AC238" s="170"/>
      <c r="AD238" s="170"/>
      <c r="AE238" s="170"/>
      <c r="AF238" s="217"/>
      <c r="AG238" s="170"/>
      <c r="AH238" s="170"/>
      <c r="AI238" s="170"/>
      <c r="AJ238" s="217"/>
      <c r="AK238" s="170"/>
      <c r="AL238" s="170"/>
      <c r="AM238" s="170"/>
      <c r="AN238" s="217"/>
      <c r="AO238" s="170"/>
      <c r="AP238" s="170"/>
      <c r="AQ238" s="170"/>
      <c r="AR238" s="170"/>
      <c r="AS238" s="170"/>
      <c r="AT238" s="170"/>
      <c r="AU238" s="217"/>
      <c r="AV238" s="170"/>
      <c r="AW238" s="170"/>
      <c r="AX238" s="170"/>
      <c r="AY238" s="217"/>
      <c r="AZ238" s="170"/>
      <c r="BA238" s="170"/>
      <c r="BB238" s="170"/>
      <c r="BC238" s="217"/>
      <c r="BD238" s="170"/>
      <c r="BE238" s="170"/>
      <c r="BF238" s="170"/>
      <c r="BG238" s="217"/>
      <c r="BH238" s="170"/>
      <c r="BI238" s="170"/>
      <c r="BJ238" s="170"/>
      <c r="BK238" s="217"/>
      <c r="BL238" s="170"/>
      <c r="BM238" s="170"/>
      <c r="BN238" s="170"/>
      <c r="BO238" s="217"/>
      <c r="BP238" s="170"/>
      <c r="BQ238" s="170"/>
      <c r="BR238" s="25"/>
      <c r="BS238" s="34"/>
      <c r="BT238" s="25"/>
      <c r="BU238" s="25"/>
      <c r="BV238" s="25"/>
      <c r="BW238" s="34"/>
      <c r="BX238" s="25"/>
      <c r="BY238" s="25"/>
      <c r="BZ238" s="25"/>
      <c r="CA238" s="34"/>
      <c r="CB238" s="25"/>
      <c r="CC238" s="25"/>
      <c r="CD238" s="175"/>
      <c r="CE238" s="34"/>
      <c r="CF238" s="175"/>
      <c r="CG238" s="175"/>
      <c r="CH238" s="175"/>
      <c r="CI238" s="34"/>
      <c r="CJ238" s="175"/>
      <c r="CK238" s="175"/>
      <c r="CL238" s="175"/>
      <c r="CM238" s="34"/>
      <c r="CN238" s="175"/>
      <c r="CO238" s="175"/>
      <c r="CP238" s="175"/>
      <c r="CQ238" s="34"/>
      <c r="CR238" s="175"/>
      <c r="CS238" s="175"/>
      <c r="CT238" s="175"/>
      <c r="CU238" s="34"/>
      <c r="CV238" s="175"/>
      <c r="CW238" s="1472"/>
      <c r="CX238" s="175"/>
      <c r="CY238" s="34"/>
      <c r="CZ238" s="175"/>
      <c r="DA238" s="1472"/>
      <c r="DB238" s="175"/>
      <c r="DC238" s="175"/>
      <c r="DD238" s="175"/>
      <c r="DE238" s="175"/>
      <c r="DF238" s="175"/>
      <c r="DG238" s="25"/>
      <c r="DH238" s="25"/>
      <c r="DI238" s="25"/>
      <c r="DJ238" s="25"/>
    </row>
    <row r="239" spans="1:114" hidden="1" outlineLevel="1">
      <c r="A239" s="170"/>
      <c r="B239" s="170"/>
      <c r="C239" s="170"/>
      <c r="D239" s="217"/>
      <c r="E239" s="170"/>
      <c r="F239" s="170"/>
      <c r="G239" s="170"/>
      <c r="H239" s="217"/>
      <c r="I239" s="170"/>
      <c r="J239" s="170"/>
      <c r="K239" s="170"/>
      <c r="L239" s="217"/>
      <c r="M239" s="170"/>
      <c r="N239" s="170"/>
      <c r="O239" s="170"/>
      <c r="P239" s="217"/>
      <c r="Q239" s="170"/>
      <c r="R239" s="170"/>
      <c r="S239" s="170"/>
      <c r="T239" s="217"/>
      <c r="U239" s="170"/>
      <c r="V239" s="170"/>
      <c r="W239" s="170"/>
      <c r="X239" s="217"/>
      <c r="Y239" s="170"/>
      <c r="Z239" s="170"/>
      <c r="AA239" s="170"/>
      <c r="AB239" s="217"/>
      <c r="AC239" s="170"/>
      <c r="AD239" s="170"/>
      <c r="AE239" s="170"/>
      <c r="AF239" s="217"/>
      <c r="AG239" s="170"/>
      <c r="AH239" s="170"/>
      <c r="AI239" s="170"/>
      <c r="AJ239" s="217"/>
      <c r="AK239" s="170"/>
      <c r="AL239" s="170"/>
      <c r="AM239" s="170"/>
      <c r="AN239" s="217"/>
      <c r="AO239" s="170"/>
      <c r="AP239" s="170"/>
      <c r="AQ239" s="170"/>
      <c r="AR239" s="170"/>
      <c r="AS239" s="170"/>
      <c r="AT239" s="170"/>
      <c r="AU239" s="217"/>
      <c r="AV239" s="170"/>
      <c r="AW239" s="170"/>
      <c r="AX239" s="170"/>
      <c r="AY239" s="217"/>
      <c r="AZ239" s="170"/>
      <c r="BA239" s="170"/>
      <c r="BB239" s="170"/>
      <c r="BC239" s="217"/>
      <c r="BD239" s="170"/>
      <c r="BE239" s="170"/>
      <c r="BF239" s="170"/>
      <c r="BG239" s="217"/>
      <c r="BH239" s="170"/>
      <c r="BI239" s="170"/>
      <c r="BJ239" s="170"/>
      <c r="BK239" s="217"/>
      <c r="BL239" s="170"/>
      <c r="BM239" s="170"/>
      <c r="BN239" s="170"/>
      <c r="BO239" s="217"/>
      <c r="BP239" s="170"/>
      <c r="BQ239" s="170"/>
      <c r="BR239" s="25"/>
      <c r="BS239" s="34"/>
      <c r="BT239" s="25"/>
      <c r="BU239" s="25"/>
      <c r="BV239" s="25"/>
      <c r="BW239" s="34"/>
      <c r="BX239" s="25"/>
      <c r="BY239" s="25"/>
      <c r="BZ239" s="25"/>
      <c r="CA239" s="34"/>
      <c r="CB239" s="25"/>
      <c r="CC239" s="25"/>
      <c r="CD239" s="175"/>
      <c r="CE239" s="34"/>
      <c r="CF239" s="175"/>
      <c r="CG239" s="175"/>
      <c r="CH239" s="175"/>
      <c r="CI239" s="34"/>
      <c r="CJ239" s="175"/>
      <c r="CK239" s="175"/>
      <c r="CL239" s="175"/>
      <c r="CM239" s="34"/>
      <c r="CN239" s="175"/>
      <c r="CO239" s="175"/>
      <c r="CP239" s="175"/>
      <c r="CQ239" s="34"/>
      <c r="CR239" s="175"/>
      <c r="CS239" s="175"/>
      <c r="CT239" s="175"/>
      <c r="CU239" s="34"/>
      <c r="CV239" s="175"/>
      <c r="CW239" s="1472"/>
      <c r="CX239" s="175"/>
      <c r="CY239" s="34"/>
      <c r="CZ239" s="175"/>
      <c r="DA239" s="1472"/>
      <c r="DB239" s="175"/>
      <c r="DC239" s="175"/>
      <c r="DD239" s="175"/>
      <c r="DE239" s="175"/>
      <c r="DF239" s="175"/>
      <c r="DG239" s="25"/>
      <c r="DH239" s="25"/>
      <c r="DI239" s="25"/>
      <c r="DJ239" s="25"/>
    </row>
    <row r="240" spans="1:114" hidden="1" outlineLevel="1">
      <c r="A240" s="170"/>
      <c r="B240" s="170"/>
      <c r="C240" s="170"/>
      <c r="D240" s="217"/>
      <c r="E240" s="170"/>
      <c r="F240" s="170"/>
      <c r="G240" s="170"/>
      <c r="H240" s="217"/>
      <c r="I240" s="170"/>
      <c r="J240" s="170"/>
      <c r="K240" s="170"/>
      <c r="L240" s="217"/>
      <c r="M240" s="170"/>
      <c r="N240" s="170"/>
      <c r="O240" s="170"/>
      <c r="P240" s="217"/>
      <c r="Q240" s="170"/>
      <c r="R240" s="170"/>
      <c r="S240" s="170"/>
      <c r="T240" s="217"/>
      <c r="U240" s="170"/>
      <c r="V240" s="170"/>
      <c r="W240" s="170"/>
      <c r="X240" s="217"/>
      <c r="Y240" s="170"/>
      <c r="Z240" s="170"/>
      <c r="AA240" s="170"/>
      <c r="AB240" s="217"/>
      <c r="AC240" s="170"/>
      <c r="AD240" s="184" t="s">
        <v>458</v>
      </c>
      <c r="AE240" s="170"/>
      <c r="AF240" s="217"/>
      <c r="AG240" s="170"/>
      <c r="AH240" s="170"/>
      <c r="AI240" s="170"/>
      <c r="AJ240" s="217"/>
      <c r="AK240" s="170"/>
      <c r="AL240" s="170"/>
      <c r="AM240" s="170"/>
      <c r="AN240" s="217"/>
      <c r="AO240" s="170"/>
      <c r="AP240" s="170"/>
      <c r="AQ240" s="170"/>
      <c r="AR240" s="170"/>
      <c r="AS240" s="170"/>
      <c r="AT240" s="170"/>
      <c r="AU240" s="217"/>
      <c r="AV240" s="170"/>
      <c r="AW240" s="170"/>
      <c r="AX240" s="170"/>
      <c r="AY240" s="217"/>
      <c r="AZ240" s="170"/>
      <c r="BA240" s="170"/>
      <c r="BB240" s="170"/>
      <c r="BC240" s="217"/>
      <c r="BD240" s="170"/>
      <c r="BE240" s="170"/>
      <c r="BF240" s="170"/>
      <c r="BG240" s="217"/>
      <c r="BH240" s="170"/>
      <c r="BI240" s="170"/>
      <c r="BJ240" s="170"/>
      <c r="BK240" s="217"/>
      <c r="BL240" s="170"/>
      <c r="BM240" s="184" t="s">
        <v>458</v>
      </c>
      <c r="BN240" s="170"/>
      <c r="BO240" s="217"/>
      <c r="BP240" s="170"/>
      <c r="BQ240" s="170"/>
      <c r="BR240" s="25"/>
      <c r="BS240" s="34"/>
      <c r="BT240" s="25"/>
      <c r="BU240" s="25"/>
      <c r="BV240" s="25"/>
      <c r="BW240" s="34"/>
      <c r="BX240" s="25"/>
      <c r="BY240" s="25"/>
      <c r="BZ240" s="25"/>
      <c r="CA240" s="34"/>
      <c r="CB240" s="25"/>
      <c r="CC240" s="25"/>
      <c r="CD240" s="175"/>
      <c r="CE240" s="34"/>
      <c r="CF240" s="175"/>
      <c r="CG240" s="175"/>
      <c r="CH240" s="175"/>
      <c r="CI240" s="34"/>
      <c r="CJ240" s="175"/>
      <c r="CK240" s="175"/>
      <c r="CL240" s="175"/>
      <c r="CM240" s="34"/>
      <c r="CN240" s="175"/>
      <c r="CO240" s="175"/>
      <c r="CP240" s="175"/>
      <c r="CQ240" s="34"/>
      <c r="CR240" s="175"/>
      <c r="CS240" s="175"/>
      <c r="CT240" s="175"/>
      <c r="CU240" s="34"/>
      <c r="CV240" s="175"/>
      <c r="CW240" s="1472"/>
      <c r="CX240" s="175"/>
      <c r="CY240" s="34"/>
      <c r="CZ240" s="175"/>
      <c r="DA240" s="1472"/>
      <c r="DB240" s="175"/>
      <c r="DC240" s="175"/>
      <c r="DD240" s="175"/>
      <c r="DE240" s="175"/>
      <c r="DF240" s="175"/>
      <c r="DG240" s="25"/>
      <c r="DH240" s="25"/>
      <c r="DI240" s="25"/>
      <c r="DJ240" s="25"/>
    </row>
    <row r="241" spans="1:114" hidden="1" outlineLevel="1">
      <c r="A241" s="170" t="str">
        <f>$A$10</f>
        <v>1Q</v>
      </c>
      <c r="B241" s="170" t="str">
        <f>$B$10</f>
        <v>Apr</v>
      </c>
      <c r="C241" s="170"/>
      <c r="D241" s="217"/>
      <c r="E241" s="170"/>
      <c r="F241" s="170"/>
      <c r="G241" s="170"/>
      <c r="H241" s="217"/>
      <c r="I241" s="170"/>
      <c r="J241" s="170"/>
      <c r="K241" s="170"/>
      <c r="L241" s="217"/>
      <c r="M241" s="170"/>
      <c r="N241" s="170"/>
      <c r="O241" s="170"/>
      <c r="P241" s="217"/>
      <c r="Q241" s="170"/>
      <c r="R241" s="170"/>
      <c r="S241" s="170"/>
      <c r="T241" s="217"/>
      <c r="U241" s="170"/>
      <c r="V241" s="170"/>
      <c r="W241" s="170"/>
      <c r="X241" s="217"/>
      <c r="Y241" s="170"/>
      <c r="Z241" s="170"/>
      <c r="AA241" s="170"/>
      <c r="AB241" s="217"/>
      <c r="AC241" s="170"/>
      <c r="AD241" s="170"/>
      <c r="AE241" s="170"/>
      <c r="AF241" s="313">
        <f>AF110/AF255</f>
        <v>1.0022814582971078</v>
      </c>
      <c r="AG241" s="170"/>
      <c r="AH241" s="170"/>
      <c r="AI241" s="170"/>
      <c r="AJ241" s="313">
        <f>AJ110/AJ255</f>
        <v>1.0308994877632327</v>
      </c>
      <c r="AK241" s="170"/>
      <c r="AL241" s="170"/>
      <c r="AM241" s="170"/>
      <c r="AN241" s="313">
        <f>AN110/AN255</f>
        <v>1.0183523956723339</v>
      </c>
      <c r="AO241" s="170"/>
      <c r="AP241" s="170"/>
      <c r="AQ241" s="170"/>
      <c r="AR241" s="170"/>
      <c r="AS241" s="170"/>
      <c r="AT241" s="170"/>
      <c r="AU241" s="313">
        <f>AU110/AU255</f>
        <v>1.0329862508717744</v>
      </c>
      <c r="AV241" s="170"/>
      <c r="AW241" s="170"/>
      <c r="AX241" s="170"/>
      <c r="AY241" s="313">
        <f>AY110/AY255</f>
        <v>1.0360875970704164</v>
      </c>
      <c r="AZ241" s="170"/>
      <c r="BA241" s="170"/>
      <c r="BB241" s="170"/>
      <c r="BC241" s="313">
        <f>BC110/BC255</f>
        <v>1.0209308691051766</v>
      </c>
      <c r="BD241" s="170"/>
      <c r="BE241" s="170"/>
      <c r="BF241" s="170"/>
      <c r="BG241" s="313">
        <f>BG110/BG255</f>
        <v>1.0241085484189643</v>
      </c>
      <c r="BH241" s="170"/>
      <c r="BI241" s="170"/>
      <c r="BJ241" s="170"/>
      <c r="BK241" s="313">
        <f>BK110/BK255</f>
        <v>1.0269946142676827</v>
      </c>
      <c r="BL241" s="170"/>
      <c r="BM241" s="170"/>
      <c r="BN241" s="170"/>
      <c r="BO241" s="313">
        <f>BO110/BO255</f>
        <v>1.0170841187342776</v>
      </c>
      <c r="BP241" s="170"/>
      <c r="BQ241" s="170"/>
      <c r="BR241" s="25"/>
      <c r="BS241" s="315">
        <f>BS110/BS255</f>
        <v>1.0234937300621341</v>
      </c>
      <c r="BT241" s="25"/>
      <c r="BU241" s="25"/>
      <c r="BV241" s="25"/>
      <c r="BW241" s="315">
        <f>BW110/BW255</f>
        <v>1.0177717594396756</v>
      </c>
      <c r="BX241" s="25"/>
      <c r="BY241" s="25"/>
      <c r="BZ241" s="25"/>
      <c r="CA241" s="315">
        <f>CA110/CA255</f>
        <v>1.0059392768803868</v>
      </c>
      <c r="CB241" s="25"/>
      <c r="CC241" s="25"/>
      <c r="CD241" s="175"/>
      <c r="CE241" s="315">
        <f>CE110/CE255</f>
        <v>1.0171529788166773</v>
      </c>
      <c r="CF241" s="175"/>
      <c r="CG241" s="175"/>
      <c r="CH241" s="175"/>
      <c r="CI241" s="315">
        <f>CI110/CI255</f>
        <v>1.0127077531607591</v>
      </c>
      <c r="CJ241" s="175"/>
      <c r="CK241" s="175"/>
      <c r="CL241" s="175"/>
      <c r="CM241" s="354">
        <f>CI241</f>
        <v>1.0127077531607591</v>
      </c>
      <c r="CN241" s="175"/>
      <c r="CO241" s="175"/>
      <c r="CP241" s="175"/>
      <c r="CQ241" s="354">
        <f>CM241</f>
        <v>1.0127077531607591</v>
      </c>
      <c r="CR241" s="175"/>
      <c r="CS241" s="175"/>
      <c r="CT241" s="175"/>
      <c r="CU241" s="354">
        <f>CQ241</f>
        <v>1.0127077531607591</v>
      </c>
      <c r="CV241" s="175"/>
      <c r="CW241" s="1472"/>
      <c r="CX241" s="175"/>
      <c r="CY241" s="354">
        <f>CU241</f>
        <v>1.0127077531607591</v>
      </c>
      <c r="CZ241" s="175"/>
      <c r="DA241" s="1472"/>
      <c r="DB241" s="175"/>
      <c r="DC241" s="175"/>
      <c r="DD241" s="175"/>
      <c r="DE241" s="175"/>
      <c r="DF241" s="175"/>
      <c r="DG241" s="25"/>
      <c r="DH241" s="25"/>
      <c r="DI241" s="25"/>
      <c r="DJ241" s="25"/>
    </row>
    <row r="242" spans="1:114" hidden="1" outlineLevel="1">
      <c r="A242" s="170" t="str">
        <f>$A$11</f>
        <v>2Q</v>
      </c>
      <c r="B242" s="170" t="str">
        <f>$B$11</f>
        <v>Jul</v>
      </c>
      <c r="C242" s="170"/>
      <c r="D242" s="217"/>
      <c r="E242" s="170"/>
      <c r="F242" s="170"/>
      <c r="G242" s="170"/>
      <c r="H242" s="217"/>
      <c r="I242" s="170"/>
      <c r="J242" s="170"/>
      <c r="K242" s="170"/>
      <c r="L242" s="217"/>
      <c r="M242" s="170"/>
      <c r="N242" s="170"/>
      <c r="O242" s="170"/>
      <c r="P242" s="217"/>
      <c r="Q242" s="170"/>
      <c r="R242" s="170"/>
      <c r="S242" s="170"/>
      <c r="T242" s="217"/>
      <c r="U242" s="170"/>
      <c r="V242" s="170"/>
      <c r="W242" s="170"/>
      <c r="X242" s="217"/>
      <c r="Y242" s="170"/>
      <c r="Z242" s="170"/>
      <c r="AA242" s="170"/>
      <c r="AB242" s="217"/>
      <c r="AC242" s="170"/>
      <c r="AD242" s="170"/>
      <c r="AE242" s="170"/>
      <c r="AF242" s="313">
        <f>AF111/AF256</f>
        <v>1.0045083714732634</v>
      </c>
      <c r="AG242" s="170"/>
      <c r="AH242" s="170"/>
      <c r="AI242" s="170"/>
      <c r="AJ242" s="313">
        <f>AJ111/AJ256</f>
        <v>1.032361553316979</v>
      </c>
      <c r="AK242" s="170"/>
      <c r="AL242" s="170"/>
      <c r="AM242" s="170"/>
      <c r="AN242" s="313">
        <f>AN111/AN256</f>
        <v>1.0282420072637986</v>
      </c>
      <c r="AO242" s="170"/>
      <c r="AP242" s="170"/>
      <c r="AQ242" s="170"/>
      <c r="AR242" s="170"/>
      <c r="AS242" s="170"/>
      <c r="AT242" s="170"/>
      <c r="AU242" s="313">
        <f>AU111/AU256</f>
        <v>1.0354714367159183</v>
      </c>
      <c r="AV242" s="170"/>
      <c r="AW242" s="170"/>
      <c r="AX242" s="170"/>
      <c r="AY242" s="313">
        <f>AY111/AY256</f>
        <v>1.0424262644380047</v>
      </c>
      <c r="AZ242" s="170"/>
      <c r="BA242" s="170"/>
      <c r="BB242" s="170"/>
      <c r="BC242" s="313">
        <f>BC111/BC256</f>
        <v>1.0218252895225266</v>
      </c>
      <c r="BD242" s="170"/>
      <c r="BE242" s="170"/>
      <c r="BF242" s="170"/>
      <c r="BG242" s="313">
        <f>BG111/BG256</f>
        <v>1.0265844936065827</v>
      </c>
      <c r="BH242" s="170"/>
      <c r="BI242" s="170"/>
      <c r="BJ242" s="170"/>
      <c r="BK242" s="313">
        <f>BK111/BK256</f>
        <v>1.0299256030764872</v>
      </c>
      <c r="BL242" s="170"/>
      <c r="BM242" s="170"/>
      <c r="BN242" s="170"/>
      <c r="BO242" s="313">
        <f>BO111/BO256</f>
        <v>1.0166710523893738</v>
      </c>
      <c r="BP242" s="170"/>
      <c r="BQ242" s="170"/>
      <c r="BR242" s="25"/>
      <c r="BS242" s="315">
        <f>BS111/BS256</f>
        <v>1.0202322323461592</v>
      </c>
      <c r="BT242" s="25"/>
      <c r="BU242" s="25"/>
      <c r="BV242" s="25"/>
      <c r="BW242" s="315">
        <f>BW111/BW256</f>
        <v>1.0136341464242091</v>
      </c>
      <c r="BX242" s="25"/>
      <c r="BY242" s="25"/>
      <c r="BZ242" s="25"/>
      <c r="CA242" s="315">
        <f>CA111/CA256</f>
        <v>1.005503841821823</v>
      </c>
      <c r="CB242" s="25"/>
      <c r="CC242" s="25"/>
      <c r="CD242" s="175"/>
      <c r="CE242" s="315">
        <f>CE111/CE256</f>
        <v>1.0157990305000801</v>
      </c>
      <c r="CF242" s="175"/>
      <c r="CG242" s="175"/>
      <c r="CH242" s="175"/>
      <c r="CI242" s="315">
        <f>CI111/CI256</f>
        <v>1.0126302728861152</v>
      </c>
      <c r="CJ242" s="175"/>
      <c r="CK242" s="175"/>
      <c r="CL242" s="175"/>
      <c r="CM242" s="354">
        <f>CI242</f>
        <v>1.0126302728861152</v>
      </c>
      <c r="CN242" s="175"/>
      <c r="CO242" s="175"/>
      <c r="CP242" s="175"/>
      <c r="CQ242" s="354">
        <f>CM242</f>
        <v>1.0126302728861152</v>
      </c>
      <c r="CR242" s="175"/>
      <c r="CS242" s="175"/>
      <c r="CT242" s="175"/>
      <c r="CU242" s="354">
        <f>CQ242</f>
        <v>1.0126302728861152</v>
      </c>
      <c r="CV242" s="175"/>
      <c r="CW242" s="1472"/>
      <c r="CX242" s="175"/>
      <c r="CY242" s="354">
        <f>CU242</f>
        <v>1.0126302728861152</v>
      </c>
      <c r="CZ242" s="175"/>
      <c r="DA242" s="1472"/>
      <c r="DB242" s="175"/>
      <c r="DC242" s="175"/>
      <c r="DD242" s="175"/>
      <c r="DE242" s="175"/>
      <c r="DF242" s="175"/>
      <c r="DG242" s="25"/>
      <c r="DH242" s="25"/>
      <c r="DI242" s="25"/>
      <c r="DJ242" s="25"/>
    </row>
    <row r="243" spans="1:114" hidden="1" outlineLevel="1">
      <c r="A243" s="170" t="str">
        <f>$A$12</f>
        <v>3Q</v>
      </c>
      <c r="B243" s="170" t="str">
        <f>$B$12</f>
        <v>Oct</v>
      </c>
      <c r="C243" s="170"/>
      <c r="D243" s="217"/>
      <c r="E243" s="170"/>
      <c r="F243" s="170"/>
      <c r="G243" s="170"/>
      <c r="H243" s="217"/>
      <c r="I243" s="170"/>
      <c r="J243" s="170"/>
      <c r="K243" s="170"/>
      <c r="L243" s="217"/>
      <c r="M243" s="170"/>
      <c r="N243" s="170"/>
      <c r="O243" s="170"/>
      <c r="P243" s="217"/>
      <c r="Q243" s="170"/>
      <c r="R243" s="170"/>
      <c r="S243" s="170"/>
      <c r="T243" s="217"/>
      <c r="U243" s="170"/>
      <c r="V243" s="170"/>
      <c r="W243" s="170"/>
      <c r="X243" s="217"/>
      <c r="Y243" s="170"/>
      <c r="Z243" s="170"/>
      <c r="AA243" s="170"/>
      <c r="AB243" s="217"/>
      <c r="AC243" s="170"/>
      <c r="AD243" s="170"/>
      <c r="AE243" s="170"/>
      <c r="AF243" s="313">
        <f>AF112/AF257</f>
        <v>1.0056295180722892</v>
      </c>
      <c r="AG243" s="170"/>
      <c r="AH243" s="170"/>
      <c r="AI243" s="170"/>
      <c r="AJ243" s="313">
        <f>AJ112/AJ257</f>
        <v>1.0230514633258825</v>
      </c>
      <c r="AK243" s="170"/>
      <c r="AL243" s="170"/>
      <c r="AM243" s="170"/>
      <c r="AN243" s="313">
        <f>AN112/AN257</f>
        <v>1.0332094361626609</v>
      </c>
      <c r="AO243" s="170"/>
      <c r="AP243" s="170"/>
      <c r="AQ243" s="170"/>
      <c r="AR243" s="170"/>
      <c r="AS243" s="170"/>
      <c r="AT243" s="170"/>
      <c r="AU243" s="313">
        <f>AU112/AU257</f>
        <v>1.0373686628533116</v>
      </c>
      <c r="AV243" s="170"/>
      <c r="AW243" s="170"/>
      <c r="AX243" s="170"/>
      <c r="AY243" s="313">
        <f>AY112/AY257</f>
        <v>1.0378049962073967</v>
      </c>
      <c r="AZ243" s="170"/>
      <c r="BA243" s="170"/>
      <c r="BB243" s="170"/>
      <c r="BC243" s="313">
        <f>BC112/BC257</f>
        <v>1.0218507142155469</v>
      </c>
      <c r="BD243" s="170"/>
      <c r="BE243" s="170"/>
      <c r="BF243" s="170"/>
      <c r="BG243" s="313">
        <f>BG112/BG257</f>
        <v>1.0272183043966767</v>
      </c>
      <c r="BH243" s="170"/>
      <c r="BI243" s="170"/>
      <c r="BJ243" s="170"/>
      <c r="BK243" s="313">
        <f>BK112/BK257</f>
        <v>1.0241549595787698</v>
      </c>
      <c r="BL243" s="170"/>
      <c r="BM243" s="170"/>
      <c r="BN243" s="170"/>
      <c r="BO243" s="313">
        <f>BO112/BO257</f>
        <v>1.0185622446604736</v>
      </c>
      <c r="BP243" s="170"/>
      <c r="BQ243" s="170"/>
      <c r="BR243" s="25"/>
      <c r="BS243" s="315">
        <f>BS112/BS257</f>
        <v>1.0173573022592579</v>
      </c>
      <c r="BT243" s="25"/>
      <c r="BU243" s="25"/>
      <c r="BV243" s="25"/>
      <c r="BW243" s="315">
        <f>BW112/BW257</f>
        <v>1.0149807063463412</v>
      </c>
      <c r="BX243" s="25"/>
      <c r="BY243" s="25"/>
      <c r="BZ243" s="25"/>
      <c r="CA243" s="315">
        <f>CA112/CA257</f>
        <v>1.0106305342587489</v>
      </c>
      <c r="CB243" s="25"/>
      <c r="CC243" s="25"/>
      <c r="CD243" s="175"/>
      <c r="CE243" s="315">
        <f>CE112/CE257</f>
        <v>1.0143235710130178</v>
      </c>
      <c r="CF243" s="175"/>
      <c r="CG243" s="175"/>
      <c r="CH243" s="175"/>
      <c r="CI243" s="315">
        <f>CI112/CI257</f>
        <v>1.0125232112134777</v>
      </c>
      <c r="CJ243" s="175"/>
      <c r="CK243" s="175"/>
      <c r="CL243" s="175"/>
      <c r="CM243" s="354">
        <f>CI243</f>
        <v>1.0125232112134777</v>
      </c>
      <c r="CN243" s="175"/>
      <c r="CO243" s="175"/>
      <c r="CP243" s="175"/>
      <c r="CQ243" s="354">
        <f>CM243</f>
        <v>1.0125232112134777</v>
      </c>
      <c r="CR243" s="175"/>
      <c r="CS243" s="175"/>
      <c r="CT243" s="175"/>
      <c r="CU243" s="354">
        <f>CQ243</f>
        <v>1.0125232112134777</v>
      </c>
      <c r="CV243" s="175"/>
      <c r="CW243" s="1472"/>
      <c r="CX243" s="175"/>
      <c r="CY243" s="354">
        <f>CU243</f>
        <v>1.0125232112134777</v>
      </c>
      <c r="CZ243" s="175"/>
      <c r="DA243" s="1472"/>
      <c r="DB243" s="175"/>
      <c r="DC243" s="175"/>
      <c r="DD243" s="175"/>
      <c r="DE243" s="175"/>
      <c r="DF243" s="175"/>
      <c r="DG243" s="25"/>
      <c r="DH243" s="25"/>
      <c r="DI243" s="25"/>
      <c r="DJ243" s="25"/>
    </row>
    <row r="244" spans="1:114" hidden="1" outlineLevel="1">
      <c r="A244" s="170" t="str">
        <f>$A$13</f>
        <v>4Q</v>
      </c>
      <c r="B244" s="170" t="str">
        <f>$B$13</f>
        <v>Jan</v>
      </c>
      <c r="C244" s="170"/>
      <c r="D244" s="217"/>
      <c r="E244" s="170"/>
      <c r="F244" s="170"/>
      <c r="G244" s="170"/>
      <c r="H244" s="217"/>
      <c r="I244" s="170"/>
      <c r="J244" s="170"/>
      <c r="K244" s="170"/>
      <c r="L244" s="217"/>
      <c r="M244" s="170"/>
      <c r="N244" s="170"/>
      <c r="O244" s="170"/>
      <c r="P244" s="217"/>
      <c r="Q244" s="170"/>
      <c r="R244" s="170"/>
      <c r="S244" s="170"/>
      <c r="T244" s="217"/>
      <c r="U244" s="170"/>
      <c r="V244" s="170"/>
      <c r="W244" s="170"/>
      <c r="X244" s="217"/>
      <c r="Y244" s="170"/>
      <c r="Z244" s="170"/>
      <c r="AA244" s="170"/>
      <c r="AB244" s="217"/>
      <c r="AC244" s="170"/>
      <c r="AD244" s="170"/>
      <c r="AE244" s="170"/>
      <c r="AF244" s="313">
        <f>AF113/AF258</f>
        <v>1.0255012719703978</v>
      </c>
      <c r="AG244" s="170"/>
      <c r="AH244" s="170"/>
      <c r="AI244" s="170"/>
      <c r="AJ244" s="313">
        <f>AJ113/AJ258</f>
        <v>1.020368085161357</v>
      </c>
      <c r="AK244" s="170"/>
      <c r="AL244" s="170"/>
      <c r="AM244" s="170"/>
      <c r="AN244" s="313">
        <f>AN113/AN258</f>
        <v>1.0369261060163257</v>
      </c>
      <c r="AO244" s="170"/>
      <c r="AP244" s="170"/>
      <c r="AQ244" s="170"/>
      <c r="AR244" s="170"/>
      <c r="AS244" s="170"/>
      <c r="AT244" s="170"/>
      <c r="AU244" s="313">
        <f>AU113/AU258</f>
        <v>1.0369261060163257</v>
      </c>
      <c r="AV244" s="170"/>
      <c r="AW244" s="170"/>
      <c r="AX244" s="170"/>
      <c r="AY244" s="313">
        <f>AY113/AY258</f>
        <v>1.0364147835410564</v>
      </c>
      <c r="AZ244" s="170"/>
      <c r="BA244" s="170"/>
      <c r="BB244" s="170"/>
      <c r="BC244" s="313">
        <f>BC113/BC258</f>
        <v>1.0252054950099889</v>
      </c>
      <c r="BD244" s="170"/>
      <c r="BE244" s="170"/>
      <c r="BF244" s="170"/>
      <c r="BG244" s="313">
        <f>BG113/BG258</f>
        <v>1.0269895822033022</v>
      </c>
      <c r="BH244" s="170"/>
      <c r="BI244" s="170"/>
      <c r="BJ244" s="170"/>
      <c r="BK244" s="313">
        <f>BK113/BK258</f>
        <v>1.0161896259656049</v>
      </c>
      <c r="BL244" s="170"/>
      <c r="BM244" s="170"/>
      <c r="BN244" s="170"/>
      <c r="BO244" s="313">
        <f>BO113/BO258</f>
        <v>1.0232781259692179</v>
      </c>
      <c r="BP244" s="170"/>
      <c r="BQ244" s="170"/>
      <c r="BR244" s="25"/>
      <c r="BS244" s="315">
        <f>BS113/BS258</f>
        <v>1.0212465886538995</v>
      </c>
      <c r="BT244" s="25"/>
      <c r="BU244" s="25"/>
      <c r="BV244" s="25"/>
      <c r="BW244" s="315">
        <f>BW113/BW258</f>
        <v>1.0093560092115976</v>
      </c>
      <c r="BX244" s="25"/>
      <c r="BY244" s="25"/>
      <c r="BZ244" s="25"/>
      <c r="CA244" s="315">
        <f>CA113/CA258</f>
        <v>1.0166954611123684</v>
      </c>
      <c r="CB244" s="25"/>
      <c r="CC244" s="25"/>
      <c r="CD244" s="175"/>
      <c r="CE244" s="315">
        <f>CE113/CE258</f>
        <v>1.0129014077316689</v>
      </c>
      <c r="CF244" s="175"/>
      <c r="CG244" s="175"/>
      <c r="CH244" s="175"/>
      <c r="CI244" s="354">
        <v>1.01</v>
      </c>
      <c r="CJ244" s="175"/>
      <c r="CK244" s="175"/>
      <c r="CL244" s="175"/>
      <c r="CM244" s="354">
        <f>CI244</f>
        <v>1.01</v>
      </c>
      <c r="CN244" s="175"/>
      <c r="CO244" s="175"/>
      <c r="CP244" s="175"/>
      <c r="CQ244" s="354">
        <f>CM244</f>
        <v>1.01</v>
      </c>
      <c r="CR244" s="175"/>
      <c r="CS244" s="175"/>
      <c r="CT244" s="175"/>
      <c r="CU244" s="354">
        <f>CQ244</f>
        <v>1.01</v>
      </c>
      <c r="CV244" s="175"/>
      <c r="CW244" s="1472"/>
      <c r="CX244" s="175"/>
      <c r="CY244" s="354">
        <f>CU244</f>
        <v>1.01</v>
      </c>
      <c r="CZ244" s="175"/>
      <c r="DA244" s="1472"/>
      <c r="DB244" s="175"/>
      <c r="DC244" s="175"/>
      <c r="DD244" s="175"/>
      <c r="DE244" s="175"/>
      <c r="DF244" s="175"/>
      <c r="DG244" s="25"/>
      <c r="DH244" s="25"/>
      <c r="DI244" s="25"/>
      <c r="DJ244" s="25"/>
    </row>
    <row r="245" spans="1:114" hidden="1" outlineLevel="1">
      <c r="A245" s="170"/>
      <c r="B245" s="170" t="str">
        <f>$B$14</f>
        <v>Year</v>
      </c>
      <c r="C245" s="170"/>
      <c r="D245" s="217"/>
      <c r="E245" s="170"/>
      <c r="F245" s="170"/>
      <c r="G245" s="170"/>
      <c r="H245" s="217"/>
      <c r="I245" s="170"/>
      <c r="J245" s="170"/>
      <c r="K245" s="170"/>
      <c r="L245" s="217"/>
      <c r="M245" s="170"/>
      <c r="N245" s="170"/>
      <c r="O245" s="170"/>
      <c r="P245" s="217"/>
      <c r="Q245" s="170"/>
      <c r="R245" s="170"/>
      <c r="S245" s="170"/>
      <c r="T245" s="217"/>
      <c r="U245" s="170"/>
      <c r="V245" s="170"/>
      <c r="W245" s="170"/>
      <c r="X245" s="217"/>
      <c r="Y245" s="170"/>
      <c r="Z245" s="170"/>
      <c r="AA245" s="170"/>
      <c r="AB245" s="217"/>
      <c r="AC245" s="170"/>
      <c r="AD245" s="170"/>
      <c r="AE245" s="170"/>
      <c r="AF245" s="313">
        <f>AF114/AF259</f>
        <v>1.0098420244954689</v>
      </c>
      <c r="AG245" s="170"/>
      <c r="AH245" s="170"/>
      <c r="AI245" s="170"/>
      <c r="AJ245" s="313">
        <f>AJ114/AJ259</f>
        <v>1.0264833736653327</v>
      </c>
      <c r="AK245" s="170"/>
      <c r="AL245" s="170"/>
      <c r="AM245" s="170"/>
      <c r="AN245" s="313">
        <f>AN114/AN259</f>
        <v>1.0292380997468566</v>
      </c>
      <c r="AO245" s="170"/>
      <c r="AP245" s="170"/>
      <c r="AQ245" s="170"/>
      <c r="AR245" s="170"/>
      <c r="AS245" s="170"/>
      <c r="AT245" s="170"/>
      <c r="AU245" s="313">
        <f>AU114/AU259</f>
        <v>1.0364443731713917</v>
      </c>
      <c r="AV245" s="170"/>
      <c r="AW245" s="170"/>
      <c r="AX245" s="170"/>
      <c r="AY245" s="313">
        <f>AY114/AY259</f>
        <v>1.0382438976089585</v>
      </c>
      <c r="AZ245" s="170"/>
      <c r="BA245" s="170"/>
      <c r="BB245" s="170"/>
      <c r="BC245" s="313">
        <f>BC114/BC259</f>
        <v>1.0241209698561684</v>
      </c>
      <c r="BD245" s="170"/>
      <c r="BE245" s="170"/>
      <c r="BF245" s="170"/>
      <c r="BG245" s="313">
        <f>BG114/BG259</f>
        <v>1.0262273353535627</v>
      </c>
      <c r="BH245" s="170"/>
      <c r="BI245" s="170"/>
      <c r="BJ245" s="170"/>
      <c r="BK245" s="313">
        <f>BK114/BK259</f>
        <v>1.0243063589795454</v>
      </c>
      <c r="BL245" s="170"/>
      <c r="BM245" s="170"/>
      <c r="BN245" s="170"/>
      <c r="BO245" s="313">
        <f>BO114/BO259</f>
        <v>1.0189327056979471</v>
      </c>
      <c r="BP245" s="170"/>
      <c r="BQ245" s="170"/>
      <c r="BR245" s="25"/>
      <c r="BS245" s="315">
        <f>BS114/BS259</f>
        <v>1.0210250666090204</v>
      </c>
      <c r="BT245" s="25"/>
      <c r="BU245" s="25"/>
      <c r="BV245" s="25"/>
      <c r="BW245" s="315">
        <f>BW114/BW259</f>
        <v>1.0140606506624039</v>
      </c>
      <c r="BX245" s="25"/>
      <c r="BY245" s="25"/>
      <c r="BZ245" s="25"/>
      <c r="CA245" s="315">
        <f>CA114/CA259</f>
        <v>1.0097076262776232</v>
      </c>
      <c r="CB245" s="25"/>
      <c r="CC245" s="25"/>
      <c r="CD245" s="175"/>
      <c r="CE245" s="315">
        <f>CE114/CE259</f>
        <v>1.0150401502841802</v>
      </c>
      <c r="CF245" s="175"/>
      <c r="CG245" s="175"/>
      <c r="CH245" s="175"/>
      <c r="CI245" s="315">
        <f>CI114/CI259</f>
        <v>0.99973598579809453</v>
      </c>
      <c r="CJ245" s="175"/>
      <c r="CK245" s="175"/>
      <c r="CL245" s="175"/>
      <c r="CM245" s="315">
        <f>CM114/CM259</f>
        <v>1.0062357216076954</v>
      </c>
      <c r="CN245" s="175"/>
      <c r="CO245" s="175"/>
      <c r="CP245" s="175"/>
      <c r="CQ245" s="315">
        <f>CQ114/CQ259</f>
        <v>1.0035773353787554</v>
      </c>
      <c r="CR245" s="175"/>
      <c r="CS245" s="175"/>
      <c r="CT245" s="175"/>
      <c r="CU245" s="315">
        <f>CU114/CU259</f>
        <v>0.99404462512136815</v>
      </c>
      <c r="CV245" s="175"/>
      <c r="CW245" s="1472"/>
      <c r="CX245" s="175"/>
      <c r="CY245" s="315">
        <f>CY114/CY259</f>
        <v>1.0039154117353866</v>
      </c>
      <c r="CZ245" s="175"/>
      <c r="DA245" s="1472"/>
      <c r="DB245" s="175"/>
      <c r="DC245" s="175"/>
      <c r="DD245" s="175"/>
      <c r="DE245" s="175"/>
      <c r="DF245" s="175"/>
      <c r="DG245" s="25"/>
      <c r="DH245" s="25"/>
      <c r="DI245" s="25"/>
      <c r="DJ245" s="25"/>
    </row>
    <row r="246" spans="1:114" hidden="1" outlineLevel="1">
      <c r="A246" s="170" t="str">
        <f>$A$15</f>
        <v>6 Mos</v>
      </c>
      <c r="B246" s="170"/>
      <c r="C246" s="170"/>
      <c r="D246" s="217"/>
      <c r="E246" s="170"/>
      <c r="F246" s="170"/>
      <c r="G246" s="170"/>
      <c r="H246" s="217"/>
      <c r="I246" s="170"/>
      <c r="J246" s="170"/>
      <c r="K246" s="170"/>
      <c r="L246" s="217"/>
      <c r="M246" s="170"/>
      <c r="N246" s="170"/>
      <c r="O246" s="170"/>
      <c r="P246" s="217"/>
      <c r="Q246" s="170"/>
      <c r="R246" s="170"/>
      <c r="S246" s="170"/>
      <c r="T246" s="217"/>
      <c r="U246" s="170"/>
      <c r="V246" s="170"/>
      <c r="W246" s="170"/>
      <c r="X246" s="217"/>
      <c r="Y246" s="170"/>
      <c r="Z246" s="170"/>
      <c r="AA246" s="170"/>
      <c r="AB246" s="217"/>
      <c r="AC246" s="170"/>
      <c r="AD246" s="170"/>
      <c r="AE246" s="170"/>
      <c r="AF246" s="217"/>
      <c r="AG246" s="170"/>
      <c r="AH246" s="170"/>
      <c r="AI246" s="170"/>
      <c r="AJ246" s="217"/>
      <c r="AK246" s="170"/>
      <c r="AL246" s="170"/>
      <c r="AM246" s="170"/>
      <c r="AN246" s="217"/>
      <c r="AO246" s="170"/>
      <c r="AP246" s="170"/>
      <c r="AQ246" s="170"/>
      <c r="AR246" s="170"/>
      <c r="AS246" s="170"/>
      <c r="AT246" s="170"/>
      <c r="AU246" s="217"/>
      <c r="AV246" s="170"/>
      <c r="AW246" s="170"/>
      <c r="AX246" s="170"/>
      <c r="AY246" s="217"/>
      <c r="AZ246" s="170"/>
      <c r="BA246" s="170"/>
      <c r="BB246" s="170"/>
      <c r="BC246" s="217"/>
      <c r="BD246" s="170"/>
      <c r="BE246" s="170"/>
      <c r="BF246" s="170"/>
      <c r="BG246" s="217"/>
      <c r="BH246" s="170"/>
      <c r="BI246" s="170"/>
      <c r="BJ246" s="170"/>
      <c r="BK246" s="217"/>
      <c r="BL246" s="170"/>
      <c r="BM246" s="170"/>
      <c r="BN246" s="170"/>
      <c r="BO246" s="217"/>
      <c r="BP246" s="170"/>
      <c r="BQ246" s="170"/>
      <c r="BR246" s="25"/>
      <c r="BS246" s="34"/>
      <c r="BT246" s="25"/>
      <c r="BU246" s="25"/>
      <c r="BV246" s="25"/>
      <c r="BW246" s="34"/>
      <c r="BX246" s="25"/>
      <c r="BY246" s="25"/>
      <c r="BZ246" s="25"/>
      <c r="CA246" s="34"/>
      <c r="CB246" s="25"/>
      <c r="CC246" s="25"/>
      <c r="CD246" s="175"/>
      <c r="CE246" s="34"/>
      <c r="CF246" s="175"/>
      <c r="CG246" s="175"/>
      <c r="CH246" s="175"/>
      <c r="CI246" s="34"/>
      <c r="CJ246" s="175"/>
      <c r="CK246" s="175"/>
      <c r="CL246" s="175"/>
      <c r="CM246" s="34"/>
      <c r="CN246" s="175"/>
      <c r="CO246" s="175"/>
      <c r="CP246" s="175"/>
      <c r="CQ246" s="34"/>
      <c r="CR246" s="175"/>
      <c r="CS246" s="175"/>
      <c r="CT246" s="175"/>
      <c r="CU246" s="34"/>
      <c r="CV246" s="175"/>
      <c r="CW246" s="1472"/>
      <c r="CX246" s="175"/>
      <c r="CY246" s="34"/>
      <c r="CZ246" s="175"/>
      <c r="DA246" s="1472"/>
      <c r="DB246" s="175"/>
      <c r="DC246" s="175"/>
      <c r="DD246" s="175"/>
      <c r="DE246" s="175"/>
      <c r="DF246" s="175"/>
      <c r="DG246" s="25"/>
      <c r="DH246" s="25"/>
      <c r="DI246" s="25"/>
      <c r="DJ246" s="25"/>
    </row>
    <row r="247" spans="1:114" hidden="1" outlineLevel="1">
      <c r="A247" s="170" t="str">
        <f>$A$16</f>
        <v>9 Mos</v>
      </c>
      <c r="B247" s="170"/>
      <c r="C247" s="170"/>
      <c r="D247" s="217"/>
      <c r="E247" s="170"/>
      <c r="F247" s="170"/>
      <c r="G247" s="170"/>
      <c r="H247" s="217"/>
      <c r="I247" s="170"/>
      <c r="J247" s="170"/>
      <c r="K247" s="170"/>
      <c r="L247" s="217"/>
      <c r="M247" s="170"/>
      <c r="N247" s="170"/>
      <c r="O247" s="170"/>
      <c r="P247" s="217"/>
      <c r="Q247" s="170"/>
      <c r="R247" s="170"/>
      <c r="S247" s="170"/>
      <c r="T247" s="217"/>
      <c r="U247" s="170"/>
      <c r="V247" s="170"/>
      <c r="W247" s="170"/>
      <c r="X247" s="217"/>
      <c r="Y247" s="170"/>
      <c r="Z247" s="170"/>
      <c r="AA247" s="170"/>
      <c r="AB247" s="217"/>
      <c r="AC247" s="170"/>
      <c r="AD247" s="170"/>
      <c r="AE247" s="170"/>
      <c r="AF247" s="217"/>
      <c r="AG247" s="170"/>
      <c r="AH247" s="170"/>
      <c r="AI247" s="170"/>
      <c r="AJ247" s="217"/>
      <c r="AK247" s="170"/>
      <c r="AL247" s="170"/>
      <c r="AM247" s="170"/>
      <c r="AN247" s="217"/>
      <c r="AO247" s="170"/>
      <c r="AP247" s="170"/>
      <c r="AQ247" s="170"/>
      <c r="AR247" s="170"/>
      <c r="AS247" s="170"/>
      <c r="AT247" s="170"/>
      <c r="AU247" s="217"/>
      <c r="AV247" s="170"/>
      <c r="AW247" s="170"/>
      <c r="AX247" s="170"/>
      <c r="AY247" s="217"/>
      <c r="AZ247" s="170"/>
      <c r="BA247" s="170"/>
      <c r="BB247" s="170"/>
      <c r="BC247" s="217"/>
      <c r="BD247" s="170"/>
      <c r="BE247" s="170"/>
      <c r="BF247" s="170"/>
      <c r="BG247" s="217"/>
      <c r="BH247" s="170"/>
      <c r="BI247" s="170"/>
      <c r="BJ247" s="170"/>
      <c r="BK247" s="217"/>
      <c r="BL247" s="170"/>
      <c r="BM247" s="170"/>
      <c r="BN247" s="170"/>
      <c r="BO247" s="217"/>
      <c r="BP247" s="170"/>
      <c r="BQ247" s="170"/>
      <c r="BR247" s="25"/>
      <c r="BS247" s="34"/>
      <c r="BT247" s="25"/>
      <c r="BU247" s="25"/>
      <c r="BV247" s="25"/>
      <c r="BW247" s="34"/>
      <c r="BX247" s="25"/>
      <c r="BY247" s="25"/>
      <c r="BZ247" s="25"/>
      <c r="CA247" s="34"/>
      <c r="CB247" s="25"/>
      <c r="CC247" s="25"/>
      <c r="CD247" s="175"/>
      <c r="CE247" s="34"/>
      <c r="CF247" s="175"/>
      <c r="CG247" s="175"/>
      <c r="CH247" s="175"/>
      <c r="CI247" s="34"/>
      <c r="CJ247" s="175"/>
      <c r="CK247" s="175"/>
      <c r="CL247" s="175"/>
      <c r="CM247" s="34"/>
      <c r="CN247" s="175"/>
      <c r="CO247" s="175"/>
      <c r="CP247" s="175"/>
      <c r="CQ247" s="34"/>
      <c r="CR247" s="175"/>
      <c r="CS247" s="175"/>
      <c r="CT247" s="175"/>
      <c r="CU247" s="34"/>
      <c r="CV247" s="175"/>
      <c r="CW247" s="1472"/>
      <c r="CX247" s="175"/>
      <c r="CY247" s="34"/>
      <c r="CZ247" s="175"/>
      <c r="DA247" s="1472"/>
      <c r="DB247" s="175"/>
      <c r="DC247" s="175"/>
      <c r="DD247" s="175"/>
      <c r="DE247" s="175"/>
      <c r="DF247" s="175"/>
      <c r="DG247" s="25"/>
      <c r="DH247" s="25"/>
      <c r="DI247" s="25"/>
      <c r="DJ247" s="25"/>
    </row>
    <row r="248" spans="1:114" hidden="1" outlineLevel="1">
      <c r="A248" s="170"/>
      <c r="B248" s="170"/>
      <c r="C248" s="170"/>
      <c r="D248" s="217"/>
      <c r="E248" s="170"/>
      <c r="F248" s="170"/>
      <c r="G248" s="170"/>
      <c r="H248" s="217"/>
      <c r="I248" s="170"/>
      <c r="J248" s="170"/>
      <c r="K248" s="170"/>
      <c r="L248" s="217"/>
      <c r="M248" s="170"/>
      <c r="N248" s="170"/>
      <c r="O248" s="170"/>
      <c r="P248" s="217"/>
      <c r="Q248" s="170"/>
      <c r="R248" s="170"/>
      <c r="S248" s="170"/>
      <c r="T248" s="217"/>
      <c r="U248" s="170"/>
      <c r="V248" s="170"/>
      <c r="W248" s="170"/>
      <c r="X248" s="217"/>
      <c r="Y248" s="170"/>
      <c r="Z248" s="170"/>
      <c r="AA248" s="170"/>
      <c r="AB248" s="217"/>
      <c r="AC248" s="170"/>
      <c r="AD248" s="170"/>
      <c r="AE248" s="170"/>
      <c r="AF248" s="217"/>
      <c r="AG248" s="170"/>
      <c r="AH248" s="170"/>
      <c r="AI248" s="170"/>
      <c r="AJ248" s="217"/>
      <c r="AK248" s="170"/>
      <c r="AL248" s="170"/>
      <c r="AM248" s="170"/>
      <c r="AN248" s="217"/>
      <c r="AO248" s="170"/>
      <c r="AP248" s="170"/>
      <c r="AQ248" s="170"/>
      <c r="AR248" s="170"/>
      <c r="AS248" s="170"/>
      <c r="AT248" s="170"/>
      <c r="AU248" s="217"/>
      <c r="AV248" s="170"/>
      <c r="AW248" s="170"/>
      <c r="AX248" s="170"/>
      <c r="AY248" s="217"/>
      <c r="AZ248" s="170"/>
      <c r="BA248" s="170"/>
      <c r="BB248" s="170"/>
      <c r="BC248" s="217"/>
      <c r="BD248" s="170"/>
      <c r="BE248" s="170"/>
      <c r="BF248" s="170"/>
      <c r="BG248" s="217"/>
      <c r="BH248" s="170"/>
      <c r="BI248" s="170"/>
      <c r="BJ248" s="170"/>
      <c r="BK248" s="217"/>
      <c r="BL248" s="170"/>
      <c r="BM248" s="170"/>
      <c r="BN248" s="170"/>
      <c r="BO248" s="217"/>
      <c r="BP248" s="170"/>
      <c r="BQ248" s="170"/>
      <c r="BR248" s="25"/>
      <c r="BS248" s="34"/>
      <c r="BT248" s="25"/>
      <c r="BU248" s="25"/>
      <c r="BV248" s="25"/>
      <c r="BW248" s="34"/>
      <c r="BX248" s="25"/>
      <c r="BY248" s="25"/>
      <c r="BZ248" s="25"/>
      <c r="CA248" s="34"/>
      <c r="CB248" s="25"/>
      <c r="CC248" s="25"/>
      <c r="CD248" s="175"/>
      <c r="CE248" s="34"/>
      <c r="CF248" s="175"/>
      <c r="CG248" s="175"/>
      <c r="CH248" s="175"/>
      <c r="CI248" s="34"/>
      <c r="CJ248" s="175"/>
      <c r="CK248" s="175"/>
      <c r="CL248" s="175"/>
      <c r="CM248" s="34"/>
      <c r="CN248" s="175"/>
      <c r="CO248" s="175"/>
      <c r="CP248" s="175"/>
      <c r="CQ248" s="34"/>
      <c r="CR248" s="175"/>
      <c r="CS248" s="175"/>
      <c r="CT248" s="175"/>
      <c r="CU248" s="34"/>
      <c r="CV248" s="175"/>
      <c r="CW248" s="1472"/>
      <c r="CX248" s="175"/>
      <c r="CY248" s="34"/>
      <c r="CZ248" s="175"/>
      <c r="DA248" s="1472"/>
      <c r="DB248" s="175"/>
      <c r="DC248" s="175"/>
      <c r="DD248" s="175"/>
      <c r="DE248" s="175"/>
      <c r="DF248" s="175"/>
      <c r="DG248" s="25"/>
      <c r="DH248" s="25"/>
      <c r="DI248" s="25"/>
      <c r="DJ248" s="25"/>
    </row>
    <row r="249" spans="1:114" hidden="1" outlineLevel="1">
      <c r="A249" s="170"/>
      <c r="B249" s="170"/>
      <c r="C249" s="170"/>
      <c r="D249" s="217"/>
      <c r="E249" s="170"/>
      <c r="F249" s="170"/>
      <c r="G249" s="170"/>
      <c r="H249" s="217"/>
      <c r="I249" s="170"/>
      <c r="J249" s="170"/>
      <c r="K249" s="170"/>
      <c r="L249" s="217"/>
      <c r="M249" s="170"/>
      <c r="N249" s="170"/>
      <c r="O249" s="170"/>
      <c r="P249" s="217"/>
      <c r="Q249" s="170"/>
      <c r="R249" s="170"/>
      <c r="S249" s="170"/>
      <c r="T249" s="217"/>
      <c r="U249" s="170"/>
      <c r="V249" s="170"/>
      <c r="W249" s="170"/>
      <c r="X249" s="217"/>
      <c r="Y249" s="170"/>
      <c r="Z249" s="170"/>
      <c r="AA249" s="170"/>
      <c r="AB249" s="217"/>
      <c r="AC249" s="170"/>
      <c r="AD249" s="170"/>
      <c r="AE249" s="170"/>
      <c r="AF249" s="217"/>
      <c r="AG249" s="170"/>
      <c r="AH249" s="170"/>
      <c r="AI249" s="170"/>
      <c r="AJ249" s="217"/>
      <c r="AK249" s="170"/>
      <c r="AL249" s="170"/>
      <c r="AM249" s="170"/>
      <c r="AN249" s="217"/>
      <c r="AO249" s="170"/>
      <c r="AP249" s="170"/>
      <c r="AQ249" s="170"/>
      <c r="AR249" s="170"/>
      <c r="AS249" s="170"/>
      <c r="AT249" s="170"/>
      <c r="AU249" s="217"/>
      <c r="AV249" s="170"/>
      <c r="AW249" s="170"/>
      <c r="AX249" s="170"/>
      <c r="AY249" s="217"/>
      <c r="AZ249" s="170"/>
      <c r="BA249" s="170"/>
      <c r="BB249" s="170"/>
      <c r="BC249" s="217"/>
      <c r="BD249" s="170"/>
      <c r="BE249" s="170"/>
      <c r="BF249" s="170"/>
      <c r="BG249" s="217"/>
      <c r="BH249" s="170"/>
      <c r="BI249" s="170"/>
      <c r="BJ249" s="170"/>
      <c r="BK249" s="217"/>
      <c r="BL249" s="170"/>
      <c r="BM249" s="170"/>
      <c r="BN249" s="170"/>
      <c r="BO249" s="217"/>
      <c r="BP249" s="170"/>
      <c r="BQ249" s="170"/>
      <c r="BR249" s="25"/>
      <c r="BS249" s="34"/>
      <c r="BT249" s="25"/>
      <c r="BU249" s="25"/>
      <c r="BV249" s="25"/>
      <c r="BW249" s="34"/>
      <c r="BX249" s="25"/>
      <c r="BY249" s="25"/>
      <c r="BZ249" s="25"/>
      <c r="CA249" s="34"/>
      <c r="CB249" s="25"/>
      <c r="CC249" s="25"/>
      <c r="CD249" s="175"/>
      <c r="CE249" s="34"/>
      <c r="CF249" s="175"/>
      <c r="CG249" s="175"/>
      <c r="CH249" s="175"/>
      <c r="CI249" s="34"/>
      <c r="CJ249" s="175"/>
      <c r="CK249" s="175"/>
      <c r="CL249" s="175"/>
      <c r="CM249" s="34"/>
      <c r="CN249" s="175"/>
      <c r="CO249" s="175"/>
      <c r="CP249" s="175"/>
      <c r="CQ249" s="34"/>
      <c r="CR249" s="175"/>
      <c r="CS249" s="175"/>
      <c r="CT249" s="175"/>
      <c r="CU249" s="34"/>
      <c r="CV249" s="175"/>
      <c r="CW249" s="1472"/>
      <c r="CX249" s="175"/>
      <c r="CY249" s="34"/>
      <c r="CZ249" s="175"/>
      <c r="DA249" s="1472"/>
      <c r="DB249" s="175"/>
      <c r="DC249" s="175"/>
      <c r="DD249" s="175"/>
      <c r="DE249" s="175"/>
      <c r="DF249" s="175"/>
      <c r="DG249" s="25"/>
      <c r="DH249" s="25"/>
      <c r="DI249" s="25"/>
      <c r="DJ249" s="25"/>
    </row>
    <row r="250" spans="1:114" hidden="1" outlineLevel="1">
      <c r="A250" s="170"/>
      <c r="B250" s="170"/>
      <c r="C250" s="170"/>
      <c r="D250" s="217"/>
      <c r="E250" s="170"/>
      <c r="F250" s="170"/>
      <c r="G250" s="170"/>
      <c r="H250" s="217"/>
      <c r="I250" s="170"/>
      <c r="J250" s="170"/>
      <c r="K250" s="170"/>
      <c r="L250" s="217"/>
      <c r="M250" s="170"/>
      <c r="N250" s="170"/>
      <c r="O250" s="170"/>
      <c r="P250" s="217"/>
      <c r="Q250" s="170"/>
      <c r="R250" s="170"/>
      <c r="S250" s="170"/>
      <c r="T250" s="217"/>
      <c r="U250" s="170"/>
      <c r="V250" s="170"/>
      <c r="W250" s="170"/>
      <c r="X250" s="217"/>
      <c r="Y250" s="170"/>
      <c r="Z250" s="170"/>
      <c r="AA250" s="170"/>
      <c r="AB250" s="217"/>
      <c r="AC250" s="170"/>
      <c r="AD250" s="170"/>
      <c r="AE250" s="170"/>
      <c r="AF250" s="217"/>
      <c r="AG250" s="170"/>
      <c r="AH250" s="170"/>
      <c r="AI250" s="170"/>
      <c r="AJ250" s="217"/>
      <c r="AK250" s="170"/>
      <c r="AL250" s="170"/>
      <c r="AM250" s="170"/>
      <c r="AN250" s="217"/>
      <c r="AO250" s="170"/>
      <c r="AP250" s="170"/>
      <c r="AQ250" s="170"/>
      <c r="AR250" s="170"/>
      <c r="AS250" s="170"/>
      <c r="AT250" s="170"/>
      <c r="AU250" s="217"/>
      <c r="AV250" s="170"/>
      <c r="AW250" s="170"/>
      <c r="AX250" s="170"/>
      <c r="AY250" s="217"/>
      <c r="AZ250" s="170"/>
      <c r="BA250" s="170"/>
      <c r="BB250" s="170"/>
      <c r="BC250" s="217"/>
      <c r="BD250" s="170"/>
      <c r="BE250" s="170"/>
      <c r="BF250" s="170"/>
      <c r="BG250" s="217"/>
      <c r="BH250" s="170"/>
      <c r="BI250" s="170"/>
      <c r="BJ250" s="170"/>
      <c r="BK250" s="217"/>
      <c r="BL250" s="170"/>
      <c r="BM250" s="170"/>
      <c r="BN250" s="170"/>
      <c r="BO250" s="217"/>
      <c r="BP250" s="170"/>
      <c r="BQ250" s="170"/>
      <c r="BR250" s="25"/>
      <c r="BS250" s="34"/>
      <c r="BT250" s="25"/>
      <c r="BU250" s="25"/>
      <c r="BV250" s="25"/>
      <c r="BW250" s="34"/>
      <c r="BX250" s="25"/>
      <c r="BY250" s="25"/>
      <c r="BZ250" s="25"/>
      <c r="CA250" s="34"/>
      <c r="CB250" s="25"/>
      <c r="CC250" s="25"/>
      <c r="CD250" s="175"/>
      <c r="CE250" s="34"/>
      <c r="CF250" s="175"/>
      <c r="CG250" s="175"/>
      <c r="CH250" s="175"/>
      <c r="CI250" s="34"/>
      <c r="CJ250" s="175"/>
      <c r="CK250" s="175"/>
      <c r="CL250" s="175"/>
      <c r="CM250" s="34"/>
      <c r="CN250" s="175"/>
      <c r="CO250" s="175"/>
      <c r="CP250" s="175"/>
      <c r="CQ250" s="34"/>
      <c r="CR250" s="175"/>
      <c r="CS250" s="175"/>
      <c r="CT250" s="175"/>
      <c r="CU250" s="34"/>
      <c r="CV250" s="175"/>
      <c r="CW250" s="1472"/>
      <c r="CX250" s="175"/>
      <c r="CY250" s="34"/>
      <c r="CZ250" s="175"/>
      <c r="DA250" s="1472"/>
      <c r="DB250" s="175"/>
      <c r="DC250" s="175"/>
      <c r="DD250" s="175"/>
      <c r="DE250" s="175"/>
      <c r="DF250" s="175"/>
      <c r="DG250" s="25"/>
      <c r="DH250" s="25"/>
      <c r="DI250" s="25"/>
      <c r="DJ250" s="25"/>
    </row>
    <row r="251" spans="1:114" hidden="1" outlineLevel="1">
      <c r="A251" s="170"/>
      <c r="B251" s="170"/>
      <c r="C251" s="170"/>
      <c r="D251" s="217"/>
      <c r="E251" s="170"/>
      <c r="F251" s="170"/>
      <c r="G251" s="170"/>
      <c r="H251" s="217"/>
      <c r="I251" s="170"/>
      <c r="J251" s="170"/>
      <c r="K251" s="170"/>
      <c r="L251" s="217"/>
      <c r="M251" s="170"/>
      <c r="N251" s="170"/>
      <c r="O251" s="170"/>
      <c r="P251" s="217"/>
      <c r="Q251" s="170"/>
      <c r="R251" s="170"/>
      <c r="S251" s="170"/>
      <c r="T251" s="217"/>
      <c r="U251" s="170"/>
      <c r="V251" s="170"/>
      <c r="W251" s="170"/>
      <c r="X251" s="217"/>
      <c r="Y251" s="170"/>
      <c r="Z251" s="170"/>
      <c r="AA251" s="170"/>
      <c r="AB251" s="217"/>
      <c r="AC251" s="170"/>
      <c r="AD251" s="170"/>
      <c r="AE251" s="170"/>
      <c r="AF251" s="217"/>
      <c r="AG251" s="170"/>
      <c r="AH251" s="170"/>
      <c r="AI251" s="170"/>
      <c r="AJ251" s="217"/>
      <c r="AK251" s="170"/>
      <c r="AL251" s="170"/>
      <c r="AM251" s="170"/>
      <c r="AN251" s="217"/>
      <c r="AO251" s="170"/>
      <c r="AP251" s="170"/>
      <c r="AQ251" s="170"/>
      <c r="AR251" s="170"/>
      <c r="AS251" s="170"/>
      <c r="AT251" s="170"/>
      <c r="AU251" s="217"/>
      <c r="AV251" s="170"/>
      <c r="AW251" s="170"/>
      <c r="AX251" s="170"/>
      <c r="AY251" s="217"/>
      <c r="AZ251" s="170"/>
      <c r="BA251" s="170"/>
      <c r="BB251" s="170"/>
      <c r="BC251" s="217"/>
      <c r="BD251" s="170"/>
      <c r="BE251" s="170"/>
      <c r="BF251" s="170"/>
      <c r="BG251" s="217"/>
      <c r="BH251" s="170"/>
      <c r="BI251" s="170"/>
      <c r="BJ251" s="170"/>
      <c r="BK251" s="217"/>
      <c r="BL251" s="170"/>
      <c r="BM251" s="170"/>
      <c r="BN251" s="170"/>
      <c r="BO251" s="217"/>
      <c r="BP251" s="170"/>
      <c r="BQ251" s="170"/>
      <c r="BR251" s="25"/>
      <c r="BS251" s="34"/>
      <c r="BT251" s="25"/>
      <c r="BU251" s="25"/>
      <c r="BV251" s="25"/>
      <c r="BW251" s="34"/>
      <c r="BX251" s="25"/>
      <c r="BY251" s="25"/>
      <c r="BZ251" s="25"/>
      <c r="CA251" s="34"/>
      <c r="CB251" s="25"/>
      <c r="CC251" s="25"/>
      <c r="CD251" s="175"/>
      <c r="CE251" s="34"/>
      <c r="CF251" s="175"/>
      <c r="CG251" s="175"/>
      <c r="CH251" s="175"/>
      <c r="CI251" s="34"/>
      <c r="CJ251" s="175"/>
      <c r="CK251" s="175"/>
      <c r="CL251" s="175"/>
      <c r="CM251" s="34"/>
      <c r="CN251" s="175"/>
      <c r="CO251" s="175"/>
      <c r="CP251" s="175"/>
      <c r="CQ251" s="34"/>
      <c r="CR251" s="175"/>
      <c r="CS251" s="175"/>
      <c r="CT251" s="175"/>
      <c r="CU251" s="34"/>
      <c r="CV251" s="175"/>
      <c r="CW251" s="1472"/>
      <c r="CX251" s="175"/>
      <c r="CY251" s="34"/>
      <c r="CZ251" s="175"/>
      <c r="DA251" s="1472"/>
      <c r="DB251" s="175"/>
      <c r="DC251" s="175"/>
      <c r="DD251" s="175"/>
      <c r="DE251" s="175"/>
      <c r="DF251" s="175"/>
      <c r="DG251" s="25"/>
      <c r="DH251" s="25"/>
      <c r="DI251" s="25"/>
      <c r="DJ251" s="25"/>
    </row>
    <row r="252" spans="1:114" collapsed="1">
      <c r="A252" s="170"/>
      <c r="B252" s="170"/>
      <c r="C252" s="170"/>
      <c r="D252" s="170"/>
      <c r="E252" s="170"/>
      <c r="F252" s="170"/>
      <c r="G252" s="170"/>
      <c r="H252" s="170"/>
      <c r="I252" s="170"/>
      <c r="J252" s="170"/>
      <c r="K252" s="170"/>
      <c r="L252" s="170"/>
      <c r="M252" s="170"/>
      <c r="N252" s="170"/>
      <c r="O252" s="170"/>
      <c r="P252" s="170"/>
      <c r="Q252" s="170"/>
      <c r="R252" s="170"/>
      <c r="S252" s="170"/>
      <c r="T252" s="170"/>
      <c r="U252" s="170"/>
      <c r="V252" s="170"/>
      <c r="W252" s="170"/>
      <c r="X252" s="170"/>
      <c r="Y252" s="170"/>
      <c r="Z252" s="170"/>
      <c r="AA252" s="170"/>
      <c r="AB252" s="170"/>
      <c r="AC252" s="170"/>
      <c r="AD252" s="170"/>
      <c r="AE252" s="170"/>
      <c r="AF252" s="170"/>
      <c r="AG252" s="170"/>
      <c r="AH252" s="170"/>
      <c r="AI252" s="170"/>
      <c r="AJ252" s="170"/>
      <c r="AK252" s="170"/>
      <c r="AL252" s="170"/>
      <c r="AM252" s="170"/>
      <c r="AN252" s="170"/>
      <c r="AO252" s="170"/>
      <c r="AP252" s="170"/>
      <c r="AQ252" s="170"/>
      <c r="AR252" s="170"/>
      <c r="AS252" s="170"/>
      <c r="AT252" s="170"/>
      <c r="AU252" s="170"/>
      <c r="AV252" s="170"/>
      <c r="AW252" s="170"/>
      <c r="AX252" s="170"/>
      <c r="AY252" s="170"/>
      <c r="AZ252" s="170"/>
      <c r="BA252" s="170"/>
      <c r="BB252" s="170"/>
      <c r="BC252" s="343"/>
      <c r="BD252" s="170"/>
      <c r="BE252" s="170"/>
      <c r="BF252" s="170"/>
      <c r="BG252" s="343"/>
      <c r="BH252" s="170"/>
      <c r="BI252" s="170"/>
      <c r="BJ252" s="170"/>
      <c r="BK252" s="343"/>
      <c r="BL252" s="170"/>
      <c r="BM252" s="170"/>
      <c r="BN252" s="170"/>
      <c r="BO252" s="343"/>
      <c r="BP252" s="170"/>
      <c r="BQ252" s="170"/>
      <c r="BR252" s="25"/>
      <c r="BS252" s="340"/>
      <c r="BT252" s="25"/>
      <c r="BU252" s="25"/>
      <c r="BV252" s="25"/>
      <c r="BW252" s="340"/>
      <c r="BX252" s="25"/>
      <c r="BY252" s="25"/>
      <c r="BZ252" s="25"/>
      <c r="CA252" s="340"/>
      <c r="CB252" s="25"/>
      <c r="CC252" s="25"/>
      <c r="CD252" s="174"/>
      <c r="CE252" s="174"/>
      <c r="CF252" s="174"/>
      <c r="CG252" s="174"/>
      <c r="CH252" s="174"/>
      <c r="CI252" s="337"/>
      <c r="CJ252" s="174"/>
      <c r="CK252" s="174"/>
      <c r="CL252" s="174"/>
      <c r="CM252" s="174"/>
      <c r="CN252" s="174"/>
      <c r="CO252" s="174"/>
      <c r="CP252" s="174"/>
      <c r="CQ252" s="174"/>
      <c r="CR252" s="174"/>
      <c r="CS252" s="174"/>
      <c r="CT252" s="174"/>
      <c r="CU252" s="174"/>
      <c r="CV252" s="174"/>
      <c r="CW252" s="1463"/>
      <c r="CX252" s="174"/>
      <c r="CY252" s="174"/>
      <c r="CZ252" s="174"/>
      <c r="DA252" s="1463"/>
      <c r="DB252" s="174"/>
      <c r="DC252" s="174"/>
      <c r="DD252" s="174"/>
      <c r="DE252" s="174"/>
      <c r="DF252" s="175"/>
      <c r="DG252" s="25"/>
      <c r="DH252" s="25"/>
      <c r="DI252" s="25"/>
      <c r="DJ252" s="25"/>
    </row>
    <row r="253" spans="1:114">
      <c r="A253" s="170"/>
      <c r="B253" s="170"/>
      <c r="C253" s="184"/>
      <c r="D253" s="185"/>
      <c r="E253" s="170"/>
      <c r="F253" s="170"/>
      <c r="G253" s="170"/>
      <c r="H253" s="186"/>
      <c r="I253" s="187"/>
      <c r="J253" s="187"/>
      <c r="K253" s="187"/>
      <c r="L253" s="186"/>
      <c r="M253" s="187"/>
      <c r="N253" s="187"/>
      <c r="O253" s="187"/>
      <c r="P253" s="186"/>
      <c r="Q253" s="187"/>
      <c r="R253" s="187"/>
      <c r="S253" s="187"/>
      <c r="T253" s="186"/>
      <c r="U253" s="187"/>
      <c r="V253" s="187"/>
      <c r="W253" s="187"/>
      <c r="X253" s="170"/>
      <c r="Y253" s="187"/>
      <c r="Z253" s="187"/>
      <c r="AA253" s="187"/>
      <c r="AB253" s="170"/>
      <c r="AC253" s="187"/>
      <c r="AD253" s="187"/>
      <c r="AE253" s="187"/>
      <c r="AF253" s="186"/>
      <c r="AG253" s="187"/>
      <c r="AH253" s="187"/>
      <c r="AI253" s="187"/>
      <c r="AJ253" s="186"/>
      <c r="AK253" s="187"/>
      <c r="AL253" s="187"/>
      <c r="AM253" s="187"/>
      <c r="AN253" s="186"/>
      <c r="AO253" s="187"/>
      <c r="AP253" s="187"/>
      <c r="AQ253" s="170"/>
      <c r="AR253" s="170"/>
      <c r="AS253" s="170"/>
      <c r="AT253" s="187"/>
      <c r="AU253" s="186" t="s">
        <v>191</v>
      </c>
      <c r="AV253" s="187"/>
      <c r="AW253" s="187"/>
      <c r="AX253" s="187"/>
      <c r="AY253" s="186" t="s">
        <v>191</v>
      </c>
      <c r="AZ253" s="187"/>
      <c r="BA253" s="187"/>
      <c r="BB253" s="187"/>
      <c r="BC253" s="186"/>
      <c r="BD253" s="187"/>
      <c r="BE253" s="187"/>
      <c r="BF253" s="187"/>
      <c r="BG253" s="186"/>
      <c r="BH253" s="187"/>
      <c r="BI253" s="187"/>
      <c r="BJ253" s="187"/>
      <c r="BK253" s="186"/>
      <c r="BL253" s="187"/>
      <c r="BM253" s="187"/>
      <c r="BN253" s="187"/>
      <c r="BO253" s="186"/>
      <c r="BP253" s="187"/>
      <c r="BQ253" s="187"/>
      <c r="BR253" s="188"/>
      <c r="BS253" s="189" t="str">
        <f>AY253</f>
        <v>12.  Average Basic Shares Outstanding</v>
      </c>
      <c r="BT253" s="188"/>
      <c r="BU253" s="188"/>
      <c r="BV253" s="188"/>
      <c r="BW253" s="189"/>
      <c r="BX253" s="188"/>
      <c r="BY253" s="188"/>
      <c r="BZ253" s="188"/>
      <c r="CA253" s="189"/>
      <c r="CB253" s="188"/>
      <c r="CC253" s="188"/>
      <c r="CD253" s="174"/>
      <c r="CE253" s="174"/>
      <c r="CF253" s="174"/>
      <c r="CG253" s="174"/>
      <c r="CH253" s="174"/>
      <c r="CI253" s="1004"/>
      <c r="CJ253" s="1004"/>
      <c r="CK253" s="1004"/>
      <c r="CL253" s="1004"/>
      <c r="CM253" s="1004" t="s">
        <v>191</v>
      </c>
      <c r="CN253" s="1004"/>
      <c r="CO253" s="1004"/>
      <c r="CP253" s="1004"/>
      <c r="CQ253" s="174"/>
      <c r="CR253" s="1004"/>
      <c r="CS253" s="189"/>
      <c r="CT253" s="1004"/>
      <c r="CU253" s="174"/>
      <c r="CV253" s="1004"/>
      <c r="CW253" s="1473"/>
      <c r="CX253" s="1004"/>
      <c r="CY253" s="174"/>
      <c r="CZ253" s="1004"/>
      <c r="DA253" s="1473"/>
      <c r="DB253" s="174"/>
      <c r="DC253" s="174"/>
      <c r="DD253" s="174"/>
      <c r="DE253" s="174"/>
      <c r="DF253" s="175"/>
      <c r="DG253" s="25"/>
      <c r="DH253" s="25"/>
      <c r="DI253" s="25"/>
      <c r="DJ253" s="25"/>
    </row>
    <row r="254" spans="1:114">
      <c r="A254" s="170"/>
      <c r="B254" s="170"/>
      <c r="C254" s="170"/>
      <c r="D254" s="170"/>
      <c r="E254" s="170"/>
      <c r="F254" s="170"/>
      <c r="G254" s="170"/>
      <c r="H254" s="170"/>
      <c r="I254" s="170"/>
      <c r="J254" s="170"/>
      <c r="K254" s="170"/>
      <c r="L254" s="170"/>
      <c r="M254" s="170"/>
      <c r="N254" s="170"/>
      <c r="O254" s="170"/>
      <c r="P254" s="170"/>
      <c r="Q254" s="170"/>
      <c r="R254" s="170"/>
      <c r="S254" s="170"/>
      <c r="T254" s="170"/>
      <c r="U254" s="170"/>
      <c r="V254" s="170"/>
      <c r="W254" s="170"/>
      <c r="X254" s="170"/>
      <c r="Y254" s="170"/>
      <c r="Z254" s="170"/>
      <c r="AA254" s="170"/>
      <c r="AB254" s="170"/>
      <c r="AC254" s="170"/>
      <c r="AD254" s="170"/>
      <c r="AE254" s="170"/>
      <c r="AF254" s="170"/>
      <c r="AG254" s="170"/>
      <c r="AH254" s="170"/>
      <c r="AI254" s="170"/>
      <c r="AJ254" s="170"/>
      <c r="AK254" s="170"/>
      <c r="AL254" s="170"/>
      <c r="AM254" s="170"/>
      <c r="AN254" s="170"/>
      <c r="AO254" s="170"/>
      <c r="AP254" s="170"/>
      <c r="AQ254" s="170"/>
      <c r="AR254" s="170"/>
      <c r="AS254" s="170"/>
      <c r="AT254" s="170"/>
      <c r="AU254" s="170"/>
      <c r="AV254" s="170"/>
      <c r="AW254" s="170"/>
      <c r="AX254" s="170"/>
      <c r="AY254" s="170"/>
      <c r="AZ254" s="170"/>
      <c r="BA254" s="170"/>
      <c r="BB254" s="170"/>
      <c r="BC254" s="343"/>
      <c r="BD254" s="170"/>
      <c r="BE254" s="170"/>
      <c r="BF254" s="170"/>
      <c r="BG254" s="343"/>
      <c r="BH254" s="170"/>
      <c r="BI254" s="170"/>
      <c r="BJ254" s="170"/>
      <c r="BK254" s="343"/>
      <c r="BL254" s="170"/>
      <c r="BM254" s="170"/>
      <c r="BN254" s="170"/>
      <c r="BO254" s="343"/>
      <c r="BP254" s="170"/>
      <c r="BQ254" s="170"/>
      <c r="BR254" s="25"/>
      <c r="BS254" s="340"/>
      <c r="BT254" s="25"/>
      <c r="BU254" s="25"/>
      <c r="BV254" s="25"/>
      <c r="BW254" s="340"/>
      <c r="BX254" s="25"/>
      <c r="BY254" s="25"/>
      <c r="BZ254" s="25"/>
      <c r="CA254" s="340"/>
      <c r="CB254" s="25"/>
      <c r="CC254" s="25"/>
      <c r="CD254" s="355"/>
      <c r="CE254" s="355"/>
      <c r="CF254" s="355"/>
      <c r="CG254" s="355"/>
      <c r="CH254" s="355"/>
      <c r="CI254" s="355"/>
      <c r="CJ254" s="355"/>
      <c r="CK254" s="355"/>
      <c r="CL254" s="355"/>
      <c r="CM254" s="355"/>
      <c r="CN254" s="355"/>
      <c r="CO254" s="355"/>
      <c r="CP254" s="355"/>
      <c r="CQ254" s="355"/>
      <c r="CR254" s="355"/>
      <c r="CS254" s="355"/>
      <c r="CT254" s="355"/>
      <c r="CU254" s="355"/>
      <c r="CV254" s="355"/>
      <c r="CW254" s="1474"/>
      <c r="CX254" s="355"/>
      <c r="CY254" s="355"/>
      <c r="CZ254" s="355"/>
      <c r="DA254" s="1474"/>
      <c r="DB254" s="355"/>
      <c r="DC254" s="355"/>
      <c r="DD254" s="355"/>
      <c r="DE254" s="355"/>
      <c r="DF254" s="356"/>
      <c r="DG254" s="25"/>
      <c r="DH254" s="25"/>
      <c r="DI254" s="25"/>
      <c r="DJ254" s="25"/>
    </row>
    <row r="255" spans="1:114">
      <c r="A255" s="170" t="str">
        <f>$A$10</f>
        <v>1Q</v>
      </c>
      <c r="B255" s="170" t="str">
        <f>$B$10</f>
        <v>Apr</v>
      </c>
      <c r="C255" s="170"/>
      <c r="D255" s="204"/>
      <c r="E255" s="196"/>
      <c r="F255" s="196"/>
      <c r="G255" s="170"/>
      <c r="H255" s="204"/>
      <c r="I255" s="196"/>
      <c r="J255" s="196"/>
      <c r="K255" s="170"/>
      <c r="L255" s="204"/>
      <c r="M255" s="196"/>
      <c r="N255" s="196"/>
      <c r="O255" s="170"/>
      <c r="P255" s="204"/>
      <c r="Q255" s="196"/>
      <c r="R255" s="196"/>
      <c r="S255" s="170"/>
      <c r="T255" s="204"/>
      <c r="U255" s="196"/>
      <c r="V255" s="196"/>
      <c r="W255" s="196"/>
      <c r="X255" s="204"/>
      <c r="Y255" s="170"/>
      <c r="Z255" s="170"/>
      <c r="AA255" s="170"/>
      <c r="AB255" s="204">
        <f>69.072*2</f>
        <v>138.14400000000001</v>
      </c>
      <c r="AC255" s="170"/>
      <c r="AD255" s="170"/>
      <c r="AE255" s="170"/>
      <c r="AF255" s="204">
        <f>69.012*2</f>
        <v>138.024</v>
      </c>
      <c r="AG255" s="170"/>
      <c r="AH255" s="170"/>
      <c r="AI255" s="170"/>
      <c r="AJ255" s="204">
        <f>70.28*2</f>
        <v>140.56</v>
      </c>
      <c r="AK255" s="170"/>
      <c r="AL255" s="170"/>
      <c r="AM255" s="170"/>
      <c r="AN255" s="204">
        <f>77.64*2</f>
        <v>155.28</v>
      </c>
      <c r="AO255" s="170"/>
      <c r="AP255" s="170"/>
      <c r="AQ255" s="331"/>
      <c r="AR255" s="170"/>
      <c r="AS255" s="170"/>
      <c r="AT255" s="170"/>
      <c r="AU255" s="204">
        <f>80.296*2</f>
        <v>160.59200000000001</v>
      </c>
      <c r="AV255" s="170"/>
      <c r="AW255" s="170"/>
      <c r="AX255" s="170"/>
      <c r="AY255" s="338">
        <f>AY120/AU120*AU255</f>
        <v>163.16950080091559</v>
      </c>
      <c r="AZ255" s="170"/>
      <c r="BA255" s="170"/>
      <c r="BB255" s="170"/>
      <c r="BC255" s="357">
        <v>164.57615699999999</v>
      </c>
      <c r="BD255" s="170"/>
      <c r="BE255" s="170"/>
      <c r="BF255" s="170"/>
      <c r="BG255" s="357">
        <v>164.82605799999999</v>
      </c>
      <c r="BH255" s="170"/>
      <c r="BI255" s="170"/>
      <c r="BJ255" s="170"/>
      <c r="BK255" s="357">
        <v>166.11909900000001</v>
      </c>
      <c r="BL255" s="170"/>
      <c r="BM255" s="170"/>
      <c r="BN255" s="170"/>
      <c r="BO255" s="357">
        <v>167.455872</v>
      </c>
      <c r="BP255" s="338">
        <f>+BO110-BO255</f>
        <v>2.8608360000000062</v>
      </c>
      <c r="BQ255" s="170"/>
      <c r="BR255" s="25"/>
      <c r="BS255" s="358">
        <v>168.85207199999999</v>
      </c>
      <c r="BT255" s="389">
        <f>+BS110-BS255</f>
        <v>3.9669650000000161</v>
      </c>
      <c r="BU255" s="25"/>
      <c r="BV255" s="25"/>
      <c r="BW255" s="358">
        <v>162.40733</v>
      </c>
      <c r="BX255" s="389">
        <f>+BW110-BW255</f>
        <v>2.8862640000000113</v>
      </c>
      <c r="BY255" s="25"/>
      <c r="BZ255" s="25"/>
      <c r="CA255" s="28">
        <v>144.70919900000001</v>
      </c>
      <c r="CB255" s="389">
        <f>+CA110-CA255</f>
        <v>0.85946799999999257</v>
      </c>
      <c r="CC255" s="25"/>
      <c r="CD255" s="355"/>
      <c r="CE255" s="358">
        <v>146.289751</v>
      </c>
      <c r="CF255" s="389">
        <f>+CE110-CE255</f>
        <v>2.5093050000000119</v>
      </c>
      <c r="CG255" s="355"/>
      <c r="CH255" s="355"/>
      <c r="CI255" s="358">
        <v>144.07566600000001</v>
      </c>
      <c r="CJ255" s="389">
        <f>+CI110-CI255</f>
        <v>1.8308779999999842</v>
      </c>
      <c r="CK255" s="355"/>
      <c r="CL255" s="355"/>
      <c r="CM255" s="358">
        <v>131.20274000000001</v>
      </c>
      <c r="CN255" s="389">
        <f>+CM110-CM255</f>
        <v>1.6334039999999845</v>
      </c>
      <c r="CO255" s="355"/>
      <c r="CP255" s="355"/>
      <c r="CQ255" s="358">
        <v>117.30473600000001</v>
      </c>
      <c r="CR255" s="389">
        <f>+CQ110-CQ255</f>
        <v>0.28227299999998934</v>
      </c>
      <c r="CS255" s="355"/>
      <c r="CT255" s="355"/>
      <c r="CU255" s="340">
        <f>CQ258-(CQ113-CU110)</f>
        <v>115.962965</v>
      </c>
      <c r="CV255" s="389">
        <f>+CU110-CU255</f>
        <v>0.57634000000000185</v>
      </c>
      <c r="CW255" s="1474"/>
      <c r="CX255" s="355"/>
      <c r="CY255" s="340">
        <f>CU258-(CU113-CY110)</f>
        <v>108.63825199999999</v>
      </c>
      <c r="CZ255" s="389">
        <f>+CY110-CY255</f>
        <v>0.57634000000000185</v>
      </c>
      <c r="DA255" s="1474"/>
      <c r="DB255" s="355"/>
      <c r="DC255" s="355"/>
      <c r="DD255" s="355"/>
      <c r="DE255" s="355"/>
      <c r="DF255" s="359"/>
      <c r="DG255" s="25"/>
      <c r="DH255" s="25"/>
      <c r="DI255" s="25"/>
      <c r="DJ255" s="25"/>
    </row>
    <row r="256" spans="1:114">
      <c r="A256" s="170" t="str">
        <f>$A$11</f>
        <v>2Q</v>
      </c>
      <c r="B256" s="170" t="str">
        <f>$B$11</f>
        <v>Jul</v>
      </c>
      <c r="C256" s="170"/>
      <c r="D256" s="204"/>
      <c r="E256" s="196"/>
      <c r="F256" s="196"/>
      <c r="G256" s="170"/>
      <c r="H256" s="204"/>
      <c r="I256" s="196"/>
      <c r="J256" s="196"/>
      <c r="K256" s="170"/>
      <c r="L256" s="204"/>
      <c r="M256" s="196"/>
      <c r="N256" s="196"/>
      <c r="O256" s="170"/>
      <c r="P256" s="204"/>
      <c r="Q256" s="196"/>
      <c r="R256" s="196"/>
      <c r="S256" s="170"/>
      <c r="T256" s="204"/>
      <c r="U256" s="196"/>
      <c r="V256" s="196"/>
      <c r="W256" s="196"/>
      <c r="X256" s="204"/>
      <c r="Y256" s="170"/>
      <c r="Z256" s="170"/>
      <c r="AA256" s="170"/>
      <c r="AB256" s="204">
        <f>69.012*2</f>
        <v>138.024</v>
      </c>
      <c r="AC256" s="170"/>
      <c r="AD256" s="170"/>
      <c r="AE256" s="170"/>
      <c r="AF256" s="204">
        <f>69.044*2</f>
        <v>138.08799999999999</v>
      </c>
      <c r="AG256" s="170"/>
      <c r="AH256" s="170"/>
      <c r="AI256" s="170"/>
      <c r="AJ256" s="204">
        <f>76.636*2</f>
        <v>153.27199999999999</v>
      </c>
      <c r="AK256" s="170"/>
      <c r="AL256" s="170"/>
      <c r="AM256" s="170"/>
      <c r="AN256" s="204">
        <f>78.196*2</f>
        <v>156.392</v>
      </c>
      <c r="AO256" s="170"/>
      <c r="AP256" s="170"/>
      <c r="AQ256" s="170"/>
      <c r="AR256" s="170"/>
      <c r="AS256" s="170"/>
      <c r="AT256" s="170"/>
      <c r="AU256" s="204">
        <f>80.554025*2</f>
        <v>161.10804999999999</v>
      </c>
      <c r="AV256" s="170"/>
      <c r="AW256" s="170"/>
      <c r="AX256" s="170"/>
      <c r="AY256" s="338">
        <f>AY121/AU121*AU256</f>
        <v>162.92087583917581</v>
      </c>
      <c r="AZ256" s="170"/>
      <c r="BA256" s="170"/>
      <c r="BB256" s="170"/>
      <c r="BC256" s="357">
        <v>164.99432899999999</v>
      </c>
      <c r="BD256" s="170"/>
      <c r="BE256" s="170"/>
      <c r="BF256" s="170"/>
      <c r="BG256" s="357">
        <v>165.31565599999999</v>
      </c>
      <c r="BH256" s="170"/>
      <c r="BI256" s="170"/>
      <c r="BJ256" s="170"/>
      <c r="BK256" s="357">
        <v>166.69896299999999</v>
      </c>
      <c r="BL256" s="170"/>
      <c r="BM256" s="170"/>
      <c r="BN256" s="170"/>
      <c r="BO256" s="357">
        <v>167.919873</v>
      </c>
      <c r="BP256" s="338">
        <f>+BO111-BO256</f>
        <v>2.7994010000000173</v>
      </c>
      <c r="BQ256" s="170"/>
      <c r="BR256" s="25"/>
      <c r="BS256" s="358">
        <v>168.90859800000001</v>
      </c>
      <c r="BT256" s="389">
        <f>+BS111-BS256</f>
        <v>3.4173979999999915</v>
      </c>
      <c r="BU256" s="25"/>
      <c r="BV256" s="25"/>
      <c r="BW256" s="358">
        <v>158.58161799999999</v>
      </c>
      <c r="BX256" s="389">
        <f>+BW111-BW256</f>
        <v>2.1621250000000032</v>
      </c>
      <c r="BY256" s="25"/>
      <c r="BZ256" s="25"/>
      <c r="CA256" s="28">
        <v>144.81775200000001</v>
      </c>
      <c r="CB256" s="389">
        <f>+CA111-CA256</f>
        <v>0.79705399999997439</v>
      </c>
      <c r="CC256" s="25"/>
      <c r="CD256" s="355"/>
      <c r="CE256" s="28">
        <v>147.038073</v>
      </c>
      <c r="CF256" s="389">
        <f>+CE111-CE256</f>
        <v>2.3230590000000007</v>
      </c>
      <c r="CG256" s="355"/>
      <c r="CH256" s="355"/>
      <c r="CI256" s="28">
        <v>136.45366300000001</v>
      </c>
      <c r="CJ256" s="389">
        <f>+CI111-CI256</f>
        <v>1.7234469999999931</v>
      </c>
      <c r="CK256" s="355"/>
      <c r="CL256" s="355"/>
      <c r="CM256" s="28">
        <v>127.910026</v>
      </c>
      <c r="CN256" s="389">
        <f>+CM111-CM256</f>
        <v>1.1705679999999887</v>
      </c>
      <c r="CO256" s="355"/>
      <c r="CP256" s="355"/>
      <c r="CQ256" s="28">
        <v>117.133169</v>
      </c>
      <c r="CR256" s="389">
        <f>+CQ111-CQ256</f>
        <v>0.24996300000000815</v>
      </c>
      <c r="CS256" s="355"/>
      <c r="CT256" s="355"/>
      <c r="CU256" s="340">
        <f>CU255-(CU110-CU111)</f>
        <v>113.184307</v>
      </c>
      <c r="CV256" s="389">
        <f>+CU111-CU256</f>
        <v>0.57634000000000185</v>
      </c>
      <c r="CW256" s="1474"/>
      <c r="CX256" s="355"/>
      <c r="CY256" s="340">
        <f>CY255-(CY110-CY111)</f>
        <v>107.43825199999999</v>
      </c>
      <c r="CZ256" s="389">
        <f>+CY111-CY256</f>
        <v>0.57634000000000185</v>
      </c>
      <c r="DA256" s="1474"/>
      <c r="DB256" s="355"/>
      <c r="DC256" s="355"/>
      <c r="DD256" s="355"/>
      <c r="DE256" s="355"/>
      <c r="DF256" s="359"/>
      <c r="DG256" s="25"/>
      <c r="DH256" s="25"/>
      <c r="DI256" s="25"/>
      <c r="DJ256" s="25"/>
    </row>
    <row r="257" spans="1:114">
      <c r="A257" s="170" t="str">
        <f>$A$12</f>
        <v>3Q</v>
      </c>
      <c r="B257" s="170" t="str">
        <f>$B$12</f>
        <v>Oct</v>
      </c>
      <c r="C257" s="170"/>
      <c r="D257" s="204"/>
      <c r="E257" s="196"/>
      <c r="F257" s="196"/>
      <c r="G257" s="170"/>
      <c r="H257" s="204"/>
      <c r="I257" s="196"/>
      <c r="J257" s="196"/>
      <c r="K257" s="170"/>
      <c r="L257" s="204"/>
      <c r="M257" s="196"/>
      <c r="N257" s="196"/>
      <c r="O257" s="170"/>
      <c r="P257" s="204"/>
      <c r="Q257" s="196"/>
      <c r="R257" s="196"/>
      <c r="S257" s="170"/>
      <c r="T257" s="204"/>
      <c r="U257" s="196"/>
      <c r="V257" s="196"/>
      <c r="W257" s="196"/>
      <c r="X257" s="204"/>
      <c r="Y257" s="170"/>
      <c r="Z257" s="170" t="s">
        <v>482</v>
      </c>
      <c r="AA257" s="170"/>
      <c r="AB257" s="204">
        <f>69.036*2</f>
        <v>138.072</v>
      </c>
      <c r="AC257" s="170"/>
      <c r="AD257" s="170"/>
      <c r="AE257" s="170"/>
      <c r="AF257" s="204">
        <f>69.056*2</f>
        <v>138.11199999999999</v>
      </c>
      <c r="AG257" s="170"/>
      <c r="AH257" s="170"/>
      <c r="AI257" s="170"/>
      <c r="AJ257" s="204">
        <f>76.948*2</f>
        <v>153.89599999999999</v>
      </c>
      <c r="AK257" s="170"/>
      <c r="AL257" s="170"/>
      <c r="AM257" s="170"/>
      <c r="AN257" s="204">
        <f>78.888*2</f>
        <v>157.77600000000001</v>
      </c>
      <c r="AO257" s="170"/>
      <c r="AP257" s="170" t="s">
        <v>482</v>
      </c>
      <c r="AQ257" s="170"/>
      <c r="AR257" s="170"/>
      <c r="AS257" s="170"/>
      <c r="AT257" s="170"/>
      <c r="AU257" s="204">
        <f>81.047615*2</f>
        <v>162.09522999999999</v>
      </c>
      <c r="AV257" s="170"/>
      <c r="AW257" s="170" t="s">
        <v>482</v>
      </c>
      <c r="AX257" s="170"/>
      <c r="AY257" s="338">
        <f>AY122/AU122*AU257</f>
        <v>164.12414627262132</v>
      </c>
      <c r="AZ257" s="170"/>
      <c r="BA257" s="170" t="s">
        <v>482</v>
      </c>
      <c r="BB257" s="170"/>
      <c r="BC257" s="357">
        <v>164.70797999999999</v>
      </c>
      <c r="BD257" s="170"/>
      <c r="BE257" s="170" t="s">
        <v>482</v>
      </c>
      <c r="BF257" s="170"/>
      <c r="BG257" s="357">
        <v>165.430768</v>
      </c>
      <c r="BH257" s="170"/>
      <c r="BI257" s="170" t="s">
        <v>482</v>
      </c>
      <c r="BJ257" s="170"/>
      <c r="BK257" s="357">
        <v>167.030294</v>
      </c>
      <c r="BL257" s="170"/>
      <c r="BM257" s="170" t="s">
        <v>482</v>
      </c>
      <c r="BN257" s="170"/>
      <c r="BO257" s="357">
        <v>168.319514</v>
      </c>
      <c r="BP257" s="338">
        <f>+BO112-BO257</f>
        <v>3.1243880000000104</v>
      </c>
      <c r="BQ257" s="170" t="s">
        <v>482</v>
      </c>
      <c r="BR257" s="25"/>
      <c r="BS257" s="358">
        <v>165.69954000000001</v>
      </c>
      <c r="BT257" s="389">
        <f>+BS112-BS257</f>
        <v>2.8760969999999872</v>
      </c>
      <c r="BU257" s="25" t="s">
        <v>482</v>
      </c>
      <c r="BV257" s="25"/>
      <c r="BW257" s="358">
        <f>151.170175</f>
        <v>151.170175</v>
      </c>
      <c r="BX257" s="389">
        <f>+BW112-BW257</f>
        <v>2.2646359999999959</v>
      </c>
      <c r="BY257" s="25" t="s">
        <v>482</v>
      </c>
      <c r="BZ257" s="25"/>
      <c r="CA257" s="28">
        <v>145.539816</v>
      </c>
      <c r="CB257" s="389">
        <f>+CA112-CA257</f>
        <v>1.5471660000000043</v>
      </c>
      <c r="CC257" s="25" t="s">
        <v>482</v>
      </c>
      <c r="CD257" s="355"/>
      <c r="CE257" s="28">
        <v>147.40576899999999</v>
      </c>
      <c r="CF257" s="389">
        <f>+CE112-CE257</f>
        <v>2.1113770000000045</v>
      </c>
      <c r="CG257" s="355"/>
      <c r="CH257" s="355"/>
      <c r="CI257" s="341">
        <v>134.267</v>
      </c>
      <c r="CJ257" s="389">
        <f>+CI112-CI257</f>
        <v>1.6814540000000022</v>
      </c>
      <c r="CK257" s="355"/>
      <c r="CL257" s="355"/>
      <c r="CM257" s="341">
        <v>123.442931</v>
      </c>
      <c r="CN257" s="389">
        <f>+CM112-CM257</f>
        <v>0.28265000000000384</v>
      </c>
      <c r="CO257" s="355"/>
      <c r="CP257" s="355"/>
      <c r="CQ257" s="341">
        <v>116.82991199999999</v>
      </c>
      <c r="CR257" s="389">
        <f>+CQ112-CQ257</f>
        <v>0.56379800000000557</v>
      </c>
      <c r="CS257" s="355"/>
      <c r="CT257" s="355"/>
      <c r="CU257" s="340">
        <f>CU256-(CU111-CU112)</f>
        <v>109.523914</v>
      </c>
      <c r="CV257" s="389">
        <f>+CU112-CU257</f>
        <v>0.57634000000000185</v>
      </c>
      <c r="CW257" s="1474"/>
      <c r="CX257" s="355"/>
      <c r="CY257" s="340">
        <f>CY256-(CY111-CY112)</f>
        <v>106.43825199999999</v>
      </c>
      <c r="CZ257" s="389">
        <f>+CY112-CY257</f>
        <v>0.57634000000000185</v>
      </c>
      <c r="DA257" s="1474"/>
      <c r="DB257" s="355"/>
      <c r="DC257" s="355"/>
      <c r="DD257" s="355"/>
      <c r="DE257" s="355"/>
      <c r="DF257" s="359"/>
      <c r="DG257" s="25"/>
      <c r="DH257" s="25"/>
      <c r="DI257" s="25"/>
      <c r="DJ257" s="25"/>
    </row>
    <row r="258" spans="1:114">
      <c r="A258" s="170" t="str">
        <f>$A$13</f>
        <v>4Q</v>
      </c>
      <c r="B258" s="170" t="str">
        <f>$B$13</f>
        <v>Jan</v>
      </c>
      <c r="C258" s="209"/>
      <c r="D258" s="211"/>
      <c r="E258" s="196"/>
      <c r="F258" s="196"/>
      <c r="G258" s="170"/>
      <c r="H258" s="211"/>
      <c r="I258" s="196"/>
      <c r="J258" s="196"/>
      <c r="K258" s="170"/>
      <c r="L258" s="211"/>
      <c r="M258" s="196"/>
      <c r="N258" s="196"/>
      <c r="O258" s="170"/>
      <c r="P258" s="211"/>
      <c r="Q258" s="196"/>
      <c r="R258" s="196"/>
      <c r="S258" s="170"/>
      <c r="T258" s="211"/>
      <c r="U258" s="196"/>
      <c r="V258" s="196"/>
      <c r="W258" s="196"/>
      <c r="X258" s="211">
        <f>70.312*2</f>
        <v>140.624</v>
      </c>
      <c r="Y258" s="170"/>
      <c r="Z258" s="170"/>
      <c r="AA258" s="170"/>
      <c r="AB258" s="211">
        <f>69.012*2</f>
        <v>138.024</v>
      </c>
      <c r="AC258" s="170"/>
      <c r="AD258" s="170"/>
      <c r="AE258" s="170"/>
      <c r="AF258" s="211">
        <f>69.184*2</f>
        <v>138.36799999999999</v>
      </c>
      <c r="AG258" s="170"/>
      <c r="AH258" s="170"/>
      <c r="AI258" s="170"/>
      <c r="AJ258" s="211">
        <f>77.406*2</f>
        <v>154.81200000000001</v>
      </c>
      <c r="AK258" s="170"/>
      <c r="AL258" s="170"/>
      <c r="AM258" s="170"/>
      <c r="AN258" s="211">
        <f>79.384*2</f>
        <v>158.768</v>
      </c>
      <c r="AO258" s="170"/>
      <c r="AP258" s="170"/>
      <c r="AQ258" s="170"/>
      <c r="AR258" s="170"/>
      <c r="AS258" s="170"/>
      <c r="AT258" s="170"/>
      <c r="AU258" s="360">
        <f>AU113/AN113*AN258</f>
        <v>163.14013411225335</v>
      </c>
      <c r="AV258" s="170"/>
      <c r="AW258" s="170"/>
      <c r="AX258" s="170"/>
      <c r="AY258" s="360">
        <f>AY123/AU123*AU258</f>
        <v>164.4911445758498</v>
      </c>
      <c r="AZ258" s="170"/>
      <c r="BA258" s="170"/>
      <c r="BB258" s="170"/>
      <c r="BC258" s="361">
        <v>164.44061099999999</v>
      </c>
      <c r="BD258" s="170"/>
      <c r="BE258" s="170"/>
      <c r="BF258" s="170"/>
      <c r="BG258" s="361">
        <v>165.629648</v>
      </c>
      <c r="BH258" s="170"/>
      <c r="BI258" s="170"/>
      <c r="BJ258" s="170"/>
      <c r="BK258" s="361">
        <v>167.30923899999999</v>
      </c>
      <c r="BL258" s="170"/>
      <c r="BM258" s="170"/>
      <c r="BN258" s="170"/>
      <c r="BO258" s="361">
        <v>168.49925999999999</v>
      </c>
      <c r="BP258" s="338">
        <f>+BO113-BO258</f>
        <v>3.922347000000002</v>
      </c>
      <c r="BQ258" s="170"/>
      <c r="BR258" s="25"/>
      <c r="BS258" s="362">
        <v>164.188852</v>
      </c>
      <c r="BT258" s="389">
        <f>+BS113-BS258</f>
        <v>3.4884529999999927</v>
      </c>
      <c r="BU258" s="25"/>
      <c r="BV258" s="25"/>
      <c r="BW258" s="362">
        <v>144.268135</v>
      </c>
      <c r="BX258" s="389">
        <f>+BW113-BW258</f>
        <v>1.3497739999999965</v>
      </c>
      <c r="BY258" s="25"/>
      <c r="BZ258" s="25"/>
      <c r="CA258" s="31">
        <v>145.93613099999999</v>
      </c>
      <c r="CB258" s="389">
        <f>+CA113-CA258</f>
        <v>2.4364710000000116</v>
      </c>
      <c r="CC258" s="25"/>
      <c r="CD258" s="355"/>
      <c r="CE258" s="31">
        <v>147.30222000000001</v>
      </c>
      <c r="CF258" s="389">
        <f>+CE113-CE258</f>
        <v>1.9004060000000038</v>
      </c>
      <c r="CG258" s="355"/>
      <c r="CH258" s="355"/>
      <c r="CI258" s="401">
        <v>132.05312599999999</v>
      </c>
      <c r="CJ258" s="389">
        <f>+CI113-CI258</f>
        <v>0.92782099999999446</v>
      </c>
      <c r="CK258" s="355"/>
      <c r="CL258" s="355"/>
      <c r="CM258" s="401">
        <v>118.568962</v>
      </c>
      <c r="CN258" s="389">
        <f>+CM113-CM258</f>
        <v>3.7040000000004625E-2</v>
      </c>
      <c r="CO258" s="355"/>
      <c r="CP258" s="355"/>
      <c r="CQ258" s="1627">
        <v>116.233694</v>
      </c>
      <c r="CR258" s="389">
        <f>+CQ113-CQ258</f>
        <v>0.57634000000000185</v>
      </c>
      <c r="CS258" s="355"/>
      <c r="CT258" s="355"/>
      <c r="CU258" s="342">
        <f>CU257-(CU112-CU113)</f>
        <v>108.63825199999999</v>
      </c>
      <c r="CV258" s="389">
        <f>+CU113-CU258</f>
        <v>0.57634000000000185</v>
      </c>
      <c r="CW258" s="1474"/>
      <c r="CX258" s="355"/>
      <c r="CY258" s="342">
        <f>CY257-(CY112-CY113)</f>
        <v>106.43825199999999</v>
      </c>
      <c r="CZ258" s="389">
        <f>+CY113-CY258</f>
        <v>0.57634000000000185</v>
      </c>
      <c r="DA258" s="1474"/>
      <c r="DB258" s="355"/>
      <c r="DC258" s="355"/>
      <c r="DD258" s="355"/>
      <c r="DE258" s="355"/>
      <c r="DF258" s="355"/>
      <c r="DG258" s="25"/>
      <c r="DH258" s="25"/>
      <c r="DI258" s="25"/>
      <c r="DJ258" s="25"/>
    </row>
    <row r="259" spans="1:114">
      <c r="A259" s="170"/>
      <c r="B259" s="170" t="str">
        <f>$B$14</f>
        <v>Year</v>
      </c>
      <c r="C259" s="170"/>
      <c r="D259" s="204"/>
      <c r="E259" s="170"/>
      <c r="F259" s="170"/>
      <c r="G259" s="170"/>
      <c r="H259" s="204"/>
      <c r="I259" s="280"/>
      <c r="J259" s="280"/>
      <c r="K259" s="280"/>
      <c r="L259" s="204"/>
      <c r="M259" s="280"/>
      <c r="N259" s="280"/>
      <c r="O259" s="280"/>
      <c r="P259" s="204"/>
      <c r="Q259" s="280"/>
      <c r="R259" s="280"/>
      <c r="S259" s="280"/>
      <c r="T259" s="204"/>
      <c r="U259" s="280"/>
      <c r="V259" s="280"/>
      <c r="W259" s="280"/>
      <c r="X259" s="204">
        <f>X258</f>
        <v>140.624</v>
      </c>
      <c r="Y259" s="280"/>
      <c r="Z259" s="280"/>
      <c r="AA259" s="280"/>
      <c r="AB259" s="204">
        <f>(AB255+AB256+AB257+AB258)/4</f>
        <v>138.066</v>
      </c>
      <c r="AC259" s="280"/>
      <c r="AD259" s="280"/>
      <c r="AE259" s="280"/>
      <c r="AF259" s="204">
        <f>(AF255+AF256+AF257+AF258)/4</f>
        <v>138.14799999999997</v>
      </c>
      <c r="AG259" s="280"/>
      <c r="AH259" s="280"/>
      <c r="AI259" s="280"/>
      <c r="AJ259" s="204">
        <f>75.552912*2</f>
        <v>151.10582400000001</v>
      </c>
      <c r="AK259" s="280"/>
      <c r="AL259" s="280"/>
      <c r="AM259" s="280"/>
      <c r="AN259" s="204">
        <f>78.534926*2</f>
        <v>157.069852</v>
      </c>
      <c r="AO259" s="280"/>
      <c r="AP259" s="280"/>
      <c r="AQ259" s="170"/>
      <c r="AR259" s="170"/>
      <c r="AS259" s="170"/>
      <c r="AT259" s="280"/>
      <c r="AU259" s="204">
        <f>80.709949*2</f>
        <v>161.41989799999999</v>
      </c>
      <c r="AV259" s="280"/>
      <c r="AW259" s="280"/>
      <c r="AX259" s="280"/>
      <c r="AY259" s="338">
        <f>+(AY255+AY256+AY257+AY258)/4</f>
        <v>163.67641687214063</v>
      </c>
      <c r="AZ259" s="280"/>
      <c r="BA259" s="280"/>
      <c r="BB259" s="280"/>
      <c r="BC259" s="343">
        <f>(BC255+BC256+BC257+BC258)/4</f>
        <v>164.67976924999999</v>
      </c>
      <c r="BD259" s="280"/>
      <c r="BE259" s="280"/>
      <c r="BF259" s="280"/>
      <c r="BG259" s="343">
        <f>(BG255+BG256+BG257+BG258)/4</f>
        <v>165.3005325</v>
      </c>
      <c r="BH259" s="280"/>
      <c r="BI259" s="280"/>
      <c r="BJ259" s="280"/>
      <c r="BK259" s="343">
        <f>(BK255+BK256+BK257+BK258)/4</f>
        <v>166.78939874999998</v>
      </c>
      <c r="BL259" s="280"/>
      <c r="BM259" s="280"/>
      <c r="BN259" s="280"/>
      <c r="BO259" s="343">
        <f>(BO255+BO256+BO257+BO258)/4</f>
        <v>168.04862974999998</v>
      </c>
      <c r="BP259" s="280"/>
      <c r="BQ259" s="280"/>
      <c r="BR259" s="35"/>
      <c r="BS259" s="340">
        <f>(BS255+BS256+BS257+BS258)/4</f>
        <v>166.91226549999999</v>
      </c>
      <c r="BT259" s="35"/>
      <c r="BU259" s="35"/>
      <c r="BV259" s="35"/>
      <c r="BW259" s="358">
        <v>154.025589</v>
      </c>
      <c r="BX259" s="390"/>
      <c r="BY259" s="35"/>
      <c r="BZ259" s="35"/>
      <c r="CA259" s="340">
        <f>(CA255+CA256+CA257+CA258)/4</f>
        <v>145.25072449999999</v>
      </c>
      <c r="CB259" s="390"/>
      <c r="CC259" s="35"/>
      <c r="CD259" s="363"/>
      <c r="CE259" s="340">
        <f>(CE255+CE256+CE257+CE258)/4</f>
        <v>147.00895324999999</v>
      </c>
      <c r="CF259" s="390"/>
      <c r="CG259" s="363"/>
      <c r="CH259" s="363"/>
      <c r="CI259" s="340">
        <f>(CI255+CI256+CI257+CI258)/4</f>
        <v>136.71236375000001</v>
      </c>
      <c r="CJ259" s="391"/>
      <c r="CK259" s="363"/>
      <c r="CL259" s="363"/>
      <c r="CM259" s="1628">
        <v>125.232499</v>
      </c>
      <c r="CN259" s="363"/>
      <c r="CO259" s="363"/>
      <c r="CP259" s="363"/>
      <c r="CQ259" s="1628">
        <v>116.873023</v>
      </c>
      <c r="CR259" s="363"/>
      <c r="CS259" s="363"/>
      <c r="CT259" s="363"/>
      <c r="CU259" s="340">
        <f>(CU255+CU256+CU257+CU258)/4</f>
        <v>111.8273595</v>
      </c>
      <c r="CV259" s="363"/>
      <c r="CW259" s="363"/>
      <c r="CX259" s="363"/>
      <c r="CY259" s="340">
        <f>(CY255+CY256+CY257+CY258)/4</f>
        <v>107.23825199999999</v>
      </c>
      <c r="CZ259" s="363"/>
      <c r="DA259" s="363"/>
      <c r="DB259" s="363"/>
      <c r="DC259" s="363"/>
      <c r="DD259" s="363"/>
      <c r="DE259" s="363"/>
      <c r="DF259" s="355"/>
      <c r="DG259" s="25"/>
      <c r="DH259" s="25"/>
      <c r="DI259" s="25"/>
      <c r="DJ259" s="25"/>
    </row>
    <row r="260" spans="1:114">
      <c r="A260" s="170" t="str">
        <f>$A$15</f>
        <v>6 Mos</v>
      </c>
      <c r="B260" s="170"/>
      <c r="C260" s="170"/>
      <c r="D260" s="217">
        <f>(D255+D256)/2</f>
        <v>0</v>
      </c>
      <c r="E260" s="170"/>
      <c r="F260" s="170"/>
      <c r="G260" s="170"/>
      <c r="H260" s="217">
        <f>(H255+H256)/2</f>
        <v>0</v>
      </c>
      <c r="I260" s="170"/>
      <c r="J260" s="170"/>
      <c r="K260" s="170"/>
      <c r="L260" s="217">
        <f>(L255+L256)/2</f>
        <v>0</v>
      </c>
      <c r="M260" s="170"/>
      <c r="N260" s="170"/>
      <c r="O260" s="170"/>
      <c r="P260" s="217">
        <f>(P255+P256)/2</f>
        <v>0</v>
      </c>
      <c r="Q260" s="170"/>
      <c r="R260" s="170"/>
      <c r="S260" s="170"/>
      <c r="T260" s="217">
        <f>(T255+T256)/2</f>
        <v>0</v>
      </c>
      <c r="U260" s="170"/>
      <c r="V260" s="170"/>
      <c r="W260" s="170"/>
      <c r="X260" s="217"/>
      <c r="Y260" s="170"/>
      <c r="Z260" s="170"/>
      <c r="AA260" s="170"/>
      <c r="AB260" s="217">
        <f>(AB255+AB256)/2</f>
        <v>138.084</v>
      </c>
      <c r="AC260" s="170"/>
      <c r="AD260" s="170"/>
      <c r="AE260" s="170"/>
      <c r="AF260" s="217">
        <f>(AF255+AF256)/2</f>
        <v>138.05599999999998</v>
      </c>
      <c r="AG260" s="170"/>
      <c r="AH260" s="170"/>
      <c r="AI260" s="170"/>
      <c r="AJ260" s="217">
        <f>(AJ255+AJ256)/2</f>
        <v>146.916</v>
      </c>
      <c r="AK260" s="170"/>
      <c r="AL260" s="170"/>
      <c r="AM260" s="170"/>
      <c r="AN260" s="217">
        <f>(AN255+AN256)/2</f>
        <v>155.83600000000001</v>
      </c>
      <c r="AO260" s="170"/>
      <c r="AP260" s="170"/>
      <c r="AQ260" s="170"/>
      <c r="AR260" s="170"/>
      <c r="AS260" s="170"/>
      <c r="AT260" s="170"/>
      <c r="AU260" s="217">
        <f>(AU255+AU256)/2</f>
        <v>160.85002500000002</v>
      </c>
      <c r="AV260" s="170"/>
      <c r="AW260" s="170"/>
      <c r="AX260" s="170"/>
      <c r="AY260" s="217">
        <f>(AY255+AY256)/2</f>
        <v>163.0451883200457</v>
      </c>
      <c r="AZ260" s="170"/>
      <c r="BA260" s="170"/>
      <c r="BB260" s="170"/>
      <c r="BC260" s="338">
        <f>AVERAGEA(BC255:BC256)</f>
        <v>164.78524299999998</v>
      </c>
      <c r="BD260" s="170"/>
      <c r="BE260" s="170"/>
      <c r="BF260" s="170"/>
      <c r="BG260" s="338">
        <f>AVERAGEA(BG255:BG256)</f>
        <v>165.07085699999999</v>
      </c>
      <c r="BH260" s="170"/>
      <c r="BI260" s="170"/>
      <c r="BJ260" s="170"/>
      <c r="BK260" s="338">
        <f>AVERAGEA(BK255:BK256)</f>
        <v>166.409031</v>
      </c>
      <c r="BL260" s="170"/>
      <c r="BM260" s="170"/>
      <c r="BN260" s="170"/>
      <c r="BO260" s="338">
        <f>AVERAGEA(BO255:BO256)</f>
        <v>167.6878725</v>
      </c>
      <c r="BP260" s="170"/>
      <c r="BQ260" s="170"/>
      <c r="BR260" s="25"/>
      <c r="BS260" s="29">
        <f>AVERAGEA(BS255:BS256)</f>
        <v>168.880335</v>
      </c>
      <c r="BT260" s="25"/>
      <c r="BU260" s="25"/>
      <c r="BV260" s="25"/>
      <c r="BW260" s="29">
        <f>AVERAGEA(BW255:BW256)</f>
        <v>160.494474</v>
      </c>
      <c r="BX260" s="25"/>
      <c r="BY260" s="25"/>
      <c r="BZ260" s="25"/>
      <c r="CA260" s="29">
        <f>AVERAGEA(CA255:CA256)</f>
        <v>144.76347550000003</v>
      </c>
      <c r="CB260" s="25"/>
      <c r="CC260" s="25"/>
      <c r="CD260" s="175"/>
      <c r="CE260" s="29">
        <f>AVERAGEA(CE255:CE256)</f>
        <v>146.66391199999998</v>
      </c>
      <c r="CF260" s="175"/>
      <c r="CG260" s="175"/>
      <c r="CH260" s="175"/>
      <c r="CI260" s="29">
        <f>AVERAGEA(CI255:CI256)</f>
        <v>140.26466450000001</v>
      </c>
      <c r="CJ260" s="175"/>
      <c r="CK260" s="175"/>
      <c r="CL260" s="175"/>
      <c r="CM260" s="29">
        <f>AVERAGEA(CM255:CM256)</f>
        <v>129.55638300000001</v>
      </c>
      <c r="CN260" s="175"/>
      <c r="CO260" s="175"/>
      <c r="CP260" s="175"/>
      <c r="CQ260" s="29">
        <f>AVERAGEA(CQ255:CQ256)</f>
        <v>117.2189525</v>
      </c>
      <c r="CR260" s="175"/>
      <c r="CS260" s="175"/>
      <c r="CT260" s="175"/>
      <c r="CU260" s="29">
        <f>AVERAGEA(CU255:CU256)</f>
        <v>114.57363599999999</v>
      </c>
      <c r="CV260" s="175"/>
      <c r="CW260" s="1472"/>
      <c r="CX260" s="175"/>
      <c r="CY260" s="29">
        <f>AVERAGEA(CY255:CY256)</f>
        <v>108.038252</v>
      </c>
      <c r="CZ260" s="175"/>
      <c r="DA260" s="1472"/>
      <c r="DB260" s="175"/>
      <c r="DC260" s="175"/>
      <c r="DD260" s="175"/>
      <c r="DE260" s="175"/>
      <c r="DF260" s="175"/>
      <c r="DG260" s="25"/>
      <c r="DH260" s="25"/>
      <c r="DI260" s="25"/>
      <c r="DJ260" s="25"/>
    </row>
    <row r="261" spans="1:114">
      <c r="A261" s="170" t="str">
        <f>$A$16</f>
        <v>9 Mos</v>
      </c>
      <c r="B261" s="170"/>
      <c r="C261" s="170"/>
      <c r="D261" s="217">
        <f>(D255+D256+D257)/3</f>
        <v>0</v>
      </c>
      <c r="E261" s="170"/>
      <c r="F261" s="170"/>
      <c r="G261" s="170"/>
      <c r="H261" s="217">
        <f>(H255+H256+H257)/3</f>
        <v>0</v>
      </c>
      <c r="I261" s="170"/>
      <c r="J261" s="170"/>
      <c r="K261" s="170"/>
      <c r="L261" s="217">
        <f>(L255+L256+L257)/3</f>
        <v>0</v>
      </c>
      <c r="M261" s="170"/>
      <c r="N261" s="170"/>
      <c r="O261" s="170"/>
      <c r="P261" s="217">
        <f>(P255+P256+P257)/3</f>
        <v>0</v>
      </c>
      <c r="Q261" s="170"/>
      <c r="R261" s="170"/>
      <c r="S261" s="170"/>
      <c r="T261" s="217">
        <f>(T255+T256+T257)/3</f>
        <v>0</v>
      </c>
      <c r="U261" s="170"/>
      <c r="V261" s="170"/>
      <c r="W261" s="170"/>
      <c r="X261" s="217"/>
      <c r="Y261" s="170"/>
      <c r="Z261" s="170"/>
      <c r="AA261" s="170"/>
      <c r="AB261" s="217">
        <f>(AB255+AB256+AB257)/3</f>
        <v>138.08000000000001</v>
      </c>
      <c r="AC261" s="170"/>
      <c r="AD261" s="170"/>
      <c r="AE261" s="170"/>
      <c r="AF261" s="217">
        <f>(AF255+AF256+AF257)/3</f>
        <v>138.07466666666664</v>
      </c>
      <c r="AG261" s="170"/>
      <c r="AH261" s="170"/>
      <c r="AI261" s="170"/>
      <c r="AJ261" s="217">
        <f>(AJ255+AJ256+AJ257)/3</f>
        <v>149.24266666666665</v>
      </c>
      <c r="AK261" s="170"/>
      <c r="AL261" s="170"/>
      <c r="AM261" s="170"/>
      <c r="AN261" s="217">
        <f>(AN255+AN256+AN257)/3</f>
        <v>156.48266666666669</v>
      </c>
      <c r="AO261" s="170"/>
      <c r="AP261" s="170"/>
      <c r="AQ261" s="170"/>
      <c r="AR261" s="170"/>
      <c r="AS261" s="170"/>
      <c r="AT261" s="170"/>
      <c r="AU261" s="217">
        <f>(AU255+AU256+AU257)/3</f>
        <v>161.26509333333334</v>
      </c>
      <c r="AV261" s="170"/>
      <c r="AW261" s="170"/>
      <c r="AX261" s="170"/>
      <c r="AY261" s="217">
        <f>(AY255+AY256+AY257)/3</f>
        <v>163.40484097090425</v>
      </c>
      <c r="AZ261" s="170"/>
      <c r="BA261" s="170"/>
      <c r="BB261" s="170"/>
      <c r="BC261" s="364">
        <f>AVERAGEA(BC255:BC257)</f>
        <v>164.75948866666667</v>
      </c>
      <c r="BD261" s="170"/>
      <c r="BE261" s="170"/>
      <c r="BF261" s="170"/>
      <c r="BG261" s="364">
        <f>AVERAGEA(BG255:BG257)</f>
        <v>165.19082733333332</v>
      </c>
      <c r="BH261" s="170"/>
      <c r="BI261" s="170"/>
      <c r="BJ261" s="170"/>
      <c r="BK261" s="364">
        <f>AVERAGEA(BK255:BK257)</f>
        <v>166.61611866666667</v>
      </c>
      <c r="BL261" s="170"/>
      <c r="BM261" s="170"/>
      <c r="BN261" s="170"/>
      <c r="BO261" s="364">
        <f>AVERAGEA(BO255:BO257)</f>
        <v>167.89841966666665</v>
      </c>
      <c r="BP261" s="170"/>
      <c r="BQ261" s="170"/>
      <c r="BR261" s="25"/>
      <c r="BS261" s="365">
        <f>AVERAGEA(BS255:BS257)</f>
        <v>167.82007000000002</v>
      </c>
      <c r="BT261" s="25"/>
      <c r="BU261" s="25"/>
      <c r="BV261" s="25"/>
      <c r="BW261" s="365">
        <f>AVERAGEA(BW255:BW257)</f>
        <v>157.38637433333335</v>
      </c>
      <c r="BX261" s="25"/>
      <c r="BY261" s="25"/>
      <c r="BZ261" s="25"/>
      <c r="CA261" s="365">
        <f>AVERAGEA(CA255:CA257)</f>
        <v>145.02225566666667</v>
      </c>
      <c r="CB261" s="25"/>
      <c r="CC261" s="25"/>
      <c r="CD261" s="175"/>
      <c r="CE261" s="365">
        <f>AVERAGEA(CE255:CE257)</f>
        <v>146.91119766666665</v>
      </c>
      <c r="CF261" s="175"/>
      <c r="CG261" s="175"/>
      <c r="CH261" s="175"/>
      <c r="CI261" s="365">
        <f>AVERAGEA(CI255:CI257)</f>
        <v>138.265443</v>
      </c>
      <c r="CJ261" s="175"/>
      <c r="CK261" s="175"/>
      <c r="CL261" s="175"/>
      <c r="CM261" s="365">
        <f>AVERAGEA(CM255:CM257)</f>
        <v>127.51856566666667</v>
      </c>
      <c r="CN261" s="175"/>
      <c r="CO261" s="175"/>
      <c r="CP261" s="175"/>
      <c r="CQ261" s="365">
        <f>AVERAGEA(CQ255:CQ257)</f>
        <v>117.08927233333333</v>
      </c>
      <c r="CR261" s="175"/>
      <c r="CS261" s="175"/>
      <c r="CT261" s="175"/>
      <c r="CU261" s="365">
        <f>AVERAGEA(CU255:CU257)</f>
        <v>112.89039533333333</v>
      </c>
      <c r="CV261" s="175"/>
      <c r="CW261" s="1472"/>
      <c r="CX261" s="175"/>
      <c r="CY261" s="365">
        <f>AVERAGEA(CY255:CY257)</f>
        <v>107.50491866666665</v>
      </c>
      <c r="CZ261" s="175"/>
      <c r="DA261" s="1472"/>
      <c r="DB261" s="175"/>
      <c r="DC261" s="175"/>
      <c r="DD261" s="175"/>
      <c r="DE261" s="175"/>
      <c r="DF261" s="175"/>
      <c r="DG261" s="25"/>
      <c r="DH261" s="25"/>
      <c r="DI261" s="25"/>
      <c r="DJ261" s="25"/>
    </row>
    <row r="262" spans="1:114">
      <c r="A262" s="170"/>
      <c r="B262" s="170"/>
      <c r="C262" s="170"/>
      <c r="D262" s="170"/>
      <c r="E262" s="170"/>
      <c r="F262" s="170"/>
      <c r="G262" s="170"/>
      <c r="H262" s="170"/>
      <c r="I262" s="170"/>
      <c r="J262" s="170"/>
      <c r="K262" s="170"/>
      <c r="L262" s="170"/>
      <c r="M262" s="170"/>
      <c r="N262" s="170"/>
      <c r="O262" s="170"/>
      <c r="P262" s="170"/>
      <c r="Q262" s="170"/>
      <c r="R262" s="170"/>
      <c r="S262" s="170"/>
      <c r="T262" s="170"/>
      <c r="U262" s="170"/>
      <c r="V262" s="170"/>
      <c r="W262" s="170"/>
      <c r="X262" s="170"/>
      <c r="Y262" s="170"/>
      <c r="Z262" s="170"/>
      <c r="AA262" s="170"/>
      <c r="AB262" s="170"/>
      <c r="AC262" s="170"/>
      <c r="AD262" s="170"/>
      <c r="AE262" s="170"/>
      <c r="AF262" s="170"/>
      <c r="AG262" s="170"/>
      <c r="AH262" s="170"/>
      <c r="AI262" s="170"/>
      <c r="AJ262" s="170"/>
      <c r="AK262" s="170"/>
      <c r="AL262" s="170"/>
      <c r="AM262" s="170"/>
      <c r="AN262" s="170"/>
      <c r="AO262" s="170"/>
      <c r="AP262" s="170"/>
      <c r="AQ262" s="170"/>
      <c r="AR262" s="170"/>
      <c r="AS262" s="170"/>
      <c r="AT262" s="170"/>
      <c r="AU262" s="170"/>
      <c r="AV262" s="170"/>
      <c r="AW262" s="170"/>
      <c r="AX262" s="170"/>
      <c r="AY262" s="170"/>
      <c r="AZ262" s="170"/>
      <c r="BA262" s="170"/>
      <c r="BB262" s="170"/>
      <c r="BC262" s="170"/>
      <c r="BD262" s="170"/>
      <c r="BE262" s="170"/>
      <c r="BF262" s="170"/>
      <c r="BG262" s="170"/>
      <c r="BH262" s="170"/>
      <c r="BI262" s="170"/>
      <c r="BJ262" s="170"/>
      <c r="BK262" s="170"/>
      <c r="BL262" s="170"/>
      <c r="BM262" s="170"/>
      <c r="BN262" s="170"/>
      <c r="BO262" s="170"/>
      <c r="BP262" s="170"/>
      <c r="BQ262" s="170"/>
      <c r="BR262" s="25"/>
      <c r="BS262" s="25"/>
      <c r="BT262" s="25"/>
      <c r="BU262" s="25"/>
      <c r="BV262" s="25"/>
      <c r="BW262" s="25"/>
      <c r="BX262" s="25"/>
      <c r="BY262" s="25"/>
      <c r="BZ262" s="25"/>
      <c r="CA262" s="25"/>
      <c r="CB262" s="25"/>
      <c r="CC262" s="25"/>
      <c r="CD262" s="174"/>
      <c r="CE262" s="174"/>
      <c r="CF262" s="174"/>
      <c r="CG262" s="174"/>
      <c r="CH262" s="174"/>
      <c r="CI262" s="174"/>
      <c r="CJ262" s="174"/>
      <c r="CK262" s="174"/>
      <c r="CL262" s="174"/>
      <c r="CM262" s="174"/>
      <c r="CN262" s="174"/>
      <c r="CO262" s="174"/>
      <c r="CP262" s="174"/>
      <c r="CQ262" s="174"/>
      <c r="CR262" s="174"/>
      <c r="CS262" s="174"/>
      <c r="CT262" s="174"/>
      <c r="CU262" s="174"/>
      <c r="CV262" s="174"/>
      <c r="CW262" s="1463"/>
      <c r="CX262" s="174"/>
      <c r="CY262" s="174"/>
      <c r="CZ262" s="174"/>
      <c r="DA262" s="1463"/>
      <c r="DB262" s="174"/>
      <c r="DC262" s="174"/>
      <c r="DD262" s="174"/>
      <c r="DE262" s="174"/>
      <c r="DF262" s="175"/>
      <c r="DG262" s="25"/>
      <c r="DH262" s="25"/>
      <c r="DI262" s="25"/>
      <c r="DJ262" s="25"/>
    </row>
    <row r="263" spans="1:114" outlineLevel="1">
      <c r="A263" s="170"/>
      <c r="B263" s="170"/>
      <c r="C263" s="184"/>
      <c r="D263" s="185"/>
      <c r="E263" s="170"/>
      <c r="F263" s="170"/>
      <c r="G263" s="170"/>
      <c r="H263" s="186"/>
      <c r="I263" s="187"/>
      <c r="J263" s="187"/>
      <c r="K263" s="187"/>
      <c r="L263" s="186"/>
      <c r="M263" s="187"/>
      <c r="N263" s="187"/>
      <c r="O263" s="187"/>
      <c r="P263" s="186"/>
      <c r="Q263" s="187"/>
      <c r="R263" s="187"/>
      <c r="S263" s="187"/>
      <c r="T263" s="186"/>
      <c r="U263" s="187"/>
      <c r="V263" s="187"/>
      <c r="W263" s="187"/>
      <c r="X263" s="170"/>
      <c r="Y263" s="187"/>
      <c r="Z263" s="187"/>
      <c r="AA263" s="187"/>
      <c r="AB263" s="170"/>
      <c r="AC263" s="187"/>
      <c r="AD263" s="187"/>
      <c r="AE263" s="187"/>
      <c r="AF263" s="186"/>
      <c r="AG263" s="187"/>
      <c r="AH263" s="187"/>
      <c r="AI263" s="187"/>
      <c r="AJ263" s="186"/>
      <c r="AK263" s="187"/>
      <c r="AL263" s="187"/>
      <c r="AM263" s="187"/>
      <c r="AN263" s="186"/>
      <c r="AO263" s="187"/>
      <c r="AP263" s="187"/>
      <c r="AQ263" s="170"/>
      <c r="AR263" s="170"/>
      <c r="AS263" s="170"/>
      <c r="AT263" s="187"/>
      <c r="AU263" s="186" t="s">
        <v>542</v>
      </c>
      <c r="AV263" s="187"/>
      <c r="AW263" s="187"/>
      <c r="AX263" s="187"/>
      <c r="AY263" s="186" t="s">
        <v>542</v>
      </c>
      <c r="AZ263" s="187"/>
      <c r="BA263" s="187"/>
      <c r="BB263" s="187"/>
      <c r="BC263" s="186"/>
      <c r="BD263" s="187"/>
      <c r="BE263" s="187"/>
      <c r="BF263" s="187"/>
      <c r="BG263" s="186"/>
      <c r="BH263" s="187"/>
      <c r="BI263" s="187"/>
      <c r="BJ263" s="187"/>
      <c r="BK263" s="186"/>
      <c r="BL263" s="187"/>
      <c r="BM263" s="187"/>
      <c r="BN263" s="187"/>
      <c r="BO263" s="186"/>
      <c r="BP263" s="187"/>
      <c r="BQ263" s="187"/>
      <c r="BR263" s="188"/>
      <c r="BS263" s="189" t="str">
        <f>AY263</f>
        <v>Depreciation and Amortization</v>
      </c>
      <c r="BT263" s="188"/>
      <c r="BU263" s="188"/>
      <c r="BV263" s="188"/>
      <c r="BW263" s="189"/>
      <c r="BX263" s="188"/>
      <c r="BY263" s="188"/>
      <c r="BZ263" s="188"/>
      <c r="CA263" s="189"/>
      <c r="CB263" s="188"/>
      <c r="CC263" s="188"/>
      <c r="CD263" s="174"/>
      <c r="CE263" s="174"/>
      <c r="CF263" s="174"/>
      <c r="CG263" s="174"/>
      <c r="CH263" s="174"/>
      <c r="CI263" s="174"/>
      <c r="CJ263" s="174"/>
      <c r="CK263" s="188"/>
      <c r="CL263" s="188"/>
      <c r="CM263" s="189" t="s">
        <v>542</v>
      </c>
      <c r="CN263" s="188"/>
      <c r="CO263" s="188"/>
      <c r="CP263" s="188"/>
      <c r="CQ263" s="188"/>
      <c r="CR263" s="174"/>
      <c r="CS263" s="174"/>
      <c r="CT263" s="188"/>
      <c r="CU263" s="188"/>
      <c r="CV263" s="174"/>
      <c r="CW263" s="1463"/>
      <c r="CX263" s="188"/>
      <c r="CY263" s="188"/>
      <c r="CZ263" s="174"/>
      <c r="DA263" s="1463"/>
      <c r="DB263" s="174"/>
      <c r="DC263" s="174"/>
      <c r="DD263" s="174"/>
      <c r="DE263" s="174"/>
      <c r="DF263" s="175"/>
      <c r="DG263" s="25"/>
      <c r="DH263" s="25"/>
      <c r="DI263" s="25"/>
      <c r="DJ263" s="25"/>
    </row>
    <row r="264" spans="1:114" outlineLevel="1">
      <c r="A264" s="170"/>
      <c r="B264" s="170"/>
      <c r="C264" s="170"/>
      <c r="D264" s="170"/>
      <c r="E264" s="170"/>
      <c r="F264" s="170"/>
      <c r="G264" s="170"/>
      <c r="H264" s="170"/>
      <c r="I264" s="170"/>
      <c r="J264" s="170"/>
      <c r="K264" s="170"/>
      <c r="L264" s="170"/>
      <c r="M264" s="170"/>
      <c r="N264" s="170"/>
      <c r="O264" s="170"/>
      <c r="P264" s="170"/>
      <c r="Q264" s="170"/>
      <c r="R264" s="170"/>
      <c r="S264" s="170"/>
      <c r="T264" s="170"/>
      <c r="U264" s="170"/>
      <c r="V264" s="170"/>
      <c r="W264" s="170"/>
      <c r="X264" s="170"/>
      <c r="Y264" s="170"/>
      <c r="Z264" s="170"/>
      <c r="AA264" s="170"/>
      <c r="AB264" s="170"/>
      <c r="AC264" s="170"/>
      <c r="AD264" s="170"/>
      <c r="AE264" s="170"/>
      <c r="AF264" s="170"/>
      <c r="AG264" s="170"/>
      <c r="AH264" s="170"/>
      <c r="AI264" s="170"/>
      <c r="AJ264" s="170"/>
      <c r="AK264" s="170"/>
      <c r="AL264" s="170"/>
      <c r="AM264" s="170"/>
      <c r="AN264" s="170"/>
      <c r="AO264" s="170"/>
      <c r="AP264" s="170"/>
      <c r="AQ264" s="170"/>
      <c r="AR264" s="170"/>
      <c r="AS264" s="170"/>
      <c r="AT264" s="170"/>
      <c r="AU264" s="170"/>
      <c r="AV264" s="170"/>
      <c r="AW264" s="170"/>
      <c r="AX264" s="170"/>
      <c r="AY264" s="170"/>
      <c r="AZ264" s="170"/>
      <c r="BA264" s="170"/>
      <c r="BB264" s="170"/>
      <c r="BC264" s="170"/>
      <c r="BD264" s="170"/>
      <c r="BE264" s="170"/>
      <c r="BF264" s="170"/>
      <c r="BG264" s="170"/>
      <c r="BH264" s="170"/>
      <c r="BI264" s="170"/>
      <c r="BJ264" s="170"/>
      <c r="BK264" s="170"/>
      <c r="BL264" s="170"/>
      <c r="BM264" s="170"/>
      <c r="BN264" s="170"/>
      <c r="BO264" s="170"/>
      <c r="BP264" s="170"/>
      <c r="BQ264" s="170"/>
      <c r="BR264" s="25"/>
      <c r="BS264" s="25"/>
      <c r="BT264" s="25"/>
      <c r="BU264" s="25"/>
      <c r="BV264" s="25"/>
      <c r="BW264" s="25"/>
      <c r="BX264" s="25"/>
      <c r="BY264" s="25"/>
      <c r="BZ264" s="25"/>
      <c r="CA264" s="25"/>
      <c r="CB264" s="25"/>
      <c r="CC264" s="25"/>
      <c r="CD264" s="174"/>
      <c r="CE264" s="174"/>
      <c r="CF264" s="174"/>
      <c r="CG264" s="174"/>
      <c r="CH264" s="174"/>
      <c r="CI264" s="174"/>
      <c r="CJ264" s="174"/>
      <c r="CK264" s="1004"/>
      <c r="CL264" s="1004"/>
      <c r="CM264" s="1004"/>
      <c r="CN264" s="1004"/>
      <c r="CO264" s="1004"/>
      <c r="CP264" s="1004"/>
      <c r="CQ264" s="174"/>
      <c r="CR264" s="1004"/>
      <c r="CS264" s="174"/>
      <c r="CT264" s="1004"/>
      <c r="CU264" s="174"/>
      <c r="CV264" s="1004"/>
      <c r="CW264" s="1463"/>
      <c r="CX264" s="1004"/>
      <c r="CY264" s="174"/>
      <c r="CZ264" s="1004"/>
      <c r="DA264" s="1463"/>
      <c r="DB264" s="174"/>
      <c r="DC264" s="174"/>
      <c r="DD264" s="174"/>
      <c r="DE264" s="174"/>
      <c r="DF264" s="175"/>
      <c r="DG264" s="25"/>
      <c r="DH264" s="25"/>
      <c r="DI264" s="25"/>
      <c r="DJ264" s="25"/>
    </row>
    <row r="265" spans="1:114" outlineLevel="1">
      <c r="A265" s="170" t="str">
        <f>$A$10</f>
        <v>1Q</v>
      </c>
      <c r="B265" s="170" t="str">
        <f>$B$10</f>
        <v>Apr</v>
      </c>
      <c r="C265" s="170"/>
      <c r="D265" s="193"/>
      <c r="E265" s="234"/>
      <c r="F265" s="259"/>
      <c r="G265" s="170"/>
      <c r="H265" s="193"/>
      <c r="I265" s="234"/>
      <c r="J265" s="259"/>
      <c r="K265" s="170"/>
      <c r="L265" s="193"/>
      <c r="M265" s="234"/>
      <c r="N265" s="259"/>
      <c r="O265" s="170"/>
      <c r="P265" s="193"/>
      <c r="Q265" s="234"/>
      <c r="R265" s="259"/>
      <c r="S265" s="170"/>
      <c r="T265" s="193"/>
      <c r="U265" s="234"/>
      <c r="V265" s="259"/>
      <c r="W265" s="259"/>
      <c r="X265" s="193"/>
      <c r="Y265" s="234"/>
      <c r="Z265" s="170"/>
      <c r="AA265" s="170"/>
      <c r="AB265" s="193">
        <v>2.3959999999999999</v>
      </c>
      <c r="AC265" s="168"/>
      <c r="AD265" s="170"/>
      <c r="AE265" s="170"/>
      <c r="AF265" s="193">
        <v>3.6469999999999998</v>
      </c>
      <c r="AG265" s="168">
        <f>IF(AB265&lt;0,"       NM",(AF265/AB265-1)*100)</f>
        <v>52.212020033388981</v>
      </c>
      <c r="AH265" s="170"/>
      <c r="AI265" s="170"/>
      <c r="AJ265" s="193">
        <v>4.2119999999999997</v>
      </c>
      <c r="AK265" s="168">
        <f>IF(AF265&lt;0,"       NM",(AJ265/AF265-1)*100)</f>
        <v>15.492185357828347</v>
      </c>
      <c r="AL265" s="170"/>
      <c r="AM265" s="170"/>
      <c r="AN265" s="193">
        <v>4.9480000000000004</v>
      </c>
      <c r="AO265" s="168">
        <f>IF(AJ265&lt;0,"       NM",(AN265/AJ265-1)*100)</f>
        <v>17.473884140550823</v>
      </c>
      <c r="AP265" s="170"/>
      <c r="AQ265" s="170"/>
      <c r="AR265" s="170"/>
      <c r="AS265" s="170"/>
      <c r="AT265" s="170"/>
      <c r="AU265" s="193">
        <v>7.2409999999999997</v>
      </c>
      <c r="AV265" s="168">
        <f t="shared" ref="AV265:AV271" si="323">IF(AN265&lt;0,"       NM",(AU265/AN265-1)*100)</f>
        <v>46.341956345998355</v>
      </c>
      <c r="AW265" s="170"/>
      <c r="AX265" s="170"/>
      <c r="AY265" s="286">
        <v>8.7989999999999995</v>
      </c>
      <c r="AZ265" s="168">
        <f t="shared" ref="AZ265:AZ271" si="324">IF(AU265&lt;0,"       NM",(AY265/AU265-1)*100)</f>
        <v>21.516365142936067</v>
      </c>
      <c r="BA265" s="170"/>
      <c r="BB265" s="170"/>
      <c r="BC265" s="286">
        <v>11.936999999999999</v>
      </c>
      <c r="BD265" s="168">
        <f t="shared" ref="BD265:BD271" si="325">IF(AY265&lt;0,"       NM",(BC265/AY265-1)*100)</f>
        <v>35.663143539038522</v>
      </c>
      <c r="BE265" s="170"/>
      <c r="BF265" s="170"/>
      <c r="BG265" s="286">
        <v>16.54</v>
      </c>
      <c r="BH265" s="168">
        <f t="shared" ref="BH265:BH271" si="326">IF(BC265&lt;0,"       NM",(BG265/BC265-1)*100)</f>
        <v>38.560777414760828</v>
      </c>
      <c r="BI265" s="170"/>
      <c r="BJ265" s="170"/>
      <c r="BK265" s="286">
        <v>19.343</v>
      </c>
      <c r="BL265" s="168">
        <f t="shared" ref="BL265:BL271" si="327">IF(BG265&lt;0,"       NM",(BK265/BG265-1)*100)</f>
        <v>16.94679564691657</v>
      </c>
      <c r="BM265" s="170"/>
      <c r="BN265" s="170"/>
      <c r="BO265" s="286">
        <v>22.09</v>
      </c>
      <c r="BP265" s="168">
        <f t="shared" ref="BP265:BP271" si="328">IF(BK265&lt;0,"       NM",(BO265/BK265-1)*100)</f>
        <v>14.201519929690321</v>
      </c>
      <c r="BQ265" s="170"/>
      <c r="BR265" s="25"/>
      <c r="BS265" s="287">
        <v>24.347000000000001</v>
      </c>
      <c r="BT265" s="23">
        <f t="shared" ref="BT265:BT271" si="329">IF(BO265&lt;0,"       NM",(BS265/BO265-1)*100)</f>
        <v>10.217292892711649</v>
      </c>
      <c r="BU265" s="25"/>
      <c r="BV265" s="25"/>
      <c r="BW265" s="287">
        <v>26.550999999999998</v>
      </c>
      <c r="BX265" s="23">
        <f t="shared" ref="BX265:BX271" si="330">IF(BS265&lt;0,"       NM",(BW265/BS265-1)*100)</f>
        <v>9.0524499938390726</v>
      </c>
      <c r="BY265" s="25"/>
      <c r="BZ265" s="25"/>
      <c r="CA265" s="287">
        <v>28.8</v>
      </c>
      <c r="CB265" s="23">
        <f t="shared" ref="CB265:CB271" si="331">IF(BW265&lt;0,"       NM",(CA265/BW265-1)*100)</f>
        <v>8.4704907536439435</v>
      </c>
      <c r="CC265" s="25"/>
      <c r="CD265" s="174"/>
      <c r="CE265" s="287">
        <v>32.078000000000003</v>
      </c>
      <c r="CF265" s="23">
        <f t="shared" ref="CF265:CF271" si="332">IF(CA265&lt;0,"       NM",(CE265/CA265-1)*100)</f>
        <v>11.381944444444446</v>
      </c>
      <c r="CG265" s="174"/>
      <c r="CH265" s="174"/>
      <c r="CI265" s="26">
        <v>34.478000000000002</v>
      </c>
      <c r="CJ265" s="23">
        <f t="shared" ref="CJ265:CJ271" si="333">IF(CE265&lt;0,"       NM",(CI265/CE265-1)*100)</f>
        <v>7.4817632021946467</v>
      </c>
      <c r="CK265" s="174"/>
      <c r="CL265" s="174"/>
      <c r="CM265" s="26">
        <v>35.5</v>
      </c>
      <c r="CN265" s="23">
        <f t="shared" ref="CN265:CN271" si="334">IF(CI265&lt;0,"       NM",(CM265/CI265-1)*100)</f>
        <v>2.9642090608503979</v>
      </c>
      <c r="CO265" s="174"/>
      <c r="CP265" s="174"/>
      <c r="CQ265" s="26">
        <v>34.844000000000001</v>
      </c>
      <c r="CR265" s="23">
        <f t="shared" ref="CR265:CR271" si="335">IF(CM265&lt;0,"       NM",(CQ265/CM265-1)*100)</f>
        <v>-1.8478873239436533</v>
      </c>
      <c r="CS265" s="174"/>
      <c r="CT265" s="174"/>
      <c r="CU265" s="1728">
        <v>32.136000000000003</v>
      </c>
      <c r="CV265" s="23">
        <f t="shared" ref="CV265:CV271" si="336">IF(CQ265&lt;0,"       NM",(CU265/CQ265-1)*100)</f>
        <v>-7.7717828033520782</v>
      </c>
      <c r="CW265" s="1463"/>
      <c r="CX265" s="174"/>
      <c r="CY265" s="1729">
        <v>34</v>
      </c>
      <c r="CZ265" s="23">
        <f t="shared" ref="CZ265:CZ271" si="337">IF(CU265&lt;0,"       NM",(CY265/CU265-1)*100)</f>
        <v>5.8003485187951176</v>
      </c>
      <c r="DA265" s="1463"/>
      <c r="DB265" s="174"/>
      <c r="DC265" s="174"/>
      <c r="DD265" s="174"/>
      <c r="DE265" s="174"/>
      <c r="DF265" s="175"/>
      <c r="DG265" s="25"/>
      <c r="DH265" s="25"/>
      <c r="DI265" s="25"/>
      <c r="DJ265" s="25"/>
    </row>
    <row r="266" spans="1:114" outlineLevel="1">
      <c r="A266" s="170" t="str">
        <f>$A$11</f>
        <v>2Q</v>
      </c>
      <c r="B266" s="170" t="str">
        <f>$B$11</f>
        <v>Jul</v>
      </c>
      <c r="C266" s="170"/>
      <c r="D266" s="203"/>
      <c r="E266" s="234"/>
      <c r="F266" s="170"/>
      <c r="G266" s="170"/>
      <c r="H266" s="203"/>
      <c r="I266" s="234"/>
      <c r="J266" s="170"/>
      <c r="K266" s="170"/>
      <c r="L266" s="203"/>
      <c r="M266" s="234"/>
      <c r="N266" s="170"/>
      <c r="O266" s="170"/>
      <c r="P266" s="203"/>
      <c r="Q266" s="234"/>
      <c r="R266" s="170"/>
      <c r="S266" s="170"/>
      <c r="T266" s="203"/>
      <c r="U266" s="234"/>
      <c r="V266" s="170"/>
      <c r="W266" s="170"/>
      <c r="X266" s="203"/>
      <c r="Y266" s="234"/>
      <c r="Z266" s="170"/>
      <c r="AA266" s="170"/>
      <c r="AB266" s="203">
        <f>5.347-AB265</f>
        <v>2.9510000000000005</v>
      </c>
      <c r="AC266" s="168"/>
      <c r="AD266" s="170"/>
      <c r="AE266" s="170"/>
      <c r="AF266" s="203">
        <f>7.412-AF265</f>
        <v>3.7650000000000001</v>
      </c>
      <c r="AG266" s="168">
        <f t="shared" ref="AG266:AG271" si="338">IF(AB266&lt;0,"       NM",(AF266/AB266-1)*100)</f>
        <v>27.58386987461876</v>
      </c>
      <c r="AH266" s="170"/>
      <c r="AI266" s="170"/>
      <c r="AJ266" s="203">
        <f>8.609-AJ265</f>
        <v>4.3970000000000002</v>
      </c>
      <c r="AK266" s="168">
        <f t="shared" ref="AK266:AK271" si="339">IF(AF266&lt;0,"       NM",(AJ266/AF266-1)*100)</f>
        <v>16.786188579017256</v>
      </c>
      <c r="AL266" s="170"/>
      <c r="AM266" s="170"/>
      <c r="AN266" s="203">
        <f>10.51-AN265</f>
        <v>5.5619999999999994</v>
      </c>
      <c r="AO266" s="168">
        <f t="shared" ref="AO266:AO271" si="340">IF(AJ266&lt;0,"       NM",(AN266/AJ266-1)*100)</f>
        <v>26.49533773027062</v>
      </c>
      <c r="AP266" s="170"/>
      <c r="AQ266" s="170"/>
      <c r="AR266" s="170"/>
      <c r="AS266" s="170"/>
      <c r="AT266" s="170"/>
      <c r="AU266" s="203">
        <f>15.274-AU265</f>
        <v>8.0329999999999995</v>
      </c>
      <c r="AV266" s="168">
        <f t="shared" si="323"/>
        <v>44.426465300251714</v>
      </c>
      <c r="AW266" s="170"/>
      <c r="AX266" s="170"/>
      <c r="AY266" s="203">
        <f>18.571-AY265</f>
        <v>9.772000000000002</v>
      </c>
      <c r="AZ266" s="168">
        <f t="shared" si="324"/>
        <v>21.648201170173074</v>
      </c>
      <c r="BA266" s="170"/>
      <c r="BB266" s="170"/>
      <c r="BC266" s="203">
        <f>25.034-BC265</f>
        <v>13.097</v>
      </c>
      <c r="BD266" s="168">
        <f t="shared" si="325"/>
        <v>34.025787965616018</v>
      </c>
      <c r="BE266" s="170"/>
      <c r="BF266" s="170"/>
      <c r="BG266" s="203">
        <f>33.648-BG265</f>
        <v>17.108000000000004</v>
      </c>
      <c r="BH266" s="168">
        <f t="shared" si="326"/>
        <v>30.62533404596477</v>
      </c>
      <c r="BI266" s="170"/>
      <c r="BJ266" s="170"/>
      <c r="BK266" s="203">
        <f>39.814-BK265</f>
        <v>20.471</v>
      </c>
      <c r="BL266" s="168">
        <f t="shared" si="327"/>
        <v>19.657470189385062</v>
      </c>
      <c r="BM266" s="170"/>
      <c r="BN266" s="170"/>
      <c r="BO266" s="203">
        <f>45.093-BO265</f>
        <v>23.003000000000004</v>
      </c>
      <c r="BP266" s="168">
        <f t="shared" si="328"/>
        <v>12.368716721215399</v>
      </c>
      <c r="BQ266" s="170"/>
      <c r="BR266" s="25"/>
      <c r="BS266" s="241">
        <f>49.051-BS265</f>
        <v>24.704000000000001</v>
      </c>
      <c r="BT266" s="23">
        <f t="shared" si="329"/>
        <v>7.3946876494370262</v>
      </c>
      <c r="BU266" s="25"/>
      <c r="BV266" s="25"/>
      <c r="BW266" s="241">
        <f>53.304-BW265</f>
        <v>26.753000000000004</v>
      </c>
      <c r="BX266" s="23">
        <f t="shared" si="330"/>
        <v>8.294203367875653</v>
      </c>
      <c r="BY266" s="25"/>
      <c r="BZ266" s="25"/>
      <c r="CA266" s="241">
        <f>+CA265</f>
        <v>28.8</v>
      </c>
      <c r="CB266" s="23">
        <f t="shared" si="331"/>
        <v>7.6514783388778707</v>
      </c>
      <c r="CC266" s="25"/>
      <c r="CD266" s="174"/>
      <c r="CE266" s="241">
        <f>64.568-CE265</f>
        <v>32.489999999999995</v>
      </c>
      <c r="CF266" s="23">
        <f t="shared" si="332"/>
        <v>12.812499999999982</v>
      </c>
      <c r="CG266" s="174"/>
      <c r="CH266" s="174"/>
      <c r="CI266" s="284">
        <f>63.903-CI265</f>
        <v>29.424999999999997</v>
      </c>
      <c r="CJ266" s="23">
        <f t="shared" si="333"/>
        <v>-9.4336718990458586</v>
      </c>
      <c r="CK266" s="174"/>
      <c r="CL266" s="174"/>
      <c r="CM266" s="284">
        <v>36.5</v>
      </c>
      <c r="CN266" s="23">
        <f t="shared" si="334"/>
        <v>24.044180118946489</v>
      </c>
      <c r="CO266" s="174"/>
      <c r="CP266" s="174"/>
      <c r="CQ266" s="284">
        <f>68.393-CQ265</f>
        <v>33.548999999999999</v>
      </c>
      <c r="CR266" s="23">
        <f t="shared" si="335"/>
        <v>-8.0849315068493137</v>
      </c>
      <c r="CS266" s="174"/>
      <c r="CT266" s="174"/>
      <c r="CU266" s="284">
        <f>64.719-CU265</f>
        <v>32.582999999999991</v>
      </c>
      <c r="CV266" s="23">
        <f t="shared" si="336"/>
        <v>-2.8793704730394554</v>
      </c>
      <c r="CW266" s="1463"/>
      <c r="CX266" s="174"/>
      <c r="CY266" s="1730">
        <f>CY265</f>
        <v>34</v>
      </c>
      <c r="CZ266" s="23">
        <f t="shared" si="337"/>
        <v>4.348893594819403</v>
      </c>
      <c r="DA266" s="1463"/>
      <c r="DB266" s="174"/>
      <c r="DC266" s="174"/>
      <c r="DD266" s="174"/>
      <c r="DE266" s="174"/>
      <c r="DF266" s="175"/>
      <c r="DG266" s="25"/>
      <c r="DH266" s="25"/>
      <c r="DI266" s="25"/>
      <c r="DJ266" s="25"/>
    </row>
    <row r="267" spans="1:114" outlineLevel="1">
      <c r="A267" s="170" t="str">
        <f>$A$12</f>
        <v>3Q</v>
      </c>
      <c r="B267" s="170" t="str">
        <f>$B$12</f>
        <v>Oct</v>
      </c>
      <c r="C267" s="170"/>
      <c r="D267" s="203"/>
      <c r="E267" s="234"/>
      <c r="F267" s="170"/>
      <c r="G267" s="170"/>
      <c r="H267" s="203"/>
      <c r="I267" s="234"/>
      <c r="J267" s="170"/>
      <c r="K267" s="170"/>
      <c r="L267" s="203"/>
      <c r="M267" s="234"/>
      <c r="N267" s="170"/>
      <c r="O267" s="170"/>
      <c r="P267" s="203"/>
      <c r="Q267" s="234"/>
      <c r="R267" s="170"/>
      <c r="S267" s="170"/>
      <c r="T267" s="203"/>
      <c r="U267" s="234"/>
      <c r="V267" s="170"/>
      <c r="W267" s="170"/>
      <c r="X267" s="203"/>
      <c r="Y267" s="234"/>
      <c r="Z267" s="170" t="s">
        <v>482</v>
      </c>
      <c r="AA267" s="170"/>
      <c r="AB267" s="203">
        <f>8.537-SUM(AB265:AB266)</f>
        <v>3.1900000000000004</v>
      </c>
      <c r="AC267" s="168"/>
      <c r="AD267" s="170"/>
      <c r="AE267" s="170"/>
      <c r="AF267" s="203">
        <f>11.433-SUM(AF265:AF266)</f>
        <v>4.0209999999999999</v>
      </c>
      <c r="AG267" s="168">
        <f t="shared" si="338"/>
        <v>26.050156739811904</v>
      </c>
      <c r="AH267" s="170"/>
      <c r="AI267" s="170"/>
      <c r="AJ267" s="203">
        <f>13.264-SUM(AJ265:AJ266)</f>
        <v>4.6549999999999994</v>
      </c>
      <c r="AK267" s="168">
        <f t="shared" si="339"/>
        <v>15.767222084058673</v>
      </c>
      <c r="AL267" s="170"/>
      <c r="AM267" s="170"/>
      <c r="AN267" s="203">
        <f>16.055-SUM(AN265:AN266)</f>
        <v>5.5449999999999999</v>
      </c>
      <c r="AO267" s="168">
        <f t="shared" si="340"/>
        <v>19.119226638023655</v>
      </c>
      <c r="AP267" s="170" t="s">
        <v>482</v>
      </c>
      <c r="AQ267" s="170"/>
      <c r="AR267" s="170"/>
      <c r="AS267" s="170"/>
      <c r="AT267" s="170"/>
      <c r="AU267" s="203">
        <f>20.347-SUM(AU265:AU266)</f>
        <v>5.0730000000000022</v>
      </c>
      <c r="AV267" s="168">
        <f t="shared" si="323"/>
        <v>-8.5121731289449549</v>
      </c>
      <c r="AW267" s="170" t="s">
        <v>482</v>
      </c>
      <c r="AX267" s="170"/>
      <c r="AY267" s="203">
        <f>28.483-AY266-AY265</f>
        <v>9.911999999999999</v>
      </c>
      <c r="AZ267" s="168">
        <f t="shared" si="324"/>
        <v>95.387344766410308</v>
      </c>
      <c r="BA267" s="170" t="s">
        <v>482</v>
      </c>
      <c r="BB267" s="170"/>
      <c r="BC267" s="203">
        <f>39.239-BC266-BC265</f>
        <v>14.204999999999997</v>
      </c>
      <c r="BD267" s="168">
        <f t="shared" si="325"/>
        <v>43.311138014527813</v>
      </c>
      <c r="BE267" s="170" t="s">
        <v>482</v>
      </c>
      <c r="BF267" s="170"/>
      <c r="BG267" s="203">
        <f>51.291-BG266-BG265</f>
        <v>17.642999999999994</v>
      </c>
      <c r="BH267" s="168">
        <f t="shared" si="326"/>
        <v>24.202745512143586</v>
      </c>
      <c r="BI267" s="170" t="s">
        <v>482</v>
      </c>
      <c r="BJ267" s="170"/>
      <c r="BK267" s="203">
        <f>60.893-BK266-BK265</f>
        <v>21.078999999999997</v>
      </c>
      <c r="BL267" s="168">
        <f t="shared" si="327"/>
        <v>19.475145950235252</v>
      </c>
      <c r="BM267" s="170" t="s">
        <v>482</v>
      </c>
      <c r="BN267" s="170"/>
      <c r="BO267" s="203">
        <f>68.721-BO266-BO265</f>
        <v>23.628000000000004</v>
      </c>
      <c r="BP267" s="168">
        <f t="shared" si="328"/>
        <v>12.092604013473164</v>
      </c>
      <c r="BQ267" s="170" t="s">
        <v>482</v>
      </c>
      <c r="BR267" s="25"/>
      <c r="BS267" s="241">
        <f>74.856-BS266-BS265</f>
        <v>25.804999999999993</v>
      </c>
      <c r="BT267" s="23">
        <f t="shared" si="329"/>
        <v>9.2136448281699082</v>
      </c>
      <c r="BU267" s="25"/>
      <c r="BV267" s="25"/>
      <c r="BW267" s="241">
        <f>80.708-BW266-BW265</f>
        <v>27.404</v>
      </c>
      <c r="BX267" s="23">
        <f t="shared" si="330"/>
        <v>6.1964735516373048</v>
      </c>
      <c r="BY267" s="25" t="s">
        <v>482</v>
      </c>
      <c r="BZ267" s="25"/>
      <c r="CA267" s="241">
        <f>+CA266+2</f>
        <v>30.8</v>
      </c>
      <c r="CB267" s="23">
        <f t="shared" si="331"/>
        <v>12.392351481535545</v>
      </c>
      <c r="CC267" s="25" t="s">
        <v>482</v>
      </c>
      <c r="CD267" s="174"/>
      <c r="CE267" s="241">
        <f>97.786-CE266-CE265</f>
        <v>33.218000000000004</v>
      </c>
      <c r="CF267" s="23">
        <f t="shared" si="332"/>
        <v>7.8506493506493635</v>
      </c>
      <c r="CG267" s="174"/>
      <c r="CH267" s="174"/>
      <c r="CI267" s="284">
        <f>103.377-SUM(CI265:CI266)</f>
        <v>39.473999999999997</v>
      </c>
      <c r="CJ267" s="23">
        <f t="shared" si="333"/>
        <v>18.83316274309108</v>
      </c>
      <c r="CK267" s="174"/>
      <c r="CL267" s="174"/>
      <c r="CM267" s="284">
        <v>37</v>
      </c>
      <c r="CN267" s="23">
        <f t="shared" si="334"/>
        <v>-6.2674165273344347</v>
      </c>
      <c r="CO267" s="174"/>
      <c r="CP267" s="174"/>
      <c r="CQ267" s="284">
        <f>101.181-SUM(CQ265:CQ266)</f>
        <v>32.787999999999997</v>
      </c>
      <c r="CR267" s="23">
        <f t="shared" si="335"/>
        <v>-11.383783783783796</v>
      </c>
      <c r="CS267" s="174"/>
      <c r="CT267" s="174"/>
      <c r="CU267" s="1730">
        <f>CU266</f>
        <v>32.582999999999991</v>
      </c>
      <c r="CV267" s="23">
        <f t="shared" si="336"/>
        <v>-0.62522874222278313</v>
      </c>
      <c r="CW267" s="1463"/>
      <c r="CX267" s="174"/>
      <c r="CY267" s="1730">
        <f>CY266</f>
        <v>34</v>
      </c>
      <c r="CZ267" s="23">
        <f t="shared" si="337"/>
        <v>4.348893594819403</v>
      </c>
      <c r="DA267" s="1463"/>
      <c r="DB267" s="174"/>
      <c r="DC267" s="174"/>
      <c r="DD267" s="174"/>
      <c r="DE267" s="174"/>
      <c r="DF267" s="175"/>
      <c r="DG267" s="25"/>
      <c r="DH267" s="25"/>
      <c r="DI267" s="25"/>
      <c r="DJ267" s="25"/>
    </row>
    <row r="268" spans="1:114" outlineLevel="1">
      <c r="A268" s="170" t="str">
        <f>$A$13</f>
        <v>4Q</v>
      </c>
      <c r="B268" s="170" t="str">
        <f>$B$13</f>
        <v>Jan</v>
      </c>
      <c r="C268" s="209"/>
      <c r="D268" s="210"/>
      <c r="E268" s="234"/>
      <c r="F268" s="170"/>
      <c r="G268" s="170"/>
      <c r="H268" s="210"/>
      <c r="I268" s="234"/>
      <c r="J268" s="170"/>
      <c r="K268" s="170"/>
      <c r="L268" s="210"/>
      <c r="M268" s="234"/>
      <c r="N268" s="170"/>
      <c r="O268" s="170"/>
      <c r="P268" s="210"/>
      <c r="Q268" s="234"/>
      <c r="R268" s="170"/>
      <c r="S268" s="170"/>
      <c r="T268" s="210"/>
      <c r="U268" s="234"/>
      <c r="V268" s="170"/>
      <c r="W268" s="170"/>
      <c r="X268" s="210"/>
      <c r="Y268" s="234"/>
      <c r="Z268" s="170"/>
      <c r="AA268" s="170"/>
      <c r="AB268" s="366">
        <f>AB269-SUM(AB265:AB267)</f>
        <v>3.4599999999999991</v>
      </c>
      <c r="AC268" s="168"/>
      <c r="AD268" s="170"/>
      <c r="AE268" s="170"/>
      <c r="AF268" s="366">
        <f>AF269-SUM(AF265:AF267)</f>
        <v>4.0289999999999999</v>
      </c>
      <c r="AG268" s="168">
        <f t="shared" si="338"/>
        <v>16.44508670520235</v>
      </c>
      <c r="AH268" s="170"/>
      <c r="AI268" s="170"/>
      <c r="AJ268" s="366">
        <f>AJ269-SUM(AJ265:AJ267)</f>
        <v>6.6859999999999999</v>
      </c>
      <c r="AK268" s="168">
        <f t="shared" si="339"/>
        <v>65.946885083147194</v>
      </c>
      <c r="AL268" s="170"/>
      <c r="AM268" s="170"/>
      <c r="AN268" s="366">
        <f>AN269-SUM(AN265:AN267)</f>
        <v>8.9550000000000018</v>
      </c>
      <c r="AO268" s="168">
        <f t="shared" si="340"/>
        <v>33.936583906670691</v>
      </c>
      <c r="AP268" s="170"/>
      <c r="AQ268" s="170"/>
      <c r="AR268" s="170"/>
      <c r="AS268" s="170"/>
      <c r="AT268" s="170"/>
      <c r="AU268" s="366">
        <f>AU269-SUM(AU265:AU267)</f>
        <v>11.510999999999999</v>
      </c>
      <c r="AV268" s="168">
        <f t="shared" si="323"/>
        <v>28.542713567839151</v>
      </c>
      <c r="AW268" s="170"/>
      <c r="AX268" s="170"/>
      <c r="AY268" s="366">
        <f>AY269-SUM(AY265:AY267)</f>
        <v>10.857000000000003</v>
      </c>
      <c r="AZ268" s="168">
        <f t="shared" si="324"/>
        <v>-5.6815220224133096</v>
      </c>
      <c r="BA268" s="170"/>
      <c r="BB268" s="170"/>
      <c r="BC268" s="366">
        <f>BC269-SUM(BC265:BC267)</f>
        <v>16.474000000000004</v>
      </c>
      <c r="BD268" s="168">
        <f t="shared" si="325"/>
        <v>51.736207055355976</v>
      </c>
      <c r="BE268" s="170"/>
      <c r="BF268" s="170"/>
      <c r="BG268" s="366">
        <f>BG269-SUM(BG265:BG267)</f>
        <v>18.725999999999999</v>
      </c>
      <c r="BH268" s="168">
        <f t="shared" si="326"/>
        <v>13.670025494718917</v>
      </c>
      <c r="BI268" s="170"/>
      <c r="BJ268" s="170"/>
      <c r="BK268" s="366">
        <f>BK269-BK267-BK266-BK265</f>
        <v>21.056000000000001</v>
      </c>
      <c r="BL268" s="168">
        <f t="shared" si="327"/>
        <v>12.442593185944695</v>
      </c>
      <c r="BM268" s="170"/>
      <c r="BN268" s="170"/>
      <c r="BO268" s="366">
        <f>BO269-BO267-BO266-BO265</f>
        <v>23.628999999999994</v>
      </c>
      <c r="BP268" s="168">
        <f t="shared" si="328"/>
        <v>12.219794832826715</v>
      </c>
      <c r="BQ268" s="170"/>
      <c r="BR268" s="25"/>
      <c r="BS268" s="367">
        <f>BS269-BS267-BS266-BS265</f>
        <v>26.249000000000009</v>
      </c>
      <c r="BT268" s="23">
        <f t="shared" si="329"/>
        <v>11.088069744805185</v>
      </c>
      <c r="BU268" s="25"/>
      <c r="BV268" s="25"/>
      <c r="BW268" s="367">
        <f>BW269-BW267-BW266-BW265</f>
        <v>27.404</v>
      </c>
      <c r="BX268" s="23">
        <f t="shared" si="330"/>
        <v>4.4001676254333155</v>
      </c>
      <c r="BY268" s="25"/>
      <c r="BZ268" s="25"/>
      <c r="CA268" s="367">
        <f>+CA269-CA267-CA266-CA265</f>
        <v>30.264000000000006</v>
      </c>
      <c r="CB268" s="23">
        <f t="shared" si="331"/>
        <v>10.43643263757119</v>
      </c>
      <c r="CC268" s="25"/>
      <c r="CD268" s="174"/>
      <c r="CE268" s="367">
        <f>+CE269-CE267-CE266-CE265</f>
        <v>34.877999999999986</v>
      </c>
      <c r="CF268" s="23">
        <f t="shared" si="332"/>
        <v>15.245836637589139</v>
      </c>
      <c r="CG268" s="174"/>
      <c r="CH268" s="174"/>
      <c r="CI268" s="367">
        <f>+CI269-CI267-CI266-CI265</f>
        <v>34.733000000000025</v>
      </c>
      <c r="CJ268" s="23">
        <f t="shared" si="333"/>
        <v>-0.41573484718149256</v>
      </c>
      <c r="CK268" s="174"/>
      <c r="CL268" s="174"/>
      <c r="CM268" s="367">
        <f>+CM269-CM267-CM266-CM265</f>
        <v>33.722000000000008</v>
      </c>
      <c r="CN268" s="23">
        <f t="shared" si="334"/>
        <v>-2.9107764949760084</v>
      </c>
      <c r="CO268" s="174"/>
      <c r="CP268" s="174"/>
      <c r="CQ268" s="367">
        <f>+CQ269-CQ267-CQ266-CQ265</f>
        <v>34.149000000000022</v>
      </c>
      <c r="CR268" s="23">
        <f t="shared" si="335"/>
        <v>1.2662356918332618</v>
      </c>
      <c r="CS268" s="174"/>
      <c r="CT268" s="174"/>
      <c r="CU268" s="1731">
        <f>+CU269-CU267-CU266-CU265</f>
        <v>34.367999999999988</v>
      </c>
      <c r="CV268" s="23">
        <f t="shared" si="336"/>
        <v>0.64130721250978961</v>
      </c>
      <c r="CW268" s="1463"/>
      <c r="CX268" s="174"/>
      <c r="CY268" s="1731">
        <f>+CY269-CY267-CY266-CY265</f>
        <v>30.990000000000009</v>
      </c>
      <c r="CZ268" s="23">
        <f t="shared" si="337"/>
        <v>-9.8289106145250766</v>
      </c>
      <c r="DA268" s="1463"/>
      <c r="DB268" s="174"/>
      <c r="DC268" s="174"/>
      <c r="DD268" s="174"/>
      <c r="DE268" s="174"/>
      <c r="DF268" s="175"/>
      <c r="DG268" s="25"/>
      <c r="DH268" s="25"/>
      <c r="DI268" s="25"/>
      <c r="DJ268" s="25"/>
    </row>
    <row r="269" spans="1:114" outlineLevel="1">
      <c r="A269" s="170"/>
      <c r="B269" s="170" t="str">
        <f>$B$14</f>
        <v>Year</v>
      </c>
      <c r="C269" s="170"/>
      <c r="D269" s="214"/>
      <c r="E269" s="234"/>
      <c r="F269" s="170"/>
      <c r="G269" s="170"/>
      <c r="H269" s="214"/>
      <c r="I269" s="234"/>
      <c r="J269" s="170"/>
      <c r="K269" s="170"/>
      <c r="L269" s="214"/>
      <c r="M269" s="234"/>
      <c r="N269" s="170"/>
      <c r="O269" s="170"/>
      <c r="P269" s="214"/>
      <c r="Q269" s="234"/>
      <c r="R269" s="170"/>
      <c r="S269" s="170"/>
      <c r="T269" s="214"/>
      <c r="U269" s="234"/>
      <c r="V269" s="170"/>
      <c r="W269" s="170"/>
      <c r="X269" s="214"/>
      <c r="Y269" s="234"/>
      <c r="Z269" s="170"/>
      <c r="AA269" s="170"/>
      <c r="AB269" s="214">
        <f>flow!N11</f>
        <v>11.997</v>
      </c>
      <c r="AC269" s="168"/>
      <c r="AD269" s="170"/>
      <c r="AE269" s="170"/>
      <c r="AF269" s="214">
        <f>flow!P11</f>
        <v>15.462</v>
      </c>
      <c r="AG269" s="168">
        <f t="shared" si="338"/>
        <v>28.882220555138783</v>
      </c>
      <c r="AH269" s="170"/>
      <c r="AI269" s="170"/>
      <c r="AJ269" s="214">
        <f>flow!R11</f>
        <v>19.95</v>
      </c>
      <c r="AK269" s="168">
        <f t="shared" si="339"/>
        <v>29.025999223903764</v>
      </c>
      <c r="AL269" s="170"/>
      <c r="AM269" s="170"/>
      <c r="AN269" s="214">
        <f>flow!T11</f>
        <v>25.01</v>
      </c>
      <c r="AO269" s="168">
        <f t="shared" si="340"/>
        <v>25.363408521303278</v>
      </c>
      <c r="AP269" s="170"/>
      <c r="AQ269" s="170"/>
      <c r="AR269" s="170"/>
      <c r="AS269" s="170"/>
      <c r="AT269" s="170"/>
      <c r="AU269" s="214">
        <f>flow!V11</f>
        <v>31.858000000000001</v>
      </c>
      <c r="AV269" s="168">
        <f t="shared" si="323"/>
        <v>27.3810475809676</v>
      </c>
      <c r="AW269" s="170"/>
      <c r="AX269" s="170"/>
      <c r="AY269" s="214">
        <f>flow!X11</f>
        <v>39.340000000000003</v>
      </c>
      <c r="AZ269" s="168">
        <f t="shared" si="324"/>
        <v>23.485466758741925</v>
      </c>
      <c r="BA269" s="170"/>
      <c r="BB269" s="170"/>
      <c r="BC269" s="214">
        <f>flow!Z11</f>
        <v>55.713000000000001</v>
      </c>
      <c r="BD269" s="168">
        <f t="shared" si="325"/>
        <v>41.619217081850522</v>
      </c>
      <c r="BE269" s="170"/>
      <c r="BF269" s="170"/>
      <c r="BG269" s="214">
        <f>flow!AB11</f>
        <v>70.016999999999996</v>
      </c>
      <c r="BH269" s="168">
        <f t="shared" si="326"/>
        <v>25.674438640891694</v>
      </c>
      <c r="BI269" s="170"/>
      <c r="BJ269" s="170"/>
      <c r="BK269" s="214">
        <f>flow!AD11</f>
        <v>81.948999999999998</v>
      </c>
      <c r="BL269" s="168">
        <f t="shared" si="327"/>
        <v>17.04157561735007</v>
      </c>
      <c r="BM269" s="170"/>
      <c r="BN269" s="170"/>
      <c r="BO269" s="214">
        <f>flow!AF11</f>
        <v>92.35</v>
      </c>
      <c r="BP269" s="168">
        <f t="shared" si="328"/>
        <v>12.692040171326058</v>
      </c>
      <c r="BQ269" s="170"/>
      <c r="BR269" s="25"/>
      <c r="BS269" s="32">
        <f>+flow!AH11</f>
        <v>101.105</v>
      </c>
      <c r="BT269" s="23">
        <f t="shared" si="329"/>
        <v>9.4802382241472749</v>
      </c>
      <c r="BU269" s="25"/>
      <c r="BV269" s="25"/>
      <c r="BW269" s="32">
        <f>+flow!AJ11</f>
        <v>108.11199999999999</v>
      </c>
      <c r="BX269" s="23">
        <f t="shared" si="330"/>
        <v>6.9304188714702342</v>
      </c>
      <c r="BY269" s="25"/>
      <c r="BZ269" s="25"/>
      <c r="CA269" s="32">
        <f>+flow!AL11</f>
        <v>118.664</v>
      </c>
      <c r="CB269" s="23">
        <f t="shared" si="331"/>
        <v>9.7602486310492953</v>
      </c>
      <c r="CC269" s="25"/>
      <c r="CD269" s="174"/>
      <c r="CE269" s="32">
        <f>flow!AN11</f>
        <v>132.66399999999999</v>
      </c>
      <c r="CF269" s="23">
        <f t="shared" si="332"/>
        <v>11.798017932987248</v>
      </c>
      <c r="CG269" s="174"/>
      <c r="CH269" s="174"/>
      <c r="CI269" s="32">
        <f>flow!AP11</f>
        <v>138.11000000000001</v>
      </c>
      <c r="CJ269" s="23">
        <f t="shared" si="333"/>
        <v>4.1051076403546105</v>
      </c>
      <c r="CK269" s="174"/>
      <c r="CL269" s="174"/>
      <c r="CM269" s="32">
        <f>flow!AR11</f>
        <v>142.72200000000001</v>
      </c>
      <c r="CN269" s="23">
        <f t="shared" si="334"/>
        <v>3.3393671710955086</v>
      </c>
      <c r="CO269" s="174"/>
      <c r="CP269" s="174"/>
      <c r="CQ269" s="32">
        <f>flow!$AT$11</f>
        <v>135.33000000000001</v>
      </c>
      <c r="CR269" s="23">
        <f t="shared" si="335"/>
        <v>-5.1792996174380939</v>
      </c>
      <c r="CS269" s="174"/>
      <c r="CT269" s="174"/>
      <c r="CU269" s="32">
        <f>flow!$AV$11</f>
        <v>131.66999999999999</v>
      </c>
      <c r="CV269" s="23">
        <f t="shared" si="336"/>
        <v>-2.7045001108401912</v>
      </c>
      <c r="CW269" s="1463"/>
      <c r="CX269" s="174"/>
      <c r="CY269" s="32">
        <f>flow!$AX$11</f>
        <v>132.99</v>
      </c>
      <c r="CZ269" s="23">
        <f t="shared" si="337"/>
        <v>1.0025062656641825</v>
      </c>
      <c r="DA269" s="1463"/>
      <c r="DB269" s="174"/>
      <c r="DC269" s="174"/>
      <c r="DD269" s="174"/>
      <c r="DE269" s="174"/>
      <c r="DF269" s="175"/>
      <c r="DG269" s="25"/>
      <c r="DH269" s="25"/>
      <c r="DI269" s="25"/>
      <c r="DJ269" s="25"/>
    </row>
    <row r="270" spans="1:114" outlineLevel="1">
      <c r="A270" s="170" t="str">
        <f>$A$15</f>
        <v>6 Mos</v>
      </c>
      <c r="B270" s="170"/>
      <c r="C270" s="170"/>
      <c r="D270" s="217">
        <f>(D265+D266)/2</f>
        <v>0</v>
      </c>
      <c r="E270" s="234"/>
      <c r="F270" s="170"/>
      <c r="G270" s="170"/>
      <c r="H270" s="217">
        <f>(H265+H266)/2</f>
        <v>0</v>
      </c>
      <c r="I270" s="234"/>
      <c r="J270" s="170"/>
      <c r="K270" s="170"/>
      <c r="L270" s="217">
        <f>(L265+L266)/2</f>
        <v>0</v>
      </c>
      <c r="M270" s="234"/>
      <c r="N270" s="170"/>
      <c r="O270" s="170"/>
      <c r="P270" s="217">
        <f>(P265+P266)/2</f>
        <v>0</v>
      </c>
      <c r="Q270" s="234"/>
      <c r="R270" s="170"/>
      <c r="S270" s="170"/>
      <c r="T270" s="217">
        <f>(T265+T266)/2</f>
        <v>0</v>
      </c>
      <c r="U270" s="234"/>
      <c r="V270" s="170"/>
      <c r="W270" s="170"/>
      <c r="X270" s="217">
        <f>SUM(X265:X266)</f>
        <v>0</v>
      </c>
      <c r="Y270" s="234"/>
      <c r="Z270" s="170"/>
      <c r="AA270" s="170"/>
      <c r="AB270" s="217">
        <f>SUM(AB265:AB266)</f>
        <v>5.3470000000000004</v>
      </c>
      <c r="AC270" s="168"/>
      <c r="AD270" s="170"/>
      <c r="AE270" s="170"/>
      <c r="AF270" s="217">
        <f>SUM(AF265:AF266)</f>
        <v>7.4119999999999999</v>
      </c>
      <c r="AG270" s="168">
        <f t="shared" si="338"/>
        <v>38.619786796334374</v>
      </c>
      <c r="AH270" s="170"/>
      <c r="AI270" s="170"/>
      <c r="AJ270" s="217">
        <f>SUM(AJ265:AJ266)</f>
        <v>8.609</v>
      </c>
      <c r="AK270" s="168">
        <f t="shared" si="339"/>
        <v>16.149487317862921</v>
      </c>
      <c r="AL270" s="170"/>
      <c r="AM270" s="170"/>
      <c r="AN270" s="217">
        <f>SUM(AN265:AN266)</f>
        <v>10.51</v>
      </c>
      <c r="AO270" s="168">
        <f t="shared" si="340"/>
        <v>22.081542571727255</v>
      </c>
      <c r="AP270" s="170"/>
      <c r="AQ270" s="170"/>
      <c r="AR270" s="170"/>
      <c r="AS270" s="170"/>
      <c r="AT270" s="170"/>
      <c r="AU270" s="217">
        <f>SUM(AU265:AU266)</f>
        <v>15.273999999999999</v>
      </c>
      <c r="AV270" s="168">
        <f t="shared" si="323"/>
        <v>45.328258801141772</v>
      </c>
      <c r="AW270" s="170"/>
      <c r="AX270" s="170"/>
      <c r="AY270" s="217">
        <f>(AY265+AY266)/2</f>
        <v>9.2855000000000008</v>
      </c>
      <c r="AZ270" s="168">
        <f t="shared" si="324"/>
        <v>-39.207149404216302</v>
      </c>
      <c r="BA270" s="170"/>
      <c r="BB270" s="170"/>
      <c r="BC270" s="217">
        <f>(BC265+BC266)/2</f>
        <v>12.516999999999999</v>
      </c>
      <c r="BD270" s="168">
        <f t="shared" si="325"/>
        <v>34.801572343977163</v>
      </c>
      <c r="BE270" s="170"/>
      <c r="BF270" s="170"/>
      <c r="BG270" s="217">
        <f>(BG265+BG266)/2</f>
        <v>16.824000000000002</v>
      </c>
      <c r="BH270" s="168">
        <f t="shared" si="326"/>
        <v>34.409203483262772</v>
      </c>
      <c r="BI270" s="170"/>
      <c r="BJ270" s="170"/>
      <c r="BK270" s="217">
        <f>(BK265+BK266)/2</f>
        <v>19.907</v>
      </c>
      <c r="BL270" s="168">
        <f t="shared" si="327"/>
        <v>18.325011887779354</v>
      </c>
      <c r="BM270" s="170"/>
      <c r="BN270" s="170"/>
      <c r="BO270" s="217">
        <f>(BO265+BO266)/2</f>
        <v>22.546500000000002</v>
      </c>
      <c r="BP270" s="168">
        <f t="shared" si="328"/>
        <v>13.259155071080531</v>
      </c>
      <c r="BQ270" s="170"/>
      <c r="BR270" s="25"/>
      <c r="BS270" s="34">
        <f>(BS265+BS266)/2</f>
        <v>24.525500000000001</v>
      </c>
      <c r="BT270" s="23">
        <f t="shared" si="329"/>
        <v>8.7774155633911999</v>
      </c>
      <c r="BU270" s="25"/>
      <c r="BV270" s="25"/>
      <c r="BW270" s="34">
        <f>(BW265+BW266)/2</f>
        <v>26.652000000000001</v>
      </c>
      <c r="BX270" s="23">
        <f t="shared" si="330"/>
        <v>8.6705673686571227</v>
      </c>
      <c r="BY270" s="25"/>
      <c r="BZ270" s="25"/>
      <c r="CA270" s="34">
        <f>(CA265+CA266)/2</f>
        <v>28.8</v>
      </c>
      <c r="CB270" s="23">
        <f t="shared" si="331"/>
        <v>8.0594326879783971</v>
      </c>
      <c r="CC270" s="25"/>
      <c r="CD270" s="174"/>
      <c r="CE270" s="34">
        <f>(CE265+CE266)/2</f>
        <v>32.283999999999999</v>
      </c>
      <c r="CF270" s="23">
        <f t="shared" si="332"/>
        <v>12.097222222222225</v>
      </c>
      <c r="CG270" s="174"/>
      <c r="CH270" s="174"/>
      <c r="CI270" s="34">
        <f>(CI265+CI266)/2</f>
        <v>31.951499999999999</v>
      </c>
      <c r="CJ270" s="23">
        <f t="shared" si="333"/>
        <v>-1.0299219427580164</v>
      </c>
      <c r="CK270" s="174"/>
      <c r="CL270" s="174"/>
      <c r="CM270" s="34">
        <f>(CM265+CM266)/2</f>
        <v>36</v>
      </c>
      <c r="CN270" s="23">
        <f t="shared" si="334"/>
        <v>12.670766630674613</v>
      </c>
      <c r="CO270" s="174"/>
      <c r="CP270" s="174"/>
      <c r="CQ270" s="34">
        <f>(CQ265+CQ266)/2</f>
        <v>34.1965</v>
      </c>
      <c r="CR270" s="23">
        <f t="shared" si="335"/>
        <v>-5.0097222222222237</v>
      </c>
      <c r="CS270" s="174"/>
      <c r="CT270" s="174"/>
      <c r="CU270" s="34">
        <f>(CU265+CU266)/2</f>
        <v>32.359499999999997</v>
      </c>
      <c r="CV270" s="23">
        <f t="shared" si="336"/>
        <v>-5.3718947845539873</v>
      </c>
      <c r="CW270" s="1463"/>
      <c r="CX270" s="174"/>
      <c r="CY270" s="34">
        <f>(CY265+CY266)/2</f>
        <v>34</v>
      </c>
      <c r="CZ270" s="23">
        <f t="shared" si="337"/>
        <v>5.0696086157079101</v>
      </c>
      <c r="DA270" s="1463"/>
      <c r="DB270" s="174"/>
      <c r="DC270" s="174"/>
      <c r="DD270" s="174"/>
      <c r="DE270" s="174"/>
      <c r="DF270" s="175"/>
      <c r="DG270" s="25"/>
      <c r="DH270" s="25"/>
      <c r="DI270" s="25"/>
      <c r="DJ270" s="25"/>
    </row>
    <row r="271" spans="1:114" outlineLevel="1">
      <c r="A271" s="170" t="str">
        <f>$A$16</f>
        <v>9 Mos</v>
      </c>
      <c r="B271" s="170"/>
      <c r="C271" s="170"/>
      <c r="D271" s="217">
        <f>(D265+D266+D267)/3</f>
        <v>0</v>
      </c>
      <c r="E271" s="234"/>
      <c r="F271" s="170"/>
      <c r="G271" s="170"/>
      <c r="H271" s="217">
        <f>(H265+H266+H267)/3</f>
        <v>0</v>
      </c>
      <c r="I271" s="234"/>
      <c r="J271" s="170"/>
      <c r="K271" s="170"/>
      <c r="L271" s="217">
        <f>(L265+L266+L267)/3</f>
        <v>0</v>
      </c>
      <c r="M271" s="234"/>
      <c r="N271" s="170"/>
      <c r="O271" s="170"/>
      <c r="P271" s="217">
        <f>(P265+P266+P267)/3</f>
        <v>0</v>
      </c>
      <c r="Q271" s="234"/>
      <c r="R271" s="170"/>
      <c r="S271" s="170"/>
      <c r="T271" s="217">
        <f>(T265+T266+T267)/3</f>
        <v>0</v>
      </c>
      <c r="U271" s="234"/>
      <c r="V271" s="170"/>
      <c r="W271" s="170"/>
      <c r="X271" s="217">
        <f>SUM(X265:X267)</f>
        <v>0</v>
      </c>
      <c r="Y271" s="234"/>
      <c r="Z271" s="170"/>
      <c r="AA271" s="170"/>
      <c r="AB271" s="217">
        <f>SUM(AB265:AB267)</f>
        <v>8.5370000000000008</v>
      </c>
      <c r="AC271" s="168"/>
      <c r="AD271" s="170"/>
      <c r="AE271" s="170"/>
      <c r="AF271" s="217">
        <f>SUM(AF265:AF267)</f>
        <v>11.433</v>
      </c>
      <c r="AG271" s="168">
        <f t="shared" si="338"/>
        <v>33.922923743703869</v>
      </c>
      <c r="AH271" s="170"/>
      <c r="AI271" s="170"/>
      <c r="AJ271" s="217">
        <f>SUM(AJ265:AJ267)</f>
        <v>13.263999999999999</v>
      </c>
      <c r="AK271" s="168">
        <f t="shared" si="339"/>
        <v>16.015044170383973</v>
      </c>
      <c r="AL271" s="170"/>
      <c r="AM271" s="170"/>
      <c r="AN271" s="217">
        <f>SUM(AN265:AN267)</f>
        <v>16.055</v>
      </c>
      <c r="AO271" s="168">
        <f t="shared" si="340"/>
        <v>21.041917973461999</v>
      </c>
      <c r="AP271" s="170"/>
      <c r="AQ271" s="170"/>
      <c r="AR271" s="170"/>
      <c r="AS271" s="170"/>
      <c r="AT271" s="170"/>
      <c r="AU271" s="217">
        <f>SUM(AU265:AU267)</f>
        <v>20.347000000000001</v>
      </c>
      <c r="AV271" s="168">
        <f t="shared" si="323"/>
        <v>26.73310495172845</v>
      </c>
      <c r="AW271" s="170"/>
      <c r="AX271" s="170"/>
      <c r="AY271" s="217">
        <f>(AY265+AY266+AY267)/3</f>
        <v>9.4943333333333335</v>
      </c>
      <c r="AZ271" s="168">
        <f t="shared" si="324"/>
        <v>-53.337920414147867</v>
      </c>
      <c r="BA271" s="170"/>
      <c r="BB271" s="170"/>
      <c r="BC271" s="217">
        <f>(BC265+BC266+BC267)/3</f>
        <v>13.079666666666666</v>
      </c>
      <c r="BD271" s="168">
        <f t="shared" si="325"/>
        <v>37.762876101534239</v>
      </c>
      <c r="BE271" s="170"/>
      <c r="BF271" s="170"/>
      <c r="BG271" s="217">
        <f>(BG265+BG266+BG267)/3</f>
        <v>17.096999999999998</v>
      </c>
      <c r="BH271" s="168">
        <f t="shared" si="326"/>
        <v>30.714340324676968</v>
      </c>
      <c r="BI271" s="170"/>
      <c r="BJ271" s="170"/>
      <c r="BK271" s="217">
        <f>(BK265+BK266+BK267)/3</f>
        <v>20.297666666666668</v>
      </c>
      <c r="BL271" s="168">
        <f t="shared" si="327"/>
        <v>18.720633249497975</v>
      </c>
      <c r="BM271" s="170"/>
      <c r="BN271" s="170"/>
      <c r="BO271" s="217">
        <f>(BO265+BO266+BO267)/3</f>
        <v>22.907</v>
      </c>
      <c r="BP271" s="168">
        <f t="shared" si="328"/>
        <v>12.855336409767947</v>
      </c>
      <c r="BQ271" s="170"/>
      <c r="BR271" s="25"/>
      <c r="BS271" s="34">
        <f>(BS265+BS266+BS267)/3</f>
        <v>24.951999999999998</v>
      </c>
      <c r="BT271" s="23">
        <f t="shared" si="329"/>
        <v>8.9274021041602971</v>
      </c>
      <c r="BU271" s="25"/>
      <c r="BV271" s="25"/>
      <c r="BW271" s="34">
        <f>(BW265+BW266+BW267)/3</f>
        <v>26.902666666666665</v>
      </c>
      <c r="BX271" s="23">
        <f t="shared" si="330"/>
        <v>7.8176766057497016</v>
      </c>
      <c r="BY271" s="25"/>
      <c r="BZ271" s="25"/>
      <c r="CA271" s="34">
        <f>(CA265+CA266+CA267)/3</f>
        <v>29.466666666666669</v>
      </c>
      <c r="CB271" s="23">
        <f t="shared" si="331"/>
        <v>9.530653714625581</v>
      </c>
      <c r="CC271" s="25"/>
      <c r="CD271" s="174"/>
      <c r="CE271" s="34">
        <f>(CE265+CE266+CE267)/3</f>
        <v>32.595333333333336</v>
      </c>
      <c r="CF271" s="23">
        <f t="shared" si="332"/>
        <v>10.617647058823533</v>
      </c>
      <c r="CG271" s="174"/>
      <c r="CH271" s="174"/>
      <c r="CI271" s="34">
        <f>(CI265+CI266+CI267)/3</f>
        <v>34.458999999999996</v>
      </c>
      <c r="CJ271" s="23">
        <f t="shared" si="333"/>
        <v>5.7175873846971648</v>
      </c>
      <c r="CK271" s="174"/>
      <c r="CL271" s="174"/>
      <c r="CM271" s="34">
        <f>(CM265+CM266+CM267)/3</f>
        <v>36.333333333333336</v>
      </c>
      <c r="CN271" s="23">
        <f t="shared" si="334"/>
        <v>5.4393143542567746</v>
      </c>
      <c r="CO271" s="174"/>
      <c r="CP271" s="174"/>
      <c r="CQ271" s="34">
        <f>(CQ265+CQ266+CQ267)/3</f>
        <v>33.726999999999997</v>
      </c>
      <c r="CR271" s="23">
        <f t="shared" si="335"/>
        <v>-7.1733944954128548</v>
      </c>
      <c r="CS271" s="174"/>
      <c r="CT271" s="174"/>
      <c r="CU271" s="34">
        <f>(CU265+CU266+CU267)/3</f>
        <v>32.433999999999997</v>
      </c>
      <c r="CV271" s="23">
        <f t="shared" si="336"/>
        <v>-3.8337237228333376</v>
      </c>
      <c r="CW271" s="1463"/>
      <c r="CX271" s="174"/>
      <c r="CY271" s="34">
        <f>(CY265+CY266+CY267)/3</f>
        <v>34</v>
      </c>
      <c r="CZ271" s="23">
        <f t="shared" si="337"/>
        <v>4.8282666337793767</v>
      </c>
      <c r="DA271" s="1463"/>
      <c r="DB271" s="174"/>
      <c r="DC271" s="174"/>
      <c r="DD271" s="174"/>
      <c r="DE271" s="174"/>
      <c r="DF271" s="175"/>
      <c r="DG271" s="25"/>
      <c r="DH271" s="25"/>
      <c r="DI271" s="25"/>
      <c r="DJ271" s="25"/>
    </row>
    <row r="272" spans="1:114" outlineLevel="1">
      <c r="A272" s="170"/>
      <c r="B272" s="170"/>
      <c r="C272" s="170"/>
      <c r="D272" s="170"/>
      <c r="E272" s="170"/>
      <c r="F272" s="170"/>
      <c r="G272" s="170"/>
      <c r="H272" s="170"/>
      <c r="I272" s="170"/>
      <c r="J272" s="170"/>
      <c r="K272" s="170"/>
      <c r="L272" s="170"/>
      <c r="M272" s="170"/>
      <c r="N272" s="170"/>
      <c r="O272" s="170"/>
      <c r="P272" s="170"/>
      <c r="Q272" s="170"/>
      <c r="R272" s="170"/>
      <c r="S272" s="170"/>
      <c r="T272" s="170"/>
      <c r="U272" s="170"/>
      <c r="V272" s="170"/>
      <c r="W272" s="170"/>
      <c r="X272" s="170"/>
      <c r="Y272" s="170"/>
      <c r="Z272" s="170"/>
      <c r="AA272" s="170"/>
      <c r="AB272" s="170"/>
      <c r="AC272" s="170"/>
      <c r="AD272" s="170"/>
      <c r="AE272" s="170"/>
      <c r="AF272" s="170"/>
      <c r="AG272" s="170"/>
      <c r="AH272" s="170"/>
      <c r="AI272" s="170"/>
      <c r="AJ272" s="170"/>
      <c r="AK272" s="170"/>
      <c r="AL272" s="170"/>
      <c r="AM272" s="170"/>
      <c r="AN272" s="170"/>
      <c r="AO272" s="170"/>
      <c r="AP272" s="170"/>
      <c r="AQ272" s="170"/>
      <c r="AR272" s="170"/>
      <c r="AS272" s="170"/>
      <c r="AT272" s="170"/>
      <c r="AU272" s="170"/>
      <c r="AV272" s="170"/>
      <c r="AW272" s="170"/>
      <c r="AX272" s="170"/>
      <c r="AY272" s="170"/>
      <c r="AZ272" s="170"/>
      <c r="BA272" s="170"/>
      <c r="BB272" s="170"/>
      <c r="BC272" s="170"/>
      <c r="BD272" s="170"/>
      <c r="BE272" s="170"/>
      <c r="BF272" s="170"/>
      <c r="BG272" s="170"/>
      <c r="BH272" s="170"/>
      <c r="BI272" s="170"/>
      <c r="BJ272" s="170"/>
      <c r="BK272" s="170"/>
      <c r="BL272" s="170"/>
      <c r="BM272" s="170"/>
      <c r="BN272" s="170"/>
      <c r="BO272" s="170"/>
      <c r="BP272" s="170"/>
      <c r="BQ272" s="170"/>
      <c r="BR272" s="25"/>
      <c r="BS272" s="25"/>
      <c r="BT272" s="25"/>
      <c r="BU272" s="25"/>
      <c r="BV272" s="25"/>
      <c r="BW272" s="25"/>
      <c r="BX272" s="25"/>
      <c r="BY272" s="25"/>
      <c r="BZ272" s="25"/>
      <c r="CA272" s="25"/>
      <c r="CB272" s="25"/>
      <c r="CC272" s="25"/>
      <c r="CD272" s="174"/>
      <c r="CE272" s="174"/>
      <c r="CF272" s="174"/>
      <c r="CG272" s="174"/>
      <c r="CH272" s="174"/>
      <c r="CI272" s="174"/>
      <c r="CJ272" s="174"/>
      <c r="CK272" s="174"/>
      <c r="CL272" s="174"/>
      <c r="CM272" s="174"/>
      <c r="CN272" s="174"/>
      <c r="CO272" s="174"/>
      <c r="CP272" s="174"/>
      <c r="CQ272" s="174"/>
      <c r="CR272" s="174"/>
      <c r="CS272" s="174"/>
      <c r="CT272" s="174"/>
      <c r="CU272" s="174"/>
      <c r="CV272" s="174"/>
      <c r="CW272" s="1463"/>
      <c r="CX272" s="174"/>
      <c r="CY272" s="174"/>
      <c r="CZ272" s="174"/>
      <c r="DA272" s="1463"/>
      <c r="DB272" s="174"/>
      <c r="DC272" s="174"/>
      <c r="DD272" s="174"/>
      <c r="DE272" s="174"/>
      <c r="DF272" s="175"/>
      <c r="DG272" s="25"/>
      <c r="DH272" s="25"/>
      <c r="DI272" s="25"/>
      <c r="DJ272" s="25"/>
    </row>
    <row r="273" spans="1:114">
      <c r="A273" s="170"/>
      <c r="B273" s="170"/>
      <c r="C273" s="170"/>
      <c r="D273" s="170"/>
      <c r="E273" s="170"/>
      <c r="F273" s="170"/>
      <c r="G273" s="170"/>
      <c r="H273" s="170"/>
      <c r="I273" s="170"/>
      <c r="J273" s="170"/>
      <c r="K273" s="170"/>
      <c r="L273" s="170"/>
      <c r="M273" s="170"/>
      <c r="N273" s="170"/>
      <c r="O273" s="170"/>
      <c r="P273" s="170"/>
      <c r="Q273" s="170"/>
      <c r="R273" s="170"/>
      <c r="S273" s="170"/>
      <c r="T273" s="170"/>
      <c r="U273" s="170"/>
      <c r="V273" s="170"/>
      <c r="W273" s="170"/>
      <c r="X273" s="170"/>
      <c r="Y273" s="170"/>
      <c r="Z273" s="170"/>
      <c r="AA273" s="170"/>
      <c r="AB273" s="170"/>
      <c r="AC273" s="170"/>
      <c r="AD273" s="170"/>
      <c r="AE273" s="170"/>
      <c r="AF273" s="170"/>
      <c r="AG273" s="170"/>
      <c r="AH273" s="170"/>
      <c r="AI273" s="170"/>
      <c r="AJ273" s="170"/>
      <c r="AK273" s="170"/>
      <c r="AL273" s="170"/>
      <c r="AM273" s="170"/>
      <c r="AN273" s="170"/>
      <c r="AO273" s="170"/>
      <c r="AP273" s="170"/>
      <c r="AQ273" s="170"/>
      <c r="AR273" s="170"/>
      <c r="AS273" s="170"/>
      <c r="AT273" s="170"/>
      <c r="AU273" s="170"/>
      <c r="AV273" s="170"/>
      <c r="AW273" s="170"/>
      <c r="AX273" s="170"/>
      <c r="AY273" s="170"/>
      <c r="AZ273" s="170"/>
      <c r="BA273" s="170"/>
      <c r="BB273" s="170"/>
      <c r="BC273" s="170"/>
      <c r="BD273" s="170"/>
      <c r="BE273" s="170"/>
      <c r="BF273" s="170"/>
      <c r="BG273" s="170"/>
      <c r="BH273" s="170"/>
      <c r="BI273" s="170"/>
      <c r="BJ273" s="170"/>
      <c r="BK273" s="214"/>
      <c r="BL273" s="170"/>
      <c r="BM273" s="170"/>
      <c r="BN273" s="170"/>
      <c r="BO273" s="214"/>
      <c r="BP273" s="170"/>
      <c r="BQ273" s="170"/>
      <c r="BR273" s="25"/>
      <c r="BS273" s="32"/>
      <c r="BT273" s="25"/>
      <c r="BU273" s="25"/>
      <c r="BV273" s="25"/>
      <c r="BW273" s="32"/>
      <c r="BX273" s="25"/>
      <c r="BY273" s="25"/>
      <c r="BZ273" s="25"/>
      <c r="CA273" s="32"/>
      <c r="CB273" s="25"/>
      <c r="CC273" s="25"/>
      <c r="CD273" s="174"/>
      <c r="CE273" s="174"/>
      <c r="CF273" s="174"/>
      <c r="CG273" s="174"/>
      <c r="CH273" s="174"/>
      <c r="CI273" s="174"/>
      <c r="CJ273" s="174"/>
      <c r="CK273" s="174"/>
      <c r="CL273" s="174"/>
      <c r="CM273" s="174"/>
      <c r="CN273" s="174"/>
      <c r="CO273" s="174"/>
      <c r="CP273" s="174"/>
      <c r="CQ273" s="174"/>
      <c r="CR273" s="174"/>
      <c r="CS273" s="174"/>
      <c r="CT273" s="174"/>
      <c r="CU273" s="174"/>
      <c r="CV273" s="174"/>
      <c r="CW273" s="1463"/>
      <c r="CX273" s="174"/>
      <c r="CY273" s="174"/>
      <c r="CZ273" s="174"/>
      <c r="DA273" s="1463"/>
      <c r="DB273" s="174"/>
      <c r="DC273" s="174"/>
      <c r="DD273" s="174"/>
      <c r="DE273" s="174"/>
      <c r="DF273" s="175"/>
      <c r="DG273" s="25"/>
      <c r="DH273" s="25"/>
      <c r="DI273" s="25"/>
      <c r="DJ273" s="25"/>
    </row>
    <row r="274" spans="1:114">
      <c r="A274" s="170"/>
      <c r="B274" s="170"/>
      <c r="C274" s="170"/>
      <c r="D274" s="170"/>
      <c r="E274" s="170"/>
      <c r="F274" s="170"/>
      <c r="G274" s="170"/>
      <c r="H274" s="170"/>
      <c r="I274" s="170"/>
      <c r="J274" s="170"/>
      <c r="K274" s="170"/>
      <c r="L274" s="170"/>
      <c r="M274" s="170"/>
      <c r="N274" s="170"/>
      <c r="O274" s="170"/>
      <c r="P274" s="170"/>
      <c r="Q274" s="170"/>
      <c r="R274" s="170"/>
      <c r="S274" s="170"/>
      <c r="T274" s="170"/>
      <c r="U274" s="170"/>
      <c r="V274" s="170"/>
      <c r="W274" s="170"/>
      <c r="X274" s="170"/>
      <c r="Y274" s="170"/>
      <c r="Z274" s="170"/>
      <c r="AA274" s="170"/>
      <c r="AB274" s="170"/>
      <c r="AC274" s="170"/>
      <c r="AD274" s="170"/>
      <c r="AE274" s="170"/>
      <c r="AF274" s="170"/>
      <c r="AG274" s="170"/>
      <c r="AH274" s="170"/>
      <c r="AI274" s="170"/>
      <c r="AJ274" s="170"/>
      <c r="AK274" s="170"/>
      <c r="AL274" s="170"/>
      <c r="AM274" s="170"/>
      <c r="AN274" s="170"/>
      <c r="AO274" s="170"/>
      <c r="AP274" s="170"/>
      <c r="AQ274" s="170"/>
      <c r="AR274" s="170"/>
      <c r="AS274" s="170"/>
      <c r="AT274" s="170"/>
      <c r="AU274" s="170"/>
      <c r="AV274" s="170"/>
      <c r="AW274" s="170"/>
      <c r="AX274" s="170"/>
      <c r="AY274" s="170"/>
      <c r="AZ274" s="170"/>
      <c r="BA274" s="170"/>
      <c r="BB274" s="170"/>
      <c r="BC274" s="170"/>
      <c r="BD274" s="170"/>
      <c r="BE274" s="170"/>
      <c r="BF274" s="170"/>
      <c r="BG274" s="170"/>
      <c r="BH274" s="170"/>
      <c r="BI274" s="170"/>
      <c r="BJ274" s="170"/>
      <c r="BK274" s="170"/>
      <c r="BL274" s="170"/>
      <c r="BM274" s="170"/>
      <c r="BN274" s="170"/>
      <c r="BO274" s="170"/>
      <c r="BP274" s="170"/>
      <c r="BQ274" s="170"/>
      <c r="BR274" s="25"/>
      <c r="BS274" s="25"/>
      <c r="BT274" s="25"/>
      <c r="BU274" s="25"/>
      <c r="BV274" s="25"/>
      <c r="BW274" s="25"/>
      <c r="BX274" s="25"/>
      <c r="BY274" s="25"/>
      <c r="BZ274" s="25"/>
      <c r="CA274" s="25"/>
      <c r="CB274" s="25"/>
      <c r="CC274" s="25"/>
      <c r="CD274" s="174"/>
      <c r="CE274" s="174"/>
      <c r="CF274" s="174"/>
      <c r="CG274" s="174"/>
      <c r="CH274" s="174"/>
      <c r="CI274" s="174"/>
      <c r="CJ274" s="174"/>
      <c r="CK274" s="174"/>
      <c r="CL274" s="174"/>
      <c r="CM274" s="174"/>
      <c r="CN274" s="174"/>
      <c r="CO274" s="174"/>
      <c r="CP274" s="174"/>
      <c r="CQ274" s="174"/>
      <c r="CR274" s="174"/>
      <c r="CS274" s="174"/>
      <c r="CT274" s="174"/>
      <c r="CU274" s="174"/>
      <c r="CV274" s="174"/>
      <c r="CW274" s="1463"/>
      <c r="CX274" s="174"/>
      <c r="CY274" s="174"/>
      <c r="CZ274" s="174"/>
      <c r="DA274" s="1463"/>
      <c r="DB274" s="174"/>
      <c r="DC274" s="174"/>
      <c r="DD274" s="174"/>
      <c r="DE274" s="174"/>
      <c r="DF274" s="175"/>
      <c r="DG274" s="25"/>
      <c r="DH274" s="25"/>
      <c r="DI274" s="25"/>
      <c r="DJ274" s="25"/>
    </row>
    <row r="275" spans="1:114">
      <c r="A275" s="368" t="s">
        <v>256</v>
      </c>
      <c r="B275" s="368" t="s">
        <v>525</v>
      </c>
      <c r="C275" s="368"/>
      <c r="D275" s="368"/>
      <c r="E275" s="368"/>
      <c r="F275" s="368"/>
      <c r="G275" s="368"/>
      <c r="H275" s="368"/>
      <c r="I275" s="368"/>
      <c r="J275" s="368"/>
      <c r="K275" s="368"/>
      <c r="L275" s="368"/>
      <c r="M275" s="368"/>
      <c r="N275" s="368"/>
      <c r="O275" s="368"/>
      <c r="P275" s="368"/>
      <c r="Q275" s="368"/>
      <c r="R275" s="368"/>
      <c r="S275" s="368"/>
      <c r="T275" s="368"/>
      <c r="U275" s="368"/>
      <c r="V275" s="368"/>
      <c r="W275" s="368"/>
      <c r="X275" s="368"/>
      <c r="Y275" s="368"/>
      <c r="Z275" s="368"/>
      <c r="AA275" s="368"/>
      <c r="AB275" s="368"/>
      <c r="AC275" s="368"/>
      <c r="AD275" s="368"/>
      <c r="AE275" s="368"/>
      <c r="AF275" s="368"/>
      <c r="AG275" s="368"/>
      <c r="AH275" s="368"/>
      <c r="AI275" s="368"/>
      <c r="AJ275" s="368"/>
      <c r="AK275" s="368"/>
      <c r="AL275" s="368"/>
      <c r="AM275" s="368"/>
      <c r="AN275" s="368"/>
      <c r="AO275" s="368"/>
      <c r="AP275" s="368"/>
      <c r="AQ275" s="368"/>
      <c r="AR275" s="368"/>
      <c r="AS275" s="368"/>
      <c r="AT275" s="368"/>
      <c r="AU275" s="368"/>
      <c r="AV275" s="368"/>
      <c r="AW275" s="368"/>
      <c r="AX275" s="368"/>
      <c r="AY275" s="368"/>
      <c r="AZ275" s="368"/>
      <c r="BA275" s="368"/>
      <c r="BB275" s="368"/>
      <c r="BC275" s="368"/>
      <c r="BD275" s="368"/>
      <c r="BE275" s="368"/>
      <c r="BF275" s="368"/>
      <c r="BG275" s="368"/>
      <c r="BH275" s="368"/>
      <c r="BI275" s="368"/>
      <c r="BJ275" s="368"/>
      <c r="BK275" s="368"/>
      <c r="BL275" s="368"/>
      <c r="BM275" s="368"/>
      <c r="BN275" s="368"/>
      <c r="BO275" s="368"/>
      <c r="BP275" s="368"/>
      <c r="BQ275" s="368"/>
      <c r="BR275" s="369"/>
      <c r="BS275" s="369"/>
      <c r="BT275" s="369"/>
      <c r="BU275" s="369"/>
      <c r="BV275" s="369"/>
      <c r="BW275" s="369"/>
      <c r="BX275" s="369"/>
      <c r="BY275" s="369"/>
      <c r="BZ275" s="369"/>
      <c r="CA275" s="369"/>
      <c r="CB275" s="369"/>
      <c r="CC275" s="369"/>
      <c r="CD275" s="174"/>
      <c r="CE275" s="174"/>
      <c r="CF275" s="174"/>
      <c r="CG275" s="174"/>
      <c r="CH275" s="174"/>
      <c r="CI275" s="174"/>
      <c r="CJ275" s="174"/>
      <c r="CK275" s="174"/>
      <c r="CL275" s="174"/>
      <c r="CM275" s="174"/>
      <c r="CN275" s="174"/>
      <c r="CO275" s="174"/>
      <c r="CP275" s="174"/>
      <c r="CQ275" s="174"/>
      <c r="CR275" s="174"/>
      <c r="CS275" s="174"/>
      <c r="CT275" s="174"/>
      <c r="CU275" s="174"/>
      <c r="CV275" s="174"/>
      <c r="CW275" s="1463"/>
      <c r="CX275" s="174"/>
      <c r="CY275" s="174"/>
      <c r="CZ275" s="174"/>
      <c r="DA275" s="1463"/>
      <c r="DB275" s="174"/>
      <c r="DC275" s="174"/>
      <c r="DD275" s="174"/>
      <c r="DE275" s="174"/>
      <c r="DF275" s="175"/>
      <c r="DG275" s="369"/>
      <c r="DH275" s="369"/>
      <c r="DI275" s="369"/>
      <c r="DJ275" s="369"/>
    </row>
    <row r="276" spans="1:114">
      <c r="A276" s="368" t="s">
        <v>257</v>
      </c>
      <c r="B276" s="368" t="s">
        <v>526</v>
      </c>
      <c r="C276" s="368"/>
      <c r="D276" s="368"/>
      <c r="E276" s="368"/>
      <c r="F276" s="368"/>
      <c r="G276" s="368"/>
      <c r="H276" s="368"/>
      <c r="I276" s="368"/>
      <c r="J276" s="368"/>
      <c r="K276" s="368"/>
      <c r="L276" s="368"/>
      <c r="M276" s="368"/>
      <c r="N276" s="368"/>
      <c r="O276" s="368"/>
      <c r="P276" s="368"/>
      <c r="Q276" s="368"/>
      <c r="R276" s="368"/>
      <c r="S276" s="368"/>
      <c r="T276" s="368"/>
      <c r="U276" s="368"/>
      <c r="V276" s="368"/>
      <c r="W276" s="368"/>
      <c r="X276" s="368"/>
      <c r="Y276" s="368"/>
      <c r="Z276" s="368"/>
      <c r="AA276" s="368"/>
      <c r="AB276" s="368"/>
      <c r="AC276" s="368"/>
      <c r="AD276" s="368"/>
      <c r="AE276" s="368"/>
      <c r="AF276" s="368"/>
      <c r="AG276" s="368"/>
      <c r="AH276" s="368"/>
      <c r="AI276" s="368"/>
      <c r="AJ276" s="368"/>
      <c r="AK276" s="368"/>
      <c r="AL276" s="368"/>
      <c r="AM276" s="368"/>
      <c r="AN276" s="368"/>
      <c r="AO276" s="368"/>
      <c r="AP276" s="368"/>
      <c r="AQ276" s="368"/>
      <c r="AR276" s="368"/>
      <c r="AS276" s="368"/>
      <c r="AT276" s="368"/>
      <c r="AU276" s="368"/>
      <c r="AV276" s="368"/>
      <c r="AW276" s="368"/>
      <c r="AX276" s="368"/>
      <c r="AY276" s="368"/>
      <c r="AZ276" s="368"/>
      <c r="BA276" s="368"/>
      <c r="BB276" s="368"/>
      <c r="BC276" s="368"/>
      <c r="BD276" s="368"/>
      <c r="BE276" s="368"/>
      <c r="BF276" s="368"/>
      <c r="BG276" s="368"/>
      <c r="BH276" s="368"/>
      <c r="BI276" s="368"/>
      <c r="BJ276" s="368"/>
      <c r="BK276" s="368"/>
      <c r="BL276" s="368"/>
      <c r="BM276" s="368"/>
      <c r="BN276" s="368"/>
      <c r="BO276" s="368"/>
      <c r="BP276" s="368"/>
      <c r="BQ276" s="368"/>
      <c r="BR276" s="369"/>
      <c r="BS276" s="369"/>
      <c r="BT276" s="369"/>
      <c r="BU276" s="369"/>
      <c r="BV276" s="369"/>
      <c r="BW276" s="369"/>
      <c r="BX276" s="369"/>
      <c r="BY276" s="369"/>
      <c r="BZ276" s="369"/>
      <c r="CA276" s="370"/>
      <c r="CB276" s="370"/>
      <c r="CC276" s="369"/>
      <c r="CD276" s="371"/>
      <c r="CE276" s="371"/>
      <c r="CF276" s="371"/>
      <c r="CG276" s="371"/>
      <c r="CH276" s="371"/>
      <c r="CI276" s="371"/>
      <c r="CJ276" s="371"/>
      <c r="CK276" s="371"/>
      <c r="CL276" s="371"/>
      <c r="CM276" s="371"/>
      <c r="CN276" s="371"/>
      <c r="CO276" s="371"/>
      <c r="CP276" s="371"/>
      <c r="CQ276" s="371"/>
      <c r="CR276" s="371"/>
      <c r="CS276" s="371"/>
      <c r="CT276" s="371"/>
      <c r="CU276" s="371"/>
      <c r="CV276" s="371"/>
      <c r="CW276" s="1475"/>
      <c r="CX276" s="371"/>
      <c r="CY276" s="371"/>
      <c r="CZ276" s="371"/>
      <c r="DA276" s="1475"/>
      <c r="DB276" s="371"/>
      <c r="DC276" s="371"/>
      <c r="DD276" s="371"/>
      <c r="DE276" s="371"/>
      <c r="DF276" s="372"/>
      <c r="DG276" s="369"/>
      <c r="DH276" s="369"/>
      <c r="DI276" s="369"/>
      <c r="DJ276" s="369"/>
    </row>
    <row r="277" spans="1:114">
      <c r="A277" s="368" t="s">
        <v>258</v>
      </c>
      <c r="B277" s="368" t="s">
        <v>179</v>
      </c>
      <c r="C277" s="368"/>
      <c r="D277" s="368"/>
      <c r="E277" s="368"/>
      <c r="F277" s="368"/>
      <c r="G277" s="368"/>
      <c r="H277" s="368"/>
      <c r="I277" s="368"/>
      <c r="J277" s="368"/>
      <c r="K277" s="368"/>
      <c r="L277" s="368"/>
      <c r="M277" s="368"/>
      <c r="N277" s="368"/>
      <c r="O277" s="368"/>
      <c r="P277" s="368"/>
      <c r="Q277" s="368"/>
      <c r="R277" s="368"/>
      <c r="S277" s="368"/>
      <c r="T277" s="368"/>
      <c r="U277" s="368"/>
      <c r="V277" s="368"/>
      <c r="W277" s="368"/>
      <c r="X277" s="368"/>
      <c r="Y277" s="368"/>
      <c r="Z277" s="368"/>
      <c r="AA277" s="368"/>
      <c r="AB277" s="368"/>
      <c r="AC277" s="368"/>
      <c r="AD277" s="368"/>
      <c r="AE277" s="368"/>
      <c r="AF277" s="368"/>
      <c r="AG277" s="368"/>
      <c r="AH277" s="368"/>
      <c r="AI277" s="368"/>
      <c r="AJ277" s="368"/>
      <c r="AK277" s="368"/>
      <c r="AL277" s="368"/>
      <c r="AM277" s="368"/>
      <c r="AN277" s="368"/>
      <c r="AO277" s="368"/>
      <c r="AP277" s="368"/>
      <c r="AQ277" s="368"/>
      <c r="AR277" s="368"/>
      <c r="AS277" s="368"/>
      <c r="AT277" s="368"/>
      <c r="AU277" s="368"/>
      <c r="AV277" s="368"/>
      <c r="AW277" s="368"/>
      <c r="AX277" s="368"/>
      <c r="AY277" s="368"/>
      <c r="AZ277" s="368"/>
      <c r="BA277" s="368"/>
      <c r="BB277" s="368"/>
      <c r="BC277" s="368"/>
      <c r="BD277" s="368"/>
      <c r="BE277" s="368"/>
      <c r="BF277" s="368"/>
      <c r="BG277" s="368"/>
      <c r="BH277" s="368"/>
      <c r="BI277" s="368"/>
      <c r="BJ277" s="368"/>
      <c r="BK277" s="368"/>
      <c r="BL277" s="368"/>
      <c r="BM277" s="368"/>
      <c r="BN277" s="368"/>
      <c r="BO277" s="368"/>
      <c r="BP277" s="368"/>
      <c r="BQ277" s="368"/>
      <c r="BR277" s="369"/>
      <c r="BS277" s="369"/>
      <c r="BT277" s="369"/>
      <c r="BU277" s="369"/>
      <c r="BV277" s="369"/>
      <c r="BW277" s="369"/>
      <c r="BX277" s="369"/>
      <c r="BY277" s="369"/>
      <c r="BZ277" s="369"/>
      <c r="CA277" s="373"/>
      <c r="CB277" s="374"/>
      <c r="CC277" s="25"/>
      <c r="CD277" s="371"/>
      <c r="CE277" s="371"/>
      <c r="CF277" s="371"/>
      <c r="CG277" s="371"/>
      <c r="CH277" s="371"/>
      <c r="CI277" s="371"/>
      <c r="CJ277" s="371"/>
      <c r="CK277" s="371"/>
      <c r="CL277" s="371"/>
      <c r="CM277" s="371"/>
      <c r="CN277" s="371"/>
      <c r="CO277" s="371"/>
      <c r="CP277" s="371"/>
      <c r="CQ277" s="371"/>
      <c r="CR277" s="371"/>
      <c r="CS277" s="371"/>
      <c r="CT277" s="371"/>
      <c r="CU277" s="371"/>
      <c r="CV277" s="371"/>
      <c r="CW277" s="1475"/>
      <c r="CX277" s="371"/>
      <c r="CY277" s="371"/>
      <c r="CZ277" s="371"/>
      <c r="DA277" s="1475"/>
      <c r="DB277" s="371"/>
      <c r="DC277" s="371"/>
      <c r="DD277" s="371"/>
      <c r="DE277" s="371"/>
      <c r="DF277" s="372"/>
      <c r="DG277" s="369"/>
      <c r="DH277" s="369"/>
      <c r="DI277" s="369"/>
      <c r="DJ277" s="369"/>
    </row>
    <row r="278" spans="1:114" ht="7.5" customHeight="1">
      <c r="CA278" s="373"/>
      <c r="CB278" s="374"/>
      <c r="CC278" s="25"/>
    </row>
    <row r="279" spans="1:114">
      <c r="CA279" s="158"/>
      <c r="CB279" s="374"/>
      <c r="CC279" s="25"/>
    </row>
    <row r="280" spans="1:114">
      <c r="CA280" s="373"/>
      <c r="CB280" s="374"/>
      <c r="CC280" s="25"/>
    </row>
    <row r="281" spans="1:114">
      <c r="CA281" s="373"/>
      <c r="CB281" s="374"/>
      <c r="CC281" s="25"/>
    </row>
    <row r="282" spans="1:114">
      <c r="CA282" s="39"/>
      <c r="CB282" s="39"/>
      <c r="CC282" s="25"/>
    </row>
    <row r="283" spans="1:114">
      <c r="CA283" s="375"/>
      <c r="CB283" s="376"/>
      <c r="CC283" s="188"/>
    </row>
    <row r="284" spans="1:114">
      <c r="CA284" s="39"/>
      <c r="CB284" s="39"/>
      <c r="CC284" s="298"/>
    </row>
    <row r="285" spans="1:114">
      <c r="CA285" s="377"/>
      <c r="CB285" s="374"/>
      <c r="CC285" s="307"/>
      <c r="DE285" s="8"/>
      <c r="DF285" s="1262"/>
      <c r="DG285" s="1262"/>
      <c r="DH285" s="1262"/>
      <c r="DI285" s="1262"/>
      <c r="DJ285" s="1262"/>
    </row>
    <row r="286" spans="1:114">
      <c r="CA286" s="378"/>
      <c r="CB286" s="374"/>
      <c r="CC286" s="307"/>
      <c r="DE286" s="8"/>
      <c r="DF286" s="1266"/>
      <c r="DG286" s="1262"/>
      <c r="DH286" s="1262"/>
      <c r="DI286" s="1267"/>
      <c r="DJ286" s="1262"/>
    </row>
    <row r="287" spans="1:114">
      <c r="CA287" s="378"/>
      <c r="CB287" s="374"/>
      <c r="CC287" s="307"/>
      <c r="DE287" s="8"/>
    </row>
    <row r="288" spans="1:114">
      <c r="CA288" s="378"/>
      <c r="CB288" s="374"/>
      <c r="CC288" s="321"/>
      <c r="DE288" s="8"/>
    </row>
    <row r="289" spans="79:110">
      <c r="CA289" s="377"/>
      <c r="CB289" s="374"/>
      <c r="CC289" s="307"/>
      <c r="DE289" s="1265"/>
      <c r="DF289" s="1263"/>
    </row>
    <row r="290" spans="79:110">
      <c r="CA290" s="377"/>
      <c r="CB290" s="374"/>
      <c r="CC290" s="25"/>
      <c r="DE290" s="8"/>
    </row>
    <row r="291" spans="79:110">
      <c r="CA291" s="377"/>
      <c r="CB291" s="374"/>
      <c r="CC291" s="25"/>
      <c r="DE291" s="1265"/>
    </row>
    <row r="292" spans="79:110">
      <c r="CA292" s="374"/>
      <c r="CB292" s="379"/>
      <c r="CC292" s="308"/>
      <c r="DE292" s="1265"/>
    </row>
    <row r="293" spans="79:110">
      <c r="CA293" s="380"/>
      <c r="CB293" s="376"/>
      <c r="CC293" s="188"/>
      <c r="DE293" s="8"/>
    </row>
    <row r="294" spans="79:110">
      <c r="CA294" s="39"/>
      <c r="CB294" s="39"/>
      <c r="CC294" s="25"/>
    </row>
    <row r="295" spans="79:110">
      <c r="CA295" s="33"/>
      <c r="CB295" s="381"/>
      <c r="CC295" s="25"/>
    </row>
    <row r="296" spans="79:110">
      <c r="CA296" s="33"/>
      <c r="CB296" s="155"/>
      <c r="CC296" s="25"/>
    </row>
    <row r="297" spans="79:110">
      <c r="CA297" s="33"/>
      <c r="CB297" s="155"/>
      <c r="CC297" s="25"/>
    </row>
    <row r="298" spans="79:110">
      <c r="CA298" s="382"/>
      <c r="CB298" s="155"/>
      <c r="CC298" s="25"/>
    </row>
    <row r="299" spans="79:110">
      <c r="CA299" s="365"/>
      <c r="CB299" s="345"/>
      <c r="CC299" s="35"/>
    </row>
    <row r="300" spans="79:110">
      <c r="CA300" s="373"/>
      <c r="CB300" s="39"/>
      <c r="CC300" s="25"/>
    </row>
    <row r="301" spans="79:110">
      <c r="CA301" s="373"/>
      <c r="CB301" s="39"/>
      <c r="CC301" s="25"/>
    </row>
    <row r="302" spans="79:110">
      <c r="CA302" s="39"/>
      <c r="CB302" s="39"/>
      <c r="CC302" s="25"/>
    </row>
    <row r="303" spans="79:110">
      <c r="CA303" s="380"/>
      <c r="CB303" s="376"/>
      <c r="CC303" s="188"/>
      <c r="DE303" s="4">
        <v>39</v>
      </c>
      <c r="DF303" s="1268">
        <v>-0.03</v>
      </c>
    </row>
    <row r="304" spans="79:110">
      <c r="CA304" s="703"/>
      <c r="CB304" s="703"/>
      <c r="CC304" s="704"/>
      <c r="DE304" s="4">
        <v>17</v>
      </c>
      <c r="DF304" s="1269">
        <v>-6.5000000000000002E-2</v>
      </c>
    </row>
    <row r="305" spans="79:110">
      <c r="CA305" s="705"/>
      <c r="CB305" s="703"/>
      <c r="CC305" s="704"/>
      <c r="DE305" s="4">
        <f>DE303-DE304</f>
        <v>22</v>
      </c>
    </row>
    <row r="306" spans="79:110">
      <c r="CA306" s="705"/>
      <c r="CB306" s="703"/>
      <c r="CC306" s="704"/>
    </row>
    <row r="307" spans="79:110">
      <c r="CA307" s="705"/>
      <c r="CB307" s="703"/>
      <c r="CC307" s="704"/>
      <c r="DE307" s="4">
        <f>DE304/DE303</f>
        <v>0.4358974358974359</v>
      </c>
    </row>
    <row r="308" spans="79:110">
      <c r="CA308" s="705"/>
      <c r="CB308" s="703"/>
      <c r="CC308" s="704"/>
      <c r="DE308" s="4">
        <f>DE305/DE303</f>
        <v>0.5641025641025641</v>
      </c>
    </row>
    <row r="309" spans="79:110">
      <c r="CA309" s="705"/>
      <c r="CB309" s="706"/>
      <c r="CC309" s="707"/>
    </row>
    <row r="310" spans="79:110">
      <c r="CA310" s="708"/>
      <c r="CB310" s="703"/>
      <c r="CC310" s="704"/>
    </row>
    <row r="311" spans="79:110">
      <c r="CA311" s="708"/>
      <c r="CB311" s="703"/>
      <c r="CC311" s="704"/>
      <c r="DE311" s="4">
        <f>DE307*DF304</f>
        <v>-2.8333333333333335E-2</v>
      </c>
      <c r="DF311" s="1264">
        <f>DF303</f>
        <v>-0.03</v>
      </c>
    </row>
    <row r="312" spans="79:110">
      <c r="CA312" s="705"/>
      <c r="CB312" s="703"/>
      <c r="CC312" s="704"/>
      <c r="DE312" s="116">
        <f>DE311-DF311</f>
        <v>1.6666666666666635E-3</v>
      </c>
    </row>
    <row r="313" spans="79:110">
      <c r="CA313" s="380"/>
      <c r="CB313" s="376"/>
      <c r="CC313" s="188"/>
      <c r="DE313" s="116">
        <f>DE312/DE307</f>
        <v>3.8235294117646987E-3</v>
      </c>
    </row>
    <row r="314" spans="79:110">
      <c r="CA314" s="383"/>
      <c r="CB314" s="39"/>
      <c r="CC314" s="25"/>
    </row>
    <row r="315" spans="79:110">
      <c r="CA315" s="383"/>
      <c r="CB315" s="365"/>
      <c r="CC315" s="25"/>
    </row>
    <row r="316" spans="79:110">
      <c r="CA316" s="383"/>
      <c r="CB316" s="365"/>
      <c r="CC316" s="25"/>
    </row>
    <row r="317" spans="79:110">
      <c r="CA317" s="383"/>
      <c r="CB317" s="365"/>
      <c r="CC317" s="25"/>
    </row>
    <row r="318" spans="79:110">
      <c r="CA318" s="383"/>
      <c r="CB318" s="365"/>
      <c r="CC318" s="25"/>
    </row>
    <row r="319" spans="79:110">
      <c r="CA319" s="383"/>
      <c r="CB319" s="345"/>
      <c r="CC319" s="35"/>
    </row>
    <row r="320" spans="79:110">
      <c r="CA320" s="365"/>
      <c r="CB320" s="39"/>
      <c r="CC320" s="25"/>
    </row>
    <row r="321" spans="79:81">
      <c r="CA321" s="365"/>
      <c r="CB321" s="39"/>
      <c r="CC321" s="25"/>
    </row>
    <row r="322" spans="79:81">
      <c r="CA322" s="39"/>
      <c r="CB322" s="39"/>
      <c r="CC322" s="25"/>
    </row>
    <row r="323" spans="79:81">
      <c r="CA323" s="380"/>
      <c r="CB323" s="376"/>
      <c r="CC323" s="188"/>
    </row>
    <row r="324" spans="79:81">
      <c r="CA324" s="39"/>
      <c r="CB324" s="39"/>
      <c r="CC324" s="25"/>
    </row>
    <row r="325" spans="79:81">
      <c r="CA325" s="384"/>
      <c r="CB325" s="374"/>
      <c r="CC325" s="25"/>
    </row>
    <row r="326" spans="79:81">
      <c r="CA326" s="384"/>
      <c r="CB326" s="374"/>
      <c r="CC326" s="25"/>
    </row>
    <row r="327" spans="79:81">
      <c r="CA327" s="384"/>
      <c r="CB327" s="374"/>
      <c r="CC327" s="25"/>
    </row>
    <row r="328" spans="79:81">
      <c r="CA328" s="384"/>
      <c r="CB328" s="374"/>
      <c r="CC328" s="25"/>
    </row>
    <row r="329" spans="79:81">
      <c r="CA329" s="158"/>
      <c r="CB329" s="374"/>
      <c r="CC329" s="25"/>
    </row>
    <row r="330" spans="79:81">
      <c r="CA330" s="373"/>
      <c r="CB330" s="374"/>
      <c r="CC330" s="25"/>
    </row>
    <row r="331" spans="79:81">
      <c r="CA331" s="373"/>
      <c r="CB331" s="374"/>
      <c r="CC331" s="25"/>
    </row>
    <row r="332" spans="79:81">
      <c r="CA332" s="25"/>
      <c r="CB332" s="25"/>
      <c r="CC332" s="25"/>
    </row>
    <row r="333" spans="79:81">
      <c r="CA333" s="32"/>
      <c r="CB333" s="25"/>
      <c r="CC333" s="25"/>
    </row>
  </sheetData>
  <mergeCells count="4">
    <mergeCell ref="DI16:DJ16"/>
    <mergeCell ref="DI18:DJ18"/>
    <mergeCell ref="DF8:DG8"/>
    <mergeCell ref="DI8:DJ8"/>
  </mergeCells>
  <phoneticPr fontId="0" type="noConversion"/>
  <dataValidations disablePrompts="1" count="1">
    <dataValidation type="custom" allowBlank="1" showInputMessage="1" showErrorMessage="1" sqref="DG99:DH99 CI259:CI261 CI124 DF99:DF104 CE259:CE261 DK99:DL99 DM99:DM104 BK124 BG259:BG261 BG124 BC259:BC261 BC124 BO259:BO261 BO124 CE124 BK259:BK261 DJ99:DJ104 BS259:BS261 BS124 BW259:BW261 BW124 CA309 CA319:CA321 CA124 CA259:CA261 CM259:CM261 CM124 CQ259:CQ261 CQ124 CU259:CU261 CU124 CY259:CY261 CY124">
      <formula1>-1</formula1>
    </dataValidation>
  </dataValidations>
  <printOptions horizontalCentered="1"/>
  <pageMargins left="0.25" right="0.25" top="0.23" bottom="0.35" header="0.5" footer="0.25"/>
  <pageSetup scale="52" fitToHeight="2" orientation="landscape" r:id="rId1"/>
  <headerFooter alignWithMargins="0">
    <oddFooter>&amp;R&amp;8&amp;D/&amp;T
&amp;F/&amp;A</oddFooter>
  </headerFooter>
  <rowBreaks count="1" manualBreakCount="1">
    <brk id="87" max="85" man="1"/>
  </rowBreaks>
  <ignoredErrors>
    <ignoredError sqref="AU15:AU16 AY15" formulaRange="1"/>
  </ignoredError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tabColor indexed="59"/>
    <pageSetUpPr fitToPage="1"/>
  </sheetPr>
  <dimension ref="A1:BF80"/>
  <sheetViews>
    <sheetView topLeftCell="A10" zoomScaleNormal="100" workbookViewId="0">
      <selection activeCell="Y5" sqref="Y5"/>
    </sheetView>
  </sheetViews>
  <sheetFormatPr defaultRowHeight="12.75" outlineLevelRow="2" outlineLevelCol="1"/>
  <cols>
    <col min="1" max="1" width="41.5703125" style="410" customWidth="1"/>
    <col min="2" max="3" width="8.85546875" style="410" hidden="1" customWidth="1" outlineLevel="1"/>
    <col min="4" max="4" width="8.85546875" style="410" hidden="1" customWidth="1" outlineLevel="1" collapsed="1"/>
    <col min="5" max="5" width="9.140625" style="410" hidden="1" customWidth="1" outlineLevel="1" collapsed="1"/>
    <col min="6" max="6" width="9.140625" style="410" hidden="1" customWidth="1" outlineLevel="1"/>
    <col min="7" max="8" width="9.140625" style="410" hidden="1" customWidth="1" outlineLevel="1" collapsed="1"/>
    <col min="9" max="10" width="8.42578125" style="410" hidden="1" customWidth="1" outlineLevel="1" collapsed="1"/>
    <col min="11" max="14" width="8.42578125" style="410" hidden="1" customWidth="1" outlineLevel="1"/>
    <col min="15" max="17" width="8.7109375" style="410" hidden="1" customWidth="1" outlineLevel="1"/>
    <col min="18" max="18" width="9.42578125" style="410" hidden="1" customWidth="1" outlineLevel="1"/>
    <col min="19" max="19" width="8.7109375" style="410" hidden="1" customWidth="1" outlineLevel="1"/>
    <col min="20" max="20" width="8.7109375" style="410" customWidth="1" collapsed="1"/>
    <col min="21" max="30" width="8.7109375" style="410" customWidth="1"/>
    <col min="31" max="31" width="1.140625" style="410" customWidth="1"/>
    <col min="32" max="32" width="1.85546875" style="410" customWidth="1"/>
    <col min="33" max="33" width="7.85546875" style="410" customWidth="1"/>
    <col min="34" max="34" width="2.42578125" style="410" customWidth="1"/>
    <col min="35" max="35" width="8.7109375" style="410" hidden="1" customWidth="1" outlineLevel="1"/>
    <col min="36" max="36" width="2.28515625" style="410" hidden="1" customWidth="1" outlineLevel="1"/>
    <col min="37" max="37" width="8.7109375" style="410" customWidth="1" collapsed="1"/>
    <col min="38" max="38" width="2.28515625" style="410" customWidth="1"/>
    <col min="39" max="54" width="9.140625" style="410" hidden="1" customWidth="1" outlineLevel="1"/>
    <col min="55" max="55" width="9.140625" style="410" collapsed="1"/>
    <col min="56" max="16384" width="9.140625" style="410"/>
  </cols>
  <sheetData>
    <row r="1" spans="1:58">
      <c r="A1" s="412" t="str">
        <f>sumry!A1</f>
        <v>Urban Outfitters, Inc.</v>
      </c>
      <c r="B1" s="924"/>
      <c r="C1" s="924"/>
      <c r="D1" s="924"/>
      <c r="E1" s="924"/>
      <c r="F1" s="924"/>
      <c r="G1" s="924"/>
      <c r="H1" s="924"/>
      <c r="I1" s="924"/>
      <c r="J1" s="924"/>
      <c r="K1" s="924"/>
      <c r="N1" s="482"/>
      <c r="W1" s="1239"/>
      <c r="AF1" s="924"/>
      <c r="AG1" s="924"/>
      <c r="AH1" s="924"/>
      <c r="AI1" s="925"/>
      <c r="AJ1" s="925"/>
      <c r="AK1" s="925"/>
      <c r="AL1" s="925"/>
      <c r="AM1" s="924"/>
      <c r="AN1" s="924"/>
      <c r="AO1" s="924"/>
      <c r="AP1" s="924"/>
      <c r="AQ1" s="924"/>
      <c r="AR1" s="924"/>
      <c r="AS1" s="924"/>
      <c r="AT1" s="924"/>
      <c r="AU1" s="924"/>
      <c r="AV1" s="924"/>
      <c r="AW1" s="924"/>
      <c r="AX1" s="924"/>
      <c r="AY1" s="924"/>
      <c r="AZ1" s="924"/>
      <c r="BA1" s="924"/>
    </row>
    <row r="2" spans="1:58">
      <c r="A2" s="926" t="s">
        <v>724</v>
      </c>
      <c r="B2" s="927"/>
      <c r="C2" s="927"/>
      <c r="D2" s="927"/>
      <c r="E2" s="927"/>
      <c r="F2" s="927"/>
      <c r="G2" s="927"/>
      <c r="H2" s="927"/>
      <c r="I2" s="927"/>
      <c r="J2" s="927"/>
      <c r="K2" s="927"/>
      <c r="L2" s="927"/>
      <c r="M2" s="927"/>
      <c r="N2" s="927"/>
      <c r="O2" s="927"/>
      <c r="P2" s="927"/>
      <c r="Q2" s="927"/>
      <c r="R2" s="927"/>
      <c r="S2" s="927"/>
      <c r="T2" s="927"/>
      <c r="U2" s="927"/>
      <c r="V2" s="927"/>
      <c r="W2" s="927"/>
      <c r="X2" s="927"/>
      <c r="Y2" s="927"/>
      <c r="Z2" s="927"/>
      <c r="AA2" s="927"/>
      <c r="AB2" s="927"/>
      <c r="AC2" s="927"/>
      <c r="AD2" s="927"/>
      <c r="AE2" s="927"/>
      <c r="AF2" s="927"/>
      <c r="AG2" s="927"/>
      <c r="AH2" s="927"/>
      <c r="AI2" s="928"/>
      <c r="AJ2" s="928"/>
      <c r="AK2" s="928"/>
      <c r="AL2" s="928"/>
      <c r="AM2" s="924"/>
      <c r="AN2" s="924"/>
      <c r="AO2" s="924"/>
      <c r="AP2" s="924"/>
      <c r="AQ2" s="924"/>
      <c r="AR2" s="924"/>
      <c r="AS2" s="924"/>
      <c r="AT2" s="924"/>
      <c r="AU2" s="924"/>
      <c r="AV2" s="924"/>
      <c r="AW2" s="924"/>
      <c r="AX2" s="924"/>
      <c r="AY2" s="924"/>
      <c r="AZ2" s="924"/>
      <c r="BA2" s="924"/>
    </row>
    <row r="3" spans="1:58">
      <c r="A3" s="929"/>
      <c r="B3" s="930"/>
      <c r="C3" s="930"/>
      <c r="D3" s="930"/>
      <c r="E3" s="930"/>
      <c r="F3" s="930"/>
      <c r="G3" s="930"/>
      <c r="H3" s="930"/>
      <c r="I3" s="930"/>
      <c r="J3" s="930"/>
      <c r="K3" s="930"/>
      <c r="L3" s="930"/>
      <c r="M3" s="930" t="s">
        <v>107</v>
      </c>
      <c r="N3" s="930"/>
      <c r="O3" s="930"/>
      <c r="P3" s="930"/>
      <c r="Q3" s="930"/>
      <c r="R3" s="930"/>
      <c r="S3" s="930"/>
      <c r="T3" s="930"/>
      <c r="U3" s="930"/>
      <c r="V3" s="930"/>
      <c r="W3" s="930"/>
      <c r="X3" s="930"/>
      <c r="Y3" s="930"/>
      <c r="Z3" s="930"/>
      <c r="AA3" s="930"/>
      <c r="AB3" s="930"/>
      <c r="AC3" s="930"/>
      <c r="AD3" s="930"/>
      <c r="AE3" s="930"/>
      <c r="AF3" s="931"/>
      <c r="AG3" s="930"/>
      <c r="AH3" s="930"/>
      <c r="AM3" s="924"/>
      <c r="AN3" s="924"/>
      <c r="AO3" s="924"/>
      <c r="AP3" s="924"/>
      <c r="AQ3" s="924"/>
      <c r="AR3" s="924"/>
      <c r="AS3" s="924"/>
      <c r="AT3" s="924"/>
      <c r="AU3" s="924"/>
      <c r="AV3" s="924"/>
      <c r="AW3" s="924"/>
      <c r="AX3" s="924"/>
      <c r="AY3" s="924"/>
      <c r="AZ3" s="924"/>
      <c r="BA3" s="924"/>
    </row>
    <row r="4" spans="1:58" ht="12.75" customHeight="1">
      <c r="A4" s="932"/>
      <c r="B4" s="924"/>
      <c r="C4" s="924"/>
      <c r="D4" s="924"/>
      <c r="E4" s="924"/>
      <c r="F4" s="924"/>
      <c r="G4" s="924"/>
      <c r="H4" s="924"/>
      <c r="I4" s="924"/>
      <c r="J4" s="924"/>
      <c r="K4" s="924"/>
      <c r="L4" s="924"/>
      <c r="M4" s="924"/>
      <c r="N4" s="924"/>
      <c r="O4" s="924"/>
      <c r="P4" s="924"/>
      <c r="Q4" s="924"/>
      <c r="R4" s="924"/>
      <c r="S4" s="924"/>
      <c r="T4" s="924"/>
      <c r="U4" s="924"/>
      <c r="V4" s="924"/>
      <c r="W4" s="924"/>
      <c r="X4" s="924"/>
      <c r="Y4" s="924"/>
      <c r="Z4" s="924"/>
      <c r="AA4" s="924"/>
      <c r="AF4" s="933"/>
      <c r="AG4" s="934"/>
      <c r="AH4" s="934" t="s">
        <v>207</v>
      </c>
      <c r="AI4" s="935"/>
      <c r="AJ4" s="936"/>
      <c r="AK4" s="935"/>
      <c r="AL4" s="936"/>
      <c r="AM4" s="924"/>
      <c r="AN4" s="924"/>
      <c r="AO4" s="924"/>
      <c r="AP4" s="924"/>
      <c r="AQ4" s="924"/>
      <c r="AR4" s="924"/>
      <c r="AS4" s="924"/>
      <c r="AT4" s="924"/>
      <c r="AU4" s="924"/>
      <c r="AV4" s="924"/>
      <c r="AW4" s="924"/>
      <c r="AX4" s="924"/>
      <c r="AY4" s="924"/>
      <c r="AZ4" s="924"/>
      <c r="BA4" s="924"/>
    </row>
    <row r="5" spans="1:58">
      <c r="A5" s="937"/>
      <c r="B5" s="938">
        <v>1994</v>
      </c>
      <c r="C5" s="939">
        <f t="shared" ref="C5:N5" si="0">B5+1</f>
        <v>1995</v>
      </c>
      <c r="D5" s="939">
        <f t="shared" si="0"/>
        <v>1996</v>
      </c>
      <c r="E5" s="939">
        <f t="shared" si="0"/>
        <v>1997</v>
      </c>
      <c r="F5" s="939">
        <f t="shared" si="0"/>
        <v>1998</v>
      </c>
      <c r="G5" s="939">
        <f t="shared" si="0"/>
        <v>1999</v>
      </c>
      <c r="H5" s="939">
        <f t="shared" si="0"/>
        <v>2000</v>
      </c>
      <c r="I5" s="939">
        <f t="shared" si="0"/>
        <v>2001</v>
      </c>
      <c r="J5" s="939">
        <f t="shared" si="0"/>
        <v>2002</v>
      </c>
      <c r="K5" s="939">
        <f t="shared" si="0"/>
        <v>2003</v>
      </c>
      <c r="L5" s="939">
        <f t="shared" si="0"/>
        <v>2004</v>
      </c>
      <c r="M5" s="939">
        <f t="shared" si="0"/>
        <v>2005</v>
      </c>
      <c r="N5" s="939">
        <f t="shared" si="0"/>
        <v>2006</v>
      </c>
      <c r="O5" s="939">
        <f t="shared" ref="O5:U5" si="1">N5+1</f>
        <v>2007</v>
      </c>
      <c r="P5" s="939">
        <f t="shared" si="1"/>
        <v>2008</v>
      </c>
      <c r="Q5" s="939">
        <f t="shared" si="1"/>
        <v>2009</v>
      </c>
      <c r="R5" s="939">
        <f t="shared" si="1"/>
        <v>2010</v>
      </c>
      <c r="S5" s="939">
        <f t="shared" si="1"/>
        <v>2011</v>
      </c>
      <c r="T5" s="939">
        <f t="shared" si="1"/>
        <v>2012</v>
      </c>
      <c r="U5" s="939">
        <f t="shared" si="1"/>
        <v>2013</v>
      </c>
      <c r="V5" s="939">
        <f t="shared" ref="V5:AD5" si="2">U5+1</f>
        <v>2014</v>
      </c>
      <c r="W5" s="939">
        <f t="shared" si="2"/>
        <v>2015</v>
      </c>
      <c r="X5" s="939">
        <f t="shared" si="2"/>
        <v>2016</v>
      </c>
      <c r="Y5" s="939">
        <f t="shared" si="2"/>
        <v>2017</v>
      </c>
      <c r="Z5" s="940">
        <f t="shared" si="2"/>
        <v>2018</v>
      </c>
      <c r="AA5" s="940">
        <f t="shared" si="2"/>
        <v>2019</v>
      </c>
      <c r="AB5" s="940">
        <f t="shared" si="2"/>
        <v>2020</v>
      </c>
      <c r="AC5" s="940">
        <f t="shared" si="2"/>
        <v>2021</v>
      </c>
      <c r="AD5" s="940">
        <f t="shared" si="2"/>
        <v>2022</v>
      </c>
      <c r="AE5" s="1479"/>
      <c r="AF5" s="941"/>
      <c r="AG5" s="934" t="str">
        <f>'yrP&amp;L'!AG5</f>
        <v>12A-17</v>
      </c>
      <c r="AH5" s="942"/>
      <c r="AI5" s="943" t="s">
        <v>69</v>
      </c>
      <c r="AJ5" s="944"/>
      <c r="AK5" s="943" t="str">
        <f>'yrP&amp;L'!AI5</f>
        <v>17-22E</v>
      </c>
      <c r="AL5" s="944"/>
      <c r="AM5" s="924"/>
      <c r="AN5" s="924">
        <f t="shared" ref="AN5:AZ5" si="3">+B5</f>
        <v>1994</v>
      </c>
      <c r="AO5" s="924">
        <f t="shared" si="3"/>
        <v>1995</v>
      </c>
      <c r="AP5" s="924">
        <f t="shared" si="3"/>
        <v>1996</v>
      </c>
      <c r="AQ5" s="924">
        <f t="shared" si="3"/>
        <v>1997</v>
      </c>
      <c r="AR5" s="924">
        <f t="shared" si="3"/>
        <v>1998</v>
      </c>
      <c r="AS5" s="924">
        <f t="shared" si="3"/>
        <v>1999</v>
      </c>
      <c r="AT5" s="924">
        <f t="shared" si="3"/>
        <v>2000</v>
      </c>
      <c r="AU5" s="924">
        <f t="shared" si="3"/>
        <v>2001</v>
      </c>
      <c r="AV5" s="924">
        <f t="shared" si="3"/>
        <v>2002</v>
      </c>
      <c r="AW5" s="924">
        <f t="shared" si="3"/>
        <v>2003</v>
      </c>
      <c r="AX5" s="924">
        <f t="shared" si="3"/>
        <v>2004</v>
      </c>
      <c r="AY5" s="924">
        <f t="shared" si="3"/>
        <v>2005</v>
      </c>
      <c r="AZ5" s="924">
        <f t="shared" si="3"/>
        <v>2006</v>
      </c>
      <c r="BA5" s="924"/>
    </row>
    <row r="6" spans="1:58">
      <c r="A6" s="924"/>
      <c r="B6" s="924"/>
      <c r="C6" s="924"/>
      <c r="D6" s="945"/>
      <c r="E6" s="945"/>
      <c r="F6" s="924"/>
      <c r="G6" s="924"/>
      <c r="H6" s="924"/>
      <c r="I6" s="924"/>
      <c r="J6" s="924"/>
      <c r="K6" s="527"/>
      <c r="L6" s="527"/>
      <c r="M6" s="527"/>
      <c r="N6" s="527"/>
      <c r="O6" s="527"/>
      <c r="P6" s="527"/>
      <c r="Q6" s="527"/>
      <c r="R6" s="527"/>
      <c r="S6" s="527"/>
      <c r="T6" s="527"/>
      <c r="U6" s="527"/>
      <c r="V6" s="527"/>
      <c r="W6" s="527"/>
      <c r="X6" s="527"/>
      <c r="Y6" s="527"/>
      <c r="Z6" s="527"/>
      <c r="AA6" s="527"/>
      <c r="AB6" s="527"/>
      <c r="AC6" s="527"/>
      <c r="AD6" s="527"/>
      <c r="AE6" s="527"/>
      <c r="AF6" s="946"/>
      <c r="AG6" s="930"/>
      <c r="AH6" s="930"/>
      <c r="AI6" s="947"/>
      <c r="AJ6" s="948"/>
      <c r="AK6" s="947"/>
      <c r="AL6" s="948"/>
      <c r="AM6" s="930"/>
      <c r="AN6" s="930"/>
      <c r="AO6" s="930"/>
      <c r="AP6" s="924"/>
      <c r="AQ6" s="924"/>
      <c r="AR6" s="924"/>
      <c r="AS6" s="924"/>
      <c r="AT6" s="924"/>
      <c r="AU6" s="924"/>
      <c r="AV6" s="924"/>
      <c r="AW6" s="924"/>
      <c r="AX6" s="924"/>
      <c r="AY6" s="924"/>
      <c r="AZ6" s="924"/>
      <c r="BA6" s="924"/>
    </row>
    <row r="7" spans="1:58" outlineLevel="1">
      <c r="A7" s="949" t="s">
        <v>492</v>
      </c>
      <c r="B7" s="950">
        <f>+B13</f>
        <v>110.121</v>
      </c>
      <c r="C7" s="951">
        <f t="shared" ref="C7:I7" si="4">+C8+C9</f>
        <v>111.30200000000001</v>
      </c>
      <c r="D7" s="951">
        <f t="shared" si="4"/>
        <v>128.167</v>
      </c>
      <c r="E7" s="951">
        <f t="shared" si="4"/>
        <v>142.77699999999999</v>
      </c>
      <c r="F7" s="951">
        <f t="shared" si="4"/>
        <v>183.47800000000001</v>
      </c>
      <c r="G7" s="951">
        <f t="shared" si="4"/>
        <v>238.815</v>
      </c>
      <c r="H7" s="951">
        <f t="shared" si="4"/>
        <v>253.05900000000003</v>
      </c>
      <c r="I7" s="951">
        <f t="shared" si="4"/>
        <v>305.87599999999998</v>
      </c>
      <c r="J7" s="951">
        <f>+J8+J9</f>
        <v>372.72699999999998</v>
      </c>
      <c r="K7" s="951">
        <f>+K8+K9</f>
        <v>478.78500000000003</v>
      </c>
      <c r="L7" s="951">
        <f>+L8+L9</f>
        <v>704.99199999999996</v>
      </c>
      <c r="M7" s="951">
        <f>+M8+M9</f>
        <v>903.26299999999992</v>
      </c>
      <c r="N7" s="951">
        <f>+N8+N9</f>
        <v>987.03200000000004</v>
      </c>
      <c r="O7" s="951">
        <f>+O8+O9+O10</f>
        <v>1193.008</v>
      </c>
      <c r="P7" s="951">
        <f>+P8+P9+P10+P11</f>
        <v>1425.0379999999998</v>
      </c>
      <c r="Q7" s="951">
        <f>+Q8+Q9+Q10+Q11</f>
        <v>1509.9939999999999</v>
      </c>
      <c r="R7" s="951">
        <f>+R8+R9+R10+R11</f>
        <v>1730.5068059999996</v>
      </c>
      <c r="S7" s="951">
        <f>segSales!AG120</f>
        <v>2340.7940000000003</v>
      </c>
      <c r="T7" s="951">
        <f>segSales!AG127</f>
        <v>2646.2840000000001</v>
      </c>
      <c r="U7" s="951">
        <f>segSales!AG134</f>
        <v>2908.982</v>
      </c>
      <c r="V7" s="951">
        <f>segSales!AG141</f>
        <v>3097.5435000000002</v>
      </c>
      <c r="W7" s="951">
        <f>segSales!AG148</f>
        <v>3184.9549999999999</v>
      </c>
      <c r="X7" s="951">
        <f>segSales!$AG$155</f>
        <v>3256.89</v>
      </c>
      <c r="Y7" s="951">
        <f>segSales!$AG$162</f>
        <v>3299.7139999999999</v>
      </c>
      <c r="Z7" s="951">
        <f>segSales!$AG$169</f>
        <v>3432.9370300681121</v>
      </c>
      <c r="AA7" s="952">
        <f>Z7*(1+AA51)+Z7*AA39*AA63</f>
        <v>3459.344651998204</v>
      </c>
      <c r="AB7" s="952">
        <f>AA7*(1+AB51)+AA7*AB39*AB63</f>
        <v>3495.7105384673509</v>
      </c>
      <c r="AC7" s="952">
        <f>AB7*(1+AC51)+AB7*AC39*AC63</f>
        <v>3520.9883273459695</v>
      </c>
      <c r="AD7" s="952">
        <f>AC7*(1+AD51)+AC7*AD39*AD63</f>
        <v>3535.6715186509987</v>
      </c>
      <c r="AE7" s="952"/>
      <c r="AF7" s="946"/>
      <c r="AG7" s="953"/>
      <c r="AH7" s="954"/>
      <c r="AI7" s="471"/>
      <c r="AJ7" s="955"/>
      <c r="AK7" s="471"/>
      <c r="AL7" s="955"/>
      <c r="AM7" s="930"/>
      <c r="AN7" s="930"/>
      <c r="AO7" s="930"/>
      <c r="AP7" s="924"/>
      <c r="AQ7" s="924"/>
      <c r="AR7" s="924"/>
      <c r="AS7" s="924"/>
      <c r="AT7" s="924"/>
      <c r="AU7" s="924"/>
      <c r="AV7" s="924"/>
      <c r="AW7" s="924"/>
      <c r="AX7" s="924"/>
      <c r="AY7" s="924"/>
      <c r="AZ7" s="924"/>
      <c r="BA7" s="924"/>
    </row>
    <row r="8" spans="1:58" outlineLevel="1">
      <c r="A8" s="956" t="s">
        <v>489</v>
      </c>
      <c r="B8" s="951"/>
      <c r="C8" s="957">
        <v>102.033</v>
      </c>
      <c r="D8" s="957">
        <v>108.39</v>
      </c>
      <c r="E8" s="957">
        <v>111.538</v>
      </c>
      <c r="F8" s="957">
        <v>141.41</v>
      </c>
      <c r="G8" s="957">
        <v>169.06700000000001</v>
      </c>
      <c r="H8" s="957">
        <v>160.15100000000001</v>
      </c>
      <c r="I8" s="958">
        <v>184.99799999999999</v>
      </c>
      <c r="J8" s="959">
        <f>+segSales!D55</f>
        <v>213.99</v>
      </c>
      <c r="K8" s="959">
        <f>+segSales!D62</f>
        <v>267.64100000000002</v>
      </c>
      <c r="L8" s="959">
        <f>+segSales!D69</f>
        <v>384.37099999999998</v>
      </c>
      <c r="M8" s="959">
        <f>+segSales!D76</f>
        <v>508.10599999999999</v>
      </c>
      <c r="N8" s="959">
        <f>segSales!D83</f>
        <v>547.84699999999998</v>
      </c>
      <c r="O8" s="959">
        <f>+segSales!D90</f>
        <v>628.32799999999997</v>
      </c>
      <c r="P8" s="959">
        <f>segSales!D97</f>
        <v>771.36199999999985</v>
      </c>
      <c r="Q8" s="959">
        <f>segSales!$D$104</f>
        <v>760.13300000000004</v>
      </c>
      <c r="R8" s="959">
        <f>segSales!$D$112</f>
        <v>843.69184199999995</v>
      </c>
      <c r="S8" s="959">
        <f>segSales!$D$120</f>
        <v>1155.2930000000001</v>
      </c>
      <c r="T8" s="959">
        <f>segSales!$D$127</f>
        <v>1324.3820000000001</v>
      </c>
      <c r="U8" s="959">
        <f>segSales!$D$134</f>
        <v>1369.3019999999999</v>
      </c>
      <c r="V8" s="959">
        <f>segSales!$D$141</f>
        <v>1385.0700000000002</v>
      </c>
      <c r="W8" s="959">
        <f>segSales!D148</f>
        <v>1393.328</v>
      </c>
      <c r="X8" s="959">
        <f>segSales!D155</f>
        <v>1414.9960000000001</v>
      </c>
      <c r="Y8" s="959">
        <f>segSales!$D$162</f>
        <v>1396.42</v>
      </c>
      <c r="Z8" s="959">
        <f>segSales!$D$169</f>
        <v>1447.4974615994415</v>
      </c>
      <c r="AA8" s="960">
        <f>+AA7*0.4</f>
        <v>1383.7378607992816</v>
      </c>
      <c r="AB8" s="960">
        <f>+AB7*0.4</f>
        <v>1398.2842153869406</v>
      </c>
      <c r="AC8" s="960">
        <f>+AC7*0.4</f>
        <v>1408.3953309383878</v>
      </c>
      <c r="AD8" s="960">
        <f>+AD7*0.4</f>
        <v>1414.2686074603996</v>
      </c>
      <c r="AE8" s="960"/>
      <c r="AF8" s="946"/>
      <c r="AG8" s="953"/>
      <c r="AH8" s="954"/>
      <c r="AI8" s="471"/>
      <c r="AJ8" s="961"/>
      <c r="AK8" s="471"/>
      <c r="AL8" s="961"/>
      <c r="AM8" s="962" t="s">
        <v>495</v>
      </c>
      <c r="AN8" s="924"/>
      <c r="AO8" s="924"/>
      <c r="AP8" s="924"/>
      <c r="AQ8" s="527">
        <f t="shared" ref="AQ8:AW9" si="5">+E8/E$7</f>
        <v>0.7812042555873846</v>
      </c>
      <c r="AR8" s="527">
        <f t="shared" si="5"/>
        <v>0.77071910528782739</v>
      </c>
      <c r="AS8" s="527">
        <f t="shared" si="5"/>
        <v>0.70794129346984069</v>
      </c>
      <c r="AT8" s="527">
        <f t="shared" si="5"/>
        <v>0.63286032111088719</v>
      </c>
      <c r="AU8" s="527">
        <f t="shared" si="5"/>
        <v>0.60481371536178063</v>
      </c>
      <c r="AV8" s="527">
        <f t="shared" si="5"/>
        <v>0.57411993228287739</v>
      </c>
      <c r="AW8" s="527">
        <f t="shared" si="5"/>
        <v>0.55900038639472838</v>
      </c>
      <c r="AX8" s="924"/>
      <c r="AY8" s="924"/>
      <c r="AZ8" s="924"/>
      <c r="BA8" s="924"/>
    </row>
    <row r="9" spans="1:58" outlineLevel="1">
      <c r="A9" s="956" t="s">
        <v>490</v>
      </c>
      <c r="B9" s="951"/>
      <c r="C9" s="957">
        <v>9.2690000000000001</v>
      </c>
      <c r="D9" s="957">
        <v>19.777000000000001</v>
      </c>
      <c r="E9" s="957">
        <v>31.239000000000001</v>
      </c>
      <c r="F9" s="957">
        <v>42.067999999999998</v>
      </c>
      <c r="G9" s="957">
        <v>69.748000000000005</v>
      </c>
      <c r="H9" s="957">
        <v>92.908000000000001</v>
      </c>
      <c r="I9" s="958">
        <v>120.878</v>
      </c>
      <c r="J9" s="959">
        <f>+segSales!J55</f>
        <v>158.73699999999999</v>
      </c>
      <c r="K9" s="959">
        <f>+segSales!J62</f>
        <v>211.14400000000001</v>
      </c>
      <c r="L9" s="959">
        <f>+segSales!J69</f>
        <v>320.62099999999998</v>
      </c>
      <c r="M9" s="959">
        <f>+segSales!J76</f>
        <v>395.15699999999998</v>
      </c>
      <c r="N9" s="959">
        <f>segSales!J83</f>
        <v>439.18500000000006</v>
      </c>
      <c r="O9" s="959">
        <f>+segSales!J90</f>
        <v>561.99</v>
      </c>
      <c r="P9" s="959">
        <f>segSales!J97</f>
        <v>642.16100000000006</v>
      </c>
      <c r="Q9" s="959">
        <f>segSales!$J$104</f>
        <v>704.84899999999993</v>
      </c>
      <c r="R9" s="959">
        <f>segSales!$J$112</f>
        <v>816.40261799999996</v>
      </c>
      <c r="S9" s="959">
        <f>segSales!$J$120</f>
        <v>1044.5250000000001</v>
      </c>
      <c r="T9" s="959">
        <f>segSales!$J$127</f>
        <v>1118.6079999999999</v>
      </c>
      <c r="U9" s="959">
        <f>segSales!$J$134</f>
        <v>1264.242</v>
      </c>
      <c r="V9" s="959">
        <f>segSales!$J$141</f>
        <v>1377.2280000000001</v>
      </c>
      <c r="W9" s="959">
        <f>segSales!J148</f>
        <v>1442.2540000000001</v>
      </c>
      <c r="X9" s="959">
        <f>segSales!J155</f>
        <v>1445.395</v>
      </c>
      <c r="Y9" s="959">
        <f>segSales!$J$162</f>
        <v>1472.769</v>
      </c>
      <c r="Z9" s="959">
        <f>segSales!$J$169</f>
        <v>1523.5789198089954</v>
      </c>
      <c r="AA9" s="960">
        <f>+AA7-AA8-AA10-AA11</f>
        <v>1660.4854329591376</v>
      </c>
      <c r="AB9" s="960">
        <f>+AB7-AB8-AB10-AB11</f>
        <v>1677.9410584643283</v>
      </c>
      <c r="AC9" s="960">
        <f>+AC7-AC8-AC10-AC11</f>
        <v>1690.0743971260654</v>
      </c>
      <c r="AD9" s="960">
        <f>+AD7-AD8-AD10-AD11</f>
        <v>1697.1223289524794</v>
      </c>
      <c r="AE9" s="960"/>
      <c r="AF9" s="946"/>
      <c r="AG9" s="953"/>
      <c r="AH9" s="954"/>
      <c r="AI9" s="471"/>
      <c r="AJ9" s="955"/>
      <c r="AK9" s="471"/>
      <c r="AL9" s="955"/>
      <c r="AM9" s="962" t="s">
        <v>494</v>
      </c>
      <c r="AN9" s="924"/>
      <c r="AO9" s="924"/>
      <c r="AP9" s="924"/>
      <c r="AQ9" s="527">
        <f t="shared" si="5"/>
        <v>0.21879574441261551</v>
      </c>
      <c r="AR9" s="527">
        <f t="shared" si="5"/>
        <v>0.22928089471217256</v>
      </c>
      <c r="AS9" s="527">
        <f t="shared" si="5"/>
        <v>0.29205870653015936</v>
      </c>
      <c r="AT9" s="527">
        <f t="shared" si="5"/>
        <v>0.36713967888911281</v>
      </c>
      <c r="AU9" s="527">
        <f t="shared" si="5"/>
        <v>0.39518628463821942</v>
      </c>
      <c r="AV9" s="527">
        <f t="shared" si="5"/>
        <v>0.42588006771712272</v>
      </c>
      <c r="AW9" s="527">
        <f t="shared" si="5"/>
        <v>0.44099961360527168</v>
      </c>
      <c r="AX9" s="924"/>
      <c r="AY9" s="924"/>
      <c r="AZ9" s="924"/>
      <c r="BA9" s="924"/>
    </row>
    <row r="10" spans="1:58" outlineLevel="1">
      <c r="A10" s="956" t="s">
        <v>498</v>
      </c>
      <c r="B10" s="951"/>
      <c r="C10" s="957"/>
      <c r="D10" s="957"/>
      <c r="E10" s="957"/>
      <c r="F10" s="957"/>
      <c r="G10" s="957"/>
      <c r="H10" s="957"/>
      <c r="I10" s="958"/>
      <c r="J10" s="959"/>
      <c r="K10" s="959"/>
      <c r="L10" s="959"/>
      <c r="M10" s="959"/>
      <c r="N10" s="959"/>
      <c r="O10" s="959">
        <f>segSales!P86</f>
        <v>2.69</v>
      </c>
      <c r="P10" s="959">
        <f>segSales!P93</f>
        <v>5.859</v>
      </c>
      <c r="Q10" s="959">
        <f>segSales!$P$104</f>
        <v>38.751999999999995</v>
      </c>
      <c r="R10" s="959">
        <f>segSales!$P$112</f>
        <v>52.304345999999995</v>
      </c>
      <c r="S10" s="959">
        <f>segSales!$P$120</f>
        <v>117.405</v>
      </c>
      <c r="T10" s="959">
        <f>segSales!$P$127</f>
        <v>172.04100000000003</v>
      </c>
      <c r="U10" s="959">
        <f>segSales!$P$134</f>
        <v>238.74299999999999</v>
      </c>
      <c r="V10" s="959">
        <f>segSales!$P$141</f>
        <v>304.988</v>
      </c>
      <c r="W10" s="959">
        <f>segSales!P148</f>
        <v>349.37299999999999</v>
      </c>
      <c r="X10" s="959">
        <f>segSales!P155</f>
        <v>373.822</v>
      </c>
      <c r="Y10" s="959">
        <f>segSales!$P$162</f>
        <v>405.66600000000005</v>
      </c>
      <c r="Z10" s="959">
        <f>segSales!$P$169</f>
        <v>434.51574865967541</v>
      </c>
      <c r="AA10" s="960">
        <f>+AA7*0.12</f>
        <v>415.12135823978446</v>
      </c>
      <c r="AB10" s="960">
        <f>+AB7*0.12</f>
        <v>419.48526461608208</v>
      </c>
      <c r="AC10" s="960">
        <f>+AC7*0.12</f>
        <v>422.51859928151634</v>
      </c>
      <c r="AD10" s="960">
        <f>+AD7*0.12</f>
        <v>424.28058223811985</v>
      </c>
      <c r="AE10" s="960"/>
      <c r="AF10" s="946"/>
      <c r="AG10" s="953"/>
      <c r="AH10" s="954"/>
      <c r="AI10" s="471"/>
      <c r="AJ10" s="955"/>
      <c r="AK10" s="471"/>
      <c r="AL10" s="955"/>
      <c r="AM10" s="962"/>
      <c r="AN10" s="924"/>
      <c r="AO10" s="924"/>
      <c r="AP10" s="924"/>
      <c r="AQ10" s="527"/>
      <c r="AR10" s="527"/>
      <c r="AS10" s="527"/>
      <c r="AT10" s="527"/>
      <c r="AU10" s="527"/>
      <c r="AV10" s="527"/>
      <c r="AW10" s="527"/>
      <c r="AX10" s="924"/>
      <c r="AY10" s="924"/>
      <c r="AZ10" s="924"/>
      <c r="BA10" s="924"/>
    </row>
    <row r="11" spans="1:58" hidden="1" outlineLevel="2">
      <c r="A11" s="956" t="s">
        <v>106</v>
      </c>
      <c r="B11" s="951"/>
      <c r="C11" s="957"/>
      <c r="D11" s="957"/>
      <c r="E11" s="957"/>
      <c r="F11" s="957"/>
      <c r="G11" s="957"/>
      <c r="H11" s="957"/>
      <c r="I11" s="958"/>
      <c r="J11" s="959"/>
      <c r="K11" s="959"/>
      <c r="L11" s="959"/>
      <c r="M11" s="959"/>
      <c r="N11" s="959"/>
      <c r="O11" s="959"/>
      <c r="P11" s="959">
        <f>segSales!W97</f>
        <v>5.6559999999999997</v>
      </c>
      <c r="Q11" s="959">
        <f>segSales!$W$104</f>
        <v>6.26</v>
      </c>
      <c r="R11" s="959">
        <f>segSales!$W$112</f>
        <v>18.108000000000001</v>
      </c>
      <c r="S11" s="959">
        <f>segSales!W120</f>
        <v>23.570999999999998</v>
      </c>
      <c r="T11" s="959">
        <f>segSales!W127</f>
        <v>31.253</v>
      </c>
      <c r="U11" s="959">
        <f>segSales!W134</f>
        <v>36.694999999999993</v>
      </c>
      <c r="V11" s="959"/>
      <c r="W11" s="959"/>
      <c r="X11" s="959"/>
      <c r="Y11" s="959"/>
      <c r="Z11" s="1738"/>
      <c r="AA11" s="960"/>
      <c r="AB11" s="960"/>
      <c r="AC11" s="960"/>
      <c r="AD11" s="960"/>
      <c r="AE11" s="960"/>
      <c r="AF11" s="946"/>
      <c r="AG11" s="953"/>
      <c r="AH11" s="954"/>
      <c r="AI11" s="471"/>
      <c r="AJ11" s="955"/>
      <c r="AK11" s="471"/>
      <c r="AL11" s="955"/>
      <c r="AM11" s="962"/>
      <c r="AN11" s="924"/>
      <c r="AO11" s="924"/>
      <c r="AP11" s="924"/>
      <c r="AQ11" s="527"/>
      <c r="AR11" s="527"/>
      <c r="AS11" s="527"/>
      <c r="AT11" s="527"/>
      <c r="AU11" s="527"/>
      <c r="AV11" s="527"/>
      <c r="AW11" s="527"/>
      <c r="AX11" s="924"/>
      <c r="AY11" s="924"/>
      <c r="AZ11" s="924"/>
      <c r="BA11" s="924"/>
    </row>
    <row r="12" spans="1:58" outlineLevel="1" collapsed="1">
      <c r="A12" s="949" t="s">
        <v>491</v>
      </c>
      <c r="B12" s="952"/>
      <c r="C12" s="952">
        <v>21.734000000000002</v>
      </c>
      <c r="D12" s="957">
        <v>28.25</v>
      </c>
      <c r="E12" s="957">
        <v>30.483000000000001</v>
      </c>
      <c r="F12" s="957">
        <v>19.934999999999999</v>
      </c>
      <c r="G12" s="957">
        <v>22.331</v>
      </c>
      <c r="H12" s="957">
        <v>20.609000000000002</v>
      </c>
      <c r="I12" s="957">
        <v>18.266999999999999</v>
      </c>
      <c r="J12" s="963">
        <f>+segSales!AJ55</f>
        <v>18.28</v>
      </c>
      <c r="K12" s="963">
        <f>+segSales!AJ62</f>
        <v>18.432000000000002</v>
      </c>
      <c r="L12" s="963">
        <f>+segSales!AJ69</f>
        <v>28.844999999999999</v>
      </c>
      <c r="M12" s="963">
        <f>+segSales!AJ76</f>
        <v>58.262999999999998</v>
      </c>
      <c r="N12" s="963">
        <f>segSales!AJ83</f>
        <v>83.972999999999999</v>
      </c>
      <c r="O12" s="963">
        <f>+segSales!AJ90</f>
        <v>94.471999999999994</v>
      </c>
      <c r="P12" s="963">
        <f>segSales!AJ97</f>
        <v>110.06</v>
      </c>
      <c r="Q12" s="963">
        <f>segSales!$AJ$104</f>
        <v>104.08199999999999</v>
      </c>
      <c r="R12" s="963">
        <f>segSales!$AJ$112</f>
        <v>120.31</v>
      </c>
      <c r="S12" s="963">
        <f>segSales!$AJ$120</f>
        <v>133.00700000000001</v>
      </c>
      <c r="T12" s="963">
        <f>segSales!$AJ$127</f>
        <v>148.64099999999999</v>
      </c>
      <c r="U12" s="963">
        <f>segSales!$AJ$134</f>
        <v>177.66246000000001</v>
      </c>
      <c r="V12" s="963">
        <f>segSales!$AJ$141</f>
        <v>225.803</v>
      </c>
      <c r="W12" s="963">
        <f>segSales!AJ148</f>
        <v>260.17899999999997</v>
      </c>
      <c r="X12" s="963">
        <f>segSales!$AJ$155</f>
        <v>288.904</v>
      </c>
      <c r="Y12" s="963">
        <f>segSales!$AJ$162</f>
        <v>316.29999999999995</v>
      </c>
      <c r="Z12" s="963">
        <f>segSales!$AJ$169</f>
        <v>347.93</v>
      </c>
      <c r="AA12" s="963">
        <f>Z12*(1+AA56)</f>
        <v>382.72300000000001</v>
      </c>
      <c r="AB12" s="963">
        <f>AA12*(1+AB56)</f>
        <v>420.99530000000004</v>
      </c>
      <c r="AC12" s="963">
        <f>AB12*(1+AC56)</f>
        <v>463.09483000000006</v>
      </c>
      <c r="AD12" s="963">
        <f>AC12*(1+AD56)</f>
        <v>509.40431300000012</v>
      </c>
      <c r="AE12" s="963"/>
      <c r="AF12" s="941"/>
      <c r="AG12" s="471"/>
      <c r="AH12" s="942"/>
      <c r="AI12" s="471"/>
      <c r="AJ12" s="961"/>
      <c r="AK12" s="471"/>
      <c r="AL12" s="961"/>
      <c r="AM12" s="924"/>
      <c r="AN12" s="924"/>
      <c r="AO12" s="924"/>
      <c r="AP12" s="924"/>
      <c r="AQ12" s="924"/>
      <c r="AR12" s="924"/>
      <c r="AS12" s="924"/>
      <c r="AT12" s="924"/>
      <c r="AU12" s="924"/>
      <c r="AV12" s="924"/>
      <c r="AW12" s="924"/>
      <c r="AX12" s="924"/>
      <c r="AY12" s="924"/>
      <c r="AZ12" s="924"/>
      <c r="BA12" s="924"/>
    </row>
    <row r="13" spans="1:58">
      <c r="A13" s="964" t="s">
        <v>493</v>
      </c>
      <c r="B13" s="950">
        <f>+'qtrP&amp;L'!D14</f>
        <v>110.121</v>
      </c>
      <c r="C13" s="951">
        <f t="shared" ref="C13:I13" si="6">C7+C12</f>
        <v>133.036</v>
      </c>
      <c r="D13" s="951">
        <f t="shared" si="6"/>
        <v>156.417</v>
      </c>
      <c r="E13" s="951">
        <f t="shared" si="6"/>
        <v>173.26</v>
      </c>
      <c r="F13" s="951">
        <f t="shared" si="6"/>
        <v>203.41300000000001</v>
      </c>
      <c r="G13" s="951">
        <f t="shared" si="6"/>
        <v>261.14600000000002</v>
      </c>
      <c r="H13" s="951">
        <f t="shared" si="6"/>
        <v>273.66800000000001</v>
      </c>
      <c r="I13" s="951">
        <f t="shared" si="6"/>
        <v>324.14299999999997</v>
      </c>
      <c r="J13" s="951">
        <f>J7+J12</f>
        <v>391.00699999999995</v>
      </c>
      <c r="K13" s="951">
        <f t="shared" ref="K13:X13" si="7">K7+K12</f>
        <v>497.21700000000004</v>
      </c>
      <c r="L13" s="951">
        <f t="shared" si="7"/>
        <v>733.83699999999999</v>
      </c>
      <c r="M13" s="951">
        <f t="shared" si="7"/>
        <v>961.52599999999995</v>
      </c>
      <c r="N13" s="951">
        <f t="shared" si="7"/>
        <v>1071.0050000000001</v>
      </c>
      <c r="O13" s="951">
        <f t="shared" si="7"/>
        <v>1287.48</v>
      </c>
      <c r="P13" s="951">
        <f t="shared" si="7"/>
        <v>1535.0979999999997</v>
      </c>
      <c r="Q13" s="951">
        <f t="shared" si="7"/>
        <v>1614.076</v>
      </c>
      <c r="R13" s="951">
        <f t="shared" si="7"/>
        <v>1850.8168059999996</v>
      </c>
      <c r="S13" s="951">
        <f t="shared" si="7"/>
        <v>2473.8010000000004</v>
      </c>
      <c r="T13" s="951">
        <f t="shared" si="7"/>
        <v>2794.9250000000002</v>
      </c>
      <c r="U13" s="951">
        <f>U7+U12</f>
        <v>3086.64446</v>
      </c>
      <c r="V13" s="951">
        <f>V7+V12</f>
        <v>3323.3465000000001</v>
      </c>
      <c r="W13" s="951">
        <f>W7+W12</f>
        <v>3445.134</v>
      </c>
      <c r="X13" s="951">
        <f t="shared" si="7"/>
        <v>3545.7939999999999</v>
      </c>
      <c r="Y13" s="951">
        <f t="shared" ref="Y13:AD13" si="8">Y7+Y12</f>
        <v>3616.0140000000001</v>
      </c>
      <c r="Z13" s="951">
        <f t="shared" si="8"/>
        <v>3780.8670300681119</v>
      </c>
      <c r="AA13" s="951">
        <f t="shared" si="8"/>
        <v>3842.0676519982039</v>
      </c>
      <c r="AB13" s="951">
        <f t="shared" si="8"/>
        <v>3916.705838467351</v>
      </c>
      <c r="AC13" s="951">
        <f t="shared" si="8"/>
        <v>3984.0831573459695</v>
      </c>
      <c r="AD13" s="951">
        <f t="shared" si="8"/>
        <v>4045.0758316509987</v>
      </c>
      <c r="AE13" s="951"/>
      <c r="AF13" s="946"/>
      <c r="AG13" s="471">
        <f>((Y13/T13)^(1/5)-1)*100</f>
        <v>5.2863303323114064</v>
      </c>
      <c r="AH13" s="954" t="s">
        <v>208</v>
      </c>
      <c r="AI13" s="471"/>
      <c r="AJ13" s="955"/>
      <c r="AK13" s="471">
        <f>((AD13/Y13)^(1/5)-1)*100</f>
        <v>2.2678940571974282</v>
      </c>
      <c r="AL13" s="955" t="s">
        <v>208</v>
      </c>
      <c r="AM13" s="930"/>
      <c r="AN13" s="930"/>
      <c r="AO13" s="930"/>
      <c r="AP13" s="924"/>
      <c r="AQ13" s="924"/>
      <c r="AR13" s="924"/>
      <c r="AS13" s="924"/>
      <c r="AT13" s="924"/>
      <c r="AU13" s="924"/>
      <c r="AV13" s="924"/>
      <c r="AW13" s="924"/>
      <c r="AX13" s="924"/>
      <c r="AY13" s="924"/>
      <c r="AZ13" s="924"/>
      <c r="BA13" s="924"/>
      <c r="BF13" s="410">
        <f>298.566-9.662</f>
        <v>288.904</v>
      </c>
    </row>
    <row r="14" spans="1:58">
      <c r="A14" s="964" t="s">
        <v>209</v>
      </c>
      <c r="B14" s="945"/>
      <c r="C14" s="945">
        <f t="shared" ref="C14:T14" si="9">C13/B13-1</f>
        <v>0.20808928360621515</v>
      </c>
      <c r="D14" s="945">
        <f t="shared" si="9"/>
        <v>0.17574942120929671</v>
      </c>
      <c r="E14" s="945">
        <f t="shared" si="9"/>
        <v>0.10768011149683221</v>
      </c>
      <c r="F14" s="945">
        <f t="shared" si="9"/>
        <v>0.17403324483435312</v>
      </c>
      <c r="G14" s="945">
        <f t="shared" si="9"/>
        <v>0.28382158465781449</v>
      </c>
      <c r="H14" s="945">
        <f>H13/G13-1</f>
        <v>4.7950188783286052E-2</v>
      </c>
      <c r="I14" s="945">
        <f>I13/H13-1</f>
        <v>0.18443880906792165</v>
      </c>
      <c r="J14" s="945">
        <f t="shared" si="9"/>
        <v>0.20627932733392362</v>
      </c>
      <c r="K14" s="945">
        <f t="shared" si="9"/>
        <v>0.27163196566813408</v>
      </c>
      <c r="L14" s="945">
        <f t="shared" si="9"/>
        <v>0.47588879704434861</v>
      </c>
      <c r="M14" s="945">
        <f t="shared" si="9"/>
        <v>0.31027189961803492</v>
      </c>
      <c r="N14" s="945">
        <f t="shared" si="9"/>
        <v>0.11385963562087786</v>
      </c>
      <c r="O14" s="945">
        <f t="shared" si="9"/>
        <v>0.20212323938730425</v>
      </c>
      <c r="P14" s="945">
        <f t="shared" si="9"/>
        <v>0.19232764780812106</v>
      </c>
      <c r="Q14" s="945">
        <f t="shared" si="9"/>
        <v>5.1448181158467055E-2</v>
      </c>
      <c r="R14" s="945">
        <f t="shared" si="9"/>
        <v>0.14667265110193051</v>
      </c>
      <c r="S14" s="945">
        <f t="shared" si="9"/>
        <v>0.33659959860986954</v>
      </c>
      <c r="T14" s="945">
        <f t="shared" si="9"/>
        <v>0.12980995641929161</v>
      </c>
      <c r="U14" s="945">
        <f t="shared" ref="U14:AD14" si="10">U13/T13-1</f>
        <v>0.10437470057336062</v>
      </c>
      <c r="V14" s="945">
        <f t="shared" si="10"/>
        <v>7.6685877841596417E-2</v>
      </c>
      <c r="W14" s="945">
        <f t="shared" si="10"/>
        <v>3.6646043378263382E-2</v>
      </c>
      <c r="X14" s="945">
        <f t="shared" si="10"/>
        <v>2.9218021708299347E-2</v>
      </c>
      <c r="Y14" s="945">
        <f t="shared" si="10"/>
        <v>1.9803744944009827E-2</v>
      </c>
      <c r="Z14" s="945">
        <f t="shared" si="10"/>
        <v>4.5589710125047089E-2</v>
      </c>
      <c r="AA14" s="945">
        <f t="shared" si="10"/>
        <v>1.6186927877489987E-2</v>
      </c>
      <c r="AB14" s="945">
        <f t="shared" si="10"/>
        <v>1.9426567470858691E-2</v>
      </c>
      <c r="AC14" s="945">
        <f t="shared" si="10"/>
        <v>1.720254766566387E-2</v>
      </c>
      <c r="AD14" s="945">
        <f t="shared" si="10"/>
        <v>1.5309086657131932E-2</v>
      </c>
      <c r="AE14" s="945"/>
      <c r="AF14" s="946"/>
      <c r="AG14" s="471"/>
      <c r="AH14" s="930"/>
      <c r="AI14" s="471"/>
      <c r="AJ14" s="961"/>
      <c r="AK14" s="471"/>
      <c r="AL14" s="961"/>
      <c r="AM14" s="930"/>
      <c r="AN14" s="930"/>
      <c r="AO14" s="930"/>
      <c r="AP14" s="924"/>
      <c r="AQ14" s="924"/>
      <c r="AR14" s="924"/>
      <c r="AS14" s="924"/>
      <c r="AT14" s="924"/>
      <c r="AU14" s="924"/>
      <c r="AV14" s="924"/>
      <c r="AW14" s="924"/>
      <c r="AX14" s="924"/>
      <c r="AY14" s="924"/>
      <c r="AZ14" s="924"/>
      <c r="BA14" s="924"/>
    </row>
    <row r="15" spans="1:58">
      <c r="A15" s="964" t="s">
        <v>210</v>
      </c>
      <c r="B15" s="965">
        <f>16+1</f>
        <v>17</v>
      </c>
      <c r="C15" s="966">
        <f t="shared" ref="C15:T15" si="11">B26</f>
        <v>22</v>
      </c>
      <c r="D15" s="966">
        <f t="shared" si="11"/>
        <v>26</v>
      </c>
      <c r="E15" s="966">
        <f t="shared" si="11"/>
        <v>33</v>
      </c>
      <c r="F15" s="966">
        <f t="shared" si="11"/>
        <v>35</v>
      </c>
      <c r="G15" s="966">
        <f t="shared" si="11"/>
        <v>46</v>
      </c>
      <c r="H15" s="966">
        <f t="shared" si="11"/>
        <v>57</v>
      </c>
      <c r="I15" s="966">
        <f t="shared" si="11"/>
        <v>68</v>
      </c>
      <c r="J15" s="966">
        <f t="shared" si="11"/>
        <v>80</v>
      </c>
      <c r="K15" s="966">
        <f t="shared" si="11"/>
        <v>93</v>
      </c>
      <c r="L15" s="966">
        <f t="shared" si="11"/>
        <v>114</v>
      </c>
      <c r="M15" s="966">
        <f t="shared" si="11"/>
        <v>142</v>
      </c>
      <c r="N15" s="966">
        <f t="shared" si="11"/>
        <v>175</v>
      </c>
      <c r="O15" s="966">
        <f t="shared" si="11"/>
        <v>207</v>
      </c>
      <c r="P15" s="966">
        <f t="shared" si="11"/>
        <v>245</v>
      </c>
      <c r="Q15" s="966">
        <f t="shared" si="11"/>
        <v>294</v>
      </c>
      <c r="R15" s="966">
        <f t="shared" si="11"/>
        <v>327</v>
      </c>
      <c r="S15" s="966">
        <f t="shared" si="11"/>
        <v>372</v>
      </c>
      <c r="T15" s="966">
        <f t="shared" si="11"/>
        <v>429</v>
      </c>
      <c r="U15" s="966">
        <f t="shared" ref="U15:Z15" si="12">T26</f>
        <v>476</v>
      </c>
      <c r="V15" s="966">
        <f t="shared" si="12"/>
        <v>511</v>
      </c>
      <c r="W15" s="966">
        <f t="shared" si="12"/>
        <v>546</v>
      </c>
      <c r="X15" s="966">
        <f>SUM(W27:W31)</f>
        <v>572</v>
      </c>
      <c r="Y15" s="966">
        <f t="shared" si="12"/>
        <v>594</v>
      </c>
      <c r="Z15" s="966">
        <f t="shared" si="12"/>
        <v>603</v>
      </c>
      <c r="AA15" s="966">
        <f>Z26</f>
        <v>606</v>
      </c>
      <c r="AB15" s="966">
        <f>AA26</f>
        <v>618</v>
      </c>
      <c r="AC15" s="966">
        <f>AB26</f>
        <v>630</v>
      </c>
      <c r="AD15" s="966">
        <f>AC26</f>
        <v>636</v>
      </c>
      <c r="AE15" s="966"/>
      <c r="AF15" s="946"/>
      <c r="AG15" s="471"/>
      <c r="AH15" s="930"/>
      <c r="AI15" s="471"/>
      <c r="AJ15" s="955"/>
      <c r="AK15" s="471"/>
      <c r="AL15" s="955"/>
      <c r="AM15" s="930"/>
      <c r="AN15" s="930"/>
      <c r="AO15" s="930"/>
      <c r="AP15" s="924"/>
      <c r="AQ15" s="924"/>
      <c r="AR15" s="924"/>
      <c r="AS15" s="924"/>
      <c r="AT15" s="924"/>
      <c r="AU15" s="924"/>
      <c r="AV15" s="924"/>
      <c r="AW15" s="924"/>
      <c r="AX15" s="924"/>
      <c r="AY15" s="924"/>
      <c r="AZ15" s="924"/>
      <c r="BA15" s="924"/>
    </row>
    <row r="16" spans="1:58" outlineLevel="1">
      <c r="A16" s="967" t="s">
        <v>481</v>
      </c>
      <c r="B16" s="968">
        <f t="shared" ref="B16:I16" si="13">+B17+B18</f>
        <v>5</v>
      </c>
      <c r="C16" s="968">
        <f t="shared" si="13"/>
        <v>4</v>
      </c>
      <c r="D16" s="968">
        <f t="shared" si="13"/>
        <v>7</v>
      </c>
      <c r="E16" s="968">
        <f t="shared" si="13"/>
        <v>3</v>
      </c>
      <c r="F16" s="968">
        <f t="shared" si="13"/>
        <v>11</v>
      </c>
      <c r="G16" s="968">
        <f t="shared" si="13"/>
        <v>13</v>
      </c>
      <c r="H16" s="968">
        <f t="shared" si="13"/>
        <v>11</v>
      </c>
      <c r="I16" s="968">
        <f t="shared" si="13"/>
        <v>12</v>
      </c>
      <c r="J16" s="968">
        <f t="shared" ref="J16:O16" si="14">+J17+J18+J19</f>
        <v>13</v>
      </c>
      <c r="K16" s="968">
        <f t="shared" si="14"/>
        <v>21</v>
      </c>
      <c r="L16" s="968">
        <f t="shared" si="14"/>
        <v>28</v>
      </c>
      <c r="M16" s="968">
        <f t="shared" si="14"/>
        <v>33</v>
      </c>
      <c r="N16" s="968">
        <f t="shared" si="14"/>
        <v>32</v>
      </c>
      <c r="O16" s="968">
        <f t="shared" si="14"/>
        <v>38</v>
      </c>
      <c r="P16" s="968">
        <f>+P17+P18+P19+P20</f>
        <v>49</v>
      </c>
      <c r="Q16" s="968">
        <f>+Q17+Q18+Q19+Q20</f>
        <v>33</v>
      </c>
      <c r="R16" s="968">
        <f>+R17+R18+R19+R20</f>
        <v>45</v>
      </c>
      <c r="S16" s="968">
        <f t="shared" ref="S16:Y16" si="15">+S17+S18+S19+S20+S21</f>
        <v>57</v>
      </c>
      <c r="T16" s="968">
        <f t="shared" si="15"/>
        <v>49</v>
      </c>
      <c r="U16" s="968">
        <f t="shared" si="15"/>
        <v>38</v>
      </c>
      <c r="V16" s="968">
        <f>+V17+V18+V19+V20+V21</f>
        <v>38</v>
      </c>
      <c r="W16" s="968">
        <f>+W17+W18+W19+W20+W21</f>
        <v>29</v>
      </c>
      <c r="X16" s="968">
        <f>+X17+X18+X19+X20+X21</f>
        <v>29</v>
      </c>
      <c r="Y16" s="968">
        <f t="shared" si="15"/>
        <v>16</v>
      </c>
      <c r="Z16" s="968">
        <f>+Z17+Z18+Z19+Z20+Z21</f>
        <v>14</v>
      </c>
      <c r="AA16" s="968">
        <f>+AA17+AA18+AA19+AA20+AA21</f>
        <v>12</v>
      </c>
      <c r="AB16" s="968">
        <f>+AB17+AB18+AB19+AB20+AB21</f>
        <v>12</v>
      </c>
      <c r="AC16" s="968">
        <f>+AC17+AC18+AC19+AC20+AC21</f>
        <v>6</v>
      </c>
      <c r="AD16" s="968">
        <f>+AD17+AD18+AD19+AD20+AD21</f>
        <v>6</v>
      </c>
      <c r="AE16" s="968"/>
      <c r="AF16" s="946"/>
      <c r="AG16" s="471"/>
      <c r="AH16" s="930"/>
      <c r="AI16" s="471"/>
      <c r="AJ16" s="969"/>
      <c r="AK16" s="471"/>
      <c r="AL16" s="969"/>
      <c r="AM16" s="930"/>
      <c r="AN16" s="930"/>
      <c r="AO16" s="930"/>
      <c r="AP16" s="924"/>
      <c r="AQ16" s="924"/>
      <c r="AR16" s="924"/>
      <c r="AS16" s="924"/>
      <c r="AT16" s="924"/>
      <c r="AU16" s="924"/>
      <c r="AV16" s="924"/>
      <c r="AW16" s="924"/>
      <c r="AX16" s="924"/>
      <c r="AY16" s="924"/>
      <c r="AZ16" s="924"/>
      <c r="BA16" s="924"/>
    </row>
    <row r="17" spans="1:53" outlineLevel="1">
      <c r="A17" s="956" t="s">
        <v>489</v>
      </c>
      <c r="B17" s="970">
        <v>3</v>
      </c>
      <c r="C17" s="970">
        <v>4</v>
      </c>
      <c r="D17" s="970">
        <v>2</v>
      </c>
      <c r="E17" s="970">
        <v>2</v>
      </c>
      <c r="F17" s="970">
        <v>6</v>
      </c>
      <c r="G17" s="970">
        <v>7</v>
      </c>
      <c r="H17" s="970">
        <v>5</v>
      </c>
      <c r="I17" s="970">
        <f>49-42</f>
        <v>7</v>
      </c>
      <c r="J17" s="970">
        <v>4</v>
      </c>
      <c r="K17" s="970">
        <v>8</v>
      </c>
      <c r="L17" s="970">
        <v>14</v>
      </c>
      <c r="M17" s="970">
        <v>15</v>
      </c>
      <c r="N17" s="970">
        <v>16</v>
      </c>
      <c r="O17" s="970">
        <v>16</v>
      </c>
      <c r="P17" s="970">
        <v>20</v>
      </c>
      <c r="Q17" s="970">
        <v>13</v>
      </c>
      <c r="R17" s="970">
        <v>21</v>
      </c>
      <c r="S17" s="970">
        <v>21</v>
      </c>
      <c r="T17" s="970">
        <v>18</v>
      </c>
      <c r="U17" s="970">
        <v>16</v>
      </c>
      <c r="V17" s="970">
        <v>11</v>
      </c>
      <c r="W17" s="970">
        <v>4</v>
      </c>
      <c r="X17" s="970">
        <v>4</v>
      </c>
      <c r="Y17" s="970">
        <v>4</v>
      </c>
      <c r="Z17" s="970">
        <v>5</v>
      </c>
      <c r="AA17" s="970">
        <v>2</v>
      </c>
      <c r="AB17" s="970">
        <v>2</v>
      </c>
      <c r="AC17" s="970">
        <v>0</v>
      </c>
      <c r="AD17" s="970">
        <v>0</v>
      </c>
      <c r="AE17" s="970"/>
      <c r="AF17" s="946"/>
      <c r="AG17" s="471"/>
      <c r="AH17" s="930"/>
      <c r="AI17" s="471"/>
      <c r="AJ17" s="961"/>
      <c r="AK17" s="471"/>
      <c r="AL17" s="961"/>
      <c r="AM17" s="962" t="s">
        <v>495</v>
      </c>
      <c r="AN17" s="971">
        <f>16+3</f>
        <v>19</v>
      </c>
      <c r="AO17" s="930">
        <f>+AN17+C17</f>
        <v>23</v>
      </c>
      <c r="AP17" s="930">
        <f>+AO17+D17</f>
        <v>25</v>
      </c>
      <c r="AQ17" s="972">
        <f>+AP17+E17+E22</f>
        <v>26</v>
      </c>
      <c r="AR17" s="972">
        <f>+AQ17+F17+F22</f>
        <v>32</v>
      </c>
      <c r="AS17" s="972">
        <f>+AR17+G17+G22</f>
        <v>37</v>
      </c>
      <c r="AT17" s="972">
        <f>+AS17+H17+H22</f>
        <v>42</v>
      </c>
      <c r="AU17" s="972">
        <f>+AT17+I17+I22</f>
        <v>49</v>
      </c>
      <c r="AV17" s="930">
        <f t="shared" ref="AV17:BA19" si="16">+AU17+J17</f>
        <v>53</v>
      </c>
      <c r="AW17" s="930">
        <f t="shared" si="16"/>
        <v>61</v>
      </c>
      <c r="AX17" s="930">
        <f t="shared" si="16"/>
        <v>75</v>
      </c>
      <c r="AY17" s="930">
        <f t="shared" si="16"/>
        <v>90</v>
      </c>
      <c r="AZ17" s="930">
        <f t="shared" si="16"/>
        <v>106</v>
      </c>
      <c r="BA17" s="930">
        <f t="shared" si="16"/>
        <v>122</v>
      </c>
    </row>
    <row r="18" spans="1:53" outlineLevel="1">
      <c r="A18" s="956" t="s">
        <v>490</v>
      </c>
      <c r="B18" s="970">
        <v>2</v>
      </c>
      <c r="C18" s="970">
        <v>0</v>
      </c>
      <c r="D18" s="970">
        <v>5</v>
      </c>
      <c r="E18" s="970">
        <v>1</v>
      </c>
      <c r="F18" s="970">
        <v>5</v>
      </c>
      <c r="G18" s="970">
        <v>6</v>
      </c>
      <c r="H18" s="970">
        <f>26-20</f>
        <v>6</v>
      </c>
      <c r="I18" s="970">
        <f>31-26</f>
        <v>5</v>
      </c>
      <c r="J18" s="970">
        <v>8</v>
      </c>
      <c r="K18" s="970">
        <v>13</v>
      </c>
      <c r="L18" s="970">
        <v>13</v>
      </c>
      <c r="M18" s="970">
        <v>14</v>
      </c>
      <c r="N18" s="970">
        <v>14</v>
      </c>
      <c r="O18" s="970">
        <v>15</v>
      </c>
      <c r="P18" s="970">
        <v>13</v>
      </c>
      <c r="Q18" s="970">
        <v>16</v>
      </c>
      <c r="R18" s="970">
        <v>16</v>
      </c>
      <c r="S18" s="970">
        <v>15</v>
      </c>
      <c r="T18" s="970">
        <v>14</v>
      </c>
      <c r="U18" s="970">
        <v>9</v>
      </c>
      <c r="V18" s="970">
        <v>17</v>
      </c>
      <c r="W18" s="970">
        <v>14</v>
      </c>
      <c r="X18" s="970">
        <v>10</v>
      </c>
      <c r="Y18" s="970">
        <v>4</v>
      </c>
      <c r="Z18" s="970">
        <v>6</v>
      </c>
      <c r="AA18" s="970">
        <v>4</v>
      </c>
      <c r="AB18" s="970">
        <v>4</v>
      </c>
      <c r="AC18" s="970">
        <v>2</v>
      </c>
      <c r="AD18" s="970">
        <v>2</v>
      </c>
      <c r="AE18" s="970"/>
      <c r="AF18" s="946"/>
      <c r="AG18" s="471"/>
      <c r="AH18" s="930"/>
      <c r="AI18" s="471"/>
      <c r="AJ18" s="961"/>
      <c r="AK18" s="471"/>
      <c r="AL18" s="961"/>
      <c r="AM18" s="962" t="s">
        <v>494</v>
      </c>
      <c r="AN18" s="971">
        <f>1+2</f>
        <v>3</v>
      </c>
      <c r="AO18" s="930">
        <f>+AN18+C18</f>
        <v>3</v>
      </c>
      <c r="AP18" s="930">
        <f>+AO18+D18</f>
        <v>8</v>
      </c>
      <c r="AQ18" s="930">
        <f>+AP18+E18</f>
        <v>9</v>
      </c>
      <c r="AR18" s="930">
        <f>+AQ18+F18</f>
        <v>14</v>
      </c>
      <c r="AS18" s="930">
        <f>+AR18+G18</f>
        <v>20</v>
      </c>
      <c r="AT18" s="930">
        <f>+AS18+H18</f>
        <v>26</v>
      </c>
      <c r="AU18" s="930">
        <f>+AT18+I18</f>
        <v>31</v>
      </c>
      <c r="AV18" s="930">
        <f t="shared" si="16"/>
        <v>39</v>
      </c>
      <c r="AW18" s="930">
        <f t="shared" si="16"/>
        <v>52</v>
      </c>
      <c r="AX18" s="930">
        <f t="shared" si="16"/>
        <v>65</v>
      </c>
      <c r="AY18" s="930">
        <f t="shared" si="16"/>
        <v>79</v>
      </c>
      <c r="AZ18" s="930">
        <f t="shared" si="16"/>
        <v>93</v>
      </c>
      <c r="BA18" s="930">
        <f t="shared" si="16"/>
        <v>108</v>
      </c>
    </row>
    <row r="19" spans="1:53" outlineLevel="1">
      <c r="A19" s="956" t="s">
        <v>498</v>
      </c>
      <c r="B19" s="970">
        <v>0</v>
      </c>
      <c r="C19" s="970">
        <v>0</v>
      </c>
      <c r="D19" s="970">
        <v>0</v>
      </c>
      <c r="E19" s="970">
        <v>0</v>
      </c>
      <c r="F19" s="970">
        <v>0</v>
      </c>
      <c r="G19" s="970">
        <v>0</v>
      </c>
      <c r="H19" s="970">
        <v>0</v>
      </c>
      <c r="I19" s="970">
        <v>0</v>
      </c>
      <c r="J19" s="970">
        <v>1</v>
      </c>
      <c r="K19" s="970">
        <v>0</v>
      </c>
      <c r="L19" s="970">
        <v>1</v>
      </c>
      <c r="M19" s="970">
        <v>4</v>
      </c>
      <c r="N19" s="970">
        <v>2</v>
      </c>
      <c r="O19" s="970">
        <v>7</v>
      </c>
      <c r="P19" s="970">
        <v>15</v>
      </c>
      <c r="Q19" s="970">
        <v>4</v>
      </c>
      <c r="R19" s="970">
        <v>8</v>
      </c>
      <c r="S19" s="970">
        <v>20</v>
      </c>
      <c r="T19" s="970">
        <v>15</v>
      </c>
      <c r="U19" s="970">
        <v>13</v>
      </c>
      <c r="V19" s="970">
        <v>12</v>
      </c>
      <c r="W19" s="970">
        <v>13</v>
      </c>
      <c r="X19" s="970">
        <v>15</v>
      </c>
      <c r="Y19" s="970">
        <v>8</v>
      </c>
      <c r="Z19" s="970">
        <v>3</v>
      </c>
      <c r="AA19" s="970">
        <v>6</v>
      </c>
      <c r="AB19" s="970">
        <v>6</v>
      </c>
      <c r="AC19" s="970">
        <v>4</v>
      </c>
      <c r="AD19" s="970">
        <v>4</v>
      </c>
      <c r="AE19" s="970"/>
      <c r="AF19" s="946"/>
      <c r="AG19" s="471"/>
      <c r="AH19" s="930"/>
      <c r="AI19" s="471"/>
      <c r="AJ19" s="961"/>
      <c r="AK19" s="471"/>
      <c r="AL19" s="961"/>
      <c r="AM19" s="962" t="s">
        <v>63</v>
      </c>
      <c r="AN19" s="971"/>
      <c r="AO19" s="930"/>
      <c r="AP19" s="930"/>
      <c r="AQ19" s="930"/>
      <c r="AR19" s="930"/>
      <c r="AS19" s="930"/>
      <c r="AT19" s="930"/>
      <c r="AU19" s="930"/>
      <c r="AV19" s="930">
        <f t="shared" si="16"/>
        <v>1</v>
      </c>
      <c r="AW19" s="930">
        <f t="shared" si="16"/>
        <v>1</v>
      </c>
      <c r="AX19" s="930">
        <f t="shared" si="16"/>
        <v>2</v>
      </c>
      <c r="AY19" s="930">
        <f t="shared" si="16"/>
        <v>6</v>
      </c>
      <c r="AZ19" s="930">
        <f t="shared" si="16"/>
        <v>8</v>
      </c>
      <c r="BA19" s="930">
        <f t="shared" si="16"/>
        <v>15</v>
      </c>
    </row>
    <row r="20" spans="1:53" outlineLevel="1">
      <c r="A20" s="956" t="s">
        <v>185</v>
      </c>
      <c r="B20" s="970"/>
      <c r="C20" s="970"/>
      <c r="D20" s="970"/>
      <c r="E20" s="970"/>
      <c r="F20" s="970"/>
      <c r="G20" s="970"/>
      <c r="H20" s="970"/>
      <c r="I20" s="970"/>
      <c r="J20" s="970"/>
      <c r="K20" s="970"/>
      <c r="L20" s="970"/>
      <c r="M20" s="970"/>
      <c r="N20" s="970"/>
      <c r="O20" s="970"/>
      <c r="P20" s="970">
        <v>1</v>
      </c>
      <c r="Q20" s="970">
        <v>0</v>
      </c>
      <c r="R20" s="970">
        <v>0</v>
      </c>
      <c r="S20" s="970">
        <v>0</v>
      </c>
      <c r="T20" s="970">
        <v>1</v>
      </c>
      <c r="U20" s="970">
        <v>0</v>
      </c>
      <c r="V20" s="970">
        <v>0</v>
      </c>
      <c r="W20" s="970">
        <v>-2</v>
      </c>
      <c r="X20" s="970">
        <v>0</v>
      </c>
      <c r="Y20" s="970">
        <v>0</v>
      </c>
      <c r="Z20" s="970">
        <v>0</v>
      </c>
      <c r="AA20" s="970">
        <v>0</v>
      </c>
      <c r="AB20" s="970">
        <v>0</v>
      </c>
      <c r="AC20" s="970">
        <v>0</v>
      </c>
      <c r="AD20" s="970">
        <v>0</v>
      </c>
      <c r="AE20" s="970"/>
      <c r="AF20" s="946"/>
      <c r="AG20" s="471"/>
      <c r="AH20" s="930"/>
      <c r="AI20" s="471"/>
      <c r="AJ20" s="961"/>
      <c r="AK20" s="471"/>
      <c r="AL20" s="961"/>
      <c r="AM20" s="962"/>
      <c r="AN20" s="971"/>
      <c r="AO20" s="930"/>
      <c r="AP20" s="930"/>
      <c r="AQ20" s="930"/>
      <c r="AR20" s="930"/>
      <c r="AS20" s="930"/>
      <c r="AT20" s="930"/>
      <c r="AU20" s="930"/>
      <c r="AV20" s="930"/>
      <c r="AW20" s="930"/>
      <c r="AX20" s="930"/>
      <c r="AY20" s="930"/>
      <c r="AZ20" s="930"/>
      <c r="BA20" s="930"/>
    </row>
    <row r="21" spans="1:53" outlineLevel="1">
      <c r="A21" s="956" t="s">
        <v>100</v>
      </c>
      <c r="B21" s="970"/>
      <c r="C21" s="970"/>
      <c r="D21" s="970"/>
      <c r="E21" s="970"/>
      <c r="F21" s="970"/>
      <c r="G21" s="970"/>
      <c r="H21" s="970"/>
      <c r="I21" s="970"/>
      <c r="J21" s="970"/>
      <c r="K21" s="970"/>
      <c r="L21" s="970"/>
      <c r="M21" s="970"/>
      <c r="N21" s="970"/>
      <c r="O21" s="970"/>
      <c r="P21" s="970"/>
      <c r="Q21" s="970"/>
      <c r="R21" s="970"/>
      <c r="S21" s="970">
        <v>1</v>
      </c>
      <c r="T21" s="970">
        <v>1</v>
      </c>
      <c r="U21" s="970">
        <v>0</v>
      </c>
      <c r="V21" s="970">
        <v>-2</v>
      </c>
      <c r="W21" s="970">
        <v>0</v>
      </c>
      <c r="X21" s="970">
        <v>0</v>
      </c>
      <c r="Y21" s="970">
        <v>0</v>
      </c>
      <c r="Z21" s="970">
        <v>0</v>
      </c>
      <c r="AA21" s="970">
        <v>0</v>
      </c>
      <c r="AB21" s="970">
        <v>0</v>
      </c>
      <c r="AC21" s="970">
        <v>0</v>
      </c>
      <c r="AD21" s="970">
        <v>0</v>
      </c>
      <c r="AE21" s="970"/>
      <c r="AF21" s="946"/>
      <c r="AG21" s="471"/>
      <c r="AH21" s="930"/>
      <c r="AI21" s="471"/>
      <c r="AJ21" s="961"/>
      <c r="AK21" s="471"/>
      <c r="AL21" s="961"/>
      <c r="AM21" s="962"/>
      <c r="AN21" s="971"/>
      <c r="AO21" s="930"/>
      <c r="AP21" s="930"/>
      <c r="AQ21" s="930"/>
      <c r="AR21" s="930"/>
      <c r="AS21" s="930"/>
      <c r="AT21" s="930"/>
      <c r="AU21" s="930"/>
      <c r="AV21" s="930"/>
      <c r="AW21" s="930"/>
      <c r="AX21" s="930"/>
      <c r="AY21" s="930"/>
      <c r="AZ21" s="930"/>
      <c r="BA21" s="930"/>
    </row>
    <row r="22" spans="1:53" outlineLevel="1">
      <c r="A22" s="964" t="s">
        <v>211</v>
      </c>
      <c r="B22" s="970">
        <v>0</v>
      </c>
      <c r="C22" s="970">
        <v>0</v>
      </c>
      <c r="D22" s="970">
        <v>0</v>
      </c>
      <c r="E22" s="970">
        <v>-1</v>
      </c>
      <c r="F22" s="970">
        <v>0</v>
      </c>
      <c r="G22" s="970">
        <v>-2</v>
      </c>
      <c r="H22" s="970">
        <v>0</v>
      </c>
      <c r="I22" s="970">
        <v>0</v>
      </c>
      <c r="J22" s="970">
        <v>0</v>
      </c>
      <c r="K22" s="970">
        <v>0</v>
      </c>
      <c r="L22" s="970">
        <v>0</v>
      </c>
      <c r="M22" s="970">
        <v>0</v>
      </c>
      <c r="N22" s="970">
        <v>0</v>
      </c>
      <c r="O22" s="970">
        <v>0</v>
      </c>
      <c r="P22" s="970">
        <v>0</v>
      </c>
      <c r="Q22" s="970">
        <v>0</v>
      </c>
      <c r="R22" s="970">
        <v>0</v>
      </c>
      <c r="S22" s="970">
        <v>0</v>
      </c>
      <c r="T22" s="968">
        <f>SUM(T23:T24)</f>
        <v>2</v>
      </c>
      <c r="U22" s="968">
        <f>SUM(U23:U24)</f>
        <v>3</v>
      </c>
      <c r="V22" s="968">
        <f>SUM(V23:V24)</f>
        <v>3</v>
      </c>
      <c r="W22" s="968">
        <f t="shared" ref="W22:AB22" si="17">SUM(W23:W25)</f>
        <v>3</v>
      </c>
      <c r="X22" s="968">
        <f t="shared" si="17"/>
        <v>7</v>
      </c>
      <c r="Y22" s="968">
        <f t="shared" si="17"/>
        <v>7</v>
      </c>
      <c r="Z22" s="968">
        <f t="shared" si="17"/>
        <v>11</v>
      </c>
      <c r="AA22" s="968">
        <f t="shared" si="17"/>
        <v>0</v>
      </c>
      <c r="AB22" s="968">
        <f t="shared" si="17"/>
        <v>0</v>
      </c>
      <c r="AC22" s="968">
        <f>SUM(AC23:AC25)</f>
        <v>0</v>
      </c>
      <c r="AD22" s="968">
        <f>SUM(AD23:AD25)</f>
        <v>0</v>
      </c>
      <c r="AE22" s="968"/>
      <c r="AF22" s="946"/>
      <c r="AG22" s="471"/>
      <c r="AH22" s="930"/>
      <c r="AI22" s="471"/>
      <c r="AJ22" s="961"/>
      <c r="AK22" s="471"/>
      <c r="AL22" s="961"/>
      <c r="AM22" s="973" t="s">
        <v>330</v>
      </c>
      <c r="AN22" s="924">
        <f>+AN17+AN18</f>
        <v>22</v>
      </c>
      <c r="AO22" s="924">
        <f t="shared" ref="AO22:AU22" si="18">+AO17+AO18</f>
        <v>26</v>
      </c>
      <c r="AP22" s="924">
        <f t="shared" si="18"/>
        <v>33</v>
      </c>
      <c r="AQ22" s="924">
        <f t="shared" si="18"/>
        <v>35</v>
      </c>
      <c r="AR22" s="924">
        <f t="shared" si="18"/>
        <v>46</v>
      </c>
      <c r="AS22" s="924">
        <f t="shared" si="18"/>
        <v>57</v>
      </c>
      <c r="AT22" s="924">
        <f t="shared" si="18"/>
        <v>68</v>
      </c>
      <c r="AU22" s="924">
        <f t="shared" si="18"/>
        <v>80</v>
      </c>
      <c r="AV22" s="924">
        <f t="shared" ref="AV22:BA22" si="19">+AV17+AV18+AV19</f>
        <v>93</v>
      </c>
      <c r="AW22" s="924">
        <f t="shared" si="19"/>
        <v>114</v>
      </c>
      <c r="AX22" s="924">
        <f t="shared" si="19"/>
        <v>142</v>
      </c>
      <c r="AY22" s="924">
        <f t="shared" si="19"/>
        <v>175</v>
      </c>
      <c r="AZ22" s="924">
        <f t="shared" si="19"/>
        <v>207</v>
      </c>
      <c r="BA22" s="924">
        <f t="shared" si="19"/>
        <v>245</v>
      </c>
    </row>
    <row r="23" spans="1:53" outlineLevel="1">
      <c r="A23" s="974" t="s">
        <v>489</v>
      </c>
      <c r="B23" s="970"/>
      <c r="C23" s="970"/>
      <c r="D23" s="970"/>
      <c r="E23" s="970"/>
      <c r="F23" s="970"/>
      <c r="G23" s="970"/>
      <c r="H23" s="970"/>
      <c r="I23" s="970"/>
      <c r="J23" s="970"/>
      <c r="K23" s="970"/>
      <c r="L23" s="970"/>
      <c r="M23" s="970"/>
      <c r="N23" s="970"/>
      <c r="O23" s="970"/>
      <c r="P23" s="970"/>
      <c r="Q23" s="970"/>
      <c r="R23" s="970"/>
      <c r="S23" s="970"/>
      <c r="T23" s="970">
        <v>0</v>
      </c>
      <c r="U23" s="970">
        <v>1</v>
      </c>
      <c r="V23" s="970"/>
      <c r="W23" s="970">
        <v>2</v>
      </c>
      <c r="X23" s="970">
        <v>2</v>
      </c>
      <c r="Y23" s="970">
        <v>1</v>
      </c>
      <c r="Z23" s="970">
        <v>5</v>
      </c>
      <c r="AA23" s="970"/>
      <c r="AB23" s="970"/>
      <c r="AC23" s="970"/>
      <c r="AD23" s="970"/>
      <c r="AE23" s="970"/>
      <c r="AF23" s="946"/>
      <c r="AG23" s="471"/>
      <c r="AH23" s="930"/>
      <c r="AI23" s="471"/>
      <c r="AJ23" s="961"/>
      <c r="AK23" s="471"/>
      <c r="AL23" s="961"/>
      <c r="AM23" s="973"/>
      <c r="AN23" s="924"/>
      <c r="AO23" s="924"/>
      <c r="AP23" s="924"/>
      <c r="AQ23" s="924"/>
      <c r="AR23" s="924"/>
      <c r="AS23" s="924"/>
      <c r="AT23" s="924"/>
      <c r="AU23" s="924"/>
      <c r="AV23" s="924"/>
      <c r="AW23" s="924"/>
      <c r="AX23" s="924"/>
      <c r="AY23" s="924"/>
      <c r="AZ23" s="924"/>
      <c r="BA23" s="924"/>
    </row>
    <row r="24" spans="1:53" outlineLevel="1">
      <c r="A24" s="974" t="s">
        <v>490</v>
      </c>
      <c r="B24" s="970"/>
      <c r="C24" s="970"/>
      <c r="D24" s="970"/>
      <c r="E24" s="970"/>
      <c r="F24" s="970"/>
      <c r="G24" s="970"/>
      <c r="H24" s="970"/>
      <c r="I24" s="970"/>
      <c r="J24" s="970"/>
      <c r="K24" s="970"/>
      <c r="L24" s="970"/>
      <c r="M24" s="970"/>
      <c r="N24" s="970"/>
      <c r="O24" s="970"/>
      <c r="P24" s="970"/>
      <c r="Q24" s="970"/>
      <c r="R24" s="970"/>
      <c r="S24" s="970"/>
      <c r="T24" s="970">
        <v>2</v>
      </c>
      <c r="U24" s="970">
        <v>2</v>
      </c>
      <c r="V24" s="970">
        <v>3</v>
      </c>
      <c r="W24" s="970">
        <v>0</v>
      </c>
      <c r="X24" s="970">
        <v>3</v>
      </c>
      <c r="Y24" s="970">
        <v>3</v>
      </c>
      <c r="Z24" s="970">
        <v>3</v>
      </c>
      <c r="AA24" s="970"/>
      <c r="AB24" s="970"/>
      <c r="AC24" s="970"/>
      <c r="AD24" s="970"/>
      <c r="AE24" s="970"/>
      <c r="AF24" s="946"/>
      <c r="AG24" s="471"/>
      <c r="AH24" s="930"/>
      <c r="AI24" s="471"/>
      <c r="AJ24" s="961"/>
      <c r="AK24" s="471"/>
      <c r="AL24" s="961"/>
      <c r="AM24" s="973"/>
      <c r="AN24" s="924"/>
      <c r="AO24" s="924"/>
      <c r="AP24" s="924"/>
      <c r="AQ24" s="924"/>
      <c r="AR24" s="924"/>
      <c r="AS24" s="924"/>
      <c r="AT24" s="924"/>
      <c r="AU24" s="924"/>
      <c r="AV24" s="924"/>
      <c r="AW24" s="924"/>
      <c r="AX24" s="924"/>
      <c r="AY24" s="924"/>
      <c r="AZ24" s="924"/>
      <c r="BA24" s="924"/>
    </row>
    <row r="25" spans="1:53" outlineLevel="1">
      <c r="A25" s="974" t="s">
        <v>498</v>
      </c>
      <c r="B25" s="970"/>
      <c r="C25" s="970"/>
      <c r="D25" s="970"/>
      <c r="E25" s="970"/>
      <c r="F25" s="970"/>
      <c r="G25" s="970"/>
      <c r="H25" s="970"/>
      <c r="I25" s="970"/>
      <c r="J25" s="970"/>
      <c r="K25" s="970"/>
      <c r="L25" s="970"/>
      <c r="M25" s="970"/>
      <c r="N25" s="970"/>
      <c r="O25" s="970"/>
      <c r="P25" s="970"/>
      <c r="Q25" s="970"/>
      <c r="R25" s="970"/>
      <c r="S25" s="970"/>
      <c r="T25" s="970"/>
      <c r="U25" s="970"/>
      <c r="V25" s="970"/>
      <c r="W25" s="970">
        <v>1</v>
      </c>
      <c r="X25" s="970">
        <v>2</v>
      </c>
      <c r="Y25" s="970">
        <v>3</v>
      </c>
      <c r="Z25" s="970">
        <v>3</v>
      </c>
      <c r="AA25" s="970"/>
      <c r="AB25" s="970"/>
      <c r="AC25" s="970"/>
      <c r="AD25" s="970"/>
      <c r="AE25" s="970"/>
      <c r="AF25" s="946"/>
      <c r="AG25" s="471"/>
      <c r="AH25" s="930"/>
      <c r="AI25" s="471"/>
      <c r="AJ25" s="961"/>
      <c r="AK25" s="471"/>
      <c r="AL25" s="961"/>
      <c r="AM25" s="973"/>
      <c r="AN25" s="924"/>
      <c r="AO25" s="924"/>
      <c r="AP25" s="924"/>
      <c r="AQ25" s="924"/>
      <c r="AR25" s="924"/>
      <c r="AS25" s="924"/>
      <c r="AT25" s="924"/>
      <c r="AU25" s="924"/>
      <c r="AV25" s="924"/>
      <c r="AW25" s="924"/>
      <c r="AX25" s="924"/>
      <c r="AY25" s="924"/>
      <c r="AZ25" s="924"/>
      <c r="BA25" s="924"/>
    </row>
    <row r="26" spans="1:53">
      <c r="A26" s="964" t="s">
        <v>212</v>
      </c>
      <c r="B26" s="966">
        <f t="shared" ref="B26:S26" si="20">B15+B16+B22</f>
        <v>22</v>
      </c>
      <c r="C26" s="966">
        <f t="shared" si="20"/>
        <v>26</v>
      </c>
      <c r="D26" s="966">
        <f t="shared" si="20"/>
        <v>33</v>
      </c>
      <c r="E26" s="966">
        <f t="shared" si="20"/>
        <v>35</v>
      </c>
      <c r="F26" s="966">
        <f t="shared" si="20"/>
        <v>46</v>
      </c>
      <c r="G26" s="966">
        <f t="shared" si="20"/>
        <v>57</v>
      </c>
      <c r="H26" s="966">
        <f t="shared" si="20"/>
        <v>68</v>
      </c>
      <c r="I26" s="966">
        <f t="shared" si="20"/>
        <v>80</v>
      </c>
      <c r="J26" s="966">
        <f t="shared" si="20"/>
        <v>93</v>
      </c>
      <c r="K26" s="966">
        <f t="shared" si="20"/>
        <v>114</v>
      </c>
      <c r="L26" s="966">
        <f t="shared" si="20"/>
        <v>142</v>
      </c>
      <c r="M26" s="966">
        <f t="shared" si="20"/>
        <v>175</v>
      </c>
      <c r="N26" s="966">
        <f t="shared" si="20"/>
        <v>207</v>
      </c>
      <c r="O26" s="966">
        <f t="shared" si="20"/>
        <v>245</v>
      </c>
      <c r="P26" s="966">
        <f t="shared" si="20"/>
        <v>294</v>
      </c>
      <c r="Q26" s="966">
        <f t="shared" si="20"/>
        <v>327</v>
      </c>
      <c r="R26" s="966">
        <f t="shared" si="20"/>
        <v>372</v>
      </c>
      <c r="S26" s="966">
        <f t="shared" si="20"/>
        <v>429</v>
      </c>
      <c r="T26" s="966">
        <f t="shared" ref="T26:AA26" si="21">T15+T16-T22</f>
        <v>476</v>
      </c>
      <c r="U26" s="966">
        <f t="shared" si="21"/>
        <v>511</v>
      </c>
      <c r="V26" s="966">
        <f t="shared" si="21"/>
        <v>546</v>
      </c>
      <c r="W26" s="966">
        <f t="shared" si="21"/>
        <v>572</v>
      </c>
      <c r="X26" s="966">
        <f>X15+X16-X22</f>
        <v>594</v>
      </c>
      <c r="Y26" s="966">
        <v>603</v>
      </c>
      <c r="Z26" s="966">
        <f t="shared" si="21"/>
        <v>606</v>
      </c>
      <c r="AA26" s="966">
        <f t="shared" si="21"/>
        <v>618</v>
      </c>
      <c r="AB26" s="966">
        <f>AB15+AB16-AB22</f>
        <v>630</v>
      </c>
      <c r="AC26" s="966">
        <f>AC15+AC16-AC22</f>
        <v>636</v>
      </c>
      <c r="AD26" s="966">
        <f>AD15+AD16-AD22</f>
        <v>642</v>
      </c>
      <c r="AE26" s="966"/>
      <c r="AF26" s="946"/>
      <c r="AG26" s="471">
        <f>((Y26/T26)^(1/5)-1)*100</f>
        <v>4.8436354982309249</v>
      </c>
      <c r="AH26" s="954" t="s">
        <v>208</v>
      </c>
      <c r="AI26" s="471"/>
      <c r="AJ26" s="955"/>
      <c r="AK26" s="471">
        <f>((AD26/Y26)^(1/5)-1)*100</f>
        <v>1.2613103978241336</v>
      </c>
      <c r="AL26" s="955" t="s">
        <v>208</v>
      </c>
      <c r="AM26" s="975" t="s">
        <v>496</v>
      </c>
      <c r="AN26" s="976">
        <f t="shared" ref="AN26:BA26" si="22">+B26</f>
        <v>22</v>
      </c>
      <c r="AO26" s="976">
        <f t="shared" si="22"/>
        <v>26</v>
      </c>
      <c r="AP26" s="976">
        <f t="shared" si="22"/>
        <v>33</v>
      </c>
      <c r="AQ26" s="976">
        <f t="shared" si="22"/>
        <v>35</v>
      </c>
      <c r="AR26" s="976">
        <f t="shared" si="22"/>
        <v>46</v>
      </c>
      <c r="AS26" s="976">
        <f t="shared" si="22"/>
        <v>57</v>
      </c>
      <c r="AT26" s="976">
        <f t="shared" si="22"/>
        <v>68</v>
      </c>
      <c r="AU26" s="976">
        <f t="shared" si="22"/>
        <v>80</v>
      </c>
      <c r="AV26" s="976">
        <f t="shared" si="22"/>
        <v>93</v>
      </c>
      <c r="AW26" s="976">
        <f t="shared" si="22"/>
        <v>114</v>
      </c>
      <c r="AX26" s="976">
        <f t="shared" si="22"/>
        <v>142</v>
      </c>
      <c r="AY26" s="976">
        <f t="shared" si="22"/>
        <v>175</v>
      </c>
      <c r="AZ26" s="976">
        <f t="shared" si="22"/>
        <v>207</v>
      </c>
      <c r="BA26" s="976">
        <f t="shared" si="22"/>
        <v>245</v>
      </c>
    </row>
    <row r="27" spans="1:53" outlineLevel="1">
      <c r="A27" s="974" t="s">
        <v>489</v>
      </c>
      <c r="B27" s="977">
        <v>19</v>
      </c>
      <c r="C27" s="978">
        <f t="shared" ref="C27:S27" si="23">+B27+C17+C22</f>
        <v>23</v>
      </c>
      <c r="D27" s="978">
        <f t="shared" si="23"/>
        <v>25</v>
      </c>
      <c r="E27" s="978">
        <f t="shared" si="23"/>
        <v>26</v>
      </c>
      <c r="F27" s="978">
        <f t="shared" si="23"/>
        <v>32</v>
      </c>
      <c r="G27" s="978">
        <f t="shared" si="23"/>
        <v>37</v>
      </c>
      <c r="H27" s="978">
        <f t="shared" si="23"/>
        <v>42</v>
      </c>
      <c r="I27" s="978">
        <f t="shared" si="23"/>
        <v>49</v>
      </c>
      <c r="J27" s="978">
        <f t="shared" si="23"/>
        <v>53</v>
      </c>
      <c r="K27" s="978">
        <f t="shared" si="23"/>
        <v>61</v>
      </c>
      <c r="L27" s="978">
        <f t="shared" si="23"/>
        <v>75</v>
      </c>
      <c r="M27" s="978">
        <f t="shared" si="23"/>
        <v>90</v>
      </c>
      <c r="N27" s="978">
        <f t="shared" si="23"/>
        <v>106</v>
      </c>
      <c r="O27" s="978">
        <f t="shared" si="23"/>
        <v>122</v>
      </c>
      <c r="P27" s="978">
        <f t="shared" si="23"/>
        <v>142</v>
      </c>
      <c r="Q27" s="978">
        <f t="shared" si="23"/>
        <v>155</v>
      </c>
      <c r="R27" s="978">
        <f t="shared" si="23"/>
        <v>176</v>
      </c>
      <c r="S27" s="978">
        <f t="shared" si="23"/>
        <v>197</v>
      </c>
      <c r="T27" s="978">
        <f>+S27+T17-T23</f>
        <v>215</v>
      </c>
      <c r="U27" s="978">
        <f>+T27+U17-U23</f>
        <v>230</v>
      </c>
      <c r="V27" s="978">
        <f>+U27+V17-V22</f>
        <v>238</v>
      </c>
      <c r="W27" s="978">
        <f>qtrSales!$K$339</f>
        <v>240</v>
      </c>
      <c r="X27" s="978">
        <f t="shared" ref="X27:AD29" si="24">+W27+X17-X23</f>
        <v>242</v>
      </c>
      <c r="Y27" s="978">
        <f t="shared" si="24"/>
        <v>245</v>
      </c>
      <c r="Z27" s="978">
        <f t="shared" si="24"/>
        <v>245</v>
      </c>
      <c r="AA27" s="978">
        <f t="shared" si="24"/>
        <v>247</v>
      </c>
      <c r="AB27" s="978">
        <f t="shared" si="24"/>
        <v>249</v>
      </c>
      <c r="AC27" s="978">
        <f t="shared" si="24"/>
        <v>249</v>
      </c>
      <c r="AD27" s="978">
        <f t="shared" si="24"/>
        <v>249</v>
      </c>
      <c r="AE27" s="978"/>
      <c r="AF27" s="946"/>
      <c r="AG27" s="471"/>
      <c r="AH27" s="954"/>
      <c r="AI27" s="471"/>
      <c r="AJ27" s="961"/>
      <c r="AK27" s="471"/>
      <c r="AL27" s="961"/>
      <c r="AM27" s="975"/>
      <c r="AN27" s="976"/>
      <c r="AO27" s="976"/>
      <c r="AP27" s="976"/>
      <c r="AQ27" s="976"/>
      <c r="AR27" s="976"/>
      <c r="AS27" s="976"/>
      <c r="AT27" s="976"/>
      <c r="AU27" s="976"/>
      <c r="AV27" s="976"/>
      <c r="AW27" s="976"/>
      <c r="AX27" s="976"/>
      <c r="AY27" s="976"/>
      <c r="AZ27" s="976"/>
      <c r="BA27" s="976"/>
    </row>
    <row r="28" spans="1:53" outlineLevel="1">
      <c r="A28" s="974" t="s">
        <v>490</v>
      </c>
      <c r="B28" s="977">
        <v>3</v>
      </c>
      <c r="C28" s="978">
        <f t="shared" ref="C28:S28" si="25">+B28+C18</f>
        <v>3</v>
      </c>
      <c r="D28" s="978">
        <f t="shared" si="25"/>
        <v>8</v>
      </c>
      <c r="E28" s="978">
        <f t="shared" si="25"/>
        <v>9</v>
      </c>
      <c r="F28" s="978">
        <f t="shared" si="25"/>
        <v>14</v>
      </c>
      <c r="G28" s="978">
        <f t="shared" si="25"/>
        <v>20</v>
      </c>
      <c r="H28" s="978">
        <f t="shared" si="25"/>
        <v>26</v>
      </c>
      <c r="I28" s="978">
        <f t="shared" si="25"/>
        <v>31</v>
      </c>
      <c r="J28" s="978">
        <f t="shared" si="25"/>
        <v>39</v>
      </c>
      <c r="K28" s="978">
        <f t="shared" si="25"/>
        <v>52</v>
      </c>
      <c r="L28" s="978">
        <f t="shared" si="25"/>
        <v>65</v>
      </c>
      <c r="M28" s="978">
        <f t="shared" si="25"/>
        <v>79</v>
      </c>
      <c r="N28" s="978">
        <f t="shared" si="25"/>
        <v>93</v>
      </c>
      <c r="O28" s="978">
        <f t="shared" si="25"/>
        <v>108</v>
      </c>
      <c r="P28" s="978">
        <f t="shared" si="25"/>
        <v>121</v>
      </c>
      <c r="Q28" s="978">
        <f t="shared" si="25"/>
        <v>137</v>
      </c>
      <c r="R28" s="978">
        <f t="shared" si="25"/>
        <v>153</v>
      </c>
      <c r="S28" s="978">
        <f t="shared" si="25"/>
        <v>168</v>
      </c>
      <c r="T28" s="978">
        <f>+S28+T18-T24</f>
        <v>180</v>
      </c>
      <c r="U28" s="978">
        <f>+T28+U18-U24</f>
        <v>187</v>
      </c>
      <c r="V28" s="978">
        <f>+U28+V18</f>
        <v>204</v>
      </c>
      <c r="W28" s="978">
        <f>qtrSales!$K$516</f>
        <v>218</v>
      </c>
      <c r="X28" s="978">
        <f t="shared" si="24"/>
        <v>225</v>
      </c>
      <c r="Y28" s="978">
        <f t="shared" si="24"/>
        <v>226</v>
      </c>
      <c r="Z28" s="978">
        <f t="shared" si="24"/>
        <v>229</v>
      </c>
      <c r="AA28" s="978">
        <f t="shared" si="24"/>
        <v>233</v>
      </c>
      <c r="AB28" s="978">
        <f t="shared" si="24"/>
        <v>237</v>
      </c>
      <c r="AC28" s="978">
        <f t="shared" si="24"/>
        <v>239</v>
      </c>
      <c r="AD28" s="978">
        <f t="shared" si="24"/>
        <v>241</v>
      </c>
      <c r="AE28" s="978"/>
      <c r="AF28" s="946"/>
      <c r="AG28" s="471"/>
      <c r="AH28" s="954"/>
      <c r="AI28" s="471"/>
      <c r="AJ28" s="961"/>
      <c r="AK28" s="471"/>
      <c r="AL28" s="961"/>
      <c r="AM28" s="975"/>
      <c r="AN28" s="976"/>
      <c r="AO28" s="976"/>
      <c r="AP28" s="976"/>
      <c r="AQ28" s="976"/>
      <c r="AR28" s="976"/>
      <c r="AS28" s="976"/>
      <c r="AT28" s="976"/>
      <c r="AU28" s="976"/>
      <c r="AV28" s="976"/>
      <c r="AW28" s="976"/>
      <c r="AX28" s="976"/>
      <c r="AY28" s="976"/>
      <c r="AZ28" s="976"/>
      <c r="BA28" s="976"/>
    </row>
    <row r="29" spans="1:53" outlineLevel="1">
      <c r="A29" s="974" t="s">
        <v>498</v>
      </c>
      <c r="B29" s="977">
        <v>0</v>
      </c>
      <c r="C29" s="978">
        <f t="shared" ref="C29:Q29" si="26">+B29+C19</f>
        <v>0</v>
      </c>
      <c r="D29" s="978">
        <f t="shared" si="26"/>
        <v>0</v>
      </c>
      <c r="E29" s="978">
        <f t="shared" si="26"/>
        <v>0</v>
      </c>
      <c r="F29" s="978">
        <f t="shared" si="26"/>
        <v>0</v>
      </c>
      <c r="G29" s="978">
        <f t="shared" si="26"/>
        <v>0</v>
      </c>
      <c r="H29" s="978">
        <f t="shared" si="26"/>
        <v>0</v>
      </c>
      <c r="I29" s="978">
        <f t="shared" si="26"/>
        <v>0</v>
      </c>
      <c r="J29" s="978">
        <f t="shared" si="26"/>
        <v>1</v>
      </c>
      <c r="K29" s="978">
        <f t="shared" si="26"/>
        <v>1</v>
      </c>
      <c r="L29" s="978">
        <f t="shared" si="26"/>
        <v>2</v>
      </c>
      <c r="M29" s="978">
        <f t="shared" si="26"/>
        <v>6</v>
      </c>
      <c r="N29" s="978">
        <f t="shared" si="26"/>
        <v>8</v>
      </c>
      <c r="O29" s="978">
        <f t="shared" si="26"/>
        <v>15</v>
      </c>
      <c r="P29" s="978">
        <f t="shared" si="26"/>
        <v>30</v>
      </c>
      <c r="Q29" s="978">
        <f t="shared" si="26"/>
        <v>34</v>
      </c>
      <c r="R29" s="978">
        <f>+Q29+R19-R22</f>
        <v>42</v>
      </c>
      <c r="S29" s="978">
        <f>+R29+S19</f>
        <v>62</v>
      </c>
      <c r="T29" s="978">
        <f>S29+T19</f>
        <v>77</v>
      </c>
      <c r="U29" s="978">
        <f>+T29+U19</f>
        <v>90</v>
      </c>
      <c r="V29" s="1737">
        <f>+U29+V19</f>
        <v>102</v>
      </c>
      <c r="W29" s="978">
        <f>qtrSales!$K$623</f>
        <v>114</v>
      </c>
      <c r="X29" s="978">
        <f t="shared" si="24"/>
        <v>127</v>
      </c>
      <c r="Y29" s="978">
        <f>+X29+Y19-Y25</f>
        <v>132</v>
      </c>
      <c r="Z29" s="978">
        <f t="shared" si="24"/>
        <v>132</v>
      </c>
      <c r="AA29" s="978">
        <f t="shared" si="24"/>
        <v>138</v>
      </c>
      <c r="AB29" s="978">
        <f t="shared" si="24"/>
        <v>144</v>
      </c>
      <c r="AC29" s="978">
        <f t="shared" si="24"/>
        <v>148</v>
      </c>
      <c r="AD29" s="978">
        <f t="shared" si="24"/>
        <v>152</v>
      </c>
      <c r="AE29" s="978"/>
      <c r="AF29" s="946"/>
      <c r="AG29" s="471"/>
      <c r="AH29" s="954"/>
      <c r="AI29" s="471"/>
      <c r="AJ29" s="961"/>
      <c r="AK29" s="471"/>
      <c r="AL29" s="961"/>
      <c r="AM29" s="975"/>
      <c r="AN29" s="976"/>
      <c r="AO29" s="976"/>
      <c r="AP29" s="976"/>
      <c r="AQ29" s="976"/>
      <c r="AR29" s="976"/>
      <c r="AS29" s="976"/>
      <c r="AT29" s="976"/>
      <c r="AU29" s="976"/>
      <c r="AV29" s="976"/>
      <c r="AW29" s="976"/>
      <c r="AX29" s="976"/>
      <c r="AY29" s="976"/>
      <c r="AZ29" s="976"/>
      <c r="BA29" s="976"/>
    </row>
    <row r="30" spans="1:53" outlineLevel="1">
      <c r="A30" s="974" t="s">
        <v>185</v>
      </c>
      <c r="B30" s="977"/>
      <c r="C30" s="978"/>
      <c r="D30" s="978"/>
      <c r="E30" s="978"/>
      <c r="F30" s="978"/>
      <c r="G30" s="978"/>
      <c r="H30" s="978"/>
      <c r="I30" s="978"/>
      <c r="J30" s="978"/>
      <c r="K30" s="978"/>
      <c r="L30" s="978"/>
      <c r="M30" s="978"/>
      <c r="N30" s="978"/>
      <c r="O30" s="978"/>
      <c r="P30" s="978">
        <f>+O30+P20</f>
        <v>1</v>
      </c>
      <c r="Q30" s="978">
        <f>+P30+Q20</f>
        <v>1</v>
      </c>
      <c r="R30" s="978">
        <v>1</v>
      </c>
      <c r="S30" s="978">
        <f>+R30+S20</f>
        <v>1</v>
      </c>
      <c r="T30" s="978">
        <f>S30+T20</f>
        <v>2</v>
      </c>
      <c r="U30" s="978">
        <f>+T30+U20</f>
        <v>2</v>
      </c>
      <c r="V30" s="978">
        <f>+U30+V20</f>
        <v>2</v>
      </c>
      <c r="W30" s="978">
        <f>+V30+W20</f>
        <v>0</v>
      </c>
      <c r="X30" s="978"/>
      <c r="Y30" s="978"/>
      <c r="Z30" s="978"/>
      <c r="AA30" s="978"/>
      <c r="AB30" s="978"/>
      <c r="AC30" s="978"/>
      <c r="AD30" s="978"/>
      <c r="AE30" s="978"/>
      <c r="AF30" s="946"/>
      <c r="AG30" s="471"/>
      <c r="AH30" s="954"/>
      <c r="AI30" s="471"/>
      <c r="AJ30" s="961"/>
      <c r="AK30" s="471"/>
      <c r="AL30" s="961"/>
      <c r="AM30" s="975"/>
      <c r="AN30" s="976"/>
      <c r="AO30" s="976"/>
      <c r="AP30" s="976"/>
      <c r="AQ30" s="976"/>
      <c r="AR30" s="976"/>
      <c r="AS30" s="976"/>
      <c r="AT30" s="976"/>
      <c r="AU30" s="976"/>
      <c r="AV30" s="976"/>
      <c r="AW30" s="976"/>
      <c r="AX30" s="976"/>
      <c r="AY30" s="976"/>
      <c r="AZ30" s="976"/>
      <c r="BA30" s="976"/>
    </row>
    <row r="31" spans="1:53" outlineLevel="1">
      <c r="A31" s="974" t="s">
        <v>100</v>
      </c>
      <c r="B31" s="977"/>
      <c r="C31" s="978"/>
      <c r="D31" s="978"/>
      <c r="E31" s="978"/>
      <c r="F31" s="978"/>
      <c r="G31" s="978"/>
      <c r="H31" s="978"/>
      <c r="I31" s="978"/>
      <c r="J31" s="978"/>
      <c r="K31" s="978"/>
      <c r="L31" s="978"/>
      <c r="M31" s="978"/>
      <c r="N31" s="978"/>
      <c r="O31" s="978"/>
      <c r="P31" s="978"/>
      <c r="Q31" s="978"/>
      <c r="R31" s="978">
        <v>0</v>
      </c>
      <c r="S31" s="978">
        <f>+R31+S21</f>
        <v>1</v>
      </c>
      <c r="T31" s="978">
        <f>S31+T21</f>
        <v>2</v>
      </c>
      <c r="U31" s="978">
        <f>+T31+U21</f>
        <v>2</v>
      </c>
      <c r="V31" s="978">
        <f>+U31+V21</f>
        <v>0</v>
      </c>
      <c r="W31" s="978">
        <f>+V31+W21</f>
        <v>0</v>
      </c>
      <c r="X31" s="978"/>
      <c r="Y31" s="978"/>
      <c r="Z31" s="978"/>
      <c r="AA31" s="978"/>
      <c r="AB31" s="978"/>
      <c r="AC31" s="978"/>
      <c r="AD31" s="978"/>
      <c r="AE31" s="978"/>
      <c r="AF31" s="946"/>
      <c r="AG31" s="471"/>
      <c r="AH31" s="954"/>
      <c r="AI31" s="471"/>
      <c r="AJ31" s="961"/>
      <c r="AK31" s="471"/>
      <c r="AL31" s="961"/>
      <c r="AM31" s="975"/>
      <c r="AN31" s="976"/>
      <c r="AO31" s="976"/>
      <c r="AP31" s="976"/>
      <c r="AQ31" s="976"/>
      <c r="AR31" s="976"/>
      <c r="AS31" s="976"/>
      <c r="AT31" s="976"/>
      <c r="AU31" s="976"/>
      <c r="AV31" s="976"/>
      <c r="AW31" s="976"/>
      <c r="AX31" s="976"/>
      <c r="AY31" s="976"/>
      <c r="AZ31" s="976"/>
      <c r="BA31" s="976"/>
    </row>
    <row r="32" spans="1:53">
      <c r="A32" s="949" t="s">
        <v>213</v>
      </c>
      <c r="B32" s="937">
        <f t="shared" ref="B32:W32" si="27">(+B26+B15)/2</f>
        <v>19.5</v>
      </c>
      <c r="C32" s="966">
        <f t="shared" si="27"/>
        <v>24</v>
      </c>
      <c r="D32" s="966">
        <f t="shared" si="27"/>
        <v>29.5</v>
      </c>
      <c r="E32" s="966">
        <f t="shared" si="27"/>
        <v>34</v>
      </c>
      <c r="F32" s="966">
        <f t="shared" si="27"/>
        <v>40.5</v>
      </c>
      <c r="G32" s="966">
        <f t="shared" si="27"/>
        <v>51.5</v>
      </c>
      <c r="H32" s="966">
        <f t="shared" si="27"/>
        <v>62.5</v>
      </c>
      <c r="I32" s="966">
        <f t="shared" si="27"/>
        <v>74</v>
      </c>
      <c r="J32" s="966">
        <f t="shared" si="27"/>
        <v>86.5</v>
      </c>
      <c r="K32" s="966">
        <f t="shared" si="27"/>
        <v>103.5</v>
      </c>
      <c r="L32" s="966">
        <f t="shared" si="27"/>
        <v>128</v>
      </c>
      <c r="M32" s="963">
        <f t="shared" si="27"/>
        <v>158.5</v>
      </c>
      <c r="N32" s="963">
        <f t="shared" si="27"/>
        <v>191</v>
      </c>
      <c r="O32" s="963">
        <f t="shared" si="27"/>
        <v>226</v>
      </c>
      <c r="P32" s="963">
        <f t="shared" si="27"/>
        <v>269.5</v>
      </c>
      <c r="Q32" s="963">
        <f t="shared" si="27"/>
        <v>310.5</v>
      </c>
      <c r="R32" s="963">
        <f t="shared" si="27"/>
        <v>349.5</v>
      </c>
      <c r="S32" s="963">
        <f t="shared" si="27"/>
        <v>400.5</v>
      </c>
      <c r="T32" s="963">
        <f t="shared" si="27"/>
        <v>452.5</v>
      </c>
      <c r="U32" s="963">
        <f t="shared" si="27"/>
        <v>493.5</v>
      </c>
      <c r="V32" s="963">
        <f>(+V26+V15)/2</f>
        <v>528.5</v>
      </c>
      <c r="W32" s="963">
        <f t="shared" si="27"/>
        <v>559</v>
      </c>
      <c r="X32" s="963">
        <f t="shared" ref="X32:AC32" si="28">(+X26+X15)/2</f>
        <v>583</v>
      </c>
      <c r="Y32" s="963">
        <f t="shared" si="28"/>
        <v>598.5</v>
      </c>
      <c r="Z32" s="963">
        <f t="shared" si="28"/>
        <v>604.5</v>
      </c>
      <c r="AA32" s="963">
        <f t="shared" si="28"/>
        <v>612</v>
      </c>
      <c r="AB32" s="963">
        <f t="shared" si="28"/>
        <v>624</v>
      </c>
      <c r="AC32" s="963">
        <f t="shared" si="28"/>
        <v>633</v>
      </c>
      <c r="AD32" s="963">
        <f t="shared" ref="AD32" si="29">(+AD26+AD15)/2</f>
        <v>639</v>
      </c>
      <c r="AE32" s="963"/>
      <c r="AF32" s="979"/>
      <c r="AG32" s="471"/>
      <c r="AH32" s="959"/>
      <c r="AI32" s="471"/>
      <c r="AJ32" s="955"/>
      <c r="AK32" s="471"/>
      <c r="AL32" s="955"/>
      <c r="AM32" s="924"/>
      <c r="AN32" s="924"/>
      <c r="AO32" s="924"/>
      <c r="AP32" s="924"/>
      <c r="AQ32" s="924"/>
      <c r="AR32" s="924"/>
      <c r="AS32" s="924"/>
      <c r="AT32" s="924"/>
      <c r="AU32" s="924"/>
      <c r="AV32" s="924"/>
      <c r="AW32" s="924"/>
      <c r="AX32" s="924"/>
      <c r="AY32" s="924"/>
      <c r="AZ32" s="924"/>
      <c r="BA32" s="924"/>
    </row>
    <row r="33" spans="1:53">
      <c r="A33" s="964" t="s">
        <v>214</v>
      </c>
      <c r="B33" s="945"/>
      <c r="C33" s="945">
        <f t="shared" ref="C33:T33" si="30">(C32/B32-1)</f>
        <v>0.23076923076923084</v>
      </c>
      <c r="D33" s="945">
        <f t="shared" si="30"/>
        <v>0.22916666666666674</v>
      </c>
      <c r="E33" s="945">
        <f t="shared" si="30"/>
        <v>0.15254237288135597</v>
      </c>
      <c r="F33" s="945">
        <f t="shared" si="30"/>
        <v>0.19117647058823528</v>
      </c>
      <c r="G33" s="945">
        <f t="shared" si="30"/>
        <v>0.27160493827160503</v>
      </c>
      <c r="H33" s="945">
        <f t="shared" si="30"/>
        <v>0.21359223300970864</v>
      </c>
      <c r="I33" s="945">
        <f t="shared" si="30"/>
        <v>0.18399999999999994</v>
      </c>
      <c r="J33" s="945">
        <f t="shared" si="30"/>
        <v>0.16891891891891886</v>
      </c>
      <c r="K33" s="945">
        <f t="shared" si="30"/>
        <v>0.19653179190751446</v>
      </c>
      <c r="L33" s="945">
        <f t="shared" si="30"/>
        <v>0.23671497584541057</v>
      </c>
      <c r="M33" s="945">
        <f t="shared" si="30"/>
        <v>0.23828125</v>
      </c>
      <c r="N33" s="945">
        <f t="shared" si="30"/>
        <v>0.20504731861198744</v>
      </c>
      <c r="O33" s="945">
        <f t="shared" si="30"/>
        <v>0.18324607329842935</v>
      </c>
      <c r="P33" s="945">
        <f t="shared" si="30"/>
        <v>0.19247787610619471</v>
      </c>
      <c r="Q33" s="945">
        <f t="shared" si="30"/>
        <v>0.15213358070500926</v>
      </c>
      <c r="R33" s="945">
        <f t="shared" si="30"/>
        <v>0.12560386473429941</v>
      </c>
      <c r="S33" s="945">
        <f t="shared" si="30"/>
        <v>0.14592274678111594</v>
      </c>
      <c r="T33" s="945">
        <f t="shared" si="30"/>
        <v>0.12983770287141083</v>
      </c>
      <c r="U33" s="945">
        <f t="shared" ref="U33:AD33" si="31">(U32/T32-1)</f>
        <v>9.0607734806629869E-2</v>
      </c>
      <c r="V33" s="945">
        <f t="shared" si="31"/>
        <v>7.0921985815602939E-2</v>
      </c>
      <c r="W33" s="945">
        <f t="shared" si="31"/>
        <v>5.7710501419110605E-2</v>
      </c>
      <c r="X33" s="945">
        <f t="shared" si="31"/>
        <v>4.29338103756709E-2</v>
      </c>
      <c r="Y33" s="945">
        <f t="shared" si="31"/>
        <v>2.6586620926243532E-2</v>
      </c>
      <c r="Z33" s="945">
        <f>(Z32/Y32-1)</f>
        <v>1.0025062656641603E-2</v>
      </c>
      <c r="AA33" s="945">
        <f t="shared" si="31"/>
        <v>1.2406947890818865E-2</v>
      </c>
      <c r="AB33" s="945">
        <f t="shared" si="31"/>
        <v>1.9607843137254832E-2</v>
      </c>
      <c r="AC33" s="945">
        <f t="shared" si="31"/>
        <v>1.4423076923076872E-2</v>
      </c>
      <c r="AD33" s="945">
        <f t="shared" si="31"/>
        <v>9.4786729857820884E-3</v>
      </c>
      <c r="AE33" s="945"/>
      <c r="AF33" s="946"/>
      <c r="AG33" s="471"/>
      <c r="AH33" s="930"/>
      <c r="AI33" s="471"/>
      <c r="AJ33" s="961"/>
      <c r="AK33" s="471"/>
      <c r="AL33" s="961"/>
      <c r="AM33" s="924"/>
      <c r="AN33" s="924"/>
      <c r="AO33" s="924"/>
      <c r="AP33" s="924"/>
      <c r="AQ33" s="924"/>
      <c r="AR33" s="924"/>
      <c r="AS33" s="924"/>
      <c r="AT33" s="924"/>
      <c r="AU33" s="924"/>
      <c r="AV33" s="527">
        <f t="shared" ref="AV33:AZ34" si="32">+AV17/(AV$17+AV$18)</f>
        <v>0.57608695652173914</v>
      </c>
      <c r="AW33" s="527">
        <f t="shared" si="32"/>
        <v>0.53982300884955747</v>
      </c>
      <c r="AX33" s="527">
        <f t="shared" si="32"/>
        <v>0.5357142857142857</v>
      </c>
      <c r="AY33" s="527">
        <f t="shared" si="32"/>
        <v>0.53254437869822491</v>
      </c>
      <c r="AZ33" s="527">
        <f t="shared" si="32"/>
        <v>0.53266331658291455</v>
      </c>
      <c r="BA33" s="924"/>
    </row>
    <row r="34" spans="1:53">
      <c r="A34" s="924"/>
      <c r="B34" s="924"/>
      <c r="C34" s="924"/>
      <c r="D34" s="945"/>
      <c r="E34" s="945"/>
      <c r="F34" s="924"/>
      <c r="G34" s="924"/>
      <c r="H34" s="924"/>
      <c r="I34" s="924"/>
      <c r="J34" s="924"/>
      <c r="K34" s="924"/>
      <c r="L34" s="924"/>
      <c r="M34" s="924"/>
      <c r="N34" s="924"/>
      <c r="O34" s="924"/>
      <c r="P34" s="924"/>
      <c r="Q34" s="924"/>
      <c r="R34" s="924"/>
      <c r="S34" s="924"/>
      <c r="T34" s="924"/>
      <c r="U34" s="924"/>
      <c r="V34" s="924"/>
      <c r="W34" s="924"/>
      <c r="X34" s="924"/>
      <c r="Y34" s="924"/>
      <c r="Z34" s="924"/>
      <c r="AA34" s="924"/>
      <c r="AB34" s="924"/>
      <c r="AC34" s="924"/>
      <c r="AD34" s="924"/>
      <c r="AE34" s="924"/>
      <c r="AF34" s="946"/>
      <c r="AG34" s="471"/>
      <c r="AH34" s="930"/>
      <c r="AI34" s="471"/>
      <c r="AJ34" s="961"/>
      <c r="AK34" s="471"/>
      <c r="AL34" s="961"/>
      <c r="AM34" s="924"/>
      <c r="AN34" s="924"/>
      <c r="AO34" s="924"/>
      <c r="AP34" s="924"/>
      <c r="AQ34" s="924"/>
      <c r="AR34" s="924"/>
      <c r="AS34" s="924"/>
      <c r="AT34" s="924"/>
      <c r="AU34" s="924"/>
      <c r="AV34" s="527">
        <f t="shared" si="32"/>
        <v>0.42391304347826086</v>
      </c>
      <c r="AW34" s="527">
        <f t="shared" si="32"/>
        <v>0.46017699115044247</v>
      </c>
      <c r="AX34" s="527">
        <f t="shared" si="32"/>
        <v>0.4642857142857143</v>
      </c>
      <c r="AY34" s="527">
        <f t="shared" si="32"/>
        <v>0.46745562130177515</v>
      </c>
      <c r="AZ34" s="527">
        <f t="shared" si="32"/>
        <v>0.46733668341708545</v>
      </c>
      <c r="BA34" s="924"/>
    </row>
    <row r="35" spans="1:53">
      <c r="A35" s="964" t="s">
        <v>215</v>
      </c>
      <c r="B35" s="980">
        <f t="shared" ref="B35:Y35" si="33">B7/B32</f>
        <v>5.6472307692307693</v>
      </c>
      <c r="C35" s="980">
        <f t="shared" si="33"/>
        <v>4.6375833333333336</v>
      </c>
      <c r="D35" s="980">
        <f t="shared" si="33"/>
        <v>4.3446440677966098</v>
      </c>
      <c r="E35" s="980">
        <f t="shared" si="33"/>
        <v>4.1993235294117639</v>
      </c>
      <c r="F35" s="980">
        <f t="shared" si="33"/>
        <v>4.5303209876543216</v>
      </c>
      <c r="G35" s="980">
        <f t="shared" si="33"/>
        <v>4.6371844660194173</v>
      </c>
      <c r="H35" s="980">
        <f t="shared" si="33"/>
        <v>4.0489440000000005</v>
      </c>
      <c r="I35" s="980">
        <f t="shared" si="33"/>
        <v>4.1334594594594591</v>
      </c>
      <c r="J35" s="980">
        <f t="shared" si="33"/>
        <v>4.308982658959537</v>
      </c>
      <c r="K35" s="980">
        <f t="shared" si="33"/>
        <v>4.6259420289855075</v>
      </c>
      <c r="L35" s="980">
        <f t="shared" si="33"/>
        <v>5.5077499999999997</v>
      </c>
      <c r="M35" s="980">
        <f t="shared" si="33"/>
        <v>5.6988201892744472</v>
      </c>
      <c r="N35" s="980">
        <f t="shared" si="33"/>
        <v>5.1677068062827223</v>
      </c>
      <c r="O35" s="980">
        <f t="shared" si="33"/>
        <v>5.2787964601769914</v>
      </c>
      <c r="P35" s="980">
        <f t="shared" si="33"/>
        <v>5.2877105751391458</v>
      </c>
      <c r="Q35" s="980">
        <f t="shared" si="33"/>
        <v>4.863104669887278</v>
      </c>
      <c r="R35" s="980">
        <f t="shared" si="33"/>
        <v>4.951378557939913</v>
      </c>
      <c r="S35" s="980">
        <f t="shared" si="33"/>
        <v>5.8446791510611744</v>
      </c>
      <c r="T35" s="980">
        <f>T7/T32</f>
        <v>5.8481414364640889</v>
      </c>
      <c r="U35" s="980">
        <f t="shared" si="33"/>
        <v>5.894593718338399</v>
      </c>
      <c r="V35" s="980">
        <f>V7/V32</f>
        <v>5.8610094607379377</v>
      </c>
      <c r="W35" s="980">
        <f>W7/W32</f>
        <v>5.6975939177101971</v>
      </c>
      <c r="X35" s="980">
        <f t="shared" si="33"/>
        <v>5.5864322469982843</v>
      </c>
      <c r="Y35" s="980">
        <f t="shared" si="33"/>
        <v>5.5133065998329158</v>
      </c>
      <c r="Z35" s="980">
        <f>Z7/Z32</f>
        <v>5.6789694459356692</v>
      </c>
      <c r="AA35" s="980">
        <f>AA7/AA32</f>
        <v>5.652523941173536</v>
      </c>
      <c r="AB35" s="980">
        <f>AB7/AB32</f>
        <v>5.6021002219028064</v>
      </c>
      <c r="AC35" s="980">
        <f>AC7/AC32</f>
        <v>5.5623828236113262</v>
      </c>
      <c r="AD35" s="980">
        <f>AD7/AD32</f>
        <v>5.5331322670594663</v>
      </c>
      <c r="AE35" s="980"/>
      <c r="AF35" s="946"/>
      <c r="AG35" s="471"/>
      <c r="AH35" s="930"/>
      <c r="AI35" s="471"/>
      <c r="AJ35" s="969"/>
      <c r="AK35" s="471"/>
      <c r="AL35" s="969"/>
      <c r="AM35" s="924"/>
      <c r="AN35" s="924"/>
      <c r="AO35" s="924"/>
      <c r="AP35" s="924"/>
      <c r="AQ35" s="924"/>
      <c r="AR35" s="924"/>
      <c r="AS35" s="924"/>
      <c r="AT35" s="924"/>
      <c r="AU35" s="924"/>
      <c r="AV35" s="924"/>
      <c r="AW35" s="924"/>
      <c r="AX35" s="924"/>
      <c r="AY35" s="924"/>
      <c r="AZ35" s="924"/>
      <c r="BA35" s="924"/>
    </row>
    <row r="36" spans="1:53">
      <c r="A36" s="964" t="s">
        <v>209</v>
      </c>
      <c r="B36" s="981"/>
      <c r="C36" s="981">
        <f t="shared" ref="C36:T36" si="34">C35/B35-1</f>
        <v>-0.17878628962686494</v>
      </c>
      <c r="D36" s="981">
        <f t="shared" si="34"/>
        <v>-6.3166361546794891E-2</v>
      </c>
      <c r="E36" s="981">
        <f t="shared" si="34"/>
        <v>-3.3448203378037666E-2</v>
      </c>
      <c r="F36" s="981">
        <f t="shared" si="34"/>
        <v>7.8821613987175576E-2</v>
      </c>
      <c r="G36" s="981">
        <f t="shared" si="34"/>
        <v>2.3588500385802957E-2</v>
      </c>
      <c r="H36" s="981">
        <f t="shared" si="34"/>
        <v>-0.12685293637334327</v>
      </c>
      <c r="I36" s="981">
        <f t="shared" si="34"/>
        <v>2.0873457242050808E-2</v>
      </c>
      <c r="J36" s="981">
        <f t="shared" si="34"/>
        <v>4.2463994438941777E-2</v>
      </c>
      <c r="K36" s="981">
        <f t="shared" si="34"/>
        <v>7.355781981784637E-2</v>
      </c>
      <c r="L36" s="981">
        <f t="shared" si="34"/>
        <v>0.19062235659011861</v>
      </c>
      <c r="M36" s="981">
        <f t="shared" si="34"/>
        <v>3.4691151427433731E-2</v>
      </c>
      <c r="N36" s="981">
        <f t="shared" si="34"/>
        <v>-9.3197076825009328E-2</v>
      </c>
      <c r="O36" s="981">
        <f t="shared" si="34"/>
        <v>2.1496895636418545E-2</v>
      </c>
      <c r="P36" s="981">
        <f t="shared" si="34"/>
        <v>1.6886642683426878E-3</v>
      </c>
      <c r="Q36" s="981">
        <f t="shared" si="34"/>
        <v>-8.0300519330276376E-2</v>
      </c>
      <c r="R36" s="981">
        <f t="shared" si="34"/>
        <v>1.8151755729058028E-2</v>
      </c>
      <c r="S36" s="981">
        <f t="shared" si="34"/>
        <v>0.18041452146469106</v>
      </c>
      <c r="T36" s="981">
        <f t="shared" si="34"/>
        <v>5.9238245820325552E-4</v>
      </c>
      <c r="U36" s="981">
        <f t="shared" ref="U36:AD36" si="35">U35/T35-1</f>
        <v>7.9430845472840961E-3</v>
      </c>
      <c r="V36" s="981">
        <f t="shared" si="35"/>
        <v>-5.6974677484520342E-3</v>
      </c>
      <c r="W36" s="981">
        <f t="shared" si="35"/>
        <v>-2.7881808436317712E-2</v>
      </c>
      <c r="X36" s="981">
        <f t="shared" si="35"/>
        <v>-1.9510283168195253E-2</v>
      </c>
      <c r="Y36" s="981">
        <f t="shared" si="35"/>
        <v>-1.3089865576488613E-2</v>
      </c>
      <c r="Z36" s="981">
        <f t="shared" si="35"/>
        <v>3.0047820323972907E-2</v>
      </c>
      <c r="AA36" s="981">
        <f t="shared" si="35"/>
        <v>-4.6567436246834903E-3</v>
      </c>
      <c r="AB36" s="981">
        <f t="shared" si="35"/>
        <v>-8.9205671299219524E-3</v>
      </c>
      <c r="AC36" s="981">
        <f t="shared" si="35"/>
        <v>-7.0897336210079542E-3</v>
      </c>
      <c r="AD36" s="981">
        <f t="shared" si="35"/>
        <v>-5.2586377959633612E-3</v>
      </c>
      <c r="AE36" s="981"/>
      <c r="AF36" s="946"/>
      <c r="AG36" s="471"/>
      <c r="AH36" s="930"/>
      <c r="AI36" s="471"/>
      <c r="AJ36" s="961"/>
      <c r="AK36" s="471"/>
      <c r="AL36" s="961"/>
      <c r="AM36" s="924"/>
      <c r="AN36" s="924"/>
      <c r="AO36" s="924"/>
      <c r="AP36" s="924"/>
      <c r="AQ36" s="924"/>
      <c r="AR36" s="924"/>
      <c r="AS36" s="924"/>
      <c r="AT36" s="924"/>
      <c r="AU36" s="924"/>
      <c r="AV36" s="924"/>
      <c r="AW36" s="924"/>
      <c r="AX36" s="924"/>
      <c r="AY36" s="924"/>
      <c r="AZ36" s="924"/>
      <c r="BA36" s="924"/>
    </row>
    <row r="37" spans="1:53">
      <c r="A37" s="924"/>
      <c r="B37" s="924"/>
      <c r="C37" s="924"/>
      <c r="D37" s="924"/>
      <c r="E37" s="924"/>
      <c r="F37" s="924"/>
      <c r="G37" s="924"/>
      <c r="H37" s="924"/>
      <c r="I37" s="924"/>
      <c r="J37" s="924"/>
      <c r="K37" s="924"/>
      <c r="L37" s="924"/>
      <c r="M37" s="924"/>
      <c r="N37" s="924"/>
      <c r="O37" s="924"/>
      <c r="P37" s="924"/>
      <c r="Q37" s="924"/>
      <c r="R37" s="924"/>
      <c r="S37" s="924"/>
      <c r="T37" s="924"/>
      <c r="U37" s="924"/>
      <c r="V37" s="924"/>
      <c r="W37" s="924"/>
      <c r="X37" s="924"/>
      <c r="Y37" s="924"/>
      <c r="Z37" s="924"/>
      <c r="AA37" s="924"/>
      <c r="AB37" s="924"/>
      <c r="AC37" s="924"/>
      <c r="AD37" s="924"/>
      <c r="AE37" s="924"/>
      <c r="AF37" s="946"/>
      <c r="AG37" s="471"/>
      <c r="AH37" s="930"/>
      <c r="AI37" s="471"/>
      <c r="AJ37" s="961"/>
      <c r="AK37" s="471"/>
      <c r="AL37" s="961"/>
      <c r="AM37" s="924"/>
      <c r="AN37" s="924"/>
      <c r="AO37" s="924"/>
      <c r="AP37" s="924"/>
      <c r="AQ37" s="924"/>
      <c r="AR37" s="924"/>
      <c r="AS37" s="924"/>
      <c r="AT37" s="924"/>
      <c r="AU37" s="924"/>
      <c r="AV37" s="924"/>
      <c r="AW37" s="924"/>
      <c r="AX37" s="924"/>
      <c r="AY37" s="924"/>
      <c r="AZ37" s="924"/>
      <c r="BA37" s="924"/>
    </row>
    <row r="38" spans="1:53">
      <c r="A38" s="964" t="s">
        <v>216</v>
      </c>
      <c r="B38" s="982">
        <f>+((0.160887+0.007714)/0.75+(B41))/2</f>
        <v>0.25770933333333335</v>
      </c>
      <c r="C38" s="983">
        <v>0.32258700000000001</v>
      </c>
      <c r="D38" s="983">
        <v>0.38520599999999999</v>
      </c>
      <c r="E38" s="984">
        <f>+E13/E47</f>
        <v>0.52742770167427699</v>
      </c>
      <c r="F38" s="984">
        <f>+F13/F47</f>
        <v>0.5569144421629022</v>
      </c>
      <c r="G38" s="984">
        <f>+G13/G47</f>
        <v>0.68677449046679817</v>
      </c>
      <c r="H38" s="984">
        <f t="shared" ref="H38:S38" si="36">+(H41+G41)/2</f>
        <v>0.76973800000000003</v>
      </c>
      <c r="I38" s="984">
        <f t="shared" si="36"/>
        <v>0.92097733333333331</v>
      </c>
      <c r="J38" s="984">
        <f t="shared" si="36"/>
        <v>1.0671200000000001</v>
      </c>
      <c r="K38" s="984">
        <f t="shared" si="36"/>
        <v>1.2399133333333332</v>
      </c>
      <c r="L38" s="984">
        <f t="shared" si="36"/>
        <v>1.4948413333333335</v>
      </c>
      <c r="M38" s="984">
        <f t="shared" si="36"/>
        <v>1.7937146666666668</v>
      </c>
      <c r="N38" s="984">
        <f t="shared" si="36"/>
        <v>2.1286666666666667</v>
      </c>
      <c r="O38" s="984">
        <f t="shared" si="36"/>
        <v>2.5003513333333331</v>
      </c>
      <c r="P38" s="984">
        <f t="shared" si="36"/>
        <v>2.8666320000000001</v>
      </c>
      <c r="Q38" s="984">
        <f t="shared" si="36"/>
        <v>3.196711333333333</v>
      </c>
      <c r="R38" s="984">
        <f t="shared" si="36"/>
        <v>3.541557333333333</v>
      </c>
      <c r="S38" s="984">
        <f t="shared" si="36"/>
        <v>3.9141679999999996</v>
      </c>
      <c r="T38" s="984">
        <f t="shared" ref="T38:Z38" si="37">+(T41+S41)/2</f>
        <v>4.270016</v>
      </c>
      <c r="U38" s="984">
        <f t="shared" si="37"/>
        <v>4.5827493333333322</v>
      </c>
      <c r="V38" s="984">
        <f t="shared" si="37"/>
        <v>4.8754719999999994</v>
      </c>
      <c r="W38" s="984">
        <f t="shared" si="37"/>
        <v>5.1743279999999992</v>
      </c>
      <c r="X38" s="984">
        <f t="shared" si="37"/>
        <v>5.4168279999999989</v>
      </c>
      <c r="Y38" s="984">
        <f t="shared" si="37"/>
        <v>5.5685613333333315</v>
      </c>
      <c r="Z38" s="984">
        <f t="shared" si="37"/>
        <v>5.6555613333333312</v>
      </c>
      <c r="AA38" s="984">
        <f>+(AA41+Z41)/2</f>
        <v>5.7798613333333311</v>
      </c>
      <c r="AB38" s="984">
        <f>+(AB41+AA41)/2</f>
        <v>5.9534613333333315</v>
      </c>
      <c r="AC38" s="984">
        <f>+(AC41+AB41)/2</f>
        <v>6.0764613333333308</v>
      </c>
      <c r="AD38" s="984">
        <f>+(AD41+AC41)/2</f>
        <v>6.1488613333333308</v>
      </c>
      <c r="AE38" s="984"/>
      <c r="AF38" s="946"/>
      <c r="AG38" s="471">
        <f>((Y38/T38)^(1/5)-1)*100</f>
        <v>5.4539133882810953</v>
      </c>
      <c r="AH38" s="954" t="s">
        <v>208</v>
      </c>
      <c r="AI38" s="471"/>
      <c r="AJ38" s="955"/>
      <c r="AK38" s="471">
        <f>((AD38/Y38)^(1/5)-1)*100</f>
        <v>2.0023877870925633</v>
      </c>
      <c r="AL38" s="955" t="s">
        <v>208</v>
      </c>
      <c r="AM38" s="924"/>
      <c r="AN38" s="924"/>
      <c r="AO38" s="924"/>
      <c r="AP38" s="924"/>
      <c r="AQ38" s="924"/>
      <c r="AR38" s="924"/>
      <c r="AS38" s="924"/>
      <c r="AT38" s="924"/>
      <c r="AU38" s="924"/>
      <c r="AV38" s="924"/>
      <c r="AW38" s="924"/>
      <c r="AX38" s="924"/>
      <c r="AY38" s="924"/>
      <c r="AZ38" s="924"/>
      <c r="BA38" s="924"/>
    </row>
    <row r="39" spans="1:53">
      <c r="A39" s="985" t="s">
        <v>430</v>
      </c>
      <c r="B39" s="945"/>
      <c r="C39" s="945">
        <f t="shared" ref="C39:W39" si="38">C38/B38-1</f>
        <v>0.25174744673585736</v>
      </c>
      <c r="D39" s="945">
        <f t="shared" si="38"/>
        <v>0.19411507593300414</v>
      </c>
      <c r="E39" s="945">
        <f t="shared" si="38"/>
        <v>0.36920946629667495</v>
      </c>
      <c r="F39" s="945">
        <f t="shared" si="38"/>
        <v>5.5906696586132787E-2</v>
      </c>
      <c r="G39" s="945">
        <f t="shared" si="38"/>
        <v>0.23317773516440932</v>
      </c>
      <c r="H39" s="945">
        <f t="shared" si="38"/>
        <v>0.12080167607392034</v>
      </c>
      <c r="I39" s="945">
        <f t="shared" si="38"/>
        <v>0.19648157338384387</v>
      </c>
      <c r="J39" s="945">
        <f t="shared" si="38"/>
        <v>0.15868215359625215</v>
      </c>
      <c r="K39" s="945">
        <f t="shared" si="38"/>
        <v>0.16192493190394064</v>
      </c>
      <c r="L39" s="945">
        <f t="shared" si="38"/>
        <v>0.20560146676918301</v>
      </c>
      <c r="M39" s="945">
        <f t="shared" si="38"/>
        <v>0.1999364927024585</v>
      </c>
      <c r="N39" s="945">
        <f t="shared" si="38"/>
        <v>0.18673650064001257</v>
      </c>
      <c r="O39" s="945">
        <f>O38/N38-1</f>
        <v>0.1746091450046976</v>
      </c>
      <c r="P39" s="945">
        <f t="shared" si="38"/>
        <v>0.14649167970261256</v>
      </c>
      <c r="Q39" s="945">
        <f t="shared" si="38"/>
        <v>0.11514534594371817</v>
      </c>
      <c r="R39" s="945">
        <f t="shared" si="38"/>
        <v>0.10787523928237075</v>
      </c>
      <c r="S39" s="945">
        <f t="shared" si="38"/>
        <v>0.10521096557145482</v>
      </c>
      <c r="T39" s="945">
        <f t="shared" si="38"/>
        <v>9.0912807012882624E-2</v>
      </c>
      <c r="U39" s="945">
        <f>U38/T38-1</f>
        <v>7.3239382085062976E-2</v>
      </c>
      <c r="V39" s="945">
        <f>V38/U38-1</f>
        <v>6.3874902460299143E-2</v>
      </c>
      <c r="W39" s="945">
        <f t="shared" si="38"/>
        <v>6.1297859981556568E-2</v>
      </c>
      <c r="X39" s="945">
        <f t="shared" ref="X39:AD39" si="39">X38/W38-1</f>
        <v>4.6865989168062061E-2</v>
      </c>
      <c r="Y39" s="945">
        <f t="shared" si="39"/>
        <v>2.8011473381346574E-2</v>
      </c>
      <c r="Z39" s="945">
        <f t="shared" si="39"/>
        <v>1.5623424937284858E-2</v>
      </c>
      <c r="AA39" s="945">
        <f t="shared" si="39"/>
        <v>2.1978366544694206E-2</v>
      </c>
      <c r="AB39" s="945">
        <f t="shared" si="39"/>
        <v>3.0035322646725593E-2</v>
      </c>
      <c r="AC39" s="945">
        <f t="shared" si="39"/>
        <v>2.0660250081969034E-2</v>
      </c>
      <c r="AD39" s="945">
        <f t="shared" si="39"/>
        <v>1.1914829376571401E-2</v>
      </c>
      <c r="AE39" s="945"/>
      <c r="AF39" s="946"/>
      <c r="AG39" s="471"/>
      <c r="AH39" s="930"/>
      <c r="AI39" s="471"/>
      <c r="AJ39" s="961"/>
      <c r="AK39" s="471"/>
      <c r="AL39" s="961"/>
      <c r="AM39" s="924"/>
      <c r="AN39" s="924"/>
      <c r="AO39" s="924"/>
      <c r="AP39" s="924"/>
      <c r="AQ39" s="924"/>
      <c r="AR39" s="924"/>
      <c r="AS39" s="924"/>
      <c r="AT39" s="924"/>
      <c r="AU39" s="924"/>
      <c r="AV39" s="924"/>
      <c r="AW39" s="924"/>
      <c r="AX39" s="924"/>
      <c r="AY39" s="924"/>
      <c r="AZ39" s="924"/>
      <c r="BA39" s="924"/>
    </row>
    <row r="40" spans="1:53">
      <c r="A40" s="964"/>
      <c r="B40" s="945"/>
      <c r="C40" s="945"/>
      <c r="D40" s="945"/>
      <c r="E40" s="945"/>
      <c r="F40" s="945"/>
      <c r="G40" s="945"/>
      <c r="H40" s="984"/>
      <c r="I40" s="984"/>
      <c r="J40" s="983"/>
      <c r="K40" s="945"/>
      <c r="L40" s="945"/>
      <c r="M40" s="983"/>
      <c r="N40" s="986"/>
      <c r="O40" s="945"/>
      <c r="P40" s="945"/>
      <c r="Q40" s="984"/>
      <c r="R40" s="984"/>
      <c r="S40" s="945"/>
      <c r="T40" s="945"/>
      <c r="U40" s="945"/>
      <c r="V40" s="945"/>
      <c r="W40" s="945"/>
      <c r="X40" s="945"/>
      <c r="Y40" s="945"/>
      <c r="Z40" s="945"/>
      <c r="AA40" s="945"/>
      <c r="AB40" s="945"/>
      <c r="AC40" s="945"/>
      <c r="AD40" s="945"/>
      <c r="AE40" s="945"/>
      <c r="AF40" s="946"/>
      <c r="AG40" s="471"/>
      <c r="AH40" s="930"/>
      <c r="AI40" s="471"/>
      <c r="AJ40" s="961"/>
      <c r="AK40" s="471"/>
      <c r="AL40" s="961"/>
      <c r="AM40" s="924"/>
      <c r="AN40" s="924"/>
      <c r="AO40" s="924"/>
      <c r="AP40" s="924"/>
      <c r="AQ40" s="924"/>
      <c r="AR40" s="924"/>
      <c r="AS40" s="924"/>
      <c r="AT40" s="924"/>
      <c r="AU40" s="924"/>
      <c r="AV40" s="924"/>
      <c r="AW40" s="924"/>
      <c r="AX40" s="924"/>
      <c r="AY40" s="924"/>
      <c r="AZ40" s="924"/>
      <c r="BA40" s="924"/>
    </row>
    <row r="41" spans="1:53">
      <c r="A41" s="964" t="s">
        <v>217</v>
      </c>
      <c r="B41" s="983">
        <f>0.19268/0.75+0.025283/0.75</f>
        <v>0.29061733333333334</v>
      </c>
      <c r="C41" s="983">
        <f>(0.230283+0.025283)/0.75</f>
        <v>0.34075466666666659</v>
      </c>
      <c r="D41" s="983">
        <f>(0.250359+0.067152)/0.75</f>
        <v>0.423348</v>
      </c>
      <c r="E41" s="983">
        <f>+(0.260289+0.075509)/0.75</f>
        <v>0.44773066666666667</v>
      </c>
      <c r="F41" s="983">
        <f>+(0.30348+0.114993)/0.75</f>
        <v>0.55796400000000002</v>
      </c>
      <c r="G41" s="983">
        <f>+(0.346025+0.176616)/0.75</f>
        <v>0.69685466666666673</v>
      </c>
      <c r="H41" s="983">
        <f>+(0.40862+0.223346)/0.75</f>
        <v>0.84262133333333333</v>
      </c>
      <c r="I41" s="983">
        <f>+(0.489256+0.260244)/0.75</f>
        <v>0.99933333333333341</v>
      </c>
      <c r="J41" s="983">
        <f>+(0.530774+0.318656+0.00175)/0.75</f>
        <v>1.1349066666666665</v>
      </c>
      <c r="K41" s="983">
        <f>+(0.600298+0.406642+0.00175)/0.75</f>
        <v>1.3449199999999999</v>
      </c>
      <c r="L41" s="983">
        <f>+(0.727256+0.502776+0.00354)/0.75</f>
        <v>1.6447626666666668</v>
      </c>
      <c r="M41" s="983">
        <f>1.457/0.75</f>
        <v>1.9426666666666668</v>
      </c>
      <c r="N41" s="983">
        <f>(1.015+0.708+0.013)/0.75</f>
        <v>2.3146666666666662</v>
      </c>
      <c r="O41" s="987">
        <f>qtrSales!AE106</f>
        <v>2.6860360000000001</v>
      </c>
      <c r="P41" s="987">
        <f>qtrSales!AE113</f>
        <v>3.047228</v>
      </c>
      <c r="Q41" s="987">
        <f>qtrSales!$AE$120</f>
        <v>3.3461946666666664</v>
      </c>
      <c r="R41" s="987">
        <f>+qtrSales!AE127</f>
        <v>3.7369199999999996</v>
      </c>
      <c r="S41" s="987">
        <f>+qtrSales!AE134</f>
        <v>4.0914159999999997</v>
      </c>
      <c r="T41" s="984">
        <f>+S41+(T17-T23)*T58/1000000+(T18-T24)*T59/1000000+(T19-T25)*T60/1000000+T21*T61/1000000</f>
        <v>4.4486159999999995</v>
      </c>
      <c r="U41" s="984">
        <f t="shared" ref="U41:AC41" si="40">+T41+(U17-U23)*U58/1000000+(U18-U24)*U59/1000000+(U19-U25)*U60/1000000+U21*U61/1000000</f>
        <v>4.7168826666666659</v>
      </c>
      <c r="V41" s="984">
        <f t="shared" si="40"/>
        <v>5.0340613333333328</v>
      </c>
      <c r="W41" s="984">
        <f t="shared" si="40"/>
        <v>5.3145946666666655</v>
      </c>
      <c r="X41" s="984">
        <f t="shared" si="40"/>
        <v>5.5190613333333323</v>
      </c>
      <c r="Y41" s="984">
        <f t="shared" si="40"/>
        <v>5.6180613333333316</v>
      </c>
      <c r="Z41" s="984">
        <f t="shared" si="40"/>
        <v>5.6930613333333318</v>
      </c>
      <c r="AA41" s="984">
        <f t="shared" si="40"/>
        <v>5.8666613333333313</v>
      </c>
      <c r="AB41" s="984">
        <f t="shared" si="40"/>
        <v>6.0402613333333308</v>
      </c>
      <c r="AC41" s="984">
        <f t="shared" si="40"/>
        <v>6.1126613333333308</v>
      </c>
      <c r="AD41" s="984">
        <f t="shared" ref="AD41" si="41">+AC41+(AD17-AD23)*AD58/1000000+(AD18-AD24)*AD59/1000000+(AD19-AD25)*AD60/1000000+AD21*AD61/1000000</f>
        <v>6.1850613333333309</v>
      </c>
      <c r="AE41" s="984"/>
      <c r="AF41" s="946"/>
      <c r="AG41" s="471">
        <f>((Y41/T41)^(1/5)-1)*100</f>
        <v>4.7785324486893543</v>
      </c>
      <c r="AH41" s="954" t="s">
        <v>208</v>
      </c>
      <c r="AI41" s="471"/>
      <c r="AJ41" s="955"/>
      <c r="AK41" s="471">
        <f>((AD41/Y41)^(1/5)-1)*100</f>
        <v>1.9416143698676391</v>
      </c>
      <c r="AL41" s="955" t="s">
        <v>208</v>
      </c>
      <c r="AM41" s="471"/>
      <c r="AN41" s="924"/>
      <c r="AO41" s="924"/>
      <c r="AP41" s="924"/>
      <c r="AQ41" s="924"/>
      <c r="AR41" s="924"/>
      <c r="AS41" s="924"/>
      <c r="AT41" s="924"/>
      <c r="AU41" s="924"/>
      <c r="AV41" s="924"/>
      <c r="AW41" s="924"/>
      <c r="AX41" s="924"/>
      <c r="AY41" s="924"/>
      <c r="AZ41" s="924"/>
      <c r="BA41" s="924"/>
    </row>
    <row r="42" spans="1:53">
      <c r="A42" s="964" t="s">
        <v>209</v>
      </c>
      <c r="B42" s="945"/>
      <c r="C42" s="945">
        <f t="shared" ref="C42:W42" si="42">C41/B41-1</f>
        <v>0.17252010662360107</v>
      </c>
      <c r="D42" s="945">
        <f t="shared" si="42"/>
        <v>0.24238357214966033</v>
      </c>
      <c r="E42" s="945">
        <f t="shared" si="42"/>
        <v>5.7594854981402266E-2</v>
      </c>
      <c r="F42" s="945">
        <f t="shared" si="42"/>
        <v>0.24620456345779318</v>
      </c>
      <c r="G42" s="945">
        <f t="shared" si="42"/>
        <v>0.24892406439603043</v>
      </c>
      <c r="H42" s="945">
        <f t="shared" si="42"/>
        <v>0.20917800172584999</v>
      </c>
      <c r="I42" s="945">
        <f t="shared" si="42"/>
        <v>0.18598152432251114</v>
      </c>
      <c r="J42" s="945">
        <f t="shared" si="42"/>
        <v>0.13566377585056677</v>
      </c>
      <c r="K42" s="945">
        <f t="shared" si="42"/>
        <v>0.18504899081275417</v>
      </c>
      <c r="L42" s="945">
        <f t="shared" si="42"/>
        <v>0.22294461132756371</v>
      </c>
      <c r="M42" s="945">
        <f t="shared" si="42"/>
        <v>0.18112278813072935</v>
      </c>
      <c r="N42" s="945">
        <f t="shared" si="42"/>
        <v>0.19148936170212738</v>
      </c>
      <c r="O42" s="945">
        <f t="shared" si="42"/>
        <v>0.16044182027649789</v>
      </c>
      <c r="P42" s="945">
        <f t="shared" si="42"/>
        <v>0.13447027515640153</v>
      </c>
      <c r="Q42" s="945">
        <f t="shared" si="42"/>
        <v>9.8111026371071164E-2</v>
      </c>
      <c r="R42" s="945">
        <f t="shared" si="42"/>
        <v>0.11676706595272801</v>
      </c>
      <c r="S42" s="945">
        <f t="shared" si="42"/>
        <v>9.4863149331535057E-2</v>
      </c>
      <c r="T42" s="945">
        <f t="shared" si="42"/>
        <v>8.7304737528522969E-2</v>
      </c>
      <c r="U42" s="945">
        <f>U41/T41-1</f>
        <v>6.0303399229483245E-2</v>
      </c>
      <c r="V42" s="945">
        <f>V41/U41-1</f>
        <v>6.7243281014410128E-2</v>
      </c>
      <c r="W42" s="945">
        <f t="shared" si="42"/>
        <v>5.5727039214990226E-2</v>
      </c>
      <c r="X42" s="945">
        <f t="shared" ref="X42:AD42" si="43">X41/W41-1</f>
        <v>3.8472673739182728E-2</v>
      </c>
      <c r="Y42" s="945">
        <f t="shared" si="43"/>
        <v>1.7937832906851581E-2</v>
      </c>
      <c r="Z42" s="945">
        <f t="shared" si="43"/>
        <v>1.3349800856570671E-2</v>
      </c>
      <c r="AA42" s="945">
        <f t="shared" si="43"/>
        <v>3.049326009954556E-2</v>
      </c>
      <c r="AB42" s="945">
        <f t="shared" si="43"/>
        <v>2.9590935991759881E-2</v>
      </c>
      <c r="AC42" s="945">
        <f t="shared" si="43"/>
        <v>1.1986236357102387E-2</v>
      </c>
      <c r="AD42" s="945">
        <f t="shared" si="43"/>
        <v>1.1844268159466154E-2</v>
      </c>
      <c r="AE42" s="945"/>
      <c r="AF42" s="946"/>
      <c r="AG42" s="471"/>
      <c r="AH42" s="930"/>
      <c r="AI42" s="471"/>
      <c r="AJ42" s="961"/>
      <c r="AK42" s="471"/>
      <c r="AL42" s="961"/>
      <c r="AM42" s="924"/>
      <c r="AN42" s="924"/>
      <c r="AO42" s="924"/>
      <c r="AP42" s="924"/>
      <c r="AQ42" s="924"/>
      <c r="AR42" s="924"/>
      <c r="AS42" s="924"/>
      <c r="AT42" s="924"/>
      <c r="AU42" s="924"/>
      <c r="AV42" s="924"/>
      <c r="AW42" s="924"/>
      <c r="AX42" s="924"/>
      <c r="AY42" s="924"/>
      <c r="AZ42" s="924"/>
      <c r="BA42" s="924"/>
    </row>
    <row r="43" spans="1:53">
      <c r="A43" s="924"/>
      <c r="B43" s="924"/>
      <c r="C43" s="924"/>
      <c r="D43" s="924"/>
      <c r="E43" s="924"/>
      <c r="F43" s="924"/>
      <c r="G43" s="924"/>
      <c r="H43" s="945"/>
      <c r="I43" s="924"/>
      <c r="J43" s="924"/>
      <c r="K43" s="924"/>
      <c r="L43" s="924"/>
      <c r="M43" s="924"/>
      <c r="N43" s="924"/>
      <c r="O43" s="924"/>
      <c r="P43" s="924"/>
      <c r="Q43" s="924"/>
      <c r="R43" s="924"/>
      <c r="S43" s="924"/>
      <c r="T43" s="924"/>
      <c r="U43" s="924"/>
      <c r="V43" s="924"/>
      <c r="W43" s="924"/>
      <c r="X43" s="924"/>
      <c r="Y43" s="924"/>
      <c r="Z43" s="924"/>
      <c r="AA43" s="924"/>
      <c r="AB43" s="924"/>
      <c r="AC43" s="924"/>
      <c r="AD43" s="924"/>
      <c r="AE43" s="924"/>
      <c r="AF43" s="946"/>
      <c r="AG43" s="471"/>
      <c r="AH43" s="930"/>
      <c r="AI43" s="471"/>
      <c r="AJ43" s="969"/>
      <c r="AK43" s="471"/>
      <c r="AL43" s="969"/>
      <c r="AM43" s="924"/>
      <c r="AN43" s="924"/>
      <c r="AO43" s="924"/>
      <c r="AP43" s="924"/>
      <c r="AQ43" s="924"/>
      <c r="AR43" s="924"/>
      <c r="AS43" s="924"/>
      <c r="AT43" s="924"/>
      <c r="AU43" s="924"/>
      <c r="AV43" s="924"/>
      <c r="AW43" s="924"/>
      <c r="AX43" s="924"/>
      <c r="AY43" s="924"/>
      <c r="AZ43" s="924"/>
      <c r="BA43" s="924"/>
    </row>
    <row r="44" spans="1:53">
      <c r="A44" s="964" t="s">
        <v>537</v>
      </c>
      <c r="B44" s="963">
        <f t="shared" ref="B44:U44" si="44">B41/B26*1000000</f>
        <v>13209.878787878788</v>
      </c>
      <c r="C44" s="963">
        <f t="shared" si="44"/>
        <v>13105.948717948715</v>
      </c>
      <c r="D44" s="963">
        <f t="shared" si="44"/>
        <v>12828.727272727272</v>
      </c>
      <c r="E44" s="963">
        <f t="shared" si="44"/>
        <v>12792.304761904763</v>
      </c>
      <c r="F44" s="963">
        <f t="shared" si="44"/>
        <v>12129.652173913044</v>
      </c>
      <c r="G44" s="963">
        <f t="shared" si="44"/>
        <v>12225.520467836257</v>
      </c>
      <c r="H44" s="963">
        <f t="shared" si="44"/>
        <v>12391.490196078432</v>
      </c>
      <c r="I44" s="963">
        <f t="shared" si="44"/>
        <v>12491.666666666668</v>
      </c>
      <c r="J44" s="963">
        <f t="shared" si="44"/>
        <v>12203.297491039424</v>
      </c>
      <c r="K44" s="963">
        <f t="shared" si="44"/>
        <v>11797.543859649122</v>
      </c>
      <c r="L44" s="963">
        <f t="shared" si="44"/>
        <v>11582.835680751175</v>
      </c>
      <c r="M44" s="963">
        <f t="shared" si="44"/>
        <v>11100.952380952382</v>
      </c>
      <c r="N44" s="963">
        <f t="shared" si="44"/>
        <v>11181.964573268919</v>
      </c>
      <c r="O44" s="963">
        <f t="shared" si="44"/>
        <v>10963.41224489796</v>
      </c>
      <c r="P44" s="963">
        <f t="shared" si="44"/>
        <v>10364.721088435374</v>
      </c>
      <c r="Q44" s="963">
        <f t="shared" si="44"/>
        <v>10233.01121304791</v>
      </c>
      <c r="R44" s="963">
        <f t="shared" si="44"/>
        <v>10045.483870967742</v>
      </c>
      <c r="S44" s="963">
        <f t="shared" si="44"/>
        <v>9537.1002331002328</v>
      </c>
      <c r="T44" s="963">
        <f>T41/T26*1000000</f>
        <v>9345.8319327731078</v>
      </c>
      <c r="U44" s="963">
        <f t="shared" si="44"/>
        <v>9230.6901500326148</v>
      </c>
      <c r="V44" s="963">
        <f t="shared" ref="V44:AA44" si="45">V41/V26*1000000</f>
        <v>9219.8925518925516</v>
      </c>
      <c r="W44" s="963">
        <f t="shared" si="45"/>
        <v>9291.2494172494153</v>
      </c>
      <c r="X44" s="963">
        <f t="shared" si="45"/>
        <v>9291.3490460157118</v>
      </c>
      <c r="Y44" s="963">
        <f t="shared" si="45"/>
        <v>9316.8512990602521</v>
      </c>
      <c r="Z44" s="963">
        <f t="shared" si="45"/>
        <v>9394.4906490649046</v>
      </c>
      <c r="AA44" s="963">
        <f t="shared" si="45"/>
        <v>9492.9795037756176</v>
      </c>
      <c r="AB44" s="963">
        <f>AB41/AB26*1000000</f>
        <v>9587.716402116399</v>
      </c>
      <c r="AC44" s="963">
        <f>AC41/AC26*1000000</f>
        <v>9611.1027253668726</v>
      </c>
      <c r="AD44" s="963">
        <f>AD41/AD26*1000000</f>
        <v>9634.0519210799539</v>
      </c>
      <c r="AE44" s="963"/>
      <c r="AF44" s="979"/>
      <c r="AG44" s="471"/>
      <c r="AH44" s="959"/>
      <c r="AI44" s="471"/>
      <c r="AJ44" s="961"/>
      <c r="AK44" s="471"/>
      <c r="AL44" s="961"/>
      <c r="AM44" s="963"/>
      <c r="AN44" s="963"/>
      <c r="AO44" s="963"/>
      <c r="AP44" s="924"/>
      <c r="AQ44" s="924"/>
      <c r="AR44" s="924"/>
      <c r="AS44" s="924"/>
      <c r="AT44" s="924"/>
      <c r="AU44" s="924"/>
      <c r="AV44" s="924"/>
      <c r="AW44" s="924"/>
      <c r="AX44" s="924"/>
      <c r="AY44" s="924"/>
      <c r="AZ44" s="924"/>
      <c r="BA44" s="924"/>
    </row>
    <row r="45" spans="1:53">
      <c r="A45" s="964" t="s">
        <v>209</v>
      </c>
      <c r="B45" s="981"/>
      <c r="C45" s="981">
        <f t="shared" ref="C45:W45" si="46">C44/B44-1</f>
        <v>-7.8676020877221919E-3</v>
      </c>
      <c r="D45" s="981">
        <f t="shared" si="46"/>
        <v>-2.1152337094207163E-2</v>
      </c>
      <c r="E45" s="981">
        <f t="shared" si="46"/>
        <v>-2.8391367318206795E-3</v>
      </c>
      <c r="F45" s="981">
        <f t="shared" si="46"/>
        <v>-5.1800875629940069E-2</v>
      </c>
      <c r="G45" s="981">
        <f t="shared" si="46"/>
        <v>7.9036309160946949E-3</v>
      </c>
      <c r="H45" s="981">
        <f t="shared" si="46"/>
        <v>1.3575677917256668E-2</v>
      </c>
      <c r="I45" s="981">
        <f t="shared" si="46"/>
        <v>8.0842956741344896E-3</v>
      </c>
      <c r="J45" s="981">
        <f t="shared" si="46"/>
        <v>-2.3084923999512452E-2</v>
      </c>
      <c r="K45" s="981">
        <f t="shared" si="46"/>
        <v>-3.3249507494858443E-2</v>
      </c>
      <c r="L45" s="981">
        <f t="shared" si="46"/>
        <v>-1.819939653984326E-2</v>
      </c>
      <c r="M45" s="981">
        <f t="shared" si="46"/>
        <v>-4.1603223345351159E-2</v>
      </c>
      <c r="N45" s="981">
        <f t="shared" si="46"/>
        <v>7.2977695549385491E-3</v>
      </c>
      <c r="O45" s="981">
        <f t="shared" si="46"/>
        <v>-1.9545074296999698E-2</v>
      </c>
      <c r="P45" s="981">
        <f t="shared" si="46"/>
        <v>-5.4608104036332206E-2</v>
      </c>
      <c r="Q45" s="981">
        <f t="shared" si="46"/>
        <v>-1.2707517574633176E-2</v>
      </c>
      <c r="R45" s="981">
        <f t="shared" si="46"/>
        <v>-1.8325724283488998E-2</v>
      </c>
      <c r="S45" s="981">
        <f t="shared" si="46"/>
        <v>-5.0608178202025567E-2</v>
      </c>
      <c r="T45" s="981">
        <f t="shared" si="46"/>
        <v>-2.0055184034167284E-2</v>
      </c>
      <c r="U45" s="981">
        <f>U44/T44-1</f>
        <v>-1.2320121265686823E-2</v>
      </c>
      <c r="V45" s="981">
        <f>V44/U44-1</f>
        <v>-1.1697498198468548E-3</v>
      </c>
      <c r="W45" s="981">
        <f t="shared" si="46"/>
        <v>7.7394465233997511E-3</v>
      </c>
      <c r="X45" s="981">
        <f t="shared" ref="X45:AD45" si="47">X44/W44-1</f>
        <v>1.0722859953737895E-5</v>
      </c>
      <c r="Y45" s="981">
        <f t="shared" si="47"/>
        <v>2.7447309231674044E-3</v>
      </c>
      <c r="Z45" s="981">
        <f t="shared" si="47"/>
        <v>8.3332176840134053E-3</v>
      </c>
      <c r="AA45" s="981">
        <f t="shared" si="47"/>
        <v>1.0483682233535019E-2</v>
      </c>
      <c r="AB45" s="981">
        <f t="shared" si="47"/>
        <v>9.9796800681073439E-3</v>
      </c>
      <c r="AC45" s="981">
        <f t="shared" si="47"/>
        <v>2.4391963914693893E-3</v>
      </c>
      <c r="AD45" s="981">
        <f t="shared" si="47"/>
        <v>2.3877796719944389E-3</v>
      </c>
      <c r="AE45" s="981"/>
      <c r="AF45" s="946"/>
      <c r="AG45" s="471"/>
      <c r="AH45" s="930"/>
      <c r="AI45" s="471"/>
      <c r="AJ45" s="961"/>
      <c r="AK45" s="471"/>
      <c r="AL45" s="961"/>
      <c r="AM45" s="924"/>
      <c r="AN45" s="924"/>
      <c r="AO45" s="924"/>
      <c r="AP45" s="924"/>
      <c r="AQ45" s="924"/>
      <c r="AR45" s="924"/>
      <c r="AS45" s="924"/>
      <c r="AT45" s="924"/>
      <c r="AU45" s="924"/>
      <c r="AV45" s="924"/>
      <c r="AW45" s="924"/>
      <c r="AX45" s="924"/>
      <c r="AY45" s="924"/>
      <c r="AZ45" s="924"/>
      <c r="BA45" s="924"/>
    </row>
    <row r="46" spans="1:53">
      <c r="A46" s="924"/>
      <c r="B46" s="924"/>
      <c r="C46" s="924"/>
      <c r="D46" s="924"/>
      <c r="E46" s="924"/>
      <c r="F46" s="924"/>
      <c r="G46" s="924"/>
      <c r="H46" s="924"/>
      <c r="I46" s="924"/>
      <c r="J46" s="924"/>
      <c r="K46" s="924"/>
      <c r="L46" s="924"/>
      <c r="M46" s="924"/>
      <c r="N46" s="924"/>
      <c r="O46" s="924"/>
      <c r="P46" s="924"/>
      <c r="Q46" s="924"/>
      <c r="R46" s="924"/>
      <c r="S46" s="924"/>
      <c r="T46" s="924"/>
      <c r="U46" s="924"/>
      <c r="V46" s="924"/>
      <c r="W46" s="924"/>
      <c r="X46" s="924"/>
      <c r="Y46" s="924"/>
      <c r="Z46" s="924"/>
      <c r="AA46" s="924"/>
      <c r="AB46" s="924"/>
      <c r="AC46" s="924"/>
      <c r="AD46" s="924"/>
      <c r="AE46" s="924"/>
      <c r="AF46" s="946"/>
      <c r="AG46" s="471"/>
      <c r="AH46" s="930"/>
      <c r="AI46" s="471"/>
      <c r="AJ46" s="961"/>
      <c r="AK46" s="471"/>
      <c r="AL46" s="961"/>
      <c r="AM46" s="924"/>
      <c r="AN46" s="924"/>
      <c r="AO46" s="924"/>
      <c r="AP46" s="924"/>
      <c r="AQ46" s="924"/>
      <c r="AR46" s="924"/>
      <c r="AS46" s="924"/>
      <c r="AT46" s="924"/>
      <c r="AU46" s="924"/>
      <c r="AV46" s="924"/>
      <c r="AW46" s="924"/>
      <c r="AX46" s="924"/>
      <c r="AY46" s="924"/>
      <c r="AZ46" s="924"/>
      <c r="BA46" s="924"/>
    </row>
    <row r="47" spans="1:53">
      <c r="A47" s="964" t="s">
        <v>218</v>
      </c>
      <c r="B47" s="951"/>
      <c r="C47" s="952">
        <v>345</v>
      </c>
      <c r="D47" s="952">
        <v>333</v>
      </c>
      <c r="E47" s="952">
        <f>438*0.75</f>
        <v>328.5</v>
      </c>
      <c r="F47" s="952">
        <f>487*0.75</f>
        <v>365.25</v>
      </c>
      <c r="G47" s="952">
        <f>507*0.75</f>
        <v>380.25</v>
      </c>
      <c r="H47" s="952">
        <f>439*0.75</f>
        <v>329.25</v>
      </c>
      <c r="I47" s="952">
        <f>443*0.75</f>
        <v>332.25</v>
      </c>
      <c r="J47" s="951">
        <f t="shared" ref="J47:Y47" si="48">J7/(J38)</f>
        <v>349.28311717520052</v>
      </c>
      <c r="K47" s="951">
        <f t="shared" si="48"/>
        <v>386.14392403770159</v>
      </c>
      <c r="L47" s="951">
        <f t="shared" si="48"/>
        <v>471.61660858543729</v>
      </c>
      <c r="M47" s="951">
        <f t="shared" si="48"/>
        <v>503.5711737132475</v>
      </c>
      <c r="N47" s="951">
        <f t="shared" si="48"/>
        <v>463.68556216724085</v>
      </c>
      <c r="O47" s="951">
        <f t="shared" si="48"/>
        <v>477.13614646688325</v>
      </c>
      <c r="P47" s="951">
        <f t="shared" si="48"/>
        <v>497.11229066025908</v>
      </c>
      <c r="Q47" s="951">
        <f t="shared" si="48"/>
        <v>472.35857184060205</v>
      </c>
      <c r="R47" s="951">
        <f t="shared" si="48"/>
        <v>488.62877065757885</v>
      </c>
      <c r="S47" s="951">
        <f t="shared" si="48"/>
        <v>598.03105027684057</v>
      </c>
      <c r="T47" s="951">
        <f t="shared" si="48"/>
        <v>619.73631948920104</v>
      </c>
      <c r="U47" s="951">
        <f>U7/(U38)</f>
        <v>634.76786278513464</v>
      </c>
      <c r="V47" s="951">
        <f>V7/(V38)</f>
        <v>635.33202528903882</v>
      </c>
      <c r="W47" s="951">
        <f>W7/(W38)</f>
        <v>615.5301712608865</v>
      </c>
      <c r="X47" s="951">
        <f t="shared" si="48"/>
        <v>601.25409187812511</v>
      </c>
      <c r="Y47" s="951">
        <f t="shared" si="48"/>
        <v>592.56131027020524</v>
      </c>
      <c r="Z47" s="951">
        <f>Z7/(Z38)</f>
        <v>607.00199816324391</v>
      </c>
      <c r="AA47" s="951">
        <f>AA7/(AA38)</f>
        <v>598.51689383059113</v>
      </c>
      <c r="AB47" s="951">
        <f>AB7/(AB38)</f>
        <v>587.17279625130436</v>
      </c>
      <c r="AC47" s="951">
        <f>AC7/(AC38)</f>
        <v>579.44717067992599</v>
      </c>
      <c r="AD47" s="951">
        <f>AD7/(AD38)</f>
        <v>575.01240099267159</v>
      </c>
      <c r="AE47" s="951"/>
      <c r="AF47" s="946"/>
      <c r="AG47" s="471">
        <f>((Y47/T47)^(1/5)-1)*100</f>
        <v>-0.89278581763639897</v>
      </c>
      <c r="AH47" s="954" t="s">
        <v>208</v>
      </c>
      <c r="AI47" s="471"/>
      <c r="AJ47" s="955"/>
      <c r="AK47" s="471">
        <f>((AD47/Y47)^(1/5)-1)*100</f>
        <v>-0.59945082876665667</v>
      </c>
      <c r="AL47" s="955" t="s">
        <v>208</v>
      </c>
      <c r="AM47" s="924"/>
      <c r="AN47" s="924"/>
      <c r="AO47" s="924"/>
      <c r="AP47" s="924"/>
      <c r="AQ47" s="924"/>
      <c r="AR47" s="924"/>
      <c r="AS47" s="924"/>
      <c r="AT47" s="924"/>
      <c r="AU47" s="924"/>
      <c r="AV47" s="924"/>
      <c r="AW47" s="924"/>
      <c r="AX47" s="924"/>
      <c r="AY47" s="924"/>
      <c r="AZ47" s="924"/>
      <c r="BA47" s="924"/>
    </row>
    <row r="48" spans="1:53">
      <c r="A48" s="964" t="s">
        <v>209</v>
      </c>
      <c r="B48" s="981"/>
      <c r="C48" s="981"/>
      <c r="D48" s="981">
        <f t="shared" ref="D48:W48" si="49">D47/C47-1</f>
        <v>-3.4782608695652195E-2</v>
      </c>
      <c r="E48" s="981">
        <f t="shared" si="49"/>
        <v>-1.3513513513513487E-2</v>
      </c>
      <c r="F48" s="981">
        <f t="shared" si="49"/>
        <v>0.11187214611872154</v>
      </c>
      <c r="G48" s="981">
        <f t="shared" si="49"/>
        <v>4.1067761806981462E-2</v>
      </c>
      <c r="H48" s="981">
        <f t="shared" si="49"/>
        <v>-0.13412228796844183</v>
      </c>
      <c r="I48" s="981">
        <f t="shared" si="49"/>
        <v>9.1116173120728838E-3</v>
      </c>
      <c r="J48" s="981">
        <f t="shared" si="49"/>
        <v>5.1265965914824685E-2</v>
      </c>
      <c r="K48" s="981">
        <f t="shared" si="49"/>
        <v>0.10553274707523785</v>
      </c>
      <c r="L48" s="981">
        <f t="shared" si="49"/>
        <v>0.2213492929112888</v>
      </c>
      <c r="M48" s="981">
        <f t="shared" si="49"/>
        <v>6.7755385510392507E-2</v>
      </c>
      <c r="N48" s="981">
        <f t="shared" si="49"/>
        <v>-7.9205509822766418E-2</v>
      </c>
      <c r="O48" s="981">
        <f t="shared" si="49"/>
        <v>2.9007986008395603E-2</v>
      </c>
      <c r="P48" s="981">
        <f t="shared" si="49"/>
        <v>4.1866759291443234E-2</v>
      </c>
      <c r="Q48" s="981">
        <f t="shared" si="49"/>
        <v>-4.9795024755431849E-2</v>
      </c>
      <c r="R48" s="981">
        <f t="shared" si="49"/>
        <v>3.4444593126738532E-2</v>
      </c>
      <c r="S48" s="981">
        <f t="shared" si="49"/>
        <v>0.22389651651504705</v>
      </c>
      <c r="T48" s="981">
        <f t="shared" si="49"/>
        <v>3.6294552268335556E-2</v>
      </c>
      <c r="U48" s="981">
        <f>U47/T47-1</f>
        <v>2.4254739997040753E-2</v>
      </c>
      <c r="V48" s="981">
        <f>V47/U47-1</f>
        <v>8.8876979598317973E-4</v>
      </c>
      <c r="W48" s="981">
        <f t="shared" si="49"/>
        <v>-3.1167725283710701E-2</v>
      </c>
      <c r="X48" s="981">
        <f t="shared" ref="X48:AD48" si="50">X47/W47-1</f>
        <v>-2.3193143162288044E-2</v>
      </c>
      <c r="Y48" s="981">
        <f t="shared" si="50"/>
        <v>-1.4457750434207273E-2</v>
      </c>
      <c r="Z48" s="981">
        <f t="shared" si="50"/>
        <v>2.4369947282676607E-2</v>
      </c>
      <c r="AA48" s="981">
        <f t="shared" si="50"/>
        <v>-1.3978709062454908E-2</v>
      </c>
      <c r="AB48" s="981">
        <f t="shared" si="50"/>
        <v>-1.8953679831295922E-2</v>
      </c>
      <c r="AC48" s="981">
        <f t="shared" si="50"/>
        <v>-1.3157328848852012E-2</v>
      </c>
      <c r="AD48" s="981">
        <f t="shared" si="50"/>
        <v>-7.6534495492498467E-3</v>
      </c>
      <c r="AE48" s="981"/>
      <c r="AF48" s="946"/>
      <c r="AG48" s="471"/>
      <c r="AH48" s="930"/>
      <c r="AI48" s="471"/>
      <c r="AJ48" s="961"/>
      <c r="AK48" s="471"/>
      <c r="AL48" s="961"/>
      <c r="AM48" s="924"/>
      <c r="AN48" s="924"/>
      <c r="AO48" s="924"/>
      <c r="AP48" s="924"/>
      <c r="AQ48" s="924"/>
      <c r="AR48" s="924"/>
      <c r="AS48" s="924"/>
      <c r="AT48" s="924"/>
      <c r="AU48" s="924"/>
      <c r="AV48" s="924"/>
      <c r="AW48" s="924"/>
      <c r="AX48" s="924"/>
      <c r="AY48" s="924"/>
      <c r="AZ48" s="924"/>
      <c r="BA48" s="924"/>
    </row>
    <row r="49" spans="1:53" ht="11.25" customHeight="1">
      <c r="A49" s="924"/>
      <c r="B49" s="924"/>
      <c r="C49" s="924"/>
      <c r="D49" s="924"/>
      <c r="E49" s="924"/>
      <c r="F49" s="924"/>
      <c r="G49" s="924"/>
      <c r="H49" s="924"/>
      <c r="I49" s="924"/>
      <c r="J49" s="924"/>
      <c r="K49" s="924"/>
      <c r="L49" s="924"/>
      <c r="M49" s="924"/>
      <c r="N49" s="924"/>
      <c r="O49" s="924"/>
      <c r="P49" s="924"/>
      <c r="Q49" s="924"/>
      <c r="R49" s="924"/>
      <c r="S49" s="924"/>
      <c r="T49" s="924"/>
      <c r="U49" s="924"/>
      <c r="V49" s="924"/>
      <c r="W49" s="924"/>
      <c r="X49" s="924"/>
      <c r="Y49" s="924"/>
      <c r="Z49" s="924"/>
      <c r="AA49" s="924"/>
      <c r="AB49" s="924"/>
      <c r="AC49" s="924"/>
      <c r="AD49" s="924"/>
      <c r="AE49" s="924"/>
      <c r="AF49" s="946"/>
      <c r="AG49" s="471"/>
      <c r="AH49" s="930"/>
      <c r="AI49" s="471"/>
      <c r="AJ49" s="961"/>
      <c r="AK49" s="471"/>
      <c r="AL49" s="961"/>
      <c r="AM49" s="924"/>
      <c r="AN49" s="924"/>
      <c r="AO49" s="924"/>
      <c r="AP49" s="924"/>
      <c r="AQ49" s="924"/>
      <c r="AR49" s="924"/>
      <c r="AS49" s="924"/>
      <c r="AT49" s="924"/>
      <c r="AU49" s="924"/>
      <c r="AV49" s="924"/>
      <c r="AW49" s="924"/>
      <c r="AX49" s="924"/>
      <c r="AY49" s="924"/>
      <c r="AZ49" s="924"/>
      <c r="BA49" s="924"/>
    </row>
    <row r="50" spans="1:53" ht="11.25" customHeight="1">
      <c r="A50" s="964" t="s">
        <v>219</v>
      </c>
      <c r="B50" s="924"/>
      <c r="C50" s="924"/>
      <c r="D50" s="924"/>
      <c r="E50" s="924"/>
      <c r="F50" s="924"/>
      <c r="G50" s="924"/>
      <c r="H50" s="924"/>
      <c r="I50" s="924"/>
      <c r="J50" s="924"/>
      <c r="K50" s="924"/>
      <c r="L50" s="924"/>
      <c r="M50" s="924"/>
      <c r="N50" s="924"/>
      <c r="O50" s="924"/>
      <c r="P50" s="924"/>
      <c r="Q50" s="924"/>
      <c r="R50" s="924"/>
      <c r="S50" s="924"/>
      <c r="T50" s="924"/>
      <c r="U50" s="924"/>
      <c r="V50" s="924"/>
      <c r="W50" s="924"/>
      <c r="X50" s="924"/>
      <c r="Y50" s="924"/>
      <c r="Z50" s="924"/>
      <c r="AA50" s="924"/>
      <c r="AB50" s="924"/>
      <c r="AC50" s="924"/>
      <c r="AD50" s="924"/>
      <c r="AE50" s="924"/>
      <c r="AF50" s="946"/>
      <c r="AG50" s="471"/>
      <c r="AH50" s="930"/>
      <c r="AI50" s="471"/>
      <c r="AJ50" s="988"/>
      <c r="AK50" s="471"/>
      <c r="AL50" s="988"/>
      <c r="AM50" s="924"/>
      <c r="AN50" s="924"/>
      <c r="AO50" s="924"/>
      <c r="AP50" s="924"/>
      <c r="AQ50" s="924"/>
      <c r="AR50" s="924"/>
      <c r="AS50" s="924"/>
      <c r="AT50" s="924"/>
      <c r="AU50" s="924"/>
      <c r="AV50" s="924"/>
      <c r="AW50" s="924"/>
      <c r="AX50" s="924"/>
      <c r="AY50" s="924"/>
      <c r="AZ50" s="924"/>
      <c r="BA50" s="924"/>
    </row>
    <row r="51" spans="1:53">
      <c r="A51" s="964" t="s">
        <v>536</v>
      </c>
      <c r="B51" s="989"/>
      <c r="C51" s="981">
        <f>'qtrP&amp;L'!J14/100</f>
        <v>3.3000000000000002E-2</v>
      </c>
      <c r="D51" s="981">
        <f>'qtrP&amp;L'!N14/100</f>
        <v>2.1000000000000001E-2</v>
      </c>
      <c r="E51" s="990">
        <f>'qtrP&amp;L'!R14/100</f>
        <v>-1.3999999999999999E-2</v>
      </c>
      <c r="F51" s="981">
        <f>'qtrP&amp;L'!V14/100</f>
        <v>0.10800000000000001</v>
      </c>
      <c r="G51" s="981">
        <f>'qtrP&amp;L'!Z14/100</f>
        <v>0.10300000000000001</v>
      </c>
      <c r="H51" s="990">
        <f>+'qtrP&amp;L'!AD14/100</f>
        <v>-7.400000000000001E-2</v>
      </c>
      <c r="I51" s="981">
        <f>+'qtrP&amp;L'!AH14/100</f>
        <v>2.7999999999999997E-2</v>
      </c>
      <c r="J51" s="981">
        <f>+'qtrP&amp;L'!AL14/100</f>
        <v>9.0999999999999998E-2</v>
      </c>
      <c r="K51" s="981">
        <f>+'qtrP&amp;L'!AP14/100</f>
        <v>0.13</v>
      </c>
      <c r="L51" s="981">
        <f>+'qtrP&amp;L'!AW14/100</f>
        <v>0.22</v>
      </c>
      <c r="M51" s="981">
        <f>+'qtrP&amp;L'!BA14/100</f>
        <v>0.109</v>
      </c>
      <c r="N51" s="981">
        <f>qtrSales!G100/100</f>
        <v>-6.2E-2</v>
      </c>
      <c r="O51" s="981">
        <f>+qtrSales!G107*0.01</f>
        <v>6.1240545094416121E-2</v>
      </c>
      <c r="P51" s="981">
        <f>'qtrP&amp;L'!BM14*0.01</f>
        <v>7.8E-2</v>
      </c>
      <c r="Q51" s="981">
        <f>'qtrP&amp;L'!$BQ$14*0.01</f>
        <v>-2.6000000000000002E-2</v>
      </c>
      <c r="R51" s="981">
        <f>0.01*'qtrP&amp;L'!$BU$14</f>
        <v>8.6694387741127713E-2</v>
      </c>
      <c r="S51" s="981">
        <f>0.01*'qtrP&amp;L'!$BY$14</f>
        <v>0</v>
      </c>
      <c r="T51" s="981">
        <f>0.01*'qtrP&amp;L'!CC14</f>
        <v>7.0000000000000007E-2</v>
      </c>
      <c r="U51" s="981">
        <f>0.01*'qtrP&amp;L'!CG14</f>
        <v>6.1944861640197184E-2</v>
      </c>
      <c r="V51" s="981">
        <f>0.01*'qtrP&amp;L'!CK14</f>
        <v>1.5251115844607806E-2</v>
      </c>
      <c r="W51" s="981">
        <f>'qtrP&amp;L'!CO14/100</f>
        <v>1.5340975572611579E-2</v>
      </c>
      <c r="X51" s="981">
        <f>'qtrP&amp;L'!$CS$14/100</f>
        <v>0.01</v>
      </c>
      <c r="Y51" s="981">
        <f>'qtrP&amp;L'!$CW$14/100</f>
        <v>0</v>
      </c>
      <c r="Z51" s="981">
        <f>'qtrP&amp;L'!$DA$14/100</f>
        <v>2.948325097702496E-2</v>
      </c>
      <c r="AA51" s="989">
        <v>0</v>
      </c>
      <c r="AB51" s="989">
        <v>0</v>
      </c>
      <c r="AC51" s="989">
        <v>0</v>
      </c>
      <c r="AD51" s="989">
        <v>0</v>
      </c>
      <c r="AE51" s="989"/>
      <c r="AF51" s="991"/>
      <c r="AG51" s="471"/>
      <c r="AH51" s="930"/>
      <c r="AI51" s="471"/>
      <c r="AJ51" s="764"/>
      <c r="AK51" s="471"/>
      <c r="AL51" s="764"/>
      <c r="AM51" s="924"/>
      <c r="AN51" s="924"/>
      <c r="AO51" s="924"/>
      <c r="AP51" s="924"/>
      <c r="AQ51" s="924"/>
      <c r="AR51" s="924"/>
      <c r="AS51" s="924"/>
      <c r="AT51" s="924"/>
      <c r="AU51" s="924"/>
      <c r="AV51" s="924"/>
      <c r="AW51" s="924"/>
      <c r="AX51" s="924"/>
      <c r="AY51" s="924"/>
      <c r="AZ51" s="924"/>
      <c r="BA51" s="924"/>
    </row>
    <row r="52" spans="1:53" hidden="1" outlineLevel="1">
      <c r="A52" s="992" t="s">
        <v>489</v>
      </c>
      <c r="B52" s="989"/>
      <c r="C52" s="981"/>
      <c r="D52" s="981"/>
      <c r="E52" s="990"/>
      <c r="F52" s="981"/>
      <c r="G52" s="981"/>
      <c r="H52" s="993">
        <v>-9.1999999999999998E-2</v>
      </c>
      <c r="I52" s="993">
        <v>5.0000000000000001E-3</v>
      </c>
      <c r="J52" s="981"/>
      <c r="K52" s="989"/>
      <c r="L52" s="989"/>
      <c r="M52" s="989"/>
      <c r="N52" s="989"/>
      <c r="O52" s="989"/>
      <c r="P52" s="989"/>
      <c r="Q52" s="989"/>
      <c r="R52" s="989"/>
      <c r="S52" s="989"/>
      <c r="T52" s="989"/>
      <c r="U52" s="989"/>
      <c r="V52" s="989"/>
      <c r="W52" s="989"/>
      <c r="X52" s="989"/>
      <c r="Y52" s="989"/>
      <c r="Z52" s="989"/>
      <c r="AA52" s="989"/>
      <c r="AB52" s="989"/>
      <c r="AC52" s="989"/>
      <c r="AD52" s="989"/>
      <c r="AE52" s="989"/>
      <c r="AF52" s="991"/>
      <c r="AG52" s="471"/>
      <c r="AH52" s="930"/>
      <c r="AI52" s="471"/>
      <c r="AJ52" s="994"/>
      <c r="AK52" s="471"/>
      <c r="AL52" s="994"/>
      <c r="AM52" s="924"/>
      <c r="AN52" s="924"/>
      <c r="AO52" s="924"/>
      <c r="AP52" s="924"/>
      <c r="AQ52" s="924"/>
      <c r="AR52" s="924"/>
      <c r="AS52" s="924"/>
      <c r="AT52" s="924"/>
      <c r="AU52" s="924"/>
      <c r="AV52" s="924"/>
      <c r="AW52" s="924"/>
      <c r="AX52" s="924"/>
      <c r="AY52" s="924"/>
      <c r="AZ52" s="924"/>
      <c r="BA52" s="924"/>
    </row>
    <row r="53" spans="1:53" hidden="1" outlineLevel="1">
      <c r="A53" s="992" t="s">
        <v>490</v>
      </c>
      <c r="B53" s="989"/>
      <c r="C53" s="981"/>
      <c r="D53" s="981"/>
      <c r="E53" s="990"/>
      <c r="F53" s="981"/>
      <c r="G53" s="981"/>
      <c r="H53" s="993">
        <v>-3.1E-2</v>
      </c>
      <c r="I53" s="993">
        <v>6.8000000000000005E-2</v>
      </c>
      <c r="J53" s="981"/>
      <c r="K53" s="989"/>
      <c r="L53" s="989"/>
      <c r="M53" s="989"/>
      <c r="N53" s="989"/>
      <c r="O53" s="989"/>
      <c r="P53" s="989"/>
      <c r="Q53" s="989"/>
      <c r="R53" s="989"/>
      <c r="S53" s="989"/>
      <c r="T53" s="989"/>
      <c r="U53" s="989"/>
      <c r="V53" s="989"/>
      <c r="W53" s="989"/>
      <c r="X53" s="989"/>
      <c r="Y53" s="989"/>
      <c r="Z53" s="989"/>
      <c r="AA53" s="989"/>
      <c r="AB53" s="989"/>
      <c r="AC53" s="989"/>
      <c r="AD53" s="989"/>
      <c r="AE53" s="989"/>
      <c r="AF53" s="991"/>
      <c r="AG53" s="471"/>
      <c r="AH53" s="930"/>
      <c r="AI53" s="925"/>
      <c r="AJ53" s="948"/>
      <c r="AK53" s="471"/>
      <c r="AL53" s="948"/>
      <c r="AM53" s="924"/>
      <c r="AN53" s="924"/>
      <c r="AO53" s="924"/>
      <c r="AP53" s="924"/>
      <c r="AQ53" s="924"/>
      <c r="AR53" s="924"/>
      <c r="AS53" s="924"/>
      <c r="AT53" s="924"/>
      <c r="AU53" s="924"/>
      <c r="AV53" s="924"/>
      <c r="AW53" s="924"/>
      <c r="AX53" s="924"/>
      <c r="AY53" s="924"/>
      <c r="AZ53" s="924"/>
      <c r="BA53" s="924"/>
    </row>
    <row r="54" spans="1:53" ht="11.25" hidden="1" customHeight="1" outlineLevel="1">
      <c r="A54" s="924" t="s">
        <v>122</v>
      </c>
      <c r="B54" s="924"/>
      <c r="C54" s="924"/>
      <c r="D54" s="924"/>
      <c r="E54" s="924"/>
      <c r="F54" s="924"/>
      <c r="G54" s="924"/>
      <c r="H54" s="924"/>
      <c r="I54" s="924"/>
      <c r="J54" s="973"/>
      <c r="K54" s="973"/>
      <c r="L54" s="973"/>
      <c r="M54" s="973"/>
      <c r="N54" s="973"/>
      <c r="O54" s="527">
        <f t="shared" ref="O54:U54" si="51">O55-O51</f>
        <v>2.8759454905583876E-2</v>
      </c>
      <c r="P54" s="527">
        <f t="shared" si="51"/>
        <v>4.1999999999999996E-2</v>
      </c>
      <c r="Q54" s="527">
        <f t="shared" si="51"/>
        <v>3.6000000000000004E-2</v>
      </c>
      <c r="R54" s="527">
        <f t="shared" si="51"/>
        <v>0</v>
      </c>
      <c r="S54" s="527">
        <f t="shared" si="51"/>
        <v>0</v>
      </c>
      <c r="T54" s="527">
        <f t="shared" si="51"/>
        <v>0</v>
      </c>
      <c r="U54" s="527">
        <f t="shared" si="51"/>
        <v>0</v>
      </c>
      <c r="V54" s="527">
        <f>V55-V51</f>
        <v>0</v>
      </c>
      <c r="W54" s="527">
        <f>W55-W51</f>
        <v>0</v>
      </c>
      <c r="X54" s="527">
        <f>X55-X51</f>
        <v>0</v>
      </c>
      <c r="Y54" s="460">
        <f t="shared" ref="Y54:AD54" si="52">X54</f>
        <v>0</v>
      </c>
      <c r="Z54" s="460">
        <f t="shared" si="52"/>
        <v>0</v>
      </c>
      <c r="AA54" s="460">
        <f t="shared" si="52"/>
        <v>0</v>
      </c>
      <c r="AB54" s="460">
        <f t="shared" si="52"/>
        <v>0</v>
      </c>
      <c r="AC54" s="460">
        <f t="shared" si="52"/>
        <v>0</v>
      </c>
      <c r="AD54" s="460">
        <f t="shared" si="52"/>
        <v>0</v>
      </c>
      <c r="AE54" s="460"/>
      <c r="AF54" s="946"/>
      <c r="AG54" s="471"/>
      <c r="AH54" s="930"/>
      <c r="AI54" s="416"/>
      <c r="AJ54" s="764"/>
      <c r="AK54" s="471"/>
      <c r="AL54" s="764"/>
      <c r="AM54" s="924"/>
      <c r="AN54" s="924"/>
      <c r="AO54" s="924"/>
      <c r="AP54" s="924"/>
      <c r="AQ54" s="924"/>
      <c r="AR54" s="924"/>
      <c r="AS54" s="924"/>
      <c r="AT54" s="924"/>
      <c r="AU54" s="924"/>
      <c r="AV54" s="924"/>
      <c r="AW54" s="924"/>
      <c r="AX54" s="924"/>
      <c r="AY54" s="924"/>
      <c r="AZ54" s="924"/>
      <c r="BA54" s="924"/>
    </row>
    <row r="55" spans="1:53" ht="11.25" hidden="1" customHeight="1" outlineLevel="1" collapsed="1">
      <c r="A55" s="924" t="s">
        <v>731</v>
      </c>
      <c r="B55" s="924"/>
      <c r="C55" s="924"/>
      <c r="D55" s="924"/>
      <c r="E55" s="924"/>
      <c r="F55" s="924"/>
      <c r="G55" s="924"/>
      <c r="H55" s="924"/>
      <c r="I55" s="924"/>
      <c r="J55" s="973" t="s">
        <v>121</v>
      </c>
      <c r="K55" s="973" t="s">
        <v>121</v>
      </c>
      <c r="L55" s="973" t="s">
        <v>121</v>
      </c>
      <c r="M55" s="973" t="s">
        <v>121</v>
      </c>
      <c r="N55" s="973" t="s">
        <v>121</v>
      </c>
      <c r="O55" s="527">
        <f>segSales!AU90/100</f>
        <v>0.09</v>
      </c>
      <c r="P55" s="527">
        <f>segSales!AU97/100</f>
        <v>0.12</v>
      </c>
      <c r="Q55" s="527">
        <f>segSales!AU104/100</f>
        <v>0.01</v>
      </c>
      <c r="R55" s="527">
        <f>segSales!AU112/100</f>
        <v>8.6694387741127713E-2</v>
      </c>
      <c r="S55" s="527">
        <f>segSales!AU120</f>
        <v>0</v>
      </c>
      <c r="T55" s="527">
        <f>segSales!AU127/100</f>
        <v>7.0000000000000007E-2</v>
      </c>
      <c r="U55" s="527">
        <f>segSales!AU134/100</f>
        <v>6.1944861640197184E-2</v>
      </c>
      <c r="V55" s="527">
        <f>segSales!AU141/100</f>
        <v>1.5251115844607805E-2</v>
      </c>
      <c r="W55" s="527">
        <f>segSales!AU148/100</f>
        <v>1.5340975572611579E-2</v>
      </c>
      <c r="X55" s="527">
        <f>segSales!$AU$155/100</f>
        <v>0.01</v>
      </c>
      <c r="Y55" s="527">
        <f>segSales!$AU$162/100</f>
        <v>0</v>
      </c>
      <c r="Z55" s="460">
        <f>Z51+Z54</f>
        <v>2.948325097702496E-2</v>
      </c>
      <c r="AA55" s="460">
        <f>AA51+AA54</f>
        <v>0</v>
      </c>
      <c r="AB55" s="460">
        <f>AB51+AB54</f>
        <v>0</v>
      </c>
      <c r="AC55" s="460">
        <f>AC51+AC54</f>
        <v>0</v>
      </c>
      <c r="AD55" s="460">
        <f>AD51+AD54</f>
        <v>0</v>
      </c>
      <c r="AE55" s="460"/>
      <c r="AF55" s="946"/>
      <c r="AG55" s="471"/>
      <c r="AH55" s="930"/>
      <c r="AI55" s="416"/>
      <c r="AJ55" s="764"/>
      <c r="AK55" s="471"/>
      <c r="AL55" s="764"/>
      <c r="AM55" s="924"/>
      <c r="AN55" s="924"/>
      <c r="AO55" s="924"/>
      <c r="AP55" s="924"/>
      <c r="AQ55" s="924"/>
      <c r="AR55" s="924"/>
      <c r="AS55" s="924"/>
      <c r="AT55" s="924"/>
      <c r="AU55" s="924"/>
      <c r="AV55" s="924"/>
      <c r="AW55" s="924"/>
      <c r="AX55" s="924"/>
      <c r="AY55" s="924"/>
      <c r="AZ55" s="924"/>
      <c r="BA55" s="924"/>
    </row>
    <row r="56" spans="1:53" ht="11.25" customHeight="1" collapsed="1">
      <c r="A56" s="924" t="s">
        <v>645</v>
      </c>
      <c r="B56" s="924"/>
      <c r="C56" s="924"/>
      <c r="D56" s="482">
        <f>D12/C12-1</f>
        <v>0.29980675439403681</v>
      </c>
      <c r="E56" s="924">
        <f t="shared" ref="E56:V56" si="53">E12/D12-1</f>
        <v>7.9044247787610544E-2</v>
      </c>
      <c r="F56" s="924">
        <f t="shared" si="53"/>
        <v>-0.34602893416002367</v>
      </c>
      <c r="G56" s="924">
        <f t="shared" si="53"/>
        <v>0.12019061951341858</v>
      </c>
      <c r="H56" s="924">
        <f t="shared" si="53"/>
        <v>-7.7112534145358347E-2</v>
      </c>
      <c r="I56" s="924">
        <f t="shared" si="53"/>
        <v>-0.11363967198796654</v>
      </c>
      <c r="J56" s="973">
        <f t="shared" si="53"/>
        <v>7.1166584551396461E-4</v>
      </c>
      <c r="K56" s="973">
        <f t="shared" si="53"/>
        <v>8.3150984682713869E-3</v>
      </c>
      <c r="L56" s="973">
        <f t="shared" si="53"/>
        <v>0.56494140624999978</v>
      </c>
      <c r="M56" s="973">
        <f t="shared" si="53"/>
        <v>1.0198647945917836</v>
      </c>
      <c r="N56" s="973">
        <f t="shared" si="53"/>
        <v>0.44127490860408836</v>
      </c>
      <c r="O56" s="527">
        <f t="shared" si="53"/>
        <v>0.12502828290045609</v>
      </c>
      <c r="P56" s="527">
        <f t="shared" si="53"/>
        <v>0.16500127021763067</v>
      </c>
      <c r="Q56" s="527">
        <f t="shared" si="53"/>
        <v>-5.4315827730328947E-2</v>
      </c>
      <c r="R56" s="527">
        <f t="shared" si="53"/>
        <v>0.15591552814127341</v>
      </c>
      <c r="S56" s="527">
        <f t="shared" si="53"/>
        <v>0.10553569944310537</v>
      </c>
      <c r="T56" s="527">
        <f t="shared" si="53"/>
        <v>0.11754268572330773</v>
      </c>
      <c r="U56" s="527">
        <f t="shared" si="53"/>
        <v>0.19524532262296423</v>
      </c>
      <c r="V56" s="527">
        <f t="shared" si="53"/>
        <v>0.2709663031796361</v>
      </c>
      <c r="W56" s="527">
        <f>W12/V12-1</f>
        <v>0.15223889850887717</v>
      </c>
      <c r="X56" s="527">
        <f>X12/W12-1</f>
        <v>0.11040475979998399</v>
      </c>
      <c r="Y56" s="527">
        <f>Y12/X12-1</f>
        <v>9.4827347492592473E-2</v>
      </c>
      <c r="Z56" s="527">
        <f>Z12/Y12-1</f>
        <v>0.10000000000000009</v>
      </c>
      <c r="AA56" s="460">
        <v>0.1</v>
      </c>
      <c r="AB56" s="460">
        <v>0.1</v>
      </c>
      <c r="AC56" s="460">
        <v>0.1</v>
      </c>
      <c r="AD56" s="460">
        <v>0.1</v>
      </c>
      <c r="AE56" s="460"/>
      <c r="AF56" s="946"/>
      <c r="AG56" s="471"/>
      <c r="AH56" s="930"/>
      <c r="AI56" s="416"/>
      <c r="AJ56" s="764"/>
      <c r="AK56" s="471"/>
      <c r="AL56" s="764"/>
      <c r="AM56" s="924"/>
      <c r="AN56" s="924"/>
      <c r="AO56" s="924"/>
      <c r="AP56" s="924"/>
      <c r="AQ56" s="924"/>
      <c r="AR56" s="924"/>
      <c r="AS56" s="924"/>
      <c r="AT56" s="924"/>
      <c r="AU56" s="924"/>
      <c r="AV56" s="924"/>
      <c r="AW56" s="924"/>
      <c r="AX56" s="924"/>
      <c r="AY56" s="924"/>
      <c r="AZ56" s="924"/>
      <c r="BA56" s="924"/>
    </row>
    <row r="57" spans="1:53" ht="11.25" customHeight="1">
      <c r="A57" s="924"/>
      <c r="B57" s="924"/>
      <c r="C57" s="924"/>
      <c r="D57" s="924"/>
      <c r="E57" s="924"/>
      <c r="F57" s="924"/>
      <c r="G57" s="924"/>
      <c r="H57" s="924"/>
      <c r="I57" s="924"/>
      <c r="J57" s="924"/>
      <c r="K57" s="924"/>
      <c r="L57" s="924"/>
      <c r="M57" s="924"/>
      <c r="N57" s="924"/>
      <c r="O57" s="924"/>
      <c r="P57" s="924"/>
      <c r="Q57" s="924"/>
      <c r="R57" s="924"/>
      <c r="S57" s="924"/>
      <c r="T57" s="924"/>
      <c r="U57" s="924"/>
      <c r="V57" s="924"/>
      <c r="W57" s="924"/>
      <c r="X57" s="924"/>
      <c r="Y57" s="924"/>
      <c r="Z57" s="924"/>
      <c r="AA57" s="924"/>
      <c r="AB57" s="924"/>
      <c r="AC57" s="924"/>
      <c r="AD57" s="924"/>
      <c r="AE57" s="924"/>
      <c r="AF57" s="946"/>
      <c r="AG57" s="471"/>
      <c r="AH57" s="930"/>
      <c r="AI57" s="416"/>
      <c r="AJ57" s="764"/>
      <c r="AK57" s="471"/>
      <c r="AL57" s="764"/>
      <c r="AM57" s="924"/>
      <c r="AN57" s="924"/>
      <c r="AO57" s="924"/>
      <c r="AP57" s="924"/>
      <c r="AQ57" s="924"/>
      <c r="AR57" s="924"/>
      <c r="AS57" s="924"/>
      <c r="AT57" s="924"/>
      <c r="AU57" s="924"/>
      <c r="AV57" s="924"/>
      <c r="AW57" s="924"/>
      <c r="AX57" s="924"/>
      <c r="AY57" s="924"/>
      <c r="AZ57" s="924"/>
      <c r="BA57" s="924"/>
    </row>
    <row r="58" spans="1:53" ht="12.75" customHeight="1" outlineLevel="1">
      <c r="A58" s="964" t="s">
        <v>32</v>
      </c>
      <c r="B58" s="957">
        <f>10000/0.8</f>
        <v>12500</v>
      </c>
      <c r="C58" s="957">
        <f>10000/0.8</f>
        <v>12500</v>
      </c>
      <c r="D58" s="957">
        <f>10000/0.75</f>
        <v>13333.333333333334</v>
      </c>
      <c r="E58" s="957">
        <f>10000/0.75</f>
        <v>13333.333333333334</v>
      </c>
      <c r="F58" s="957">
        <f>9500/0.75</f>
        <v>12666.666666666666</v>
      </c>
      <c r="G58" s="957">
        <f>9350/0.75</f>
        <v>12466.666666666666</v>
      </c>
      <c r="H58" s="957">
        <f>10000/0.75</f>
        <v>13333.333333333334</v>
      </c>
      <c r="I58" s="957">
        <f>10000/0.75</f>
        <v>13333.333333333334</v>
      </c>
      <c r="J58" s="957">
        <f>((9500+10000)/2)/0.78</f>
        <v>12500</v>
      </c>
      <c r="K58" s="957">
        <f>((9500+10000)/2)/0.78</f>
        <v>12500</v>
      </c>
      <c r="L58" s="957">
        <f>(9000)/0.78</f>
        <v>11538.461538461537</v>
      </c>
      <c r="M58" s="957">
        <f>(9000)/0.78</f>
        <v>11538.461538461537</v>
      </c>
      <c r="N58" s="957">
        <f>9600/0.75</f>
        <v>12800</v>
      </c>
      <c r="O58" s="957">
        <f>9700/0.75</f>
        <v>12933.333333333334</v>
      </c>
      <c r="P58" s="957">
        <f>9700/0.75</f>
        <v>12933.333333333334</v>
      </c>
      <c r="Q58" s="957">
        <f>9000/0.75</f>
        <v>12000</v>
      </c>
      <c r="R58" s="957">
        <f>9200/0.75</f>
        <v>12266.666666666666</v>
      </c>
      <c r="S58" s="957">
        <f t="shared" ref="R58:S60" si="54">+R58</f>
        <v>12266.666666666666</v>
      </c>
      <c r="T58" s="957">
        <f>8900/0.75</f>
        <v>11866.666666666666</v>
      </c>
      <c r="U58" s="957">
        <f>8800/0.75</f>
        <v>11733.333333333334</v>
      </c>
      <c r="V58" s="957">
        <f>+U58*1.08</f>
        <v>12672.000000000002</v>
      </c>
      <c r="W58" s="957">
        <f>10000/0.75</f>
        <v>13333.333333333334</v>
      </c>
      <c r="X58" s="957">
        <f t="shared" ref="X58:Y60" si="55">+W58</f>
        <v>13333.333333333334</v>
      </c>
      <c r="Y58" s="957">
        <v>17000</v>
      </c>
      <c r="Z58" s="957">
        <v>20000</v>
      </c>
      <c r="AA58" s="957">
        <f t="shared" ref="Z58:AD60" si="56">+Z58</f>
        <v>20000</v>
      </c>
      <c r="AB58" s="957">
        <f t="shared" si="56"/>
        <v>20000</v>
      </c>
      <c r="AC58" s="957">
        <f t="shared" si="56"/>
        <v>20000</v>
      </c>
      <c r="AD58" s="957">
        <f t="shared" si="56"/>
        <v>20000</v>
      </c>
      <c r="AE58" s="957"/>
      <c r="AF58" s="979"/>
      <c r="AG58" s="471"/>
      <c r="AH58" s="959"/>
      <c r="AI58" s="416"/>
      <c r="AJ58" s="764"/>
      <c r="AK58" s="471"/>
      <c r="AL58" s="764"/>
      <c r="AM58" s="924"/>
      <c r="AN58" s="924"/>
      <c r="AO58" s="924"/>
      <c r="AP58" s="924"/>
      <c r="AQ58" s="924"/>
      <c r="AR58" s="924"/>
      <c r="AS58" s="924"/>
      <c r="AT58" s="924"/>
      <c r="AU58" s="924"/>
      <c r="AV58" s="924"/>
      <c r="AW58" s="924"/>
      <c r="AX58" s="924"/>
      <c r="AY58" s="924"/>
      <c r="AZ58" s="924"/>
      <c r="BA58" s="924"/>
    </row>
    <row r="59" spans="1:53" ht="12.75" customHeight="1" outlineLevel="1">
      <c r="A59" s="964" t="s">
        <v>521</v>
      </c>
      <c r="B59" s="957">
        <f>8750/0.8</f>
        <v>10937.5</v>
      </c>
      <c r="C59" s="957">
        <f>8750/0.8</f>
        <v>10937.5</v>
      </c>
      <c r="D59" s="957">
        <f>8750/0.75</f>
        <v>11666.666666666666</v>
      </c>
      <c r="E59" s="957">
        <f>8750/0.75</f>
        <v>11666.666666666666</v>
      </c>
      <c r="F59" s="957">
        <f>8200/0.75</f>
        <v>10933.333333333334</v>
      </c>
      <c r="G59" s="957">
        <f>8850/0.75</f>
        <v>11800</v>
      </c>
      <c r="H59" s="957">
        <f>8500/0.75</f>
        <v>11333.333333333334</v>
      </c>
      <c r="I59" s="957">
        <f>8500/0.75</f>
        <v>11333.333333333334</v>
      </c>
      <c r="J59" s="957">
        <v>9000</v>
      </c>
      <c r="K59" s="957">
        <v>9000</v>
      </c>
      <c r="L59" s="957">
        <f>7500/0.75</f>
        <v>10000</v>
      </c>
      <c r="M59" s="957">
        <f>7500/0.75</f>
        <v>10000</v>
      </c>
      <c r="N59" s="957">
        <f>7600/0.75</f>
        <v>10133.333333333334</v>
      </c>
      <c r="O59" s="957">
        <f>+N59</f>
        <v>10133.333333333334</v>
      </c>
      <c r="P59" s="957">
        <f>7500/0.75</f>
        <v>10000</v>
      </c>
      <c r="Q59" s="957">
        <f>7400/0.75</f>
        <v>9866.6666666666661</v>
      </c>
      <c r="R59" s="957">
        <f>7300/0.75</f>
        <v>9733.3333333333339</v>
      </c>
      <c r="S59" s="957">
        <f t="shared" si="54"/>
        <v>9733.3333333333339</v>
      </c>
      <c r="T59" s="957">
        <f>7100/0.75</f>
        <v>9466.6666666666661</v>
      </c>
      <c r="U59" s="957">
        <f>7100/0.75</f>
        <v>9466.6666666666661</v>
      </c>
      <c r="V59" s="957">
        <f>+U59*1.1</f>
        <v>10413.333333333334</v>
      </c>
      <c r="W59" s="957">
        <f>10000/0.75</f>
        <v>13333.333333333334</v>
      </c>
      <c r="X59" s="957">
        <v>15000</v>
      </c>
      <c r="Y59" s="957">
        <v>20000</v>
      </c>
      <c r="Z59" s="957">
        <v>25000</v>
      </c>
      <c r="AA59" s="957">
        <f t="shared" si="56"/>
        <v>25000</v>
      </c>
      <c r="AB59" s="957">
        <f t="shared" si="56"/>
        <v>25000</v>
      </c>
      <c r="AC59" s="957">
        <f t="shared" si="56"/>
        <v>25000</v>
      </c>
      <c r="AD59" s="957">
        <f t="shared" si="56"/>
        <v>25000</v>
      </c>
      <c r="AE59" s="957"/>
      <c r="AF59" s="979"/>
      <c r="AG59" s="471"/>
      <c r="AH59" s="959"/>
      <c r="AI59" s="416"/>
      <c r="AJ59" s="764"/>
      <c r="AK59" s="471"/>
      <c r="AL59" s="764"/>
      <c r="AM59" s="924"/>
      <c r="AN59" s="924"/>
      <c r="AO59" s="924"/>
      <c r="AP59" s="924"/>
      <c r="AQ59" s="924"/>
      <c r="AR59" s="924"/>
      <c r="AS59" s="924"/>
      <c r="AT59" s="924"/>
      <c r="AU59" s="924"/>
      <c r="AV59" s="924"/>
      <c r="AW59" s="924"/>
      <c r="AX59" s="924"/>
      <c r="AY59" s="924"/>
      <c r="AZ59" s="924"/>
      <c r="BA59" s="924"/>
    </row>
    <row r="60" spans="1:53" ht="12.75" customHeight="1" outlineLevel="1">
      <c r="A60" s="964" t="s">
        <v>534</v>
      </c>
      <c r="B60" s="957"/>
      <c r="C60" s="957"/>
      <c r="D60" s="957"/>
      <c r="E60" s="957"/>
      <c r="F60" s="957"/>
      <c r="G60" s="957"/>
      <c r="H60" s="957"/>
      <c r="I60" s="957"/>
      <c r="J60" s="957">
        <v>2000</v>
      </c>
      <c r="K60" s="957">
        <v>2000</v>
      </c>
      <c r="L60" s="957">
        <v>2000</v>
      </c>
      <c r="M60" s="957">
        <v>2000</v>
      </c>
      <c r="N60" s="957">
        <f>+M60</f>
        <v>2000</v>
      </c>
      <c r="O60" s="957">
        <f>1600/0.75</f>
        <v>2133.3333333333335</v>
      </c>
      <c r="P60" s="957">
        <f>1600/0.75</f>
        <v>2133.3333333333335</v>
      </c>
      <c r="Q60" s="957">
        <f>1400/0.75</f>
        <v>1866.6666666666667</v>
      </c>
      <c r="R60" s="957">
        <f t="shared" si="54"/>
        <v>1866.6666666666667</v>
      </c>
      <c r="S60" s="957">
        <f t="shared" si="54"/>
        <v>1866.6666666666667</v>
      </c>
      <c r="T60" s="957">
        <f>1400/0.75</f>
        <v>1866.6666666666667</v>
      </c>
      <c r="U60" s="957">
        <f>1500/0.75</f>
        <v>2000</v>
      </c>
      <c r="V60" s="957">
        <v>3000</v>
      </c>
      <c r="W60" s="957">
        <f>4200/0.75</f>
        <v>5600</v>
      </c>
      <c r="X60" s="957">
        <f t="shared" si="55"/>
        <v>5600</v>
      </c>
      <c r="Y60" s="957">
        <f t="shared" si="55"/>
        <v>5600</v>
      </c>
      <c r="Z60" s="957">
        <f t="shared" si="56"/>
        <v>5600</v>
      </c>
      <c r="AA60" s="957">
        <f t="shared" si="56"/>
        <v>5600</v>
      </c>
      <c r="AB60" s="957">
        <f t="shared" si="56"/>
        <v>5600</v>
      </c>
      <c r="AC60" s="957">
        <f t="shared" si="56"/>
        <v>5600</v>
      </c>
      <c r="AD60" s="957">
        <f t="shared" si="56"/>
        <v>5600</v>
      </c>
      <c r="AE60" s="957"/>
      <c r="AF60" s="979"/>
      <c r="AG60" s="471"/>
      <c r="AH60" s="959"/>
      <c r="AI60" s="416"/>
      <c r="AJ60" s="764"/>
      <c r="AK60" s="471"/>
      <c r="AL60" s="764"/>
      <c r="AM60" s="924"/>
      <c r="AN60" s="924"/>
      <c r="AO60" s="924"/>
      <c r="AP60" s="924"/>
      <c r="AQ60" s="924"/>
      <c r="AR60" s="924"/>
      <c r="AS60" s="924"/>
      <c r="AT60" s="924"/>
      <c r="AU60" s="924"/>
      <c r="AV60" s="924"/>
      <c r="AW60" s="924"/>
      <c r="AX60" s="924"/>
      <c r="AY60" s="924"/>
      <c r="AZ60" s="924"/>
      <c r="BA60" s="924"/>
    </row>
    <row r="61" spans="1:53" ht="12.75" customHeight="1" outlineLevel="1">
      <c r="A61" s="964" t="s">
        <v>72</v>
      </c>
      <c r="B61" s="957"/>
      <c r="C61" s="957"/>
      <c r="D61" s="957"/>
      <c r="E61" s="957"/>
      <c r="F61" s="957"/>
      <c r="G61" s="957"/>
      <c r="H61" s="957"/>
      <c r="I61" s="957"/>
      <c r="J61" s="957"/>
      <c r="K61" s="957"/>
      <c r="L61" s="957"/>
      <c r="M61" s="957"/>
      <c r="N61" s="957"/>
      <c r="O61" s="957"/>
      <c r="P61" s="957"/>
      <c r="Q61" s="957"/>
      <c r="R61" s="957"/>
      <c r="S61" s="957">
        <v>2000</v>
      </c>
      <c r="T61" s="957">
        <v>2000</v>
      </c>
      <c r="U61" s="957">
        <v>2000</v>
      </c>
      <c r="V61" s="957">
        <v>2000</v>
      </c>
      <c r="W61" s="957">
        <v>2000</v>
      </c>
      <c r="X61" s="957">
        <f t="shared" ref="X61:AD61" si="57">W61</f>
        <v>2000</v>
      </c>
      <c r="Y61" s="957">
        <f t="shared" si="57"/>
        <v>2000</v>
      </c>
      <c r="Z61" s="957">
        <f t="shared" si="57"/>
        <v>2000</v>
      </c>
      <c r="AA61" s="957">
        <f t="shared" si="57"/>
        <v>2000</v>
      </c>
      <c r="AB61" s="957">
        <f t="shared" si="57"/>
        <v>2000</v>
      </c>
      <c r="AC61" s="957">
        <f t="shared" si="57"/>
        <v>2000</v>
      </c>
      <c r="AD61" s="957">
        <f t="shared" si="57"/>
        <v>2000</v>
      </c>
      <c r="AE61" s="957"/>
      <c r="AF61" s="979"/>
      <c r="AG61" s="471"/>
      <c r="AH61" s="959"/>
      <c r="AI61" s="416"/>
      <c r="AJ61" s="764"/>
      <c r="AK61" s="471"/>
      <c r="AL61" s="764"/>
      <c r="AM61" s="924"/>
      <c r="AN61" s="924"/>
      <c r="AO61" s="924"/>
      <c r="AP61" s="924"/>
      <c r="AQ61" s="924"/>
      <c r="AR61" s="924"/>
      <c r="AS61" s="924"/>
      <c r="AT61" s="924"/>
      <c r="AU61" s="924"/>
      <c r="AV61" s="924"/>
      <c r="AW61" s="924"/>
      <c r="AX61" s="924"/>
      <c r="AY61" s="924"/>
      <c r="AZ61" s="924"/>
      <c r="BA61" s="924"/>
    </row>
    <row r="62" spans="1:53" ht="12.75" customHeight="1" outlineLevel="1">
      <c r="A62" s="924"/>
      <c r="B62" s="924"/>
      <c r="C62" s="924"/>
      <c r="D62" s="924"/>
      <c r="E62" s="924"/>
      <c r="F62" s="924"/>
      <c r="G62" s="924"/>
      <c r="H62" s="924"/>
      <c r="I62" s="924"/>
      <c r="J62" s="924"/>
      <c r="K62" s="924"/>
      <c r="L62" s="924"/>
      <c r="M62" s="924"/>
      <c r="N62" s="924"/>
      <c r="O62" s="924"/>
      <c r="P62" s="924"/>
      <c r="Q62" s="924"/>
      <c r="R62" s="924"/>
      <c r="S62" s="924"/>
      <c r="T62" s="924"/>
      <c r="U62" s="924"/>
      <c r="V62" s="924"/>
      <c r="W62" s="924"/>
      <c r="X62" s="924"/>
      <c r="Y62" s="924"/>
      <c r="Z62" s="924"/>
      <c r="AA62" s="924"/>
      <c r="AB62" s="924"/>
      <c r="AC62" s="924"/>
      <c r="AD62" s="924"/>
      <c r="AE62" s="924"/>
      <c r="AF62" s="946"/>
      <c r="AG62" s="471"/>
      <c r="AH62" s="930"/>
      <c r="AI62" s="416"/>
      <c r="AJ62" s="764"/>
      <c r="AK62" s="471"/>
      <c r="AL62" s="764"/>
      <c r="AM62" s="924"/>
      <c r="AN62" s="924"/>
      <c r="AO62" s="924"/>
      <c r="AP62" s="924"/>
      <c r="AQ62" s="924"/>
      <c r="AR62" s="924"/>
      <c r="AS62" s="924"/>
      <c r="AT62" s="924"/>
      <c r="AU62" s="924"/>
      <c r="AV62" s="924"/>
      <c r="AW62" s="924"/>
      <c r="AX62" s="924"/>
      <c r="AY62" s="924"/>
      <c r="AZ62" s="924"/>
      <c r="BA62" s="924"/>
    </row>
    <row r="63" spans="1:53">
      <c r="A63" s="964" t="s">
        <v>220</v>
      </c>
      <c r="B63" s="945"/>
      <c r="C63" s="995">
        <f t="shared" ref="C63:J63" si="58">((+C7/B7-1)-C51)/C39</f>
        <v>-8.8483254450969301E-2</v>
      </c>
      <c r="D63" s="995">
        <f t="shared" si="58"/>
        <v>0.67240877593546611</v>
      </c>
      <c r="E63" s="990">
        <f t="shared" si="58"/>
        <v>0.34666473336999271</v>
      </c>
      <c r="F63" s="995">
        <f t="shared" si="58"/>
        <v>3.1671862827872248</v>
      </c>
      <c r="G63" s="995">
        <f t="shared" si="58"/>
        <v>0.85171164265998478</v>
      </c>
      <c r="H63" s="990">
        <f t="shared" si="58"/>
        <v>1.1063132485907354</v>
      </c>
      <c r="I63" s="995">
        <f t="shared" si="58"/>
        <v>0.91975125332260765</v>
      </c>
      <c r="J63" s="995">
        <f t="shared" si="58"/>
        <v>0.80384518674996386</v>
      </c>
      <c r="K63" s="945">
        <f t="shared" ref="K63:T63" si="59">((((K7/J7)-1))-K51)/K39</f>
        <v>0.95443030326333089</v>
      </c>
      <c r="L63" s="945">
        <f t="shared" si="59"/>
        <v>1.2279119548051538</v>
      </c>
      <c r="M63" s="945">
        <f t="shared" si="59"/>
        <v>0.86146680891228744</v>
      </c>
      <c r="N63" s="945">
        <f t="shared" si="59"/>
        <v>0.82865658589072777</v>
      </c>
      <c r="O63" s="945">
        <f t="shared" si="59"/>
        <v>0.84440964160236154</v>
      </c>
      <c r="P63" s="945">
        <f t="shared" si="59"/>
        <v>0.79520946939000003</v>
      </c>
      <c r="Q63" s="945">
        <f t="shared" si="59"/>
        <v>0.74355289946668635</v>
      </c>
      <c r="R63" s="945">
        <f t="shared" si="59"/>
        <v>0.55009067686221147</v>
      </c>
      <c r="S63" s="945">
        <f t="shared" si="59"/>
        <v>3.3519685791460665</v>
      </c>
      <c r="T63" s="945">
        <f t="shared" si="59"/>
        <v>0.66554978220652961</v>
      </c>
      <c r="U63" s="945">
        <f>((((U7/T7)-1))-U51)/U39</f>
        <v>0.50963923437492142</v>
      </c>
      <c r="V63" s="945">
        <f>((((V7/U7)-1))-V51)/V39</f>
        <v>0.7760376076740283</v>
      </c>
      <c r="W63" s="945">
        <f>(((W7/V7)-1)-W51)/W39</f>
        <v>0.21009941079060063</v>
      </c>
      <c r="X63" s="945">
        <f>(((X7/W7)-1)-X51)/X39</f>
        <v>0.26855032045570748</v>
      </c>
      <c r="Y63" s="945">
        <f>(((Y7/X7)-1)-Y51)/Y39</f>
        <v>0.46940551382967766</v>
      </c>
      <c r="Z63" s="945">
        <f>(((Z7/Y7)-1)-Z51)/Z39</f>
        <v>0.69708551926039297</v>
      </c>
      <c r="AA63" s="460">
        <v>0.35</v>
      </c>
      <c r="AB63" s="460">
        <v>0.35</v>
      </c>
      <c r="AC63" s="460">
        <v>0.35</v>
      </c>
      <c r="AD63" s="460">
        <v>0.35</v>
      </c>
      <c r="AE63" s="460"/>
      <c r="AF63" s="946"/>
      <c r="AG63" s="471"/>
      <c r="AH63" s="930"/>
      <c r="AI63" s="416"/>
      <c r="AJ63" s="764"/>
      <c r="AK63" s="471"/>
      <c r="AL63" s="764"/>
      <c r="AM63" s="924"/>
      <c r="AN63" s="924"/>
      <c r="AO63" s="924"/>
      <c r="AP63" s="924"/>
      <c r="AQ63" s="924"/>
      <c r="AR63" s="924"/>
      <c r="AS63" s="924"/>
      <c r="AT63" s="924"/>
      <c r="AU63" s="924"/>
      <c r="AV63" s="924"/>
      <c r="AW63" s="924"/>
      <c r="AX63" s="924"/>
      <c r="AY63" s="924"/>
      <c r="AZ63" s="924"/>
      <c r="BA63" s="924"/>
    </row>
    <row r="64" spans="1:53" ht="11.25" customHeight="1">
      <c r="A64" s="924"/>
      <c r="B64" s="924"/>
      <c r="C64" s="924"/>
      <c r="D64" s="924"/>
      <c r="E64" s="924"/>
      <c r="F64" s="924"/>
      <c r="G64" s="924"/>
      <c r="H64" s="924"/>
      <c r="I64" s="924"/>
      <c r="J64" s="924"/>
      <c r="K64" s="924"/>
      <c r="L64" s="924"/>
      <c r="M64" s="924"/>
      <c r="N64" s="924"/>
      <c r="O64" s="924"/>
      <c r="P64" s="924"/>
      <c r="Q64" s="924"/>
      <c r="R64" s="924"/>
      <c r="S64" s="924"/>
      <c r="T64" s="924"/>
      <c r="U64" s="924"/>
      <c r="V64" s="924"/>
      <c r="W64" s="924"/>
      <c r="X64" s="924"/>
      <c r="Y64" s="924"/>
      <c r="Z64" s="924"/>
      <c r="AA64" s="924"/>
      <c r="AB64" s="924"/>
      <c r="AC64" s="924"/>
      <c r="AD64" s="924"/>
      <c r="AE64" s="924"/>
      <c r="AF64" s="946"/>
      <c r="AG64" s="471"/>
      <c r="AH64" s="930"/>
      <c r="AI64" s="416"/>
      <c r="AJ64" s="764"/>
      <c r="AK64" s="471"/>
      <c r="AL64" s="764"/>
      <c r="AM64" s="924"/>
      <c r="AN64" s="924"/>
      <c r="AO64" s="924"/>
      <c r="AP64" s="924"/>
      <c r="AQ64" s="924"/>
      <c r="AR64" s="924"/>
      <c r="AS64" s="924"/>
      <c r="AT64" s="924"/>
      <c r="AU64" s="924"/>
      <c r="AV64" s="924"/>
      <c r="AW64" s="924"/>
      <c r="AX64" s="924"/>
      <c r="AY64" s="924"/>
      <c r="AZ64" s="924"/>
      <c r="BA64" s="924"/>
    </row>
    <row r="65" spans="1:53">
      <c r="A65" s="924" t="s">
        <v>221</v>
      </c>
      <c r="B65" s="996">
        <f>'qtrP&amp;L'!D54</f>
        <v>17.60499999999999</v>
      </c>
      <c r="C65" s="996">
        <f>'qtrP&amp;L'!H54</f>
        <v>19.867000000000004</v>
      </c>
      <c r="D65" s="996">
        <f>'qtrP&amp;L'!L54</f>
        <v>21.355999999999998</v>
      </c>
      <c r="E65" s="996">
        <f>'qtrP&amp;L'!P54</f>
        <v>22.062000000000001</v>
      </c>
      <c r="F65" s="996">
        <f>'qtrP&amp;L'!T54</f>
        <v>25.116000000000007</v>
      </c>
      <c r="G65" s="996">
        <f>'qtrP&amp;L'!X54</f>
        <v>37.565000000000012</v>
      </c>
      <c r="H65" s="996">
        <f>+'yrP&amp;L'!H33</f>
        <v>17.877999999999986</v>
      </c>
      <c r="I65" s="996">
        <f>+'yrP&amp;L'!I33</f>
        <v>25.497999999999962</v>
      </c>
      <c r="J65" s="996">
        <f>+'yrP&amp;L'!J33</f>
        <v>45.398999999999987</v>
      </c>
      <c r="K65" s="996">
        <f>+'yrP&amp;L'!K33</f>
        <v>29.562000000000012</v>
      </c>
      <c r="L65" s="996">
        <f>+'yrP&amp;L'!L33</f>
        <v>148.36599999999987</v>
      </c>
      <c r="M65" s="996">
        <f>+'yrP&amp;L'!M33</f>
        <v>207.69899999999996</v>
      </c>
      <c r="N65" s="996">
        <f>+'yrP&amp;L'!N33</f>
        <v>163.9890000000002</v>
      </c>
      <c r="O65" s="996">
        <f>+'yrP&amp;L'!O33</f>
        <v>224.94499999999994</v>
      </c>
      <c r="P65" s="996">
        <f>+'yrP&amp;L'!P33</f>
        <v>299.43499999999983</v>
      </c>
      <c r="Q65" s="996">
        <f>+'yrP&amp;L'!Q33</f>
        <v>338.98399999999992</v>
      </c>
      <c r="R65" s="996">
        <f>+'yrP&amp;L'!R33</f>
        <v>414.20299999999986</v>
      </c>
      <c r="S65" s="996">
        <f>+'yrP&amp;L'!S33</f>
        <v>284.72500000000059</v>
      </c>
      <c r="T65" s="996">
        <f>+'yrP&amp;L'!T33</f>
        <v>374.2850000000002</v>
      </c>
      <c r="U65" s="996">
        <f>+'yrP&amp;L'!U33</f>
        <v>426.86745999999994</v>
      </c>
      <c r="V65" s="996">
        <f>+'yrP&amp;L'!V33</f>
        <v>365.65450000000021</v>
      </c>
      <c r="W65" s="996">
        <f>+'yrP&amp;L'!W33</f>
        <v>353.57899999999995</v>
      </c>
      <c r="X65" s="996">
        <f>+'yrP&amp;L'!X33</f>
        <v>342.86799999999971</v>
      </c>
      <c r="Y65" s="996">
        <f>+'yrP&amp;L'!Y33</f>
        <v>273.36299999999983</v>
      </c>
      <c r="Z65" s="996">
        <f>+'yrP&amp;L'!Z33</f>
        <v>304.24367565408249</v>
      </c>
      <c r="AA65" s="996">
        <f>+'yrP&amp;L'!AA33</f>
        <v>305.82858509905702</v>
      </c>
      <c r="AB65" s="996">
        <f>+'yrP&amp;L'!AB33</f>
        <v>312.16145532584801</v>
      </c>
      <c r="AC65" s="996">
        <f>+'yrP&amp;L'!AC33</f>
        <v>317.92983595620797</v>
      </c>
      <c r="AD65" s="996">
        <f>+'yrP&amp;L'!AD33</f>
        <v>323.60606653207992</v>
      </c>
      <c r="AE65" s="996"/>
      <c r="AF65" s="997"/>
      <c r="AG65" s="471">
        <f>((Y65/T65)^(1/5)-1)*100</f>
        <v>-6.0909468175839638</v>
      </c>
      <c r="AH65" s="954" t="s">
        <v>208</v>
      </c>
      <c r="AI65" s="471"/>
      <c r="AJ65" s="955"/>
      <c r="AK65" s="471">
        <f>((AD65/Y65)^(1/5)-1)*100</f>
        <v>3.432110049861814</v>
      </c>
      <c r="AL65" s="955" t="s">
        <v>208</v>
      </c>
      <c r="AM65" s="924"/>
      <c r="AN65" s="924"/>
      <c r="AO65" s="924"/>
      <c r="AP65" s="924"/>
      <c r="AQ65" s="924"/>
      <c r="AR65" s="924"/>
      <c r="AS65" s="924"/>
      <c r="AT65" s="924"/>
      <c r="AU65" s="924"/>
      <c r="AV65" s="924"/>
      <c r="AW65" s="924"/>
      <c r="AX65" s="924"/>
      <c r="AY65" s="924"/>
      <c r="AZ65" s="924"/>
      <c r="BA65" s="924"/>
    </row>
    <row r="66" spans="1:53">
      <c r="A66" s="998" t="s">
        <v>222</v>
      </c>
      <c r="B66" s="527"/>
      <c r="C66" s="527">
        <f t="shared" ref="C66:W66" si="60">C65/C13</f>
        <v>0.14933551820559851</v>
      </c>
      <c r="D66" s="527">
        <f t="shared" si="60"/>
        <v>0.13653247409169078</v>
      </c>
      <c r="E66" s="527">
        <f t="shared" si="60"/>
        <v>0.12733464157912963</v>
      </c>
      <c r="F66" s="527">
        <f t="shared" si="60"/>
        <v>0.12347293437489248</v>
      </c>
      <c r="G66" s="527">
        <f t="shared" si="60"/>
        <v>0.14384673707428033</v>
      </c>
      <c r="H66" s="527">
        <f t="shared" si="60"/>
        <v>6.5327330926524055E-2</v>
      </c>
      <c r="I66" s="527">
        <f t="shared" si="60"/>
        <v>7.8662812400699583E-2</v>
      </c>
      <c r="J66" s="527">
        <f t="shared" si="60"/>
        <v>0.11610789576657193</v>
      </c>
      <c r="K66" s="527">
        <f t="shared" si="60"/>
        <v>5.9454926118777132E-2</v>
      </c>
      <c r="L66" s="527">
        <f t="shared" si="60"/>
        <v>0.20217841291730981</v>
      </c>
      <c r="M66" s="527">
        <f t="shared" si="60"/>
        <v>0.21600975948648291</v>
      </c>
      <c r="N66" s="527">
        <f t="shared" si="60"/>
        <v>0.15311693222720732</v>
      </c>
      <c r="O66" s="527">
        <f t="shared" si="60"/>
        <v>0.17471727716158691</v>
      </c>
      <c r="P66" s="527">
        <f t="shared" si="60"/>
        <v>0.195059207946333</v>
      </c>
      <c r="Q66" s="527">
        <f t="shared" si="60"/>
        <v>0.2100173721683489</v>
      </c>
      <c r="R66" s="527">
        <f t="shared" si="60"/>
        <v>0.22379470440144683</v>
      </c>
      <c r="S66" s="527">
        <f t="shared" si="60"/>
        <v>0.11509616173653441</v>
      </c>
      <c r="T66" s="527">
        <f t="shared" si="60"/>
        <v>0.13391593692138434</v>
      </c>
      <c r="U66" s="527">
        <f t="shared" si="60"/>
        <v>0.13829498846783278</v>
      </c>
      <c r="V66" s="527">
        <f t="shared" si="60"/>
        <v>0.11002599337745859</v>
      </c>
      <c r="W66" s="527">
        <f t="shared" si="60"/>
        <v>0.10263142159347066</v>
      </c>
      <c r="X66" s="527">
        <f t="shared" ref="X66:AC66" si="61">X65/X13</f>
        <v>9.6697100846806022E-2</v>
      </c>
      <c r="Y66" s="527">
        <f t="shared" si="61"/>
        <v>7.5597882087845847E-2</v>
      </c>
      <c r="Z66" s="527">
        <f t="shared" si="61"/>
        <v>8.0469287397446923E-2</v>
      </c>
      <c r="AA66" s="527">
        <f t="shared" si="61"/>
        <v>7.9600000000000004E-2</v>
      </c>
      <c r="AB66" s="527">
        <f t="shared" si="61"/>
        <v>7.9700000000000035E-2</v>
      </c>
      <c r="AC66" s="527">
        <f t="shared" si="61"/>
        <v>7.9799999999999899E-2</v>
      </c>
      <c r="AD66" s="527">
        <f t="shared" ref="AD66" si="62">AD65/AD13</f>
        <v>0.08</v>
      </c>
      <c r="AE66" s="527"/>
      <c r="AF66" s="999"/>
      <c r="AG66" s="927"/>
      <c r="AH66" s="927"/>
      <c r="AI66" s="415"/>
      <c r="AJ66" s="1000"/>
      <c r="AK66" s="415"/>
      <c r="AL66" s="1000"/>
      <c r="AM66" s="924"/>
      <c r="AN66" s="924"/>
      <c r="AO66" s="924"/>
      <c r="AP66" s="924"/>
      <c r="AQ66" s="924"/>
      <c r="AR66" s="924"/>
      <c r="AS66" s="924"/>
      <c r="AT66" s="924"/>
      <c r="AU66" s="924"/>
      <c r="AV66" s="924"/>
      <c r="AW66" s="924"/>
      <c r="AX66" s="924"/>
      <c r="AY66" s="924"/>
      <c r="AZ66" s="924"/>
      <c r="BA66" s="924"/>
    </row>
    <row r="67" spans="1:53" ht="11.25" customHeight="1">
      <c r="A67" s="924"/>
      <c r="B67" s="924"/>
      <c r="C67" s="924"/>
      <c r="D67" s="924"/>
      <c r="E67" s="924"/>
      <c r="F67" s="924"/>
      <c r="G67" s="924"/>
      <c r="H67" s="924"/>
      <c r="I67" s="924"/>
      <c r="J67" s="924"/>
      <c r="K67" s="924"/>
      <c r="L67" s="924"/>
      <c r="M67" s="924"/>
      <c r="N67" s="924"/>
      <c r="O67" s="924"/>
      <c r="P67" s="924"/>
      <c r="Q67" s="924"/>
      <c r="R67" s="924"/>
      <c r="S67" s="924"/>
      <c r="T67" s="924"/>
      <c r="U67" s="924"/>
      <c r="V67" s="924"/>
      <c r="W67" s="924"/>
      <c r="X67" s="924"/>
      <c r="Y67" s="924"/>
      <c r="Z67" s="924"/>
      <c r="AA67" s="924"/>
      <c r="AB67" s="924"/>
      <c r="AC67" s="924"/>
      <c r="AD67" s="924"/>
      <c r="AE67" s="924"/>
      <c r="AF67" s="930"/>
      <c r="AG67" s="930"/>
      <c r="AH67" s="930"/>
      <c r="AM67" s="924"/>
      <c r="AN67" s="924"/>
      <c r="AO67" s="924"/>
      <c r="AP67" s="924"/>
      <c r="AQ67" s="924"/>
      <c r="AR67" s="924"/>
      <c r="AS67" s="924"/>
      <c r="AT67" s="924"/>
      <c r="AU67" s="924"/>
      <c r="AV67" s="924"/>
      <c r="AW67" s="924"/>
      <c r="AX67" s="924"/>
      <c r="AY67" s="924"/>
      <c r="AZ67" s="924"/>
      <c r="BA67" s="924"/>
    </row>
    <row r="68" spans="1:53">
      <c r="A68" s="924"/>
      <c r="B68" s="924"/>
      <c r="C68" s="924"/>
      <c r="D68" s="924"/>
      <c r="E68" s="1001"/>
      <c r="F68" s="924"/>
      <c r="G68" s="924"/>
      <c r="H68" s="924"/>
      <c r="I68" s="924"/>
      <c r="J68" s="924"/>
      <c r="K68" s="924"/>
      <c r="X68" s="611"/>
      <c r="Y68" s="611"/>
      <c r="Z68" s="527"/>
      <c r="AF68" s="924"/>
      <c r="AG68" s="924"/>
      <c r="AH68" s="924"/>
      <c r="AM68" s="924"/>
      <c r="AN68" s="924"/>
      <c r="AO68" s="924"/>
      <c r="AP68" s="924"/>
      <c r="AQ68" s="924"/>
      <c r="AR68" s="924"/>
      <c r="AS68" s="924"/>
      <c r="AT68" s="924"/>
      <c r="AU68" s="924"/>
      <c r="AV68" s="924"/>
      <c r="AW68" s="924"/>
      <c r="AX68" s="924"/>
      <c r="AY68" s="924"/>
      <c r="AZ68" s="924"/>
      <c r="BA68" s="924"/>
    </row>
    <row r="69" spans="1:53">
      <c r="A69" s="1002"/>
      <c r="B69" s="1002"/>
      <c r="C69" s="1002"/>
      <c r="D69" s="1002"/>
      <c r="E69" s="1003"/>
      <c r="F69" s="1002"/>
      <c r="G69" s="1002"/>
      <c r="H69" s="1002"/>
      <c r="I69" s="1002"/>
      <c r="J69" s="1002"/>
      <c r="K69" s="1002"/>
      <c r="L69" s="411"/>
      <c r="M69" s="411"/>
      <c r="N69" s="411"/>
      <c r="O69" s="411"/>
      <c r="P69" s="411"/>
      <c r="Q69" s="411"/>
      <c r="R69" s="411"/>
      <c r="S69" s="411"/>
      <c r="T69" s="411"/>
      <c r="U69" s="411"/>
      <c r="V69" s="411"/>
      <c r="W69" s="411"/>
      <c r="X69" s="411"/>
      <c r="Y69" s="411"/>
      <c r="Z69" s="411"/>
      <c r="AA69" s="411"/>
      <c r="AB69" s="411"/>
      <c r="AC69" s="411"/>
      <c r="AD69" s="411"/>
      <c r="AE69" s="411"/>
      <c r="AF69" s="1002"/>
      <c r="AG69" s="1002"/>
      <c r="AH69" s="1002"/>
      <c r="AM69" s="1002"/>
      <c r="AN69" s="1002"/>
      <c r="AO69" s="1002"/>
      <c r="AP69" s="1002"/>
      <c r="AQ69" s="1002"/>
      <c r="AR69" s="1002"/>
      <c r="AS69" s="1002"/>
      <c r="AT69" s="1002"/>
      <c r="AU69" s="1002"/>
      <c r="AV69" s="1002"/>
      <c r="AW69" s="1002"/>
      <c r="AX69" s="1002"/>
      <c r="AY69" s="1002"/>
      <c r="AZ69" s="1002"/>
      <c r="BA69" s="1002"/>
    </row>
    <row r="70" spans="1:53">
      <c r="A70" s="924" t="s">
        <v>43</v>
      </c>
      <c r="B70" s="924"/>
      <c r="C70" s="924"/>
      <c r="D70" s="924"/>
      <c r="E70" s="1001"/>
      <c r="F70" s="924"/>
      <c r="G70" s="924"/>
      <c r="H70" s="924"/>
      <c r="I70" s="924"/>
      <c r="J70" s="924"/>
      <c r="K70" s="924"/>
      <c r="AF70" s="924"/>
      <c r="AG70" s="924"/>
      <c r="AH70" s="924"/>
      <c r="AM70" s="924"/>
      <c r="AN70" s="924"/>
      <c r="AO70" s="924"/>
      <c r="AP70" s="924"/>
      <c r="AQ70" s="924"/>
      <c r="AR70" s="924"/>
      <c r="AS70" s="924"/>
      <c r="AT70" s="924"/>
      <c r="AU70" s="924"/>
      <c r="AV70" s="924"/>
      <c r="AW70" s="924"/>
      <c r="AX70" s="924"/>
      <c r="AY70" s="924"/>
      <c r="AZ70" s="924"/>
      <c r="BA70" s="924"/>
    </row>
    <row r="71" spans="1:53">
      <c r="A71" s="541" t="s">
        <v>161</v>
      </c>
      <c r="B71" s="924"/>
      <c r="C71" s="924"/>
      <c r="D71" s="924"/>
      <c r="E71" s="1001"/>
      <c r="F71" s="924"/>
      <c r="G71" s="924"/>
      <c r="H71" s="924"/>
      <c r="I71" s="924"/>
      <c r="J71" s="924"/>
      <c r="K71" s="924"/>
      <c r="AF71" s="924"/>
      <c r="AG71" s="924"/>
      <c r="AH71" s="924"/>
      <c r="AM71" s="924"/>
      <c r="AN71" s="924"/>
      <c r="AO71" s="924"/>
      <c r="AP71" s="924"/>
      <c r="AQ71" s="924"/>
      <c r="AR71" s="924"/>
      <c r="AS71" s="924"/>
      <c r="AT71" s="924"/>
      <c r="AU71" s="924"/>
      <c r="AV71" s="924"/>
      <c r="AW71" s="924"/>
      <c r="AX71" s="924"/>
      <c r="AY71" s="924"/>
      <c r="AZ71" s="924"/>
      <c r="BA71" s="924"/>
    </row>
    <row r="78" spans="1:53">
      <c r="AG78" s="410">
        <v>2.5</v>
      </c>
    </row>
    <row r="79" spans="1:53">
      <c r="AG79" s="410">
        <v>1.78</v>
      </c>
    </row>
    <row r="80" spans="1:53">
      <c r="AG80" s="410">
        <f>(AG78/AG79)^(1/2)-1</f>
        <v>0.18511365784994305</v>
      </c>
    </row>
  </sheetData>
  <phoneticPr fontId="0" type="noConversion"/>
  <dataValidations disablePrompts="1" count="1">
    <dataValidation type="custom" allowBlank="1" showInputMessage="1" showErrorMessage="1" sqref="AK4:AK5 AI4:AI5 A39">
      <formula1>-1</formula1>
    </dataValidation>
  </dataValidations>
  <printOptions horizontalCentered="1"/>
  <pageMargins left="0.5" right="0.5" top="0.5" bottom="0.5" header="0.5" footer="0.5"/>
  <pageSetup scale="66" orientation="landscape" r:id="rId1"/>
  <headerFooter alignWithMargins="0">
    <oddFooter>&amp;R&amp;8&amp;D/&amp;T
&amp;F/&amp;A</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indexed="59"/>
    <pageSetUpPr fitToPage="1"/>
  </sheetPr>
  <dimension ref="A1:AN79"/>
  <sheetViews>
    <sheetView zoomScaleNormal="100" workbookViewId="0">
      <selection activeCell="AD12" sqref="AD12"/>
    </sheetView>
  </sheetViews>
  <sheetFormatPr defaultRowHeight="12.75" outlineLevelRow="1" outlineLevelCol="1"/>
  <cols>
    <col min="1" max="1" width="24.85546875" style="410" customWidth="1"/>
    <col min="2" max="3" width="8.85546875" style="410" hidden="1" customWidth="1" outlineLevel="1"/>
    <col min="4" max="4" width="9.140625" style="410" hidden="1" customWidth="1" outlineLevel="1" collapsed="1"/>
    <col min="5" max="5" width="8.42578125" style="410" hidden="1" customWidth="1" outlineLevel="1" collapsed="1"/>
    <col min="6" max="6" width="8.42578125" style="410" hidden="1" customWidth="1" outlineLevel="1"/>
    <col min="7" max="7" width="8.5703125" style="410" hidden="1" customWidth="1" outlineLevel="1" collapsed="1"/>
    <col min="8" max="8" width="9.42578125" style="410" hidden="1" customWidth="1" outlineLevel="1" collapsed="1"/>
    <col min="9" max="9" width="9" style="410" hidden="1" customWidth="1" outlineLevel="1" collapsed="1"/>
    <col min="10" max="11" width="9.42578125" style="410" hidden="1" customWidth="1" outlineLevel="1"/>
    <col min="12" max="12" width="10.28515625" style="410" hidden="1" customWidth="1" outlineLevel="1"/>
    <col min="13" max="13" width="8.7109375" style="410" hidden="1" customWidth="1" outlineLevel="1"/>
    <col min="14" max="14" width="9.85546875" style="410" hidden="1" customWidth="1" outlineLevel="1"/>
    <col min="15" max="15" width="9.7109375" style="410" hidden="1" customWidth="1" outlineLevel="1"/>
    <col min="16" max="16" width="9.5703125" style="410" hidden="1" customWidth="1" outlineLevel="1"/>
    <col min="17" max="17" width="9.7109375" style="410" hidden="1" customWidth="1" outlineLevel="1"/>
    <col min="18" max="19" width="9.28515625" style="410" hidden="1" customWidth="1" outlineLevel="1"/>
    <col min="20" max="20" width="9.28515625" style="410" hidden="1" customWidth="1" outlineLevel="1" collapsed="1"/>
    <col min="21" max="21" width="9.28515625" style="410" customWidth="1" collapsed="1"/>
    <col min="22" max="30" width="9.28515625" style="410" customWidth="1"/>
    <col min="31" max="32" width="1.28515625" style="410" customWidth="1"/>
    <col min="33" max="33" width="7.85546875" style="410" customWidth="1"/>
    <col min="34" max="34" width="2.140625" style="410" customWidth="1"/>
    <col min="35" max="35" width="7.7109375" style="410" customWidth="1"/>
    <col min="36" max="36" width="2.140625" style="410" customWidth="1"/>
    <col min="37" max="37" width="7" style="410" customWidth="1"/>
    <col min="38" max="16384" width="9.140625" style="410"/>
  </cols>
  <sheetData>
    <row r="1" spans="1:38">
      <c r="A1" s="1275" t="str">
        <f>sumry!A1</f>
        <v>Urban Outfitters, Inc.</v>
      </c>
      <c r="B1" s="1276"/>
      <c r="C1" s="1276"/>
      <c r="D1" s="1276"/>
      <c r="E1" s="1277"/>
      <c r="F1" s="1277"/>
      <c r="G1" s="1277"/>
      <c r="H1" s="1277"/>
      <c r="I1" s="1277"/>
      <c r="J1" s="1277"/>
      <c r="K1" s="1277"/>
      <c r="L1" s="1277"/>
      <c r="M1" s="1277"/>
      <c r="N1" s="1277"/>
      <c r="O1" s="1277"/>
      <c r="P1" s="1277"/>
      <c r="Q1" s="1277"/>
      <c r="R1" s="1277"/>
      <c r="S1" s="1277"/>
      <c r="T1" s="1277"/>
      <c r="U1" s="1277"/>
      <c r="V1" s="1277"/>
      <c r="W1" s="1277"/>
      <c r="X1" s="1277"/>
      <c r="Y1" s="1277"/>
      <c r="Z1" s="1277"/>
      <c r="AA1" s="1277"/>
      <c r="AB1" s="1277"/>
      <c r="AC1" s="1277"/>
      <c r="AD1" s="1277"/>
      <c r="AE1" s="1276"/>
      <c r="AF1" s="1276"/>
      <c r="AG1" s="1277"/>
      <c r="AH1" s="1277"/>
      <c r="AI1" s="1277"/>
      <c r="AJ1" s="1277"/>
    </row>
    <row r="2" spans="1:38">
      <c r="A2" s="1278" t="s">
        <v>723</v>
      </c>
      <c r="B2" s="1279"/>
      <c r="C2" s="1279"/>
      <c r="D2" s="1279"/>
      <c r="E2" s="1280"/>
      <c r="F2" s="1280"/>
      <c r="G2" s="1280"/>
      <c r="H2" s="1280"/>
      <c r="I2" s="1280"/>
      <c r="J2" s="1280"/>
      <c r="K2" s="1280"/>
      <c r="L2" s="1280"/>
      <c r="M2" s="1280"/>
      <c r="N2" s="1280"/>
      <c r="O2" s="1280"/>
      <c r="P2" s="1281"/>
      <c r="Q2" s="1281"/>
      <c r="R2" s="1280"/>
      <c r="S2" s="1280"/>
      <c r="T2" s="1280"/>
      <c r="U2" s="1280"/>
      <c r="V2" s="1280"/>
      <c r="W2" s="1280"/>
      <c r="X2" s="1280"/>
      <c r="Y2" s="1280"/>
      <c r="Z2" s="1280"/>
      <c r="AA2" s="1280"/>
      <c r="AB2" s="1280"/>
      <c r="AC2" s="1280"/>
      <c r="AD2" s="1280"/>
      <c r="AE2" s="1279"/>
      <c r="AF2" s="1279"/>
      <c r="AG2" s="1280"/>
      <c r="AH2" s="1280"/>
      <c r="AI2" s="1280"/>
      <c r="AJ2" s="1280"/>
    </row>
    <row r="3" spans="1:38">
      <c r="A3" s="1282" t="s">
        <v>228</v>
      </c>
      <c r="B3" s="704"/>
      <c r="C3" s="704"/>
      <c r="D3" s="704"/>
      <c r="E3" s="704"/>
      <c r="F3" s="704"/>
      <c r="G3" s="704"/>
      <c r="H3" s="704"/>
      <c r="I3" s="704"/>
      <c r="J3" s="704"/>
      <c r="K3" s="704"/>
      <c r="L3" s="704"/>
      <c r="M3" s="704"/>
      <c r="N3" s="704"/>
      <c r="O3" s="704"/>
      <c r="P3" s="704"/>
      <c r="Q3" s="704"/>
      <c r="R3" s="704"/>
      <c r="S3" s="704"/>
      <c r="T3" s="704"/>
      <c r="U3" s="704"/>
      <c r="V3" s="704"/>
      <c r="W3" s="703"/>
      <c r="X3" s="703"/>
      <c r="Y3" s="703"/>
      <c r="Z3" s="703"/>
      <c r="AA3" s="703"/>
      <c r="AB3" s="703"/>
      <c r="AC3" s="703"/>
      <c r="AD3" s="703"/>
      <c r="AE3" s="704"/>
      <c r="AF3" s="704"/>
      <c r="AG3" s="704"/>
      <c r="AH3" s="704"/>
      <c r="AI3" s="704"/>
      <c r="AJ3" s="704"/>
    </row>
    <row r="4" spans="1:38">
      <c r="A4" s="1277"/>
      <c r="B4" s="1283"/>
      <c r="C4" s="1283"/>
      <c r="D4" s="1283"/>
      <c r="E4" s="1283"/>
      <c r="F4" s="1283"/>
      <c r="G4" s="1284"/>
      <c r="H4" s="1283"/>
      <c r="I4" s="1283"/>
      <c r="J4" s="1283"/>
      <c r="K4" s="1283"/>
      <c r="L4" s="1283"/>
      <c r="M4" s="1283"/>
      <c r="N4" s="1283"/>
      <c r="O4" s="1283"/>
      <c r="P4" s="1283"/>
      <c r="Q4" s="1283"/>
      <c r="R4" s="1283"/>
      <c r="S4" s="1283"/>
      <c r="T4" s="1283"/>
      <c r="U4" s="1283"/>
      <c r="V4" s="1283"/>
      <c r="W4" s="1283"/>
      <c r="X4" s="1283"/>
      <c r="Y4" s="1283"/>
      <c r="Z4" s="1283"/>
      <c r="AA4" s="1283"/>
      <c r="AB4" s="1283"/>
      <c r="AC4" s="1283"/>
      <c r="AD4" s="1283"/>
      <c r="AE4" s="1285"/>
      <c r="AF4" s="1285"/>
      <c r="AG4" s="1286"/>
      <c r="AH4" s="1287" t="s">
        <v>207</v>
      </c>
      <c r="AI4" s="935"/>
      <c r="AJ4" s="1288"/>
    </row>
    <row r="5" spans="1:38">
      <c r="A5" s="1289"/>
      <c r="B5" s="1290">
        <v>1994</v>
      </c>
      <c r="C5" s="1291">
        <f t="shared" ref="C5:O5" si="0">B5+1</f>
        <v>1995</v>
      </c>
      <c r="D5" s="1291">
        <f t="shared" si="0"/>
        <v>1996</v>
      </c>
      <c r="E5" s="1291">
        <f t="shared" si="0"/>
        <v>1997</v>
      </c>
      <c r="F5" s="1291">
        <f t="shared" si="0"/>
        <v>1998</v>
      </c>
      <c r="G5" s="1291">
        <f t="shared" si="0"/>
        <v>1999</v>
      </c>
      <c r="H5" s="1291">
        <f t="shared" si="0"/>
        <v>2000</v>
      </c>
      <c r="I5" s="1291">
        <f t="shared" si="0"/>
        <v>2001</v>
      </c>
      <c r="J5" s="1291">
        <f t="shared" si="0"/>
        <v>2002</v>
      </c>
      <c r="K5" s="1291">
        <f t="shared" si="0"/>
        <v>2003</v>
      </c>
      <c r="L5" s="1291">
        <f t="shared" si="0"/>
        <v>2004</v>
      </c>
      <c r="M5" s="1291">
        <f t="shared" si="0"/>
        <v>2005</v>
      </c>
      <c r="N5" s="1291">
        <f t="shared" si="0"/>
        <v>2006</v>
      </c>
      <c r="O5" s="1291">
        <f t="shared" si="0"/>
        <v>2007</v>
      </c>
      <c r="P5" s="1291">
        <f t="shared" ref="P5:U5" si="1">O5+1</f>
        <v>2008</v>
      </c>
      <c r="Q5" s="1291">
        <f t="shared" si="1"/>
        <v>2009</v>
      </c>
      <c r="R5" s="1291">
        <f t="shared" si="1"/>
        <v>2010</v>
      </c>
      <c r="S5" s="1291">
        <f t="shared" si="1"/>
        <v>2011</v>
      </c>
      <c r="T5" s="1291">
        <f t="shared" si="1"/>
        <v>2012</v>
      </c>
      <c r="U5" s="1291">
        <f t="shared" si="1"/>
        <v>2013</v>
      </c>
      <c r="V5" s="1291">
        <f t="shared" ref="V5:AD5" si="2">U5+1</f>
        <v>2014</v>
      </c>
      <c r="W5" s="1291">
        <f t="shared" si="2"/>
        <v>2015</v>
      </c>
      <c r="X5" s="1291">
        <f t="shared" si="2"/>
        <v>2016</v>
      </c>
      <c r="Y5" s="1291">
        <f t="shared" si="2"/>
        <v>2017</v>
      </c>
      <c r="Z5" s="1292">
        <f t="shared" si="2"/>
        <v>2018</v>
      </c>
      <c r="AA5" s="1292">
        <f t="shared" si="2"/>
        <v>2019</v>
      </c>
      <c r="AB5" s="1292">
        <f t="shared" si="2"/>
        <v>2020</v>
      </c>
      <c r="AC5" s="1292">
        <f t="shared" si="2"/>
        <v>2021</v>
      </c>
      <c r="AD5" s="1292">
        <f t="shared" si="2"/>
        <v>2022</v>
      </c>
      <c r="AE5" s="1293"/>
      <c r="AF5" s="1293"/>
      <c r="AG5" s="1294" t="s">
        <v>772</v>
      </c>
      <c r="AH5" s="1295"/>
      <c r="AI5" s="1294" t="s">
        <v>773</v>
      </c>
      <c r="AJ5" s="1296"/>
    </row>
    <row r="6" spans="1:38">
      <c r="A6" s="1277"/>
      <c r="B6" s="1283"/>
      <c r="C6" s="1283"/>
      <c r="D6" s="1283"/>
      <c r="E6" s="1277"/>
      <c r="F6" s="1277"/>
      <c r="G6" s="1277"/>
      <c r="H6" s="1277"/>
      <c r="I6" s="1277"/>
      <c r="J6" s="1277"/>
      <c r="K6" s="1277"/>
      <c r="L6" s="1277"/>
      <c r="M6" s="1277"/>
      <c r="N6" s="1277"/>
      <c r="O6" s="1277"/>
      <c r="P6" s="1277"/>
      <c r="Q6" s="1277"/>
      <c r="R6" s="1277"/>
      <c r="S6" s="1277"/>
      <c r="T6" s="1277"/>
      <c r="U6" s="1277"/>
      <c r="V6" s="1277"/>
      <c r="W6" s="1277"/>
      <c r="X6" s="1277"/>
      <c r="Y6" s="1277"/>
      <c r="Z6" s="1277"/>
      <c r="AA6" s="1277"/>
      <c r="AB6" s="1277"/>
      <c r="AC6" s="1277"/>
      <c r="AD6" s="1277"/>
      <c r="AE6" s="1297"/>
      <c r="AF6" s="1297"/>
      <c r="AG6" s="1277"/>
      <c r="AH6" s="1277"/>
      <c r="AI6" s="1277"/>
      <c r="AJ6" s="1298"/>
    </row>
    <row r="7" spans="1:38">
      <c r="A7" s="1277" t="s">
        <v>229</v>
      </c>
      <c r="B7" s="1299">
        <f>'qtrP&amp;L'!D14</f>
        <v>110.121</v>
      </c>
      <c r="C7" s="1299">
        <f>'qtrP&amp;L'!H14</f>
        <v>133.036</v>
      </c>
      <c r="D7" s="1299">
        <f>'qtrP&amp;L'!L14</f>
        <v>156.49799999999999</v>
      </c>
      <c r="E7" s="1299">
        <f>'qtrP&amp;L'!P14</f>
        <v>173.26</v>
      </c>
      <c r="F7" s="1299">
        <f>'qtrP&amp;L'!T14</f>
        <v>209.86500000000001</v>
      </c>
      <c r="G7" s="1299">
        <f>'qtrP&amp;L'!X14</f>
        <v>278.113</v>
      </c>
      <c r="H7" s="1299">
        <f>+'qtrP&amp;L'!AB14</f>
        <v>295.33299999999997</v>
      </c>
      <c r="I7" s="1299">
        <f>+'qtrP&amp;L'!AF14</f>
        <v>348.95799999999997</v>
      </c>
      <c r="J7" s="1299">
        <f>+'qtrP&amp;L'!AJ14</f>
        <v>422.75399999999996</v>
      </c>
      <c r="K7" s="1299">
        <f>yrSales!K13</f>
        <v>497.21700000000004</v>
      </c>
      <c r="L7" s="1299">
        <f>+'qtrP&amp;L'!AU14</f>
        <v>827.75</v>
      </c>
      <c r="M7" s="1299">
        <f>'qtrP&amp;L'!AY14</f>
        <v>1092.107</v>
      </c>
      <c r="N7" s="1299">
        <f>'qtrP&amp;L'!BC14</f>
        <v>1224.7170000000001</v>
      </c>
      <c r="O7" s="1299">
        <f>+'qtrP&amp;L'!BG14</f>
        <v>1507.7239999999999</v>
      </c>
      <c r="P7" s="1299">
        <f>'qtrP&amp;L'!BK14</f>
        <v>1834.6179999999999</v>
      </c>
      <c r="Q7" s="1299">
        <f>'qtrP&amp;L'!BO14</f>
        <v>1937.8150000000001</v>
      </c>
      <c r="R7" s="1299">
        <f>+'qtrP&amp;L'!BS14</f>
        <v>2274.1019999999999</v>
      </c>
      <c r="S7" s="1299">
        <f>yrSales!S13</f>
        <v>2473.8010000000004</v>
      </c>
      <c r="T7" s="1299">
        <f>yrSales!T13</f>
        <v>2794.9250000000002</v>
      </c>
      <c r="U7" s="1299">
        <f>yrSales!U13</f>
        <v>3086.64446</v>
      </c>
      <c r="V7" s="1299">
        <f>yrSales!V13</f>
        <v>3323.3465000000001</v>
      </c>
      <c r="W7" s="1299">
        <f>yrSales!W13</f>
        <v>3445.134</v>
      </c>
      <c r="X7" s="1299">
        <f>'qtrP&amp;L'!CQ14</f>
        <v>3545.7939999999999</v>
      </c>
      <c r="Y7" s="1299">
        <f>'qtrP&amp;L'!$CU$14</f>
        <v>3616.0140000000001</v>
      </c>
      <c r="Z7" s="1299">
        <f>'qtrP&amp;L'!CY14</f>
        <v>3780.8670300681124</v>
      </c>
      <c r="AA7" s="1299">
        <f>yrSales!AA13</f>
        <v>3842.0676519982039</v>
      </c>
      <c r="AB7" s="1299">
        <f>yrSales!AB13</f>
        <v>3916.705838467351</v>
      </c>
      <c r="AC7" s="1299">
        <f>yrSales!AC13</f>
        <v>3984.0831573459695</v>
      </c>
      <c r="AD7" s="1299">
        <f>yrSales!AD13</f>
        <v>4045.0758316509987</v>
      </c>
      <c r="AE7" s="1300"/>
      <c r="AF7" s="1300"/>
      <c r="AG7" s="1301">
        <f>((Y7/T7)^(1/5)-1)*100</f>
        <v>5.2863303323114064</v>
      </c>
      <c r="AH7" s="1302" t="s">
        <v>208</v>
      </c>
      <c r="AI7" s="1301">
        <f>((AD7/Y7)^(1/5)-1)*100</f>
        <v>2.2678940571974282</v>
      </c>
      <c r="AJ7" s="1303" t="s">
        <v>208</v>
      </c>
      <c r="AK7" s="527">
        <f>(V7/S7)^(1/3)-1</f>
        <v>0.10341009888520913</v>
      </c>
      <c r="AL7" s="527">
        <f>(AA7/X7)^(1/3)-1</f>
        <v>2.7110500035799845E-2</v>
      </c>
    </row>
    <row r="8" spans="1:38">
      <c r="A8" s="1277" t="s">
        <v>230</v>
      </c>
      <c r="B8" s="1276"/>
      <c r="C8" s="903">
        <f t="shared" ref="C8:W8" si="3">(C7-B7)/B7</f>
        <v>0.20808928360621504</v>
      </c>
      <c r="D8" s="903">
        <f t="shared" si="3"/>
        <v>0.17635827896208536</v>
      </c>
      <c r="E8" s="903">
        <f t="shared" si="3"/>
        <v>0.10710680008690208</v>
      </c>
      <c r="F8" s="903">
        <f t="shared" si="3"/>
        <v>0.21127207664781264</v>
      </c>
      <c r="G8" s="903">
        <f t="shared" si="3"/>
        <v>0.32519953303314031</v>
      </c>
      <c r="H8" s="903">
        <f t="shared" si="3"/>
        <v>6.1917278228633577E-2</v>
      </c>
      <c r="I8" s="903">
        <f t="shared" si="3"/>
        <v>0.18157469703690413</v>
      </c>
      <c r="J8" s="903">
        <f t="shared" si="3"/>
        <v>0.21147530648387486</v>
      </c>
      <c r="K8" s="903">
        <f t="shared" si="3"/>
        <v>0.17613789579755623</v>
      </c>
      <c r="L8" s="903">
        <f t="shared" si="3"/>
        <v>0.6647660880460643</v>
      </c>
      <c r="M8" s="903">
        <f t="shared" si="3"/>
        <v>0.31936816671700391</v>
      </c>
      <c r="N8" s="903">
        <f t="shared" si="3"/>
        <v>0.12142583098542555</v>
      </c>
      <c r="O8" s="903">
        <f t="shared" si="3"/>
        <v>0.23107950653089637</v>
      </c>
      <c r="P8" s="903">
        <f t="shared" si="3"/>
        <v>0.21681289148411781</v>
      </c>
      <c r="Q8" s="903">
        <f t="shared" si="3"/>
        <v>5.6249856918443031E-2</v>
      </c>
      <c r="R8" s="903">
        <f t="shared" si="3"/>
        <v>0.17353926974453177</v>
      </c>
      <c r="S8" s="903">
        <f t="shared" si="3"/>
        <v>8.7814442799839465E-2</v>
      </c>
      <c r="T8" s="903">
        <f t="shared" si="3"/>
        <v>0.12980995641929149</v>
      </c>
      <c r="U8" s="903">
        <f t="shared" si="3"/>
        <v>0.10437470057336057</v>
      </c>
      <c r="V8" s="903">
        <f t="shared" si="3"/>
        <v>7.6685877841596348E-2</v>
      </c>
      <c r="W8" s="903">
        <f t="shared" si="3"/>
        <v>3.6646043378263417E-2</v>
      </c>
      <c r="X8" s="903">
        <f t="shared" ref="X8:AD8" si="4">(X7-W7)/W7</f>
        <v>2.9218021708299256E-2</v>
      </c>
      <c r="Y8" s="903">
        <f t="shared" si="4"/>
        <v>1.9803744944009792E-2</v>
      </c>
      <c r="Z8" s="903">
        <f t="shared" si="4"/>
        <v>4.5589710125047159E-2</v>
      </c>
      <c r="AA8" s="903">
        <f t="shared" si="4"/>
        <v>1.6186927877489782E-2</v>
      </c>
      <c r="AB8" s="903">
        <f t="shared" si="4"/>
        <v>1.9426567470858774E-2</v>
      </c>
      <c r="AC8" s="903">
        <f t="shared" si="4"/>
        <v>1.7202547665663863E-2</v>
      </c>
      <c r="AD8" s="903">
        <f t="shared" si="4"/>
        <v>1.5309086657131907E-2</v>
      </c>
      <c r="AE8" s="1304"/>
      <c r="AF8" s="1304"/>
      <c r="AG8" s="1301"/>
      <c r="AH8" s="1305"/>
      <c r="AI8" s="1301"/>
      <c r="AJ8" s="1306"/>
    </row>
    <row r="9" spans="1:38">
      <c r="A9" s="1277"/>
      <c r="B9" s="1276"/>
      <c r="C9" s="1276"/>
      <c r="D9" s="1276"/>
      <c r="E9" s="1276"/>
      <c r="F9" s="1276"/>
      <c r="G9" s="1276"/>
      <c r="H9" s="1276"/>
      <c r="I9" s="1276"/>
      <c r="J9" s="1276"/>
      <c r="K9" s="903"/>
      <c r="L9" s="903"/>
      <c r="M9" s="903"/>
      <c r="N9" s="903"/>
      <c r="O9" s="903"/>
      <c r="P9" s="903"/>
      <c r="Q9" s="903"/>
      <c r="R9" s="903"/>
      <c r="S9" s="903"/>
      <c r="T9" s="903"/>
      <c r="U9" s="903"/>
      <c r="V9" s="903"/>
      <c r="W9" s="903"/>
      <c r="X9" s="903"/>
      <c r="Y9" s="903"/>
      <c r="Z9" s="903"/>
      <c r="AA9" s="903"/>
      <c r="AB9" s="903"/>
      <c r="AC9" s="903"/>
      <c r="AD9" s="903"/>
      <c r="AE9" s="1304"/>
      <c r="AF9" s="1304"/>
      <c r="AG9" s="1301"/>
      <c r="AH9" s="1302"/>
      <c r="AI9" s="1301"/>
      <c r="AJ9" s="1303"/>
    </row>
    <row r="10" spans="1:38">
      <c r="A10" s="1277" t="s">
        <v>231</v>
      </c>
      <c r="B10" s="1276">
        <f>'qtrP&amp;L'!D24</f>
        <v>52.795999999999992</v>
      </c>
      <c r="C10" s="1276">
        <f>'qtrP&amp;L'!H24</f>
        <v>65.453000000000003</v>
      </c>
      <c r="D10" s="1276">
        <f>'qtrP&amp;L'!L24</f>
        <v>99.411000000000001</v>
      </c>
      <c r="E10" s="1276">
        <f>'qtrP&amp;L'!P24</f>
        <v>112.69800000000001</v>
      </c>
      <c r="F10" s="1276">
        <f>'qtrP&amp;L'!T24</f>
        <v>131.08499999999998</v>
      </c>
      <c r="G10" s="1276">
        <f>'qtrP&amp;L'!X24</f>
        <v>173.45899999999997</v>
      </c>
      <c r="H10" s="1276">
        <f>'qtrP&amp;L'!AB24</f>
        <v>200.00099999999998</v>
      </c>
      <c r="I10" s="1276">
        <f>+'qtrP&amp;L'!AF24</f>
        <v>235.31100000000001</v>
      </c>
      <c r="J10" s="1276">
        <f>+'qtrP&amp;L'!AJ24</f>
        <v>271.96299999999997</v>
      </c>
      <c r="K10" s="1276">
        <f>+'qtrP&amp;L'!AN24</f>
        <v>334.88800000000003</v>
      </c>
      <c r="L10" s="1276">
        <f>+'qtrP&amp;L'!AU24</f>
        <v>489.00000000000011</v>
      </c>
      <c r="M10" s="1276">
        <f>'qtrP&amp;L'!AY24</f>
        <v>643.50099999999998</v>
      </c>
      <c r="N10" s="1276">
        <f>'qtrP&amp;L'!BC24</f>
        <v>772.79599999999994</v>
      </c>
      <c r="O10" s="1276">
        <f>+'qtrP&amp;L'!BG24</f>
        <v>930.952</v>
      </c>
      <c r="P10" s="1276">
        <f>'qtrP&amp;L'!BK24</f>
        <v>1121.1400000000001</v>
      </c>
      <c r="Q10" s="1276">
        <f>'qtrP&amp;L'!BO24</f>
        <v>1151.67</v>
      </c>
      <c r="R10" s="1276">
        <f>'qtrP&amp;L'!$BS$24</f>
        <v>1337.482</v>
      </c>
      <c r="S10" s="1276">
        <f>'qtrP&amp;L'!$BW$24</f>
        <v>1613.2649999999999</v>
      </c>
      <c r="T10" s="1276">
        <f>+'qtrP&amp;L'!$CA$24</f>
        <v>1763.394</v>
      </c>
      <c r="U10" s="1276">
        <f>'qtrP&amp;L'!CE24</f>
        <v>1925.2660000000001</v>
      </c>
      <c r="V10" s="1276">
        <f>'qtrP&amp;L'!CI24</f>
        <v>2148.1469999999999</v>
      </c>
      <c r="W10" s="1276">
        <f>'qtrP&amp;L'!CM24</f>
        <v>2243.232</v>
      </c>
      <c r="X10" s="1276">
        <f>'qtrP&amp;L'!CQ24</f>
        <v>2296.84</v>
      </c>
      <c r="Y10" s="1276">
        <f>'qtrP&amp;L'!$CU$24</f>
        <v>2429.0970000000002</v>
      </c>
      <c r="Z10" s="1276">
        <f>'qtrP&amp;L'!CY24</f>
        <v>2525.7731349124797</v>
      </c>
      <c r="AA10" s="1276">
        <f>+AA7*(1-AA11)</f>
        <v>2559.5854697612035</v>
      </c>
      <c r="AB10" s="1276">
        <f>+AB7*(1-AB11)</f>
        <v>2608.1344178354088</v>
      </c>
      <c r="AC10" s="1276">
        <f>+AC7*(1-AC11)</f>
        <v>2648.6184830036009</v>
      </c>
      <c r="AD10" s="1276">
        <f>+AD7*(1-AD11)</f>
        <v>2686.7393673825932</v>
      </c>
      <c r="AE10" s="1304"/>
      <c r="AF10" s="1304"/>
      <c r="AG10" s="1301">
        <f>((Y10/T10)^(1/5)-1)*100</f>
        <v>6.6151935757920333</v>
      </c>
      <c r="AH10" s="1302" t="s">
        <v>208</v>
      </c>
      <c r="AI10" s="1301">
        <f>((AD10/Y10)^(1/5)-1)*100</f>
        <v>2.0366369705822063</v>
      </c>
      <c r="AJ10" s="1303" t="s">
        <v>208</v>
      </c>
    </row>
    <row r="11" spans="1:38">
      <c r="A11" s="1277" t="s">
        <v>304</v>
      </c>
      <c r="B11" s="903">
        <f t="shared" ref="B11:U11" si="5">(B7-B10)/B7</f>
        <v>0.52056374351849333</v>
      </c>
      <c r="C11" s="903">
        <f t="shared" si="5"/>
        <v>0.50800535193481466</v>
      </c>
      <c r="D11" s="903">
        <f t="shared" si="5"/>
        <v>0.36477782463673653</v>
      </c>
      <c r="E11" s="903">
        <f t="shared" si="5"/>
        <v>0.34954403786217236</v>
      </c>
      <c r="F11" s="903">
        <f t="shared" si="5"/>
        <v>0.37538417554141962</v>
      </c>
      <c r="G11" s="903">
        <f t="shared" si="5"/>
        <v>0.37630028082110517</v>
      </c>
      <c r="H11" s="903">
        <f t="shared" si="5"/>
        <v>0.32279494672115883</v>
      </c>
      <c r="I11" s="903">
        <f t="shared" si="5"/>
        <v>0.325675296167447</v>
      </c>
      <c r="J11" s="903">
        <f t="shared" si="5"/>
        <v>0.356687340628356</v>
      </c>
      <c r="K11" s="903">
        <f t="shared" si="5"/>
        <v>0.32647516074470501</v>
      </c>
      <c r="L11" s="903">
        <f t="shared" si="5"/>
        <v>0.40924192086982769</v>
      </c>
      <c r="M11" s="903">
        <f t="shared" si="5"/>
        <v>0.41077110576161496</v>
      </c>
      <c r="N11" s="903">
        <f t="shared" si="5"/>
        <v>0.3690003486519744</v>
      </c>
      <c r="O11" s="903">
        <f t="shared" si="5"/>
        <v>0.38254481589468625</v>
      </c>
      <c r="P11" s="903">
        <f t="shared" si="5"/>
        <v>0.38889730723235022</v>
      </c>
      <c r="Q11" s="903">
        <f t="shared" si="5"/>
        <v>0.40568630132391376</v>
      </c>
      <c r="R11" s="903">
        <f t="shared" si="5"/>
        <v>0.41186367190213979</v>
      </c>
      <c r="S11" s="903">
        <f t="shared" si="5"/>
        <v>0.34785983189431985</v>
      </c>
      <c r="T11" s="903">
        <f t="shared" si="5"/>
        <v>0.36907287315402026</v>
      </c>
      <c r="U11" s="903">
        <f t="shared" si="5"/>
        <v>0.3762592274718935</v>
      </c>
      <c r="V11" s="903">
        <f>(V7-V10)/V7</f>
        <v>0.35361931113713246</v>
      </c>
      <c r="W11" s="903">
        <f>(W7-W10)/W7</f>
        <v>0.34886944890967958</v>
      </c>
      <c r="X11" s="903">
        <f>(X7-X10)/X7</f>
        <v>0.35223535264597994</v>
      </c>
      <c r="Y11" s="903">
        <f>(Y7-Y10)/Y7</f>
        <v>0.32823904995943043</v>
      </c>
      <c r="Z11" s="903">
        <f>(Z7-Z10)/Z7</f>
        <v>0.33195927949177895</v>
      </c>
      <c r="AA11" s="1307">
        <v>0.33379999999999999</v>
      </c>
      <c r="AB11" s="1307">
        <v>0.33410000000000001</v>
      </c>
      <c r="AC11" s="1307">
        <v>0.3352</v>
      </c>
      <c r="AD11" s="1307">
        <v>0.33579999999999999</v>
      </c>
      <c r="AE11" s="1304"/>
      <c r="AF11" s="1304"/>
      <c r="AG11" s="1301"/>
      <c r="AH11" s="1305"/>
      <c r="AI11" s="1301"/>
      <c r="AJ11" s="1306"/>
    </row>
    <row r="12" spans="1:38">
      <c r="A12" s="1308" t="s">
        <v>49</v>
      </c>
      <c r="B12" s="903"/>
      <c r="C12" s="1309">
        <v>9.0570000000000004</v>
      </c>
      <c r="D12" s="1309">
        <v>10.545</v>
      </c>
      <c r="E12" s="1309">
        <v>12.010999999999999</v>
      </c>
      <c r="F12" s="1309">
        <v>14.593999999999999</v>
      </c>
      <c r="G12" s="1309">
        <v>19.032</v>
      </c>
      <c r="H12" s="1309">
        <v>25.824000000000002</v>
      </c>
      <c r="I12" s="1309">
        <v>32.92</v>
      </c>
      <c r="J12" s="1309">
        <v>37.771999999999998</v>
      </c>
      <c r="K12" s="1309">
        <v>44.595999999999997</v>
      </c>
      <c r="L12" s="1309">
        <f>54.992+2.329</f>
        <v>57.320999999999998</v>
      </c>
      <c r="M12" s="1309">
        <v>72</v>
      </c>
      <c r="N12" s="1309">
        <v>84.9</v>
      </c>
      <c r="O12" s="1309">
        <v>100</v>
      </c>
      <c r="P12" s="1309">
        <v>114.9</v>
      </c>
      <c r="Q12" s="1309">
        <v>128.97800000000001</v>
      </c>
      <c r="R12" s="1309">
        <f>143.919+5.836</f>
        <v>149.75500000000002</v>
      </c>
      <c r="S12" s="1309">
        <f>165.901+5.403</f>
        <v>171.304</v>
      </c>
      <c r="T12" s="1309">
        <f>186.804+5.714</f>
        <v>192.518</v>
      </c>
      <c r="U12" s="1309">
        <f>205.759+5.542</f>
        <v>211.30099999999999</v>
      </c>
      <c r="V12" s="1309">
        <f>234.982+3.901</f>
        <v>238.88300000000001</v>
      </c>
      <c r="W12" s="1309">
        <f>245.474+2.704</f>
        <v>248.178</v>
      </c>
      <c r="X12" s="1309">
        <f>260.421+2.244</f>
        <v>262.66500000000002</v>
      </c>
      <c r="Y12" s="1635">
        <f>X12*1.045</f>
        <v>274.48492499999998</v>
      </c>
      <c r="Z12" s="1276">
        <f>+Z7*Z13</f>
        <v>294.90762834531279</v>
      </c>
      <c r="AA12" s="1276">
        <f>+AA7*AA13</f>
        <v>299.68127685585989</v>
      </c>
      <c r="AB12" s="1276">
        <f>+AB7*AB13</f>
        <v>305.50305540045338</v>
      </c>
      <c r="AC12" s="1276">
        <f>+AC7*AC13</f>
        <v>310.75848627298564</v>
      </c>
      <c r="AD12" s="1276">
        <f>+AD7*AD13</f>
        <v>315.51591486877788</v>
      </c>
      <c r="AE12" s="1304"/>
      <c r="AF12" s="1304"/>
      <c r="AG12" s="1301"/>
      <c r="AH12" s="1305"/>
      <c r="AI12" s="1301"/>
      <c r="AJ12" s="1306"/>
    </row>
    <row r="13" spans="1:38">
      <c r="A13" s="1310" t="s">
        <v>50</v>
      </c>
      <c r="B13" s="903"/>
      <c r="C13" s="903">
        <f t="shared" ref="C13:K13" si="6">+C12/C7</f>
        <v>6.8079316876634904E-2</v>
      </c>
      <c r="D13" s="903">
        <f t="shared" si="6"/>
        <v>6.7381052793006949E-2</v>
      </c>
      <c r="E13" s="903">
        <f t="shared" si="6"/>
        <v>6.9323559967678638E-2</v>
      </c>
      <c r="F13" s="903">
        <f t="shared" si="6"/>
        <v>6.9539942343887731E-2</v>
      </c>
      <c r="G13" s="903">
        <f t="shared" si="6"/>
        <v>6.8432615519590956E-2</v>
      </c>
      <c r="H13" s="903">
        <f t="shared" si="6"/>
        <v>8.7440279277967603E-2</v>
      </c>
      <c r="I13" s="903">
        <f t="shared" si="6"/>
        <v>9.4338000561672186E-2</v>
      </c>
      <c r="J13" s="903">
        <f t="shared" si="6"/>
        <v>8.9347469213774441E-2</v>
      </c>
      <c r="K13" s="903">
        <f t="shared" si="6"/>
        <v>8.9691221337967114E-2</v>
      </c>
      <c r="L13" s="903">
        <f t="shared" ref="L13:Y13" si="7">+L12/L7</f>
        <v>6.9249169435215946E-2</v>
      </c>
      <c r="M13" s="903">
        <f t="shared" si="7"/>
        <v>6.5927605994650709E-2</v>
      </c>
      <c r="N13" s="903">
        <f t="shared" si="7"/>
        <v>6.932213727742817E-2</v>
      </c>
      <c r="O13" s="903">
        <f t="shared" si="7"/>
        <v>6.6325136430805648E-2</v>
      </c>
      <c r="P13" s="903">
        <f t="shared" si="7"/>
        <v>6.2628841535404101E-2</v>
      </c>
      <c r="Q13" s="903">
        <f t="shared" si="7"/>
        <v>6.6558469203716566E-2</v>
      </c>
      <c r="R13" s="903">
        <f t="shared" si="7"/>
        <v>6.5852367220115907E-2</v>
      </c>
      <c r="S13" s="903">
        <f t="shared" si="7"/>
        <v>6.9247283835684431E-2</v>
      </c>
      <c r="T13" s="903">
        <f t="shared" si="7"/>
        <v>6.8881275883968265E-2</v>
      </c>
      <c r="U13" s="903">
        <f t="shared" si="7"/>
        <v>6.8456540018865655E-2</v>
      </c>
      <c r="V13" s="903">
        <f t="shared" si="7"/>
        <v>7.1880256843516011E-2</v>
      </c>
      <c r="W13" s="903">
        <f t="shared" si="7"/>
        <v>7.2037256025455035E-2</v>
      </c>
      <c r="X13" s="903">
        <f t="shared" si="7"/>
        <v>7.4077907515213814E-2</v>
      </c>
      <c r="Y13" s="903">
        <f t="shared" si="7"/>
        <v>7.5908147756065095E-2</v>
      </c>
      <c r="Z13" s="1307">
        <v>7.8E-2</v>
      </c>
      <c r="AA13" s="1307">
        <v>7.8E-2</v>
      </c>
      <c r="AB13" s="1307">
        <v>7.8E-2</v>
      </c>
      <c r="AC13" s="1307">
        <v>7.8E-2</v>
      </c>
      <c r="AD13" s="1307">
        <v>7.8E-2</v>
      </c>
      <c r="AE13" s="1304"/>
      <c r="AF13" s="1304"/>
      <c r="AG13" s="1301"/>
      <c r="AH13" s="1305"/>
      <c r="AI13" s="1301"/>
      <c r="AJ13" s="1306"/>
    </row>
    <row r="14" spans="1:38" hidden="1" outlineLevel="1">
      <c r="A14" s="1311" t="s">
        <v>634</v>
      </c>
      <c r="B14" s="903"/>
      <c r="C14" s="903"/>
      <c r="D14" s="903"/>
      <c r="E14" s="903"/>
      <c r="F14" s="903"/>
      <c r="G14" s="903"/>
      <c r="H14" s="903"/>
      <c r="I14" s="903"/>
      <c r="J14" s="903"/>
      <c r="K14" s="903">
        <f>K12/J12-1</f>
        <v>0.18066292491792857</v>
      </c>
      <c r="L14" s="903">
        <f t="shared" ref="L14:AD14" si="8">L12/K12-1</f>
        <v>0.28533949233115075</v>
      </c>
      <c r="M14" s="903">
        <f t="shared" si="8"/>
        <v>0.25608415763856174</v>
      </c>
      <c r="N14" s="903">
        <f t="shared" si="8"/>
        <v>0.1791666666666667</v>
      </c>
      <c r="O14" s="903">
        <f t="shared" si="8"/>
        <v>0.17785630153121312</v>
      </c>
      <c r="P14" s="903">
        <f t="shared" si="8"/>
        <v>0.14900000000000002</v>
      </c>
      <c r="Q14" s="903">
        <f t="shared" si="8"/>
        <v>0.12252393385552662</v>
      </c>
      <c r="R14" s="903">
        <f t="shared" si="8"/>
        <v>0.16108948812975865</v>
      </c>
      <c r="S14" s="903">
        <f t="shared" si="8"/>
        <v>0.14389502854662606</v>
      </c>
      <c r="T14" s="903">
        <f t="shared" si="8"/>
        <v>0.12383832251436044</v>
      </c>
      <c r="U14" s="903">
        <f t="shared" si="8"/>
        <v>9.7564903022055116E-2</v>
      </c>
      <c r="V14" s="903">
        <f t="shared" si="8"/>
        <v>0.13053416689935227</v>
      </c>
      <c r="W14" s="903">
        <f t="shared" si="8"/>
        <v>3.8910261508771971E-2</v>
      </c>
      <c r="X14" s="903">
        <f>X12/W12-1</f>
        <v>5.8373425525227951E-2</v>
      </c>
      <c r="Y14" s="903">
        <f t="shared" si="8"/>
        <v>4.4999999999999929E-2</v>
      </c>
      <c r="Z14" s="903">
        <f t="shared" si="8"/>
        <v>7.440373399490996E-2</v>
      </c>
      <c r="AA14" s="903">
        <f t="shared" si="8"/>
        <v>1.6186927877489765E-2</v>
      </c>
      <c r="AB14" s="903">
        <f t="shared" si="8"/>
        <v>1.9426567470858913E-2</v>
      </c>
      <c r="AC14" s="903">
        <f t="shared" si="8"/>
        <v>1.720254766566387E-2</v>
      </c>
      <c r="AD14" s="903">
        <f t="shared" si="8"/>
        <v>1.5309086657131932E-2</v>
      </c>
      <c r="AE14" s="1304"/>
      <c r="AF14" s="1304"/>
      <c r="AG14" s="1301"/>
      <c r="AH14" s="1305"/>
      <c r="AI14" s="1301"/>
      <c r="AJ14" s="1306"/>
    </row>
    <row r="15" spans="1:38" hidden="1" outlineLevel="1">
      <c r="A15" s="1310" t="s">
        <v>51</v>
      </c>
      <c r="B15" s="903"/>
      <c r="C15" s="903">
        <f t="shared" ref="C15:I15" si="9">+(C7-C10+C12)/C7</f>
        <v>0.57608466881144949</v>
      </c>
      <c r="D15" s="903">
        <f t="shared" si="9"/>
        <v>0.43215887742974346</v>
      </c>
      <c r="E15" s="903">
        <f t="shared" si="9"/>
        <v>0.418867597829851</v>
      </c>
      <c r="F15" s="903">
        <f t="shared" si="9"/>
        <v>0.44492411788530734</v>
      </c>
      <c r="G15" s="903">
        <f t="shared" si="9"/>
        <v>0.44473289634069613</v>
      </c>
      <c r="H15" s="903">
        <f t="shared" si="9"/>
        <v>0.41023522599912643</v>
      </c>
      <c r="I15" s="903">
        <f t="shared" si="9"/>
        <v>0.42001329672911913</v>
      </c>
      <c r="J15" s="903">
        <f t="shared" ref="J15:Q15" si="10">+(J7-J10+J12)/J7</f>
        <v>0.4460348098421304</v>
      </c>
      <c r="K15" s="903">
        <f t="shared" si="10"/>
        <v>0.41616638208267215</v>
      </c>
      <c r="L15" s="903">
        <f t="shared" si="10"/>
        <v>0.47849109030504366</v>
      </c>
      <c r="M15" s="903">
        <f t="shared" si="10"/>
        <v>0.47669871175626566</v>
      </c>
      <c r="N15" s="903">
        <f t="shared" si="10"/>
        <v>0.43832248592940254</v>
      </c>
      <c r="O15" s="903">
        <f t="shared" si="10"/>
        <v>0.44886995232549193</v>
      </c>
      <c r="P15" s="903">
        <f t="shared" si="10"/>
        <v>0.45152614876775427</v>
      </c>
      <c r="Q15" s="903">
        <f t="shared" si="10"/>
        <v>0.47224477052763036</v>
      </c>
      <c r="R15" s="903">
        <f t="shared" ref="R15:Y15" si="11">+(R7-R10+R12)/R7</f>
        <v>0.47771603912225574</v>
      </c>
      <c r="S15" s="903">
        <f t="shared" si="11"/>
        <v>0.41710711573000431</v>
      </c>
      <c r="T15" s="903">
        <f t="shared" si="11"/>
        <v>0.43795414903798852</v>
      </c>
      <c r="U15" s="903">
        <f>+(U7-U10+U12)/U7</f>
        <v>0.44471576749075914</v>
      </c>
      <c r="V15" s="903">
        <f>+(V7-V10+V12)/V7</f>
        <v>0.42549956798064847</v>
      </c>
      <c r="W15" s="903">
        <f t="shared" si="11"/>
        <v>0.4209067049351346</v>
      </c>
      <c r="X15" s="903">
        <f t="shared" si="11"/>
        <v>0.42631326016119375</v>
      </c>
      <c r="Y15" s="903">
        <f t="shared" si="11"/>
        <v>0.40414719771549551</v>
      </c>
      <c r="Z15" s="903">
        <f>+(Z7-Z10+Z12)/Z7</f>
        <v>0.40995927949177896</v>
      </c>
      <c r="AA15" s="903">
        <f>+(AA7-AA10+AA12)/AA7</f>
        <v>0.41179999999999994</v>
      </c>
      <c r="AB15" s="903">
        <f>+(AB7-AB10+AB12)/AB7</f>
        <v>0.41210000000000002</v>
      </c>
      <c r="AC15" s="903">
        <f>+(AC7-AC10+AC12)/AC7</f>
        <v>0.41319999999999996</v>
      </c>
      <c r="AD15" s="903">
        <f>+(AD7-AD10+AD12)/AD7</f>
        <v>0.4138</v>
      </c>
      <c r="AE15" s="1304"/>
      <c r="AF15" s="1304"/>
      <c r="AG15" s="1301"/>
      <c r="AH15" s="1305"/>
      <c r="AI15" s="1301"/>
      <c r="AJ15" s="1306"/>
    </row>
    <row r="16" spans="1:38" hidden="1" outlineLevel="1">
      <c r="A16" s="1312" t="s">
        <v>539</v>
      </c>
      <c r="B16" s="903"/>
      <c r="C16" s="903"/>
      <c r="D16" s="903"/>
      <c r="E16" s="903"/>
      <c r="F16" s="1276">
        <f>+F12+4.58089444444444</f>
        <v>19.17489444444444</v>
      </c>
      <c r="G16" s="1276">
        <f>G12+5.97393333333333</f>
        <v>25.005933333333331</v>
      </c>
      <c r="H16" s="1276">
        <f>H12+8.10586666666667</f>
        <v>33.929866666666669</v>
      </c>
      <c r="I16" s="1276">
        <f>I12+10.3332222222222</f>
        <v>43.253222222222206</v>
      </c>
      <c r="J16" s="1276">
        <f>J12+11.8562111111111</f>
        <v>49.628211111111099</v>
      </c>
      <c r="K16" s="1276">
        <f>K12+13.9981888888889</f>
        <v>58.594188888888894</v>
      </c>
      <c r="L16" s="1276">
        <f>L12+17.992425</f>
        <v>75.313424999999995</v>
      </c>
      <c r="M16" s="1276">
        <f>M12+22.6</f>
        <v>94.6</v>
      </c>
      <c r="N16" s="1276">
        <f>N12+31.2</f>
        <v>116.10000000000001</v>
      </c>
      <c r="O16" s="1276">
        <f>O12+38.9</f>
        <v>138.9</v>
      </c>
      <c r="P16" s="1276">
        <f>P12+42.4</f>
        <v>157.30000000000001</v>
      </c>
      <c r="Q16" s="1276">
        <f>+Q12+48.422</f>
        <v>177.4</v>
      </c>
      <c r="R16" s="1276">
        <f>(Q16/Q12)*R12</f>
        <v>205.97727519421917</v>
      </c>
      <c r="S16" s="1276">
        <f>+S12*1.37</f>
        <v>234.68648000000002</v>
      </c>
      <c r="T16" s="1276">
        <f>+T12*1.365</f>
        <v>262.78706999999997</v>
      </c>
      <c r="U16" s="1276">
        <f>+U12*1.365</f>
        <v>288.42586499999999</v>
      </c>
      <c r="V16" s="1276">
        <f t="shared" ref="V16:AC16" si="12">+V12*1.36</f>
        <v>324.88088000000005</v>
      </c>
      <c r="W16" s="1276">
        <f t="shared" si="12"/>
        <v>337.52208000000002</v>
      </c>
      <c r="X16" s="1276">
        <f t="shared" si="12"/>
        <v>357.22440000000006</v>
      </c>
      <c r="Y16" s="1276">
        <f t="shared" si="12"/>
        <v>373.29949799999997</v>
      </c>
      <c r="Z16" s="1276">
        <f t="shared" si="12"/>
        <v>401.07437454962542</v>
      </c>
      <c r="AA16" s="1276">
        <f t="shared" si="12"/>
        <v>407.56653652396949</v>
      </c>
      <c r="AB16" s="1276">
        <f t="shared" si="12"/>
        <v>415.48415534461662</v>
      </c>
      <c r="AC16" s="1276">
        <f t="shared" si="12"/>
        <v>422.63154133126051</v>
      </c>
      <c r="AD16" s="1276">
        <f t="shared" ref="AD16" si="13">+AD12*1.36</f>
        <v>429.10164422153798</v>
      </c>
      <c r="AE16" s="1304"/>
      <c r="AF16" s="1304"/>
      <c r="AG16" s="1301"/>
      <c r="AH16" s="1305"/>
      <c r="AI16" s="1301"/>
      <c r="AJ16" s="1306"/>
    </row>
    <row r="17" spans="1:38" hidden="1" outlineLevel="1">
      <c r="A17" s="1312" t="s">
        <v>540</v>
      </c>
      <c r="B17" s="903"/>
      <c r="C17" s="903"/>
      <c r="D17" s="903"/>
      <c r="E17" s="903"/>
      <c r="F17" s="903">
        <f>+F16/F7</f>
        <v>9.1367757579608036E-2</v>
      </c>
      <c r="G17" s="903">
        <f t="shared" ref="G17:T17" si="14">+G16/G7</f>
        <v>8.9912853168795895E-2</v>
      </c>
      <c r="H17" s="903">
        <f t="shared" si="14"/>
        <v>0.11488681138466299</v>
      </c>
      <c r="I17" s="903">
        <f t="shared" si="14"/>
        <v>0.1239496507379748</v>
      </c>
      <c r="J17" s="903">
        <f t="shared" si="14"/>
        <v>0.11739264705032029</v>
      </c>
      <c r="K17" s="903">
        <f t="shared" si="14"/>
        <v>0.11784429914682903</v>
      </c>
      <c r="L17" s="903">
        <f t="shared" si="14"/>
        <v>9.0985714285714281E-2</v>
      </c>
      <c r="M17" s="903">
        <f t="shared" si="14"/>
        <v>8.6621548987416072E-2</v>
      </c>
      <c r="N17" s="903">
        <f t="shared" si="14"/>
        <v>9.4797410340511312E-2</v>
      </c>
      <c r="O17" s="903">
        <f t="shared" si="14"/>
        <v>9.2125614502389042E-2</v>
      </c>
      <c r="P17" s="903">
        <f t="shared" si="14"/>
        <v>8.573991969990484E-2</v>
      </c>
      <c r="Q17" s="903">
        <f t="shared" si="14"/>
        <v>9.1546406648725501E-2</v>
      </c>
      <c r="R17" s="903">
        <f t="shared" si="14"/>
        <v>9.0575213950042338E-2</v>
      </c>
      <c r="S17" s="903">
        <f t="shared" si="14"/>
        <v>9.4868778854887675E-2</v>
      </c>
      <c r="T17" s="903">
        <f t="shared" si="14"/>
        <v>9.402294158161667E-2</v>
      </c>
      <c r="U17" s="903">
        <f t="shared" ref="U17:Z17" si="15">+U16/U7</f>
        <v>9.3443177125751634E-2</v>
      </c>
      <c r="V17" s="903">
        <f t="shared" si="15"/>
        <v>9.7757149307181795E-2</v>
      </c>
      <c r="W17" s="903">
        <f t="shared" si="15"/>
        <v>9.7970668194618846E-2</v>
      </c>
      <c r="X17" s="903">
        <f t="shared" si="15"/>
        <v>0.10074595422069078</v>
      </c>
      <c r="Y17" s="903">
        <f t="shared" si="15"/>
        <v>0.10323508094824853</v>
      </c>
      <c r="Z17" s="903">
        <f t="shared" si="15"/>
        <v>0.10608000000000001</v>
      </c>
      <c r="AA17" s="903">
        <f>+AA16/AA7</f>
        <v>0.10608000000000001</v>
      </c>
      <c r="AB17" s="903">
        <f>+AB16/AB7</f>
        <v>0.10608000000000001</v>
      </c>
      <c r="AC17" s="903">
        <f>+AC16/AC7</f>
        <v>0.10608000000000002</v>
      </c>
      <c r="AD17" s="903">
        <f>+AD16/AD7</f>
        <v>0.10608000000000001</v>
      </c>
      <c r="AE17" s="1304"/>
      <c r="AF17" s="1304"/>
      <c r="AG17" s="1301"/>
      <c r="AH17" s="1305"/>
      <c r="AI17" s="1301"/>
      <c r="AJ17" s="1306"/>
    </row>
    <row r="18" spans="1:38" hidden="1" outlineLevel="1">
      <c r="A18" s="1313" t="s">
        <v>162</v>
      </c>
      <c r="B18" s="903"/>
      <c r="C18" s="1314"/>
      <c r="D18" s="1314">
        <v>3.4</v>
      </c>
      <c r="E18" s="1314">
        <v>4.3819999999999997</v>
      </c>
      <c r="F18" s="1314">
        <v>5.4089999999999998</v>
      </c>
      <c r="G18" s="1314">
        <v>8.0969999999999995</v>
      </c>
      <c r="H18" s="1314">
        <v>11.795</v>
      </c>
      <c r="I18" s="1314">
        <v>15.433999999999999</v>
      </c>
      <c r="J18" s="1314">
        <v>19.626999999999999</v>
      </c>
      <c r="K18" s="1314">
        <v>23.629000000000001</v>
      </c>
      <c r="L18" s="1314">
        <v>37.777000000000001</v>
      </c>
      <c r="M18" s="1314">
        <v>37.08</v>
      </c>
      <c r="N18" s="1314">
        <v>53.895000000000003</v>
      </c>
      <c r="O18" s="1314">
        <v>68.738</v>
      </c>
      <c r="P18" s="1314">
        <v>79.504999999999995</v>
      </c>
      <c r="Q18" s="1314">
        <v>86.146000000000001</v>
      </c>
      <c r="R18" s="1314">
        <v>92.403000000000006</v>
      </c>
      <c r="S18" s="1314">
        <v>100.739</v>
      </c>
      <c r="T18" s="1634">
        <v>113.38800000000001</v>
      </c>
      <c r="U18" s="1634">
        <v>121.732</v>
      </c>
      <c r="V18" s="1634">
        <f>flow!AP11</f>
        <v>138.11000000000001</v>
      </c>
      <c r="W18" s="1634">
        <f>flow!AR11</f>
        <v>142.72200000000001</v>
      </c>
      <c r="X18" s="1634">
        <f>flow!AT11</f>
        <v>135.33000000000001</v>
      </c>
      <c r="Y18" s="1634">
        <f>AVERAGE(yrSales!Y15,yrSales!Y26)*'yrP&amp;L'!Y19</f>
        <v>131.66999999999999</v>
      </c>
      <c r="Z18" s="1634">
        <f>AVERAGE(yrSales!Z15,yrSales!Z26)*'yrP&amp;L'!Z19</f>
        <v>132.99</v>
      </c>
      <c r="AA18" s="1634">
        <f>AVERAGE(yrSales!AA15,yrSales!AA26)*'yrP&amp;L'!AA19</f>
        <v>134.64000000000001</v>
      </c>
      <c r="AB18" s="1634">
        <f>AVERAGE(yrSales!AB15,yrSales!AB26)*'yrP&amp;L'!AB19</f>
        <v>137.28</v>
      </c>
      <c r="AC18" s="1634">
        <f>AVERAGE(yrSales!AC15,yrSales!AC26)*'yrP&amp;L'!AC19</f>
        <v>139.26</v>
      </c>
      <c r="AD18" s="1634">
        <f>AVERAGE(yrSales!AD15,yrSales!AD26)*'yrP&amp;L'!AD19</f>
        <v>140.58000000000001</v>
      </c>
      <c r="AE18" s="1304"/>
      <c r="AF18" s="1304"/>
      <c r="AG18" s="1301"/>
      <c r="AH18" s="1305"/>
      <c r="AI18" s="1301"/>
      <c r="AJ18" s="1306"/>
    </row>
    <row r="19" spans="1:38" hidden="1" outlineLevel="1">
      <c r="A19" s="1315" t="s">
        <v>637</v>
      </c>
      <c r="B19" s="903"/>
      <c r="C19" s="1314"/>
      <c r="D19" s="1314"/>
      <c r="E19" s="1314"/>
      <c r="F19" s="1314"/>
      <c r="G19" s="1314"/>
      <c r="H19" s="1314"/>
      <c r="I19" s="1314"/>
      <c r="J19" s="1314"/>
      <c r="K19" s="1314"/>
      <c r="L19" s="1316">
        <f>L18/AVERAGE(yrSales!L15,yrSales!L26)</f>
        <v>0.29513281250000001</v>
      </c>
      <c r="M19" s="1316">
        <f>M18/AVERAGE(yrSales!M15,yrSales!M26)</f>
        <v>0.23394321766561513</v>
      </c>
      <c r="N19" s="1316">
        <f>N18/AVERAGE(yrSales!N15,yrSales!N26)</f>
        <v>0.28217277486910997</v>
      </c>
      <c r="O19" s="1316">
        <f>O18/AVERAGE(yrSales!O15,yrSales!O26)</f>
        <v>0.30415044247787609</v>
      </c>
      <c r="P19" s="1316">
        <f>P18/AVERAGE(yrSales!P15,yrSales!P26)</f>
        <v>0.29500927643784786</v>
      </c>
      <c r="Q19" s="1316">
        <f>Q18/AVERAGE(yrSales!Q15,yrSales!Q26)</f>
        <v>0.27744283413848631</v>
      </c>
      <c r="R19" s="1316">
        <f>R18/AVERAGE(yrSales!R15,yrSales!R26)</f>
        <v>0.26438626609442062</v>
      </c>
      <c r="S19" s="1316">
        <f>S18/AVERAGE(yrSales!S15,yrSales!S26)</f>
        <v>0.25153308364544319</v>
      </c>
      <c r="T19" s="1316">
        <f>T18/AVERAGE(yrSales!T15,yrSales!T26)</f>
        <v>0.25058121546961326</v>
      </c>
      <c r="U19" s="1316">
        <f>U18/AVERAGE(yrSales!U15,yrSales!U26)</f>
        <v>0.24667071935157042</v>
      </c>
      <c r="V19" s="1316">
        <f>V18/AVERAGE(yrSales!V15,yrSales!V26)</f>
        <v>0.26132450331125828</v>
      </c>
      <c r="W19" s="1316">
        <f>W18/AVERAGE(yrSales!W15,yrSales!W26)</f>
        <v>0.25531663685152056</v>
      </c>
      <c r="X19" s="1316">
        <f>X18/AVERAGE(yrSales!X15,yrSales!X26)</f>
        <v>0.23212692967409951</v>
      </c>
      <c r="Y19" s="1317">
        <v>0.22</v>
      </c>
      <c r="Z19" s="1317">
        <f>Y19</f>
        <v>0.22</v>
      </c>
      <c r="AA19" s="1317">
        <f>Z19</f>
        <v>0.22</v>
      </c>
      <c r="AB19" s="1317">
        <f>AA19</f>
        <v>0.22</v>
      </c>
      <c r="AC19" s="1317">
        <f>AB19</f>
        <v>0.22</v>
      </c>
      <c r="AD19" s="1317">
        <f>AC19</f>
        <v>0.22</v>
      </c>
      <c r="AE19" s="1304"/>
      <c r="AF19" s="1304"/>
      <c r="AG19" s="1301"/>
      <c r="AH19" s="1305"/>
      <c r="AI19" s="1301"/>
      <c r="AJ19" s="1306"/>
    </row>
    <row r="20" spans="1:38" hidden="1" outlineLevel="1">
      <c r="A20" s="1310" t="s">
        <v>636</v>
      </c>
      <c r="B20" s="903"/>
      <c r="C20" s="903">
        <f t="shared" ref="C20:Z20" si="16">+(C7-C10+C16+C18)/C7</f>
        <v>0.50800535193481466</v>
      </c>
      <c r="D20" s="903">
        <f t="shared" si="16"/>
        <v>0.38650334189574304</v>
      </c>
      <c r="E20" s="903">
        <f t="shared" si="16"/>
        <v>0.37483550733002419</v>
      </c>
      <c r="F20" s="903">
        <f t="shared" si="16"/>
        <v>0.49252564479281669</v>
      </c>
      <c r="G20" s="903">
        <f t="shared" si="16"/>
        <v>0.4953271991360827</v>
      </c>
      <c r="H20" s="903">
        <f t="shared" si="16"/>
        <v>0.4776197264330998</v>
      </c>
      <c r="I20" s="903">
        <f t="shared" si="16"/>
        <v>0.49385376527324831</v>
      </c>
      <c r="J20" s="903">
        <f t="shared" si="16"/>
        <v>0.5205065146896567</v>
      </c>
      <c r="K20" s="903">
        <f t="shared" si="16"/>
        <v>0.49184197018382086</v>
      </c>
      <c r="L20" s="903">
        <f t="shared" si="16"/>
        <v>0.54586581093325259</v>
      </c>
      <c r="M20" s="903">
        <f t="shared" si="16"/>
        <v>0.53134537183627617</v>
      </c>
      <c r="N20" s="903">
        <f t="shared" si="16"/>
        <v>0.50780384366347497</v>
      </c>
      <c r="O20" s="903">
        <f t="shared" si="16"/>
        <v>0.52026100267688247</v>
      </c>
      <c r="P20" s="903">
        <f t="shared" si="16"/>
        <v>0.51797322385368494</v>
      </c>
      <c r="Q20" s="903">
        <f t="shared" si="16"/>
        <v>0.54168793202653509</v>
      </c>
      <c r="R20" s="903">
        <f t="shared" si="16"/>
        <v>0.54307162791916064</v>
      </c>
      <c r="S20" s="903">
        <f t="shared" si="16"/>
        <v>0.4834509647299845</v>
      </c>
      <c r="T20" s="903">
        <f t="shared" si="16"/>
        <v>0.50366506077980633</v>
      </c>
      <c r="U20" s="903">
        <f t="shared" si="16"/>
        <v>0.50914070129087685</v>
      </c>
      <c r="V20" s="903">
        <f t="shared" si="16"/>
        <v>0.49293396881727514</v>
      </c>
      <c r="W20" s="903">
        <f t="shared" si="16"/>
        <v>0.48826724301580143</v>
      </c>
      <c r="X20" s="903">
        <f t="shared" si="16"/>
        <v>0.4911476526837148</v>
      </c>
      <c r="Y20" s="903">
        <f t="shared" si="16"/>
        <v>0.46788715364486966</v>
      </c>
      <c r="Z20" s="903">
        <f t="shared" si="16"/>
        <v>0.47321375109905051</v>
      </c>
      <c r="AA20" s="903">
        <f>+(AA7-AA10+AA16+AA18)/AA7</f>
        <v>0.47492363072055116</v>
      </c>
      <c r="AB20" s="903">
        <f>+(AB7-AB10+AB16+AB18)/AB7</f>
        <v>0.47522986222139152</v>
      </c>
      <c r="AC20" s="903">
        <f>+(AC7-AC10+AC16+AC18)/AC7</f>
        <v>0.47623408968641329</v>
      </c>
      <c r="AD20" s="903">
        <f>+(AD7-AD10+AD16+AD18)/AD7</f>
        <v>0.47663336578365761</v>
      </c>
      <c r="AE20" s="1304"/>
      <c r="AF20" s="1304"/>
      <c r="AG20" s="1301"/>
      <c r="AH20" s="1305"/>
      <c r="AI20" s="1301"/>
      <c r="AJ20" s="1306"/>
    </row>
    <row r="21" spans="1:38" hidden="1" outlineLevel="1">
      <c r="A21" s="1312"/>
      <c r="B21" s="903"/>
      <c r="C21" s="903"/>
      <c r="D21" s="903"/>
      <c r="E21" s="903"/>
      <c r="F21" s="903"/>
      <c r="G21" s="903"/>
      <c r="H21" s="903"/>
      <c r="I21" s="903"/>
      <c r="J21" s="903"/>
      <c r="K21" s="903"/>
      <c r="L21" s="903"/>
      <c r="M21" s="903"/>
      <c r="N21" s="903"/>
      <c r="O21" s="903"/>
      <c r="P21" s="903"/>
      <c r="Q21" s="903"/>
      <c r="R21" s="903"/>
      <c r="S21" s="903"/>
      <c r="T21" s="903"/>
      <c r="U21" s="903"/>
      <c r="V21" s="903"/>
      <c r="W21" s="903"/>
      <c r="X21" s="903"/>
      <c r="Y21" s="903"/>
      <c r="Z21" s="903"/>
      <c r="AA21" s="903"/>
      <c r="AB21" s="903"/>
      <c r="AC21" s="903"/>
      <c r="AD21" s="903"/>
      <c r="AE21" s="1304"/>
      <c r="AF21" s="1304"/>
      <c r="AG21" s="1301"/>
      <c r="AH21" s="1305"/>
      <c r="AI21" s="1301"/>
      <c r="AJ21" s="1306"/>
      <c r="AL21" s="410">
        <f>1.35*13</f>
        <v>17.55</v>
      </c>
    </row>
    <row r="22" spans="1:38" hidden="1" outlineLevel="1">
      <c r="A22" s="1312" t="s">
        <v>633</v>
      </c>
      <c r="B22" s="903"/>
      <c r="C22" s="903"/>
      <c r="D22" s="903"/>
      <c r="E22" s="903"/>
      <c r="F22" s="903"/>
      <c r="G22" s="903"/>
      <c r="H22" s="903"/>
      <c r="I22" s="903"/>
      <c r="J22" s="903">
        <f>yrSales!J39</f>
        <v>0.15868215359625215</v>
      </c>
      <c r="K22" s="903">
        <f>yrSales!K39</f>
        <v>0.16192493190394064</v>
      </c>
      <c r="L22" s="903">
        <f>yrSales!L39</f>
        <v>0.20560146676918301</v>
      </c>
      <c r="M22" s="903">
        <f>yrSales!M39</f>
        <v>0.1999364927024585</v>
      </c>
      <c r="N22" s="903">
        <f>yrSales!N39</f>
        <v>0.18673650064001257</v>
      </c>
      <c r="O22" s="903">
        <f>yrSales!O39</f>
        <v>0.1746091450046976</v>
      </c>
      <c r="P22" s="903">
        <f>yrSales!P39</f>
        <v>0.14649167970261256</v>
      </c>
      <c r="Q22" s="903">
        <f>yrSales!Q39</f>
        <v>0.11514534594371817</v>
      </c>
      <c r="R22" s="903">
        <f>yrSales!R39</f>
        <v>0.10787523928237075</v>
      </c>
      <c r="S22" s="903">
        <f>yrSales!S39</f>
        <v>0.10521096557145482</v>
      </c>
      <c r="T22" s="903">
        <f>yrSales!T39</f>
        <v>9.0912807012882624E-2</v>
      </c>
      <c r="U22" s="903">
        <f>yrSales!U39</f>
        <v>7.3239382085062976E-2</v>
      </c>
      <c r="V22" s="903">
        <f>yrSales!V39</f>
        <v>6.3874902460299143E-2</v>
      </c>
      <c r="W22" s="903">
        <f>yrSales!W39</f>
        <v>6.1297859981556568E-2</v>
      </c>
      <c r="X22" s="903">
        <f>yrSales!X39</f>
        <v>4.6865989168062061E-2</v>
      </c>
      <c r="Y22" s="903">
        <f>yrSales!Y39</f>
        <v>2.8011473381346574E-2</v>
      </c>
      <c r="Z22" s="903">
        <f>yrSales!Z39</f>
        <v>1.5623424937284858E-2</v>
      </c>
      <c r="AA22" s="903">
        <f>yrSales!AF39</f>
        <v>0</v>
      </c>
      <c r="AB22" s="903">
        <f>yrSales!AG39</f>
        <v>0</v>
      </c>
      <c r="AC22" s="903">
        <f>yrSales!AH39</f>
        <v>0</v>
      </c>
      <c r="AD22" s="903">
        <f>yrSales!AI39</f>
        <v>0</v>
      </c>
      <c r="AE22" s="1304"/>
      <c r="AF22" s="1304"/>
      <c r="AG22" s="1301"/>
      <c r="AH22" s="1305"/>
      <c r="AI22" s="1301"/>
      <c r="AJ22" s="1306"/>
    </row>
    <row r="23" spans="1:38" collapsed="1">
      <c r="A23" s="1277"/>
      <c r="B23" s="1276"/>
      <c r="C23" s="1276"/>
      <c r="D23" s="1276"/>
      <c r="E23" s="1276"/>
      <c r="F23" s="1276"/>
      <c r="G23" s="1276"/>
      <c r="H23" s="1276"/>
      <c r="I23" s="1318"/>
      <c r="J23" s="1318"/>
      <c r="K23" s="1318"/>
      <c r="L23" s="1318"/>
      <c r="M23" s="1318"/>
      <c r="N23" s="1318"/>
      <c r="O23" s="1318"/>
      <c r="P23" s="1318"/>
      <c r="Q23" s="1318"/>
      <c r="R23" s="1318"/>
      <c r="S23" s="1318"/>
      <c r="T23" s="1318"/>
      <c r="U23" s="1318"/>
      <c r="V23" s="1318"/>
      <c r="W23" s="1318"/>
      <c r="X23" s="1318"/>
      <c r="Y23" s="1318"/>
      <c r="Z23" s="1276"/>
      <c r="AA23" s="1276"/>
      <c r="AB23" s="1276"/>
      <c r="AC23" s="1276"/>
      <c r="AD23" s="1276"/>
      <c r="AE23" s="1304"/>
      <c r="AF23" s="1304"/>
      <c r="AG23" s="1301"/>
      <c r="AH23" s="1302"/>
      <c r="AI23" s="1301"/>
      <c r="AJ23" s="1303"/>
    </row>
    <row r="24" spans="1:38">
      <c r="A24" s="1277" t="s">
        <v>232</v>
      </c>
      <c r="B24" s="1276">
        <f>'qtrP&amp;L'!D34</f>
        <v>39.72</v>
      </c>
      <c r="C24" s="1276">
        <f>'qtrP&amp;L'!H34</f>
        <v>47.716000000000001</v>
      </c>
      <c r="D24" s="1276">
        <f>'qtrP&amp;L'!L34</f>
        <v>35.731000000000009</v>
      </c>
      <c r="E24" s="1276">
        <f>'qtrP&amp;L'!P34</f>
        <v>38.5</v>
      </c>
      <c r="F24" s="1276">
        <f>'qtrP&amp;L'!T34</f>
        <v>53.664000000000001</v>
      </c>
      <c r="G24" s="1276">
        <f>'qtrP&amp;L'!X34</f>
        <v>67.088999999999999</v>
      </c>
      <c r="H24" s="1276">
        <f>'qtrP&amp;L'!AB34</f>
        <v>77.454000000000008</v>
      </c>
      <c r="I24" s="1276">
        <f>+'qtrP&amp;L'!AF34</f>
        <v>88.149000000000001</v>
      </c>
      <c r="J24" s="1276">
        <f>+'qtrP&amp;L'!AJ34</f>
        <v>105.39200000000001</v>
      </c>
      <c r="K24" s="1276">
        <f>+'qtrP&amp;L'!AN34</f>
        <v>132.767</v>
      </c>
      <c r="L24" s="1276">
        <f>+'qtrP&amp;L'!AU34</f>
        <v>190.38400000000001</v>
      </c>
      <c r="M24" s="1276">
        <f>'qtrP&amp;L'!AY34</f>
        <v>240.90700000000004</v>
      </c>
      <c r="N24" s="1276">
        <f>'qtrP&amp;L'!BC34</f>
        <v>287.93199999999996</v>
      </c>
      <c r="O24" s="1276">
        <f>+'qtrP&amp;L'!BG34</f>
        <v>351.827</v>
      </c>
      <c r="P24" s="1276">
        <f>'qtrP&amp;L'!BK34</f>
        <v>414.04300000000001</v>
      </c>
      <c r="Q24" s="1276">
        <f>'qtrP&amp;L'!BO34</f>
        <v>447.16100000000006</v>
      </c>
      <c r="R24" s="1276">
        <f>'qtrP&amp;L'!$BS$34</f>
        <v>522.41700000000003</v>
      </c>
      <c r="S24" s="1276">
        <f>'qtrP&amp;L'!$BW$34</f>
        <v>575.81099999999992</v>
      </c>
      <c r="T24" s="1276">
        <f>+'qtrP&amp;L'!$CA$34</f>
        <v>657.24599999999998</v>
      </c>
      <c r="U24" s="1276">
        <f>'qtrP&amp;L'!CE34</f>
        <v>734.51099999999997</v>
      </c>
      <c r="V24" s="1276">
        <f>'qtrP&amp;L'!CI34</f>
        <v>809.54499999999996</v>
      </c>
      <c r="W24" s="1276">
        <f>'qtrP&amp;L'!CM34</f>
        <v>848.32300000000009</v>
      </c>
      <c r="X24" s="1276">
        <f>'qtrP&amp;L'!CQ34</f>
        <v>906.08600000000001</v>
      </c>
      <c r="Y24" s="1276">
        <f>'qtrP&amp;L'!$CU$34</f>
        <v>913.55400000000009</v>
      </c>
      <c r="Z24" s="1276">
        <f>'qtrP&amp;L'!CY34</f>
        <v>950.85021950155021</v>
      </c>
      <c r="AA24" s="1276">
        <f>+AA7*AA26</f>
        <v>976.65359713794339</v>
      </c>
      <c r="AB24" s="1276">
        <f>+AB7*AB26</f>
        <v>996.40996530609414</v>
      </c>
      <c r="AC24" s="1276">
        <f>+AC7*AC26</f>
        <v>1017.5348383861607</v>
      </c>
      <c r="AD24" s="1276">
        <f>+AD7*AD26</f>
        <v>1034.7303977363256</v>
      </c>
      <c r="AE24" s="1304"/>
      <c r="AF24" s="1304"/>
      <c r="AG24" s="1301">
        <f>((Y24/T24)^(1/5)-1)*100</f>
        <v>6.8073781495210595</v>
      </c>
      <c r="AH24" s="1302" t="s">
        <v>208</v>
      </c>
      <c r="AI24" s="1301">
        <f>((AD24/Y24)^(1/5)-1)*100</f>
        <v>2.5223604800103994</v>
      </c>
      <c r="AJ24" s="1303" t="s">
        <v>208</v>
      </c>
    </row>
    <row r="25" spans="1:38" hidden="1" outlineLevel="1">
      <c r="A25" s="1319" t="s">
        <v>90</v>
      </c>
      <c r="B25" s="1276"/>
      <c r="C25" s="1276"/>
      <c r="D25" s="1276"/>
      <c r="E25" s="1276"/>
      <c r="F25" s="1276"/>
      <c r="G25" s="1276"/>
      <c r="H25" s="1276"/>
      <c r="I25" s="1276"/>
      <c r="J25" s="1276"/>
      <c r="K25" s="1318">
        <f>K24/J24-1</f>
        <v>0.2597445726430847</v>
      </c>
      <c r="L25" s="1318">
        <f t="shared" ref="L25:AD25" si="17">L24/K24-1</f>
        <v>0.43397079093449431</v>
      </c>
      <c r="M25" s="1318">
        <f t="shared" si="17"/>
        <v>0.26537419110849658</v>
      </c>
      <c r="N25" s="1318">
        <f t="shared" si="17"/>
        <v>0.19519980739455445</v>
      </c>
      <c r="O25" s="1318">
        <f t="shared" si="17"/>
        <v>0.22191003431365752</v>
      </c>
      <c r="P25" s="1318">
        <f t="shared" si="17"/>
        <v>0.17683691132289447</v>
      </c>
      <c r="Q25" s="1318">
        <f t="shared" si="17"/>
        <v>7.9986861268032561E-2</v>
      </c>
      <c r="R25" s="1318">
        <f t="shared" si="17"/>
        <v>0.16829732467724146</v>
      </c>
      <c r="S25" s="1318">
        <f t="shared" si="17"/>
        <v>0.10220570923227967</v>
      </c>
      <c r="T25" s="1318">
        <f t="shared" si="17"/>
        <v>0.14142661394103295</v>
      </c>
      <c r="U25" s="1318">
        <f t="shared" si="17"/>
        <v>0.1175587223048904</v>
      </c>
      <c r="V25" s="903">
        <f t="shared" si="17"/>
        <v>0.10215503920295266</v>
      </c>
      <c r="W25" s="903">
        <f t="shared" si="17"/>
        <v>4.790098141548671E-2</v>
      </c>
      <c r="X25" s="903">
        <f t="shared" si="17"/>
        <v>6.8090809750531278E-2</v>
      </c>
      <c r="Y25" s="903">
        <f t="shared" si="17"/>
        <v>8.2420432497578577E-3</v>
      </c>
      <c r="Z25" s="903">
        <f>Z24/Y24-1</f>
        <v>4.0825413168296798E-2</v>
      </c>
      <c r="AA25" s="903">
        <f t="shared" si="17"/>
        <v>2.7137163253661223E-2</v>
      </c>
      <c r="AB25" s="903">
        <f t="shared" si="17"/>
        <v>2.0228634007027901E-2</v>
      </c>
      <c r="AC25" s="903">
        <f t="shared" si="17"/>
        <v>2.1200985353028834E-2</v>
      </c>
      <c r="AD25" s="903">
        <f t="shared" si="17"/>
        <v>1.6899234012898834E-2</v>
      </c>
      <c r="AE25" s="1304"/>
      <c r="AF25" s="1304"/>
      <c r="AG25" s="1301"/>
      <c r="AH25" s="1302"/>
      <c r="AI25" s="1301"/>
      <c r="AJ25" s="1303"/>
    </row>
    <row r="26" spans="1:38" collapsed="1">
      <c r="A26" s="1277" t="s">
        <v>233</v>
      </c>
      <c r="B26" s="903">
        <f t="shared" ref="B26:Z26" si="18">B24/B$7</f>
        <v>0.36069414553082518</v>
      </c>
      <c r="C26" s="903">
        <f t="shared" si="18"/>
        <v>0.35866983372921618</v>
      </c>
      <c r="D26" s="903">
        <f t="shared" si="18"/>
        <v>0.22831601681810637</v>
      </c>
      <c r="E26" s="903">
        <f t="shared" si="18"/>
        <v>0.22220939628304284</v>
      </c>
      <c r="F26" s="903">
        <f t="shared" si="18"/>
        <v>0.25570724036880854</v>
      </c>
      <c r="G26" s="903">
        <f t="shared" si="18"/>
        <v>0.24122928449946604</v>
      </c>
      <c r="H26" s="903">
        <f t="shared" si="18"/>
        <v>0.26225988968384845</v>
      </c>
      <c r="I26" s="903">
        <f t="shared" si="18"/>
        <v>0.25260633084783846</v>
      </c>
      <c r="J26" s="903">
        <f t="shared" si="18"/>
        <v>0.24929864649417868</v>
      </c>
      <c r="K26" s="903">
        <f t="shared" si="18"/>
        <v>0.26702023462592789</v>
      </c>
      <c r="L26" s="903">
        <f t="shared" si="18"/>
        <v>0.23000181214134705</v>
      </c>
      <c r="M26" s="903">
        <f t="shared" si="18"/>
        <v>0.22058919135212945</v>
      </c>
      <c r="N26" s="903">
        <f t="shared" si="18"/>
        <v>0.23510084370511714</v>
      </c>
      <c r="O26" s="903">
        <f t="shared" si="18"/>
        <v>0.23334973775041057</v>
      </c>
      <c r="P26" s="903">
        <f t="shared" si="18"/>
        <v>0.22568349378453717</v>
      </c>
      <c r="Q26" s="903">
        <f t="shared" si="18"/>
        <v>0.23075525785485201</v>
      </c>
      <c r="R26" s="903">
        <f t="shared" si="18"/>
        <v>0.22972452422978393</v>
      </c>
      <c r="S26" s="903">
        <f t="shared" si="18"/>
        <v>0.23276367015778546</v>
      </c>
      <c r="T26" s="903">
        <f t="shared" si="18"/>
        <v>0.23515693623263592</v>
      </c>
      <c r="U26" s="903">
        <f t="shared" si="18"/>
        <v>0.23796423900406072</v>
      </c>
      <c r="V26" s="903">
        <f t="shared" si="18"/>
        <v>0.24359331775967386</v>
      </c>
      <c r="W26" s="903">
        <f t="shared" si="18"/>
        <v>0.24623802731620892</v>
      </c>
      <c r="X26" s="903">
        <f t="shared" si="18"/>
        <v>0.25553825179917389</v>
      </c>
      <c r="Y26" s="903">
        <f t="shared" si="18"/>
        <v>0.25264116787158458</v>
      </c>
      <c r="Z26" s="903">
        <f t="shared" si="18"/>
        <v>0.25148999209433204</v>
      </c>
      <c r="AA26" s="1307">
        <v>0.25419999999999998</v>
      </c>
      <c r="AB26" s="1307">
        <v>0.25440000000000002</v>
      </c>
      <c r="AC26" s="1307">
        <v>0.25540000000000002</v>
      </c>
      <c r="AD26" s="1307">
        <v>0.25580000000000003</v>
      </c>
      <c r="AE26" s="1304"/>
      <c r="AF26" s="1304"/>
      <c r="AG26" s="1301"/>
      <c r="AH26" s="1305"/>
      <c r="AI26" s="1301"/>
      <c r="AJ26" s="1306"/>
    </row>
    <row r="27" spans="1:38">
      <c r="A27" s="1277" t="s">
        <v>165</v>
      </c>
      <c r="B27" s="903"/>
      <c r="C27" s="903"/>
      <c r="D27" s="903"/>
      <c r="E27" s="1320">
        <v>0</v>
      </c>
      <c r="F27" s="1320">
        <v>4.4859999999999998</v>
      </c>
      <c r="G27" s="1320">
        <v>6.3090000000000002</v>
      </c>
      <c r="H27" s="1320">
        <v>9.1709999999999994</v>
      </c>
      <c r="I27" s="1320">
        <v>8.141</v>
      </c>
      <c r="J27" s="1320">
        <v>9.8059999999999992</v>
      </c>
      <c r="K27" s="1320">
        <v>11.164999999999999</v>
      </c>
      <c r="L27" s="1320">
        <v>22.454999999999998</v>
      </c>
      <c r="M27" s="1320">
        <v>30.033000000000001</v>
      </c>
      <c r="N27" s="1320">
        <v>35.881999999999998</v>
      </c>
      <c r="O27" s="1320">
        <v>40.828000000000003</v>
      </c>
      <c r="P27" s="1320">
        <v>45.561</v>
      </c>
      <c r="Q27" s="1320">
        <v>46.826999999999998</v>
      </c>
      <c r="R27" s="1320">
        <v>58.335999999999999</v>
      </c>
      <c r="S27" s="1320">
        <v>71.683999999999997</v>
      </c>
      <c r="T27" s="1320">
        <v>81.944000000000003</v>
      </c>
      <c r="U27" s="1320">
        <v>91.614999999999995</v>
      </c>
      <c r="V27" s="1320">
        <v>103.88200000000001</v>
      </c>
      <c r="W27" s="1320">
        <v>114.104</v>
      </c>
      <c r="X27" s="903">
        <f t="shared" ref="X27:AD27" si="19">X24/W24-1</f>
        <v>6.8090809750531278E-2</v>
      </c>
      <c r="Y27" s="903">
        <f t="shared" si="19"/>
        <v>8.2420432497578577E-3</v>
      </c>
      <c r="Z27" s="903">
        <f t="shared" si="19"/>
        <v>4.0825413168296798E-2</v>
      </c>
      <c r="AA27" s="903">
        <f t="shared" si="19"/>
        <v>2.7137163253661223E-2</v>
      </c>
      <c r="AB27" s="903">
        <f t="shared" si="19"/>
        <v>2.0228634007027901E-2</v>
      </c>
      <c r="AC27" s="903">
        <f t="shared" si="19"/>
        <v>2.1200985353028834E-2</v>
      </c>
      <c r="AD27" s="903">
        <f t="shared" si="19"/>
        <v>1.6899234012898834E-2</v>
      </c>
      <c r="AE27" s="1304"/>
      <c r="AF27" s="1304"/>
      <c r="AG27" s="1301"/>
      <c r="AH27" s="1305"/>
      <c r="AI27" s="1301"/>
      <c r="AJ27" s="1306"/>
    </row>
    <row r="28" spans="1:38">
      <c r="A28" s="1277" t="s">
        <v>166</v>
      </c>
      <c r="B28" s="903"/>
      <c r="C28" s="903"/>
      <c r="D28" s="903"/>
      <c r="E28" s="1321">
        <f t="shared" ref="E28:W28" si="20">+E27/E7</f>
        <v>0</v>
      </c>
      <c r="F28" s="1321">
        <f t="shared" si="20"/>
        <v>2.1375646248778975E-2</v>
      </c>
      <c r="G28" s="1321">
        <f t="shared" si="20"/>
        <v>2.2685023713382692E-2</v>
      </c>
      <c r="H28" s="1321">
        <f t="shared" si="20"/>
        <v>3.1053082452689E-2</v>
      </c>
      <c r="I28" s="1321">
        <f t="shared" si="20"/>
        <v>2.332945512067355E-2</v>
      </c>
      <c r="J28" s="1321">
        <f t="shared" si="20"/>
        <v>2.3195522691683578E-2</v>
      </c>
      <c r="K28" s="1321">
        <f t="shared" si="20"/>
        <v>2.2454984443412027E-2</v>
      </c>
      <c r="L28" s="1321">
        <f t="shared" si="20"/>
        <v>2.7127755964965264E-2</v>
      </c>
      <c r="M28" s="1321">
        <f t="shared" si="20"/>
        <v>2.7500052650518678E-2</v>
      </c>
      <c r="N28" s="1321">
        <f t="shared" si="20"/>
        <v>2.9298197052870168E-2</v>
      </c>
      <c r="O28" s="1321">
        <f t="shared" si="20"/>
        <v>2.7079226701969328E-2</v>
      </c>
      <c r="P28" s="1321">
        <f t="shared" si="20"/>
        <v>2.4834052647472116E-2</v>
      </c>
      <c r="Q28" s="1321">
        <f t="shared" si="20"/>
        <v>2.4164845457383701E-2</v>
      </c>
      <c r="R28" s="1321">
        <f t="shared" si="20"/>
        <v>2.5652323422608134E-2</v>
      </c>
      <c r="S28" s="1321">
        <f t="shared" si="20"/>
        <v>2.8977270200796258E-2</v>
      </c>
      <c r="T28" s="1321">
        <f t="shared" si="20"/>
        <v>2.9318854709875934E-2</v>
      </c>
      <c r="U28" s="1321">
        <f t="shared" si="20"/>
        <v>2.9681099066395225E-2</v>
      </c>
      <c r="V28" s="1321">
        <f t="shared" si="20"/>
        <v>3.1258251283758705E-2</v>
      </c>
      <c r="W28" s="1321">
        <f t="shared" si="20"/>
        <v>3.3120337264094808E-2</v>
      </c>
      <c r="X28" s="1307"/>
      <c r="Y28" s="1307"/>
      <c r="Z28" s="1307"/>
      <c r="AA28" s="1307"/>
      <c r="AB28" s="1307"/>
      <c r="AC28" s="1307"/>
      <c r="AD28" s="1307"/>
      <c r="AE28" s="1304"/>
      <c r="AF28" s="1304"/>
      <c r="AG28" s="1301"/>
      <c r="AH28" s="1305"/>
      <c r="AI28" s="1301"/>
      <c r="AJ28" s="1306"/>
    </row>
    <row r="29" spans="1:38">
      <c r="A29" s="1277"/>
      <c r="B29" s="1276"/>
      <c r="C29" s="1276"/>
      <c r="D29" s="1276"/>
      <c r="E29" s="1276"/>
      <c r="F29" s="1276"/>
      <c r="G29" s="1276"/>
      <c r="H29" s="1276"/>
      <c r="I29" s="1276"/>
      <c r="J29" s="1276"/>
      <c r="K29" s="1276"/>
      <c r="L29" s="1276"/>
      <c r="M29" s="1276"/>
      <c r="N29" s="1276"/>
      <c r="O29" s="1276"/>
      <c r="P29" s="1276"/>
      <c r="Q29" s="1276"/>
      <c r="R29" s="1276"/>
      <c r="S29" s="1276"/>
      <c r="T29" s="1321"/>
      <c r="U29" s="1276"/>
      <c r="V29" s="1276"/>
      <c r="W29" s="1276"/>
      <c r="X29" s="1276"/>
      <c r="Y29" s="1276"/>
      <c r="Z29" s="1276"/>
      <c r="AA29" s="1276"/>
      <c r="AB29" s="1276"/>
      <c r="AC29" s="1276"/>
      <c r="AD29" s="1276"/>
      <c r="AE29" s="1304"/>
      <c r="AF29" s="1304"/>
      <c r="AG29" s="1301"/>
      <c r="AH29" s="1305"/>
      <c r="AI29" s="1301"/>
      <c r="AJ29" s="1306"/>
    </row>
    <row r="30" spans="1:38" ht="14.25" hidden="1" outlineLevel="1">
      <c r="A30" s="1277" t="s">
        <v>174</v>
      </c>
      <c r="B30" s="1309"/>
      <c r="C30" s="1276"/>
      <c r="D30" s="1276"/>
      <c r="E30" s="1322"/>
      <c r="F30" s="1322"/>
      <c r="G30" s="1322"/>
      <c r="H30" s="1322"/>
      <c r="I30" s="1322">
        <f>1.396/(1-I43)</f>
        <v>2.3462325581395369</v>
      </c>
      <c r="J30" s="1322">
        <f>1.426/(1-J43)</f>
        <v>2.3966766862437532</v>
      </c>
      <c r="K30" s="1322">
        <f>4.528/(1-K43)</f>
        <v>-49.336878612717001</v>
      </c>
      <c r="L30" s="1322">
        <f>24.485/(1-L43)</f>
        <v>40.639758644697174</v>
      </c>
      <c r="M30" s="1322">
        <v>50</v>
      </c>
      <c r="N30" s="1322">
        <v>1</v>
      </c>
      <c r="O30" s="1322">
        <f t="shared" ref="O30:T30" si="21">+N30</f>
        <v>1</v>
      </c>
      <c r="P30" s="1322">
        <f t="shared" si="21"/>
        <v>1</v>
      </c>
      <c r="Q30" s="1322">
        <f t="shared" si="21"/>
        <v>1</v>
      </c>
      <c r="R30" s="1322">
        <f t="shared" si="21"/>
        <v>1</v>
      </c>
      <c r="S30" s="1322">
        <f t="shared" si="21"/>
        <v>1</v>
      </c>
      <c r="T30" s="1322">
        <f t="shared" si="21"/>
        <v>1</v>
      </c>
      <c r="U30" s="1322">
        <f t="shared" ref="U30:AD30" si="22">+T30</f>
        <v>1</v>
      </c>
      <c r="V30" s="1322">
        <f>+U30</f>
        <v>1</v>
      </c>
      <c r="W30" s="1322">
        <f t="shared" si="22"/>
        <v>1</v>
      </c>
      <c r="X30" s="1322">
        <f t="shared" si="22"/>
        <v>1</v>
      </c>
      <c r="Y30" s="1322">
        <f t="shared" si="22"/>
        <v>1</v>
      </c>
      <c r="Z30" s="1322">
        <f t="shared" si="22"/>
        <v>1</v>
      </c>
      <c r="AA30" s="1322">
        <f t="shared" si="22"/>
        <v>1</v>
      </c>
      <c r="AB30" s="1322">
        <f t="shared" si="22"/>
        <v>1</v>
      </c>
      <c r="AC30" s="1322">
        <f t="shared" si="22"/>
        <v>1</v>
      </c>
      <c r="AD30" s="1322">
        <f t="shared" si="22"/>
        <v>1</v>
      </c>
      <c r="AE30" s="1304"/>
      <c r="AF30" s="1304"/>
      <c r="AG30" s="1301">
        <f>((Y30/T30)^(1/5)-1)*100</f>
        <v>0</v>
      </c>
      <c r="AH30" s="1302" t="s">
        <v>208</v>
      </c>
      <c r="AI30" s="1301">
        <f>((AD30/Y30)^(1/5)-1)*100</f>
        <v>0</v>
      </c>
      <c r="AJ30" s="1303" t="s">
        <v>208</v>
      </c>
    </row>
    <row r="31" spans="1:38" hidden="1" outlineLevel="1">
      <c r="A31" s="1277" t="s">
        <v>222</v>
      </c>
      <c r="B31" s="1276">
        <f>B30/B7*100</f>
        <v>0</v>
      </c>
      <c r="C31" s="1276">
        <f>C30/C7*100</f>
        <v>0</v>
      </c>
      <c r="D31" s="1276">
        <f>D30/D7*100</f>
        <v>0</v>
      </c>
      <c r="E31" s="1323"/>
      <c r="F31" s="1323"/>
      <c r="G31" s="1323"/>
      <c r="H31" s="1323"/>
      <c r="I31" s="1323">
        <f t="shared" ref="I31:AA31" si="23">I30/I7</f>
        <v>6.723538529391896E-3</v>
      </c>
      <c r="J31" s="1323">
        <f t="shared" si="23"/>
        <v>5.6691993127060969E-3</v>
      </c>
      <c r="K31" s="1323">
        <f t="shared" si="23"/>
        <v>-9.9226049416486162E-2</v>
      </c>
      <c r="L31" s="1323">
        <f t="shared" si="23"/>
        <v>4.9096657982116793E-2</v>
      </c>
      <c r="M31" s="1323">
        <f t="shared" si="23"/>
        <v>4.5783059718507435E-2</v>
      </c>
      <c r="N31" s="1323">
        <f t="shared" si="23"/>
        <v>8.1651516227830589E-4</v>
      </c>
      <c r="O31" s="1323">
        <f t="shared" si="23"/>
        <v>6.6325136430805639E-4</v>
      </c>
      <c r="P31" s="1323">
        <f t="shared" si="23"/>
        <v>5.4507259821935682E-4</v>
      </c>
      <c r="Q31" s="1323">
        <f t="shared" si="23"/>
        <v>5.160451333073591E-4</v>
      </c>
      <c r="R31" s="1323">
        <f t="shared" si="23"/>
        <v>4.3973401368979935E-4</v>
      </c>
      <c r="S31" s="1323">
        <f t="shared" si="23"/>
        <v>4.0423623403822693E-4</v>
      </c>
      <c r="T31" s="1323">
        <f t="shared" si="23"/>
        <v>3.5779135397193124E-4</v>
      </c>
      <c r="U31" s="1323">
        <f t="shared" si="23"/>
        <v>3.2397641288430093E-4</v>
      </c>
      <c r="V31" s="1323">
        <f t="shared" si="23"/>
        <v>3.0090151598697278E-4</v>
      </c>
      <c r="W31" s="1323">
        <f t="shared" si="23"/>
        <v>2.9026447157062688E-4</v>
      </c>
      <c r="X31" s="1323">
        <f t="shared" si="23"/>
        <v>2.8202428003431672E-4</v>
      </c>
      <c r="Y31" s="1323">
        <f t="shared" si="23"/>
        <v>2.7654760186216095E-4</v>
      </c>
      <c r="Z31" s="1323">
        <f t="shared" si="23"/>
        <v>2.6448959776879141E-4</v>
      </c>
      <c r="AA31" s="1323">
        <f t="shared" si="23"/>
        <v>2.602765205032021E-4</v>
      </c>
      <c r="AB31" s="1323">
        <f>AB30/AB7</f>
        <v>2.5531659543554354E-4</v>
      </c>
      <c r="AC31" s="1323">
        <f>AC30/AC7</f>
        <v>2.509987770100056E-4</v>
      </c>
      <c r="AD31" s="1323">
        <f>AD30/AD7</f>
        <v>2.4721415410198865E-4</v>
      </c>
      <c r="AE31" s="1304"/>
      <c r="AF31" s="1304"/>
      <c r="AG31" s="1301"/>
      <c r="AH31" s="1305"/>
      <c r="AI31" s="1301"/>
      <c r="AJ31" s="1306"/>
    </row>
    <row r="32" spans="1:38" hidden="1" outlineLevel="1">
      <c r="A32" s="1277"/>
      <c r="B32" s="1276"/>
      <c r="C32" s="1276"/>
      <c r="D32" s="1276"/>
      <c r="E32" s="1276"/>
      <c r="F32" s="1276"/>
      <c r="G32" s="1276"/>
      <c r="H32" s="1276"/>
      <c r="I32" s="1276"/>
      <c r="J32" s="1276"/>
      <c r="K32" s="1276"/>
      <c r="L32" s="1276"/>
      <c r="M32" s="1276"/>
      <c r="N32" s="1276"/>
      <c r="O32" s="1276"/>
      <c r="P32" s="1276"/>
      <c r="Q32" s="1276"/>
      <c r="R32" s="1276"/>
      <c r="S32" s="1276"/>
      <c r="T32" s="1276"/>
      <c r="U32" s="1276"/>
      <c r="V32" s="1276"/>
      <c r="W32" s="1276"/>
      <c r="X32" s="1276"/>
      <c r="Y32" s="1276"/>
      <c r="Z32" s="1276"/>
      <c r="AA32" s="1276"/>
      <c r="AB32" s="1276"/>
      <c r="AC32" s="1276"/>
      <c r="AD32" s="1276"/>
      <c r="AE32" s="1304"/>
      <c r="AF32" s="1304"/>
      <c r="AG32" s="1301"/>
      <c r="AH32" s="1305"/>
      <c r="AI32" s="1301"/>
      <c r="AJ32" s="1306"/>
    </row>
    <row r="33" spans="1:40" collapsed="1">
      <c r="A33" s="1277" t="s">
        <v>234</v>
      </c>
      <c r="B33" s="1276">
        <f t="shared" ref="B33:AA33" si="24">B7-B10-B24</f>
        <v>17.605000000000004</v>
      </c>
      <c r="C33" s="1276">
        <f t="shared" si="24"/>
        <v>19.866999999999997</v>
      </c>
      <c r="D33" s="1276">
        <f t="shared" si="24"/>
        <v>21.35599999999998</v>
      </c>
      <c r="E33" s="1276">
        <f t="shared" si="24"/>
        <v>22.061999999999983</v>
      </c>
      <c r="F33" s="1276">
        <f t="shared" si="24"/>
        <v>25.116000000000028</v>
      </c>
      <c r="G33" s="1276">
        <f t="shared" si="24"/>
        <v>37.565000000000026</v>
      </c>
      <c r="H33" s="1276">
        <f t="shared" si="24"/>
        <v>17.877999999999986</v>
      </c>
      <c r="I33" s="1276">
        <f t="shared" si="24"/>
        <v>25.497999999999962</v>
      </c>
      <c r="J33" s="1276">
        <f t="shared" si="24"/>
        <v>45.398999999999987</v>
      </c>
      <c r="K33" s="1276">
        <f t="shared" si="24"/>
        <v>29.562000000000012</v>
      </c>
      <c r="L33" s="1276">
        <f t="shared" si="24"/>
        <v>148.36599999999987</v>
      </c>
      <c r="M33" s="1276">
        <f t="shared" si="24"/>
        <v>207.69899999999996</v>
      </c>
      <c r="N33" s="1276">
        <f t="shared" si="24"/>
        <v>163.9890000000002</v>
      </c>
      <c r="O33" s="1276">
        <f t="shared" si="24"/>
        <v>224.94499999999994</v>
      </c>
      <c r="P33" s="1276">
        <f t="shared" si="24"/>
        <v>299.43499999999983</v>
      </c>
      <c r="Q33" s="1276">
        <f t="shared" si="24"/>
        <v>338.98399999999992</v>
      </c>
      <c r="R33" s="1276">
        <f t="shared" si="24"/>
        <v>414.20299999999986</v>
      </c>
      <c r="S33" s="1276">
        <f t="shared" si="24"/>
        <v>284.72500000000059</v>
      </c>
      <c r="T33" s="1276">
        <f t="shared" si="24"/>
        <v>374.2850000000002</v>
      </c>
      <c r="U33" s="1276">
        <f t="shared" si="24"/>
        <v>426.86745999999994</v>
      </c>
      <c r="V33" s="1276">
        <f t="shared" si="24"/>
        <v>365.65450000000021</v>
      </c>
      <c r="W33" s="1276">
        <f t="shared" si="24"/>
        <v>353.57899999999995</v>
      </c>
      <c r="X33" s="1276">
        <f t="shared" si="24"/>
        <v>342.86799999999971</v>
      </c>
      <c r="Y33" s="1276">
        <f t="shared" si="24"/>
        <v>273.36299999999983</v>
      </c>
      <c r="Z33" s="1276">
        <f t="shared" si="24"/>
        <v>304.24367565408249</v>
      </c>
      <c r="AA33" s="1276">
        <f t="shared" si="24"/>
        <v>305.82858509905702</v>
      </c>
      <c r="AB33" s="1276">
        <f>AB7-AB10-AB24</f>
        <v>312.16145532584801</v>
      </c>
      <c r="AC33" s="1276">
        <f>AC7-AC10-AC24</f>
        <v>317.92983595620797</v>
      </c>
      <c r="AD33" s="1276">
        <f>AD7-AD10-AD24</f>
        <v>323.60606653207992</v>
      </c>
      <c r="AE33" s="1304"/>
      <c r="AF33" s="1304"/>
      <c r="AG33" s="1301"/>
      <c r="AH33" s="1302"/>
      <c r="AI33" s="1301"/>
      <c r="AJ33" s="1303"/>
      <c r="AK33" s="527">
        <f>(V33/S33)^(1/3)-1</f>
        <v>8.6963865790924411E-2</v>
      </c>
      <c r="AL33" s="527">
        <f>(AA33/X33)^(1/3)-1</f>
        <v>-3.7389989398296186E-2</v>
      </c>
    </row>
    <row r="34" spans="1:40">
      <c r="A34" s="1277" t="s">
        <v>206</v>
      </c>
      <c r="B34" s="903">
        <f t="shared" ref="B34:W34" si="25">B33/B$7</f>
        <v>0.15986959798766814</v>
      </c>
      <c r="C34" s="903">
        <f t="shared" si="25"/>
        <v>0.14933551820559846</v>
      </c>
      <c r="D34" s="903">
        <f t="shared" si="25"/>
        <v>0.13646180781863015</v>
      </c>
      <c r="E34" s="903">
        <f t="shared" si="25"/>
        <v>0.12733464157912955</v>
      </c>
      <c r="F34" s="903">
        <f t="shared" si="25"/>
        <v>0.11967693517261109</v>
      </c>
      <c r="G34" s="903">
        <f t="shared" si="25"/>
        <v>0.13507099632163913</v>
      </c>
      <c r="H34" s="903">
        <f t="shared" si="25"/>
        <v>6.0535057037310387E-2</v>
      </c>
      <c r="I34" s="903">
        <f t="shared" si="25"/>
        <v>7.3068965319608561E-2</v>
      </c>
      <c r="J34" s="903">
        <f t="shared" si="25"/>
        <v>0.1073886941341773</v>
      </c>
      <c r="K34" s="903">
        <f t="shared" si="25"/>
        <v>5.9454926118777132E-2</v>
      </c>
      <c r="L34" s="903">
        <f t="shared" si="25"/>
        <v>0.17924010872848067</v>
      </c>
      <c r="M34" s="903">
        <f t="shared" si="25"/>
        <v>0.19018191440948548</v>
      </c>
      <c r="N34" s="903">
        <f t="shared" si="25"/>
        <v>0.13389950494685726</v>
      </c>
      <c r="O34" s="903">
        <f t="shared" si="25"/>
        <v>0.14919507814427571</v>
      </c>
      <c r="P34" s="903">
        <f t="shared" si="25"/>
        <v>0.16321381344781302</v>
      </c>
      <c r="Q34" s="903">
        <f t="shared" si="25"/>
        <v>0.17493104346906177</v>
      </c>
      <c r="R34" s="903">
        <f t="shared" si="25"/>
        <v>0.18213914767235589</v>
      </c>
      <c r="S34" s="903">
        <f t="shared" si="25"/>
        <v>0.11509616173653441</v>
      </c>
      <c r="T34" s="903">
        <f t="shared" si="25"/>
        <v>0.13391593692138434</v>
      </c>
      <c r="U34" s="903">
        <f t="shared" si="25"/>
        <v>0.13829498846783278</v>
      </c>
      <c r="V34" s="903">
        <f t="shared" si="25"/>
        <v>0.11002599337745859</v>
      </c>
      <c r="W34" s="903">
        <f t="shared" si="25"/>
        <v>0.10263142159347066</v>
      </c>
      <c r="X34" s="903">
        <f t="shared" ref="X34:AC34" si="26">X33/X$7</f>
        <v>9.6697100846806022E-2</v>
      </c>
      <c r="Y34" s="903">
        <f t="shared" si="26"/>
        <v>7.5597882087845847E-2</v>
      </c>
      <c r="Z34" s="903">
        <f t="shared" si="26"/>
        <v>8.0469287397446909E-2</v>
      </c>
      <c r="AA34" s="903">
        <f t="shared" si="26"/>
        <v>7.9600000000000004E-2</v>
      </c>
      <c r="AB34" s="903">
        <f t="shared" si="26"/>
        <v>7.9700000000000035E-2</v>
      </c>
      <c r="AC34" s="903">
        <f t="shared" si="26"/>
        <v>7.9799999999999899E-2</v>
      </c>
      <c r="AD34" s="903">
        <f t="shared" ref="AD34" si="27">AD33/AD$7</f>
        <v>0.08</v>
      </c>
      <c r="AE34" s="1304"/>
      <c r="AF34" s="1304"/>
      <c r="AG34" s="1301"/>
      <c r="AH34" s="1305"/>
      <c r="AI34" s="1301"/>
      <c r="AJ34" s="1306"/>
    </row>
    <row r="35" spans="1:40">
      <c r="A35" s="1277"/>
      <c r="B35" s="1276"/>
      <c r="C35" s="1276"/>
      <c r="D35" s="1276"/>
      <c r="E35" s="1276"/>
      <c r="F35" s="1276"/>
      <c r="G35" s="1276"/>
      <c r="H35" s="1276"/>
      <c r="I35" s="1276">
        <f>(+I34-H34)*100</f>
        <v>1.2533908282298174</v>
      </c>
      <c r="J35" s="1276"/>
      <c r="K35" s="1276"/>
      <c r="L35" s="1276"/>
      <c r="M35" s="1276"/>
      <c r="N35" s="1276"/>
      <c r="O35" s="1276"/>
      <c r="P35" s="1276"/>
      <c r="Q35" s="1276"/>
      <c r="R35" s="1276"/>
      <c r="S35" s="1276"/>
      <c r="T35" s="1324"/>
      <c r="U35" s="1276"/>
      <c r="V35" s="1276"/>
      <c r="W35" s="1276"/>
      <c r="X35" s="1276"/>
      <c r="Y35" s="1276"/>
      <c r="Z35" s="1276"/>
      <c r="AA35" s="1276"/>
      <c r="AB35" s="1276"/>
      <c r="AC35" s="1276"/>
      <c r="AD35" s="1276"/>
      <c r="AE35" s="1304"/>
      <c r="AF35" s="1304"/>
      <c r="AG35" s="1301"/>
      <c r="AH35" s="1305"/>
      <c r="AI35" s="1301"/>
      <c r="AJ35" s="1306"/>
    </row>
    <row r="36" spans="1:40">
      <c r="A36" s="1277" t="s">
        <v>305</v>
      </c>
      <c r="B36" s="1276">
        <f>'qtrP&amp;L'!D64</f>
        <v>1.0739999999999998</v>
      </c>
      <c r="C36" s="1276">
        <f>'qtrP&amp;L'!H64</f>
        <v>1.2629999999999999</v>
      </c>
      <c r="D36" s="1276">
        <f>'qtrP&amp;L'!L64</f>
        <v>1.3129999999999999</v>
      </c>
      <c r="E36" s="1276">
        <f>'qtrP&amp;L'!P64</f>
        <v>1.5620000000000001</v>
      </c>
      <c r="F36" s="1276">
        <f>'qtrP&amp;L'!T64</f>
        <v>1.5960000000000001</v>
      </c>
      <c r="G36" s="1276">
        <f>'qtrP&amp;L'!X64</f>
        <v>-2.7159999999999997</v>
      </c>
      <c r="H36" s="1276">
        <f>'qtrP&amp;L'!AB64</f>
        <v>-9.0999999999999998E-2</v>
      </c>
      <c r="I36" s="1276">
        <f>+'qtrP&amp;L'!AF64</f>
        <v>-0.27599999999999997</v>
      </c>
      <c r="J36" s="1276">
        <f>+'qtrP&amp;L'!AJ64</f>
        <v>0.67400000000000004</v>
      </c>
      <c r="K36" s="1276">
        <f>+'qtrP&amp;L'!AN64</f>
        <v>0.59799999999999998</v>
      </c>
      <c r="L36" s="1276">
        <f>+'qtrP&amp;L'!AU64</f>
        <v>1.8259999999999998</v>
      </c>
      <c r="M36" s="1276">
        <f>'qtrP&amp;L'!AY64</f>
        <v>4.6979999999999995</v>
      </c>
      <c r="N36" s="1276">
        <f>'qtrP&amp;L'!BC64</f>
        <v>6.1690000000000005</v>
      </c>
      <c r="O36" s="1276">
        <f>+'qtrP&amp;L'!BG64</f>
        <v>9.4489999999999998</v>
      </c>
      <c r="P36" s="1276">
        <f>'qtrP&amp;L'!BK64</f>
        <v>10.055</v>
      </c>
      <c r="Q36" s="1276">
        <f>'qtrP&amp;L'!BO64</f>
        <v>5.4220000000000006</v>
      </c>
      <c r="R36" s="1276">
        <f>'qtrP&amp;L'!$BS$64</f>
        <v>3.0049999999999999</v>
      </c>
      <c r="S36" s="1276">
        <f>+'qtrP&amp;L'!BW64</f>
        <v>4.1059999999999999</v>
      </c>
      <c r="T36" s="1276">
        <f>+'qtrP&amp;L'!CA64</f>
        <v>1.2869999999999999</v>
      </c>
      <c r="U36" s="1276">
        <f>'qtrP&amp;L'!CE64</f>
        <v>0.68700000000000006</v>
      </c>
      <c r="V36" s="1276">
        <f>'qtrP&amp;L'!CI64</f>
        <v>-1.9350000000000001</v>
      </c>
      <c r="W36" s="1276">
        <f>'qtrP&amp;L'!CM64</f>
        <v>-3.548</v>
      </c>
      <c r="X36" s="1276">
        <f>'qtrP&amp;L'!CQ64</f>
        <v>-0.42800000000000005</v>
      </c>
      <c r="Y36" s="1276">
        <f>'qtrP&amp;L'!$CU$64</f>
        <v>1.474</v>
      </c>
      <c r="Z36" s="1276">
        <f>'qtrP&amp;L'!CY64</f>
        <v>0.373</v>
      </c>
      <c r="AA36" s="1276">
        <f>+AA7*AA37</f>
        <v>0.37903772409830372</v>
      </c>
      <c r="AB36" s="1276">
        <f>+AB7*AB37</f>
        <v>0.38640112601950016</v>
      </c>
      <c r="AC36" s="1276">
        <f>+AC7*AC37</f>
        <v>0.39304820980791683</v>
      </c>
      <c r="AD36" s="1276">
        <f>+AD7*AD37</f>
        <v>0.39906541891229674</v>
      </c>
      <c r="AE36" s="1304"/>
      <c r="AF36" s="1304"/>
      <c r="AG36" s="1301">
        <f>((Y36/T36)^(1/5)-1)*100</f>
        <v>2.7504629557973503</v>
      </c>
      <c r="AH36" s="1302" t="s">
        <v>208</v>
      </c>
      <c r="AI36" s="1301">
        <f>((AD36/Y36)^(1/5)-1)*100</f>
        <v>-22.996702657781064</v>
      </c>
      <c r="AJ36" s="1303" t="s">
        <v>208</v>
      </c>
    </row>
    <row r="37" spans="1:40">
      <c r="A37" s="1277" t="s">
        <v>222</v>
      </c>
      <c r="B37" s="903">
        <f t="shared" ref="B37:Z37" si="28">B36/B$7</f>
        <v>9.7529081646552419E-3</v>
      </c>
      <c r="C37" s="903">
        <f t="shared" si="28"/>
        <v>9.4936708860759479E-3</v>
      </c>
      <c r="D37" s="903">
        <f t="shared" si="28"/>
        <v>8.3898835767869245E-3</v>
      </c>
      <c r="E37" s="903">
        <f t="shared" si="28"/>
        <v>9.015352649197738E-3</v>
      </c>
      <c r="F37" s="903">
        <f t="shared" si="28"/>
        <v>7.6048888571224361E-3</v>
      </c>
      <c r="G37" s="903">
        <f t="shared" si="28"/>
        <v>-9.7658146149227111E-3</v>
      </c>
      <c r="H37" s="903">
        <f t="shared" si="28"/>
        <v>-3.0812675860807971E-4</v>
      </c>
      <c r="I37" s="903">
        <f t="shared" si="28"/>
        <v>-7.9092612864585423E-4</v>
      </c>
      <c r="J37" s="903">
        <f t="shared" si="28"/>
        <v>1.5943078007541031E-3</v>
      </c>
      <c r="K37" s="903">
        <f t="shared" si="28"/>
        <v>1.2026941958943479E-3</v>
      </c>
      <c r="L37" s="903">
        <f t="shared" si="28"/>
        <v>2.2059800664451824E-3</v>
      </c>
      <c r="M37" s="903">
        <f t="shared" si="28"/>
        <v>4.3017762911509586E-3</v>
      </c>
      <c r="N37" s="903">
        <f t="shared" si="28"/>
        <v>5.0370820360948693E-3</v>
      </c>
      <c r="O37" s="903">
        <f t="shared" si="28"/>
        <v>6.2670621413468252E-3</v>
      </c>
      <c r="P37" s="903">
        <f t="shared" si="28"/>
        <v>5.480704975095633E-3</v>
      </c>
      <c r="Q37" s="903">
        <f t="shared" si="28"/>
        <v>2.7979967127925009E-3</v>
      </c>
      <c r="R37" s="903">
        <f t="shared" si="28"/>
        <v>1.3214007111378469E-3</v>
      </c>
      <c r="S37" s="903">
        <f t="shared" si="28"/>
        <v>1.6597939769609597E-3</v>
      </c>
      <c r="T37" s="903">
        <f t="shared" si="28"/>
        <v>4.6047747256187547E-4</v>
      </c>
      <c r="U37" s="903">
        <f t="shared" si="28"/>
        <v>2.2257179565151475E-4</v>
      </c>
      <c r="V37" s="903">
        <f t="shared" si="28"/>
        <v>-5.8224443343479228E-4</v>
      </c>
      <c r="W37" s="903">
        <f t="shared" si="28"/>
        <v>-1.029858345132584E-3</v>
      </c>
      <c r="X37" s="903">
        <f t="shared" si="28"/>
        <v>-1.2070639185468757E-4</v>
      </c>
      <c r="Y37" s="903">
        <f t="shared" si="28"/>
        <v>4.0763116514482521E-4</v>
      </c>
      <c r="Z37" s="903">
        <f t="shared" si="28"/>
        <v>9.8654619967759199E-5</v>
      </c>
      <c r="AA37" s="1307">
        <f>Z37</f>
        <v>9.8654619967759199E-5</v>
      </c>
      <c r="AB37" s="1307">
        <f>AA37</f>
        <v>9.8654619967759199E-5</v>
      </c>
      <c r="AC37" s="1307">
        <f>AB37</f>
        <v>9.8654619967759199E-5</v>
      </c>
      <c r="AD37" s="1307">
        <f>AC37</f>
        <v>9.8654619967759199E-5</v>
      </c>
      <c r="AE37" s="1304"/>
      <c r="AF37" s="1304"/>
      <c r="AG37" s="1301"/>
      <c r="AH37" s="1305"/>
      <c r="AI37" s="1301"/>
      <c r="AJ37" s="1306"/>
    </row>
    <row r="38" spans="1:40">
      <c r="A38" s="1277"/>
      <c r="B38" s="1276"/>
      <c r="C38" s="1276"/>
      <c r="D38" s="1276"/>
      <c r="E38" s="1276"/>
      <c r="F38" s="1276"/>
      <c r="G38" s="1276"/>
      <c r="H38" s="1276"/>
      <c r="I38" s="1276"/>
      <c r="J38" s="1276"/>
      <c r="K38" s="1276"/>
      <c r="L38" s="1276"/>
      <c r="M38" s="1276"/>
      <c r="N38" s="1276"/>
      <c r="O38" s="1276"/>
      <c r="P38" s="1276"/>
      <c r="Q38" s="1276"/>
      <c r="R38" s="1276"/>
      <c r="S38" s="1276"/>
      <c r="T38" s="1276"/>
      <c r="U38" s="1276"/>
      <c r="V38" s="1276"/>
      <c r="W38" s="1276"/>
      <c r="X38" s="1276"/>
      <c r="Y38" s="1276"/>
      <c r="Z38" s="1276"/>
      <c r="AA38" s="1276"/>
      <c r="AB38" s="1276"/>
      <c r="AC38" s="1276"/>
      <c r="AD38" s="1276"/>
      <c r="AE38" s="1304"/>
      <c r="AF38" s="1304"/>
      <c r="AG38" s="1301"/>
      <c r="AH38" s="1305"/>
      <c r="AI38" s="1301"/>
      <c r="AJ38" s="1306"/>
    </row>
    <row r="39" spans="1:40">
      <c r="A39" s="1277" t="s">
        <v>235</v>
      </c>
      <c r="B39" s="1276">
        <f t="shared" ref="B39:M39" si="29">B33+B36</f>
        <v>18.679000000000002</v>
      </c>
      <c r="C39" s="1276">
        <f t="shared" si="29"/>
        <v>21.129999999999995</v>
      </c>
      <c r="D39" s="1276">
        <f t="shared" si="29"/>
        <v>22.668999999999979</v>
      </c>
      <c r="E39" s="1276">
        <f t="shared" si="29"/>
        <v>23.623999999999985</v>
      </c>
      <c r="F39" s="1276">
        <f t="shared" si="29"/>
        <v>26.712000000000028</v>
      </c>
      <c r="G39" s="1276">
        <f t="shared" si="29"/>
        <v>34.849000000000025</v>
      </c>
      <c r="H39" s="1276">
        <f t="shared" si="29"/>
        <v>17.786999999999985</v>
      </c>
      <c r="I39" s="1276">
        <f t="shared" si="29"/>
        <v>25.221999999999962</v>
      </c>
      <c r="J39" s="1276">
        <f t="shared" si="29"/>
        <v>46.072999999999986</v>
      </c>
      <c r="K39" s="1276">
        <f t="shared" si="29"/>
        <v>30.160000000000011</v>
      </c>
      <c r="L39" s="1276">
        <f t="shared" si="29"/>
        <v>150.19199999999987</v>
      </c>
      <c r="M39" s="1276">
        <f t="shared" si="29"/>
        <v>212.39699999999996</v>
      </c>
      <c r="N39" s="1276">
        <f t="shared" ref="N39:S39" si="30">N33+N36</f>
        <v>170.15800000000021</v>
      </c>
      <c r="O39" s="1276">
        <f t="shared" si="30"/>
        <v>234.39399999999995</v>
      </c>
      <c r="P39" s="1276">
        <f t="shared" si="30"/>
        <v>309.48999999999984</v>
      </c>
      <c r="Q39" s="1276">
        <f t="shared" si="30"/>
        <v>344.40599999999995</v>
      </c>
      <c r="R39" s="1276">
        <f t="shared" si="30"/>
        <v>417.20799999999986</v>
      </c>
      <c r="S39" s="1276">
        <f t="shared" si="30"/>
        <v>288.83100000000059</v>
      </c>
      <c r="T39" s="1276">
        <f t="shared" ref="T39:Y39" si="31">T33+T36</f>
        <v>375.57200000000017</v>
      </c>
      <c r="U39" s="1276">
        <f t="shared" si="31"/>
        <v>427.55445999999995</v>
      </c>
      <c r="V39" s="1276">
        <f>V33+V36</f>
        <v>363.71950000000021</v>
      </c>
      <c r="W39" s="1276">
        <f t="shared" si="31"/>
        <v>350.03099999999995</v>
      </c>
      <c r="X39" s="1276">
        <f>X33+X36</f>
        <v>342.43999999999971</v>
      </c>
      <c r="Y39" s="1276">
        <f t="shared" si="31"/>
        <v>274.83699999999982</v>
      </c>
      <c r="Z39" s="1276">
        <f>Z33+Z36</f>
        <v>304.61667565408248</v>
      </c>
      <c r="AA39" s="1276">
        <f>AA33+AA36</f>
        <v>306.2076228231553</v>
      </c>
      <c r="AB39" s="1276">
        <f>AB33+AB36</f>
        <v>312.54785645186752</v>
      </c>
      <c r="AC39" s="1276">
        <f>AC33+AC36</f>
        <v>318.32288416601591</v>
      </c>
      <c r="AD39" s="1276">
        <f>AD33+AD36</f>
        <v>324.00513195099222</v>
      </c>
      <c r="AE39" s="1304"/>
      <c r="AF39" s="1304"/>
      <c r="AG39" s="1301">
        <f>((Y39/T39)^(1/5)-1)*100</f>
        <v>-6.0544099444425736</v>
      </c>
      <c r="AH39" s="1302" t="s">
        <v>208</v>
      </c>
      <c r="AI39" s="1301">
        <f>((AD39/Y39)^(1/5)-1)*100</f>
        <v>3.3463964480338726</v>
      </c>
      <c r="AJ39" s="1303" t="s">
        <v>208</v>
      </c>
    </row>
    <row r="40" spans="1:40">
      <c r="A40" s="1277" t="s">
        <v>236</v>
      </c>
      <c r="B40" s="903">
        <f t="shared" ref="B40:W40" si="32">B39/B$7</f>
        <v>0.16962250615232338</v>
      </c>
      <c r="C40" s="903">
        <f t="shared" si="32"/>
        <v>0.1588291890916744</v>
      </c>
      <c r="D40" s="903">
        <f t="shared" si="32"/>
        <v>0.14485169139541706</v>
      </c>
      <c r="E40" s="903">
        <f t="shared" si="32"/>
        <v>0.13634999422832728</v>
      </c>
      <c r="F40" s="903">
        <f t="shared" si="32"/>
        <v>0.12728182402973354</v>
      </c>
      <c r="G40" s="903">
        <f t="shared" si="32"/>
        <v>0.12530518170671642</v>
      </c>
      <c r="H40" s="903">
        <f t="shared" si="32"/>
        <v>6.0226930278702302E-2</v>
      </c>
      <c r="I40" s="903">
        <f t="shared" si="32"/>
        <v>7.2278039190962706E-2</v>
      </c>
      <c r="J40" s="903">
        <f t="shared" si="32"/>
        <v>0.10898300193493141</v>
      </c>
      <c r="K40" s="903">
        <f t="shared" si="32"/>
        <v>6.0657620314671479E-2</v>
      </c>
      <c r="L40" s="903">
        <f t="shared" si="32"/>
        <v>0.18144608879492585</v>
      </c>
      <c r="M40" s="903">
        <f t="shared" si="32"/>
        <v>0.19448369070063645</v>
      </c>
      <c r="N40" s="903">
        <f t="shared" si="32"/>
        <v>0.13893658698295214</v>
      </c>
      <c r="O40" s="903">
        <f t="shared" si="32"/>
        <v>0.15546214028562255</v>
      </c>
      <c r="P40" s="903">
        <f t="shared" si="32"/>
        <v>0.16869451842290867</v>
      </c>
      <c r="Q40" s="903">
        <f t="shared" si="32"/>
        <v>0.17772904018185429</v>
      </c>
      <c r="R40" s="903">
        <f t="shared" si="32"/>
        <v>0.18346054838349374</v>
      </c>
      <c r="S40" s="903">
        <f t="shared" si="32"/>
        <v>0.11675595571349537</v>
      </c>
      <c r="T40" s="903">
        <f t="shared" si="32"/>
        <v>0.13437641439394624</v>
      </c>
      <c r="U40" s="903">
        <f t="shared" si="32"/>
        <v>0.1385175602634843</v>
      </c>
      <c r="V40" s="903">
        <f t="shared" si="32"/>
        <v>0.1094437489440238</v>
      </c>
      <c r="W40" s="903">
        <f t="shared" si="32"/>
        <v>0.10160156324833808</v>
      </c>
      <c r="X40" s="903">
        <f t="shared" ref="X40:AC40" si="33">X39/X$7</f>
        <v>9.6576394454951336E-2</v>
      </c>
      <c r="Y40" s="903">
        <f t="shared" si="33"/>
        <v>7.6005513252990667E-2</v>
      </c>
      <c r="Z40" s="903">
        <f t="shared" si="33"/>
        <v>8.056794201741467E-2</v>
      </c>
      <c r="AA40" s="903">
        <f t="shared" si="33"/>
        <v>7.9698654619967751E-2</v>
      </c>
      <c r="AB40" s="903">
        <f t="shared" si="33"/>
        <v>7.9798654619967796E-2</v>
      </c>
      <c r="AC40" s="903">
        <f t="shared" si="33"/>
        <v>7.989865461996766E-2</v>
      </c>
      <c r="AD40" s="903">
        <f t="shared" ref="AD40" si="34">AD39/AD$7</f>
        <v>8.0098654619967763E-2</v>
      </c>
      <c r="AE40" s="1304"/>
      <c r="AF40" s="1304"/>
      <c r="AG40" s="1301"/>
      <c r="AH40" s="1305"/>
      <c r="AI40" s="1301"/>
      <c r="AJ40" s="1306"/>
    </row>
    <row r="41" spans="1:40">
      <c r="A41" s="1277"/>
      <c r="B41" s="1276"/>
      <c r="C41" s="1276"/>
      <c r="D41" s="1276"/>
      <c r="E41" s="1276"/>
      <c r="F41" s="1276"/>
      <c r="G41" s="1276"/>
      <c r="H41" s="1276"/>
      <c r="I41" s="1276"/>
      <c r="J41" s="1276"/>
      <c r="K41" s="1276"/>
      <c r="L41" s="1276"/>
      <c r="M41" s="1276"/>
      <c r="N41" s="1276"/>
      <c r="O41" s="1276"/>
      <c r="P41" s="1276"/>
      <c r="Q41" s="1276"/>
      <c r="R41" s="1276"/>
      <c r="S41" s="1276"/>
      <c r="T41" s="1276"/>
      <c r="U41" s="1276"/>
      <c r="V41" s="1276"/>
      <c r="W41" s="1276"/>
      <c r="X41" s="1276"/>
      <c r="Y41" s="1276"/>
      <c r="Z41" s="1276"/>
      <c r="AA41" s="1276"/>
      <c r="AB41" s="1276"/>
      <c r="AC41" s="1276"/>
      <c r="AD41" s="1276"/>
      <c r="AE41" s="1304"/>
      <c r="AF41" s="1304"/>
      <c r="AG41" s="1301"/>
      <c r="AH41" s="1305"/>
      <c r="AI41" s="1301"/>
      <c r="AJ41" s="1306"/>
    </row>
    <row r="42" spans="1:40">
      <c r="A42" s="1277" t="s">
        <v>237</v>
      </c>
      <c r="B42" s="1276">
        <f>'qtrP&amp;L'!D84</f>
        <v>7.8330000000000002</v>
      </c>
      <c r="C42" s="1276">
        <f>'qtrP&amp;L'!H84</f>
        <v>8.8219999999999992</v>
      </c>
      <c r="D42" s="1276">
        <f>'qtrP&amp;L'!L84</f>
        <v>9.4090000000000007</v>
      </c>
      <c r="E42" s="1276">
        <f>'qtrP&amp;L'!P84</f>
        <v>9.7449999999999992</v>
      </c>
      <c r="F42" s="1276">
        <f>'qtrP&amp;L'!T84</f>
        <v>10.950000000000001</v>
      </c>
      <c r="G42" s="1276">
        <f>'qtrP&amp;L'!X84</f>
        <v>16.169</v>
      </c>
      <c r="H42" s="1276">
        <f>'qtrP&amp;L'!AB84</f>
        <v>7.2919999999999998</v>
      </c>
      <c r="I42" s="1276">
        <f>+'qtrP&amp;L'!AF84</f>
        <v>10.215</v>
      </c>
      <c r="J42" s="1276">
        <f>+'qtrP&amp;L'!AJ84</f>
        <v>18.66</v>
      </c>
      <c r="K42" s="1276">
        <f>+'qtrP&amp;L'!AN84</f>
        <v>32.927999999999997</v>
      </c>
      <c r="L42" s="1276">
        <f>+'qtrP&amp;L'!AU84</f>
        <v>59.703000000000003</v>
      </c>
      <c r="M42" s="1276">
        <f>'qtrP&amp;L'!AY84</f>
        <v>81.600999999999999</v>
      </c>
      <c r="N42" s="1276">
        <f>'qtrP&amp;L'!BC84</f>
        <v>53.951999999999998</v>
      </c>
      <c r="O42" s="1276">
        <f>+'qtrP&amp;L'!BG84</f>
        <v>74.164000000000001</v>
      </c>
      <c r="P42" s="1276">
        <f>'qtrP&amp;L'!BK84</f>
        <v>110.126</v>
      </c>
      <c r="Q42" s="1276">
        <f>'qtrP&amp;L'!BO84</f>
        <v>124.51299999999999</v>
      </c>
      <c r="R42" s="1276">
        <f>'qtrP&amp;L'!$BS$84</f>
        <v>144.25</v>
      </c>
      <c r="S42" s="1276">
        <f>'qtrP&amp;L'!$BW$84</f>
        <v>103.57999999999998</v>
      </c>
      <c r="T42" s="1276">
        <f>+'qtrP&amp;L'!$CA$84</f>
        <v>138.25800000000001</v>
      </c>
      <c r="U42" s="1276">
        <f>'qtrP&amp;L'!CE84</f>
        <v>145.15799999999999</v>
      </c>
      <c r="V42" s="1276">
        <f>'qtrP&amp;L'!CI84</f>
        <v>131.02199999999999</v>
      </c>
      <c r="W42" s="1276">
        <f>'qtrP&amp;L'!CM84</f>
        <v>125.542</v>
      </c>
      <c r="X42" s="1276">
        <f>'qtrP&amp;L'!CQ84</f>
        <v>121.673</v>
      </c>
      <c r="Y42" s="1276">
        <f>'qtrP&amp;L'!$CU$84</f>
        <v>92.847999999999999</v>
      </c>
      <c r="Z42" s="1276">
        <f>'qtrP&amp;L'!CY84</f>
        <v>76.991567904757304</v>
      </c>
      <c r="AA42" s="1276">
        <f>+AA39*AA43</f>
        <v>77.393678251269165</v>
      </c>
      <c r="AB42" s="1276">
        <f>+AB39*AB43</f>
        <v>78.996166121996737</v>
      </c>
      <c r="AC42" s="1276">
        <f>+AC39*AC43</f>
        <v>80.455798748644597</v>
      </c>
      <c r="AD42" s="1276">
        <f>+AD39*AD43</f>
        <v>81.891981338613718</v>
      </c>
      <c r="AE42" s="1304"/>
      <c r="AF42" s="1304"/>
      <c r="AG42" s="1301">
        <f>((Y42/T42)^(1/5)-1)*100</f>
        <v>-7.6543470107446554</v>
      </c>
      <c r="AH42" s="1302" t="s">
        <v>208</v>
      </c>
      <c r="AI42" s="1301">
        <f>((AD42/Y42)^(1/5)-1)*100</f>
        <v>-2.4799837192410634</v>
      </c>
      <c r="AJ42" s="1303" t="s">
        <v>208</v>
      </c>
    </row>
    <row r="43" spans="1:40">
      <c r="A43" s="1277" t="s">
        <v>238</v>
      </c>
      <c r="B43" s="1325">
        <f t="shared" ref="B43:Z43" si="35">B42/B39</f>
        <v>0.41934793083141492</v>
      </c>
      <c r="C43" s="1325">
        <f t="shared" si="35"/>
        <v>0.41751064836725038</v>
      </c>
      <c r="D43" s="1325">
        <f t="shared" si="35"/>
        <v>0.41506021438969559</v>
      </c>
      <c r="E43" s="1325">
        <f t="shared" si="35"/>
        <v>0.41250423298340694</v>
      </c>
      <c r="F43" s="1325">
        <f t="shared" si="35"/>
        <v>0.40992812219227276</v>
      </c>
      <c r="G43" s="1325">
        <f t="shared" si="35"/>
        <v>0.46397314126660705</v>
      </c>
      <c r="H43" s="1325">
        <f t="shared" si="35"/>
        <v>0.40996233204025445</v>
      </c>
      <c r="I43" s="1325">
        <f t="shared" si="35"/>
        <v>0.4050035683133778</v>
      </c>
      <c r="J43" s="1325">
        <f t="shared" si="35"/>
        <v>0.40500944153842827</v>
      </c>
      <c r="K43" s="1325">
        <f t="shared" si="35"/>
        <v>1.091777188328912</v>
      </c>
      <c r="L43" s="1325">
        <f t="shared" si="35"/>
        <v>0.39751118568232702</v>
      </c>
      <c r="M43" s="1325">
        <f t="shared" si="35"/>
        <v>0.38419092548388167</v>
      </c>
      <c r="N43" s="1325">
        <f t="shared" si="35"/>
        <v>0.31707001727805878</v>
      </c>
      <c r="O43" s="1325">
        <f t="shared" si="35"/>
        <v>0.31640741657209664</v>
      </c>
      <c r="P43" s="1325">
        <f t="shared" si="35"/>
        <v>0.35583055995347201</v>
      </c>
      <c r="Q43" s="1325">
        <f t="shared" si="35"/>
        <v>0.36152970621882319</v>
      </c>
      <c r="R43" s="1325">
        <f t="shared" si="35"/>
        <v>0.3457508005599127</v>
      </c>
      <c r="S43" s="1325">
        <f t="shared" si="35"/>
        <v>0.35861801537923482</v>
      </c>
      <c r="T43" s="1325">
        <f t="shared" si="35"/>
        <v>0.36812648440245799</v>
      </c>
      <c r="U43" s="1325">
        <f t="shared" si="35"/>
        <v>0.33950762670093537</v>
      </c>
      <c r="V43" s="1325">
        <f t="shared" si="35"/>
        <v>0.36022814284084276</v>
      </c>
      <c r="W43" s="1325">
        <f t="shared" si="35"/>
        <v>0.35865966157283219</v>
      </c>
      <c r="X43" s="1325">
        <f t="shared" si="35"/>
        <v>0.3553118794533352</v>
      </c>
      <c r="Y43" s="1325">
        <f t="shared" si="35"/>
        <v>0.33782933156743838</v>
      </c>
      <c r="Z43" s="1325">
        <f t="shared" si="35"/>
        <v>0.25274902544136363</v>
      </c>
      <c r="AA43" s="1326">
        <f>Z43</f>
        <v>0.25274902544136363</v>
      </c>
      <c r="AB43" s="1326">
        <f>AA43</f>
        <v>0.25274902544136363</v>
      </c>
      <c r="AC43" s="1326">
        <f>AB43</f>
        <v>0.25274902544136363</v>
      </c>
      <c r="AD43" s="1326">
        <f>AC43</f>
        <v>0.25274902544136363</v>
      </c>
      <c r="AE43" s="1304"/>
      <c r="AF43" s="1304"/>
      <c r="AG43" s="1301"/>
      <c r="AH43" s="1305"/>
      <c r="AI43" s="1301"/>
      <c r="AJ43" s="1306"/>
    </row>
    <row r="44" spans="1:40">
      <c r="A44" s="1277"/>
      <c r="B44" s="1276"/>
      <c r="C44" s="1276"/>
      <c r="D44" s="1276"/>
      <c r="E44" s="1276"/>
      <c r="F44" s="1276"/>
      <c r="G44" s="1276"/>
      <c r="H44" s="1276"/>
      <c r="I44" s="1276"/>
      <c r="J44" s="1276"/>
      <c r="K44" s="1276"/>
      <c r="L44" s="1276"/>
      <c r="M44" s="1276"/>
      <c r="N44" s="1276"/>
      <c r="O44" s="1276"/>
      <c r="P44" s="1276"/>
      <c r="Q44" s="1276"/>
      <c r="R44" s="1276"/>
      <c r="S44" s="1276"/>
      <c r="T44" s="1276"/>
      <c r="U44" s="1276"/>
      <c r="V44" s="1276"/>
      <c r="W44" s="1276"/>
      <c r="X44" s="1276"/>
      <c r="Y44" s="1276"/>
      <c r="Z44" s="1276"/>
      <c r="AA44" s="1276"/>
      <c r="AB44" s="1276"/>
      <c r="AC44" s="1276"/>
      <c r="AD44" s="1276"/>
      <c r="AE44" s="1304"/>
      <c r="AF44" s="1304"/>
      <c r="AG44" s="1301"/>
      <c r="AH44" s="1327"/>
      <c r="AI44" s="1301"/>
      <c r="AJ44" s="1306"/>
    </row>
    <row r="45" spans="1:40">
      <c r="A45" s="1277" t="s">
        <v>239</v>
      </c>
      <c r="B45" s="1276">
        <f t="shared" ref="B45:M45" si="36">B39-B42</f>
        <v>10.846000000000002</v>
      </c>
      <c r="C45" s="1276">
        <f t="shared" si="36"/>
        <v>12.307999999999996</v>
      </c>
      <c r="D45" s="1276">
        <f t="shared" si="36"/>
        <v>13.259999999999978</v>
      </c>
      <c r="E45" s="1276">
        <f t="shared" si="36"/>
        <v>13.878999999999985</v>
      </c>
      <c r="F45" s="1276">
        <f t="shared" si="36"/>
        <v>15.762000000000027</v>
      </c>
      <c r="G45" s="1276">
        <f t="shared" si="36"/>
        <v>18.680000000000025</v>
      </c>
      <c r="H45" s="1276">
        <f t="shared" si="36"/>
        <v>10.494999999999985</v>
      </c>
      <c r="I45" s="1276">
        <f t="shared" si="36"/>
        <v>15.006999999999962</v>
      </c>
      <c r="J45" s="1276">
        <f t="shared" si="36"/>
        <v>27.412999999999986</v>
      </c>
      <c r="K45" s="1276">
        <f t="shared" si="36"/>
        <v>-2.7679999999999865</v>
      </c>
      <c r="L45" s="1276">
        <f t="shared" si="36"/>
        <v>90.488999999999862</v>
      </c>
      <c r="M45" s="1276">
        <f t="shared" si="36"/>
        <v>130.79599999999996</v>
      </c>
      <c r="N45" s="1276">
        <f t="shared" ref="N45:S45" si="37">N39-N42</f>
        <v>116.20600000000022</v>
      </c>
      <c r="O45" s="1276">
        <f t="shared" si="37"/>
        <v>160.22999999999996</v>
      </c>
      <c r="P45" s="1276">
        <f t="shared" si="37"/>
        <v>199.36399999999983</v>
      </c>
      <c r="Q45" s="1276">
        <f t="shared" si="37"/>
        <v>219.89299999999997</v>
      </c>
      <c r="R45" s="1276">
        <f t="shared" si="37"/>
        <v>272.95799999999986</v>
      </c>
      <c r="S45" s="1276">
        <f t="shared" si="37"/>
        <v>185.2510000000006</v>
      </c>
      <c r="T45" s="1276">
        <f t="shared" ref="T45:Y45" si="38">T39-T42</f>
        <v>237.31400000000016</v>
      </c>
      <c r="U45" s="1276">
        <f t="shared" si="38"/>
        <v>282.39645999999993</v>
      </c>
      <c r="V45" s="1276">
        <f>V39-V42</f>
        <v>232.69750000000022</v>
      </c>
      <c r="W45" s="1276">
        <f>W39-W42</f>
        <v>224.48899999999995</v>
      </c>
      <c r="X45" s="1276">
        <f t="shared" si="38"/>
        <v>220.76699999999971</v>
      </c>
      <c r="Y45" s="1276">
        <f t="shared" si="38"/>
        <v>181.98899999999981</v>
      </c>
      <c r="Z45" s="1276">
        <f>Z39-Z42</f>
        <v>227.6251077493252</v>
      </c>
      <c r="AA45" s="1276">
        <f>AA39-AA42</f>
        <v>228.81394457188614</v>
      </c>
      <c r="AB45" s="1276">
        <f>AB39-AB42</f>
        <v>233.55169032987078</v>
      </c>
      <c r="AC45" s="1276">
        <f>AC39-AC42</f>
        <v>237.8670854173713</v>
      </c>
      <c r="AD45" s="1276">
        <f>AD39-AD42</f>
        <v>242.11315061237849</v>
      </c>
      <c r="AE45" s="1304"/>
      <c r="AF45" s="1304"/>
      <c r="AG45" s="1301">
        <f>((Y45/T45)^(1/5)-1)*100</f>
        <v>-5.1703045479434824</v>
      </c>
      <c r="AH45" s="1302" t="s">
        <v>208</v>
      </c>
      <c r="AI45" s="1301">
        <f>((AD45/Y45)^(1/5)-1)*100</f>
        <v>5.8752985845640149</v>
      </c>
      <c r="AJ45" s="1303" t="s">
        <v>208</v>
      </c>
    </row>
    <row r="46" spans="1:40">
      <c r="A46" s="1328" t="s">
        <v>240</v>
      </c>
      <c r="B46" s="903">
        <f t="shared" ref="B46:W46" si="39">B45/B$7</f>
        <v>9.8491659174907625E-2</v>
      </c>
      <c r="C46" s="903">
        <f t="shared" si="39"/>
        <v>9.2516311374364807E-2</v>
      </c>
      <c r="D46" s="903">
        <f t="shared" si="39"/>
        <v>8.4729517310125235E-2</v>
      </c>
      <c r="E46" s="903">
        <f t="shared" si="39"/>
        <v>8.0105044441879172E-2</v>
      </c>
      <c r="F46" s="903">
        <f t="shared" si="39"/>
        <v>7.5105424916017571E-2</v>
      </c>
      <c r="G46" s="903">
        <f t="shared" si="39"/>
        <v>6.716694293326822E-2</v>
      </c>
      <c r="H46" s="903">
        <f t="shared" si="39"/>
        <v>3.553615749001969E-2</v>
      </c>
      <c r="I46" s="903">
        <f t="shared" si="39"/>
        <v>4.3005175407928642E-2</v>
      </c>
      <c r="J46" s="903">
        <f t="shared" si="39"/>
        <v>6.4843857184083392E-2</v>
      </c>
      <c r="K46" s="903">
        <f t="shared" si="39"/>
        <v>-5.5669858432032416E-3</v>
      </c>
      <c r="L46" s="903">
        <f t="shared" si="39"/>
        <v>0.10931923890063408</v>
      </c>
      <c r="M46" s="903">
        <f t="shared" si="39"/>
        <v>0.11976482157883794</v>
      </c>
      <c r="N46" s="903">
        <f t="shared" si="39"/>
        <v>9.4883960947712981E-2</v>
      </c>
      <c r="O46" s="903">
        <f t="shared" si="39"/>
        <v>0.10627276610307985</v>
      </c>
      <c r="P46" s="903">
        <f t="shared" si="39"/>
        <v>0.10866785347140377</v>
      </c>
      <c r="Q46" s="903">
        <f t="shared" si="39"/>
        <v>0.11347471249835508</v>
      </c>
      <c r="R46" s="903">
        <f t="shared" si="39"/>
        <v>0.12002891690874018</v>
      </c>
      <c r="S46" s="903">
        <f t="shared" si="39"/>
        <v>7.4885166591815822E-2</v>
      </c>
      <c r="T46" s="903">
        <f t="shared" si="39"/>
        <v>8.4908897376494943E-2</v>
      </c>
      <c r="U46" s="903">
        <f t="shared" si="39"/>
        <v>9.1489792122024946E-2</v>
      </c>
      <c r="V46" s="903">
        <f t="shared" si="39"/>
        <v>7.0019030516378658E-2</v>
      </c>
      <c r="W46" s="903">
        <f t="shared" si="39"/>
        <v>6.5161180958418441E-2</v>
      </c>
      <c r="X46" s="903">
        <f t="shared" ref="X46:AC46" si="40">X45/X$7</f>
        <v>6.2261654230335917E-2</v>
      </c>
      <c r="Y46" s="903">
        <f t="shared" si="40"/>
        <v>5.032862151529275E-2</v>
      </c>
      <c r="Z46" s="903">
        <f t="shared" si="40"/>
        <v>6.0204473190696821E-2</v>
      </c>
      <c r="AA46" s="903">
        <f t="shared" si="40"/>
        <v>5.955489733578307E-2</v>
      </c>
      <c r="AB46" s="903">
        <f t="shared" si="40"/>
        <v>5.9629622433238966E-2</v>
      </c>
      <c r="AC46" s="903">
        <f t="shared" si="40"/>
        <v>5.9704347530694729E-2</v>
      </c>
      <c r="AD46" s="903">
        <f t="shared" ref="AD46" si="41">AD45/AD$7</f>
        <v>5.9853797725606533E-2</v>
      </c>
      <c r="AE46" s="1304"/>
      <c r="AF46" s="1304"/>
      <c r="AG46" s="1301"/>
      <c r="AH46" s="1305"/>
      <c r="AI46" s="1301"/>
      <c r="AJ46" s="1306"/>
      <c r="AN46" s="410">
        <f>15*2.1</f>
        <v>31.5</v>
      </c>
    </row>
    <row r="47" spans="1:40">
      <c r="A47" s="1328"/>
      <c r="B47" s="1276"/>
      <c r="C47" s="1276"/>
      <c r="D47" s="1276"/>
      <c r="E47" s="1276"/>
      <c r="F47" s="1276"/>
      <c r="G47" s="1276"/>
      <c r="H47" s="1276"/>
      <c r="I47" s="1276"/>
      <c r="J47" s="1276"/>
      <c r="K47" s="1276"/>
      <c r="L47" s="1276"/>
      <c r="M47" s="1276"/>
      <c r="N47" s="1329"/>
      <c r="O47" s="1329"/>
      <c r="P47" s="1329"/>
      <c r="Q47" s="1329"/>
      <c r="R47" s="1329"/>
      <c r="S47" s="1329"/>
      <c r="T47" s="1329"/>
      <c r="U47" s="1329"/>
      <c r="V47" s="1329"/>
      <c r="W47" s="1329"/>
      <c r="X47" s="1329"/>
      <c r="Y47" s="1329"/>
      <c r="Z47" s="1329"/>
      <c r="AA47" s="1329"/>
      <c r="AB47" s="1329"/>
      <c r="AC47" s="1329"/>
      <c r="AD47" s="1329"/>
      <c r="AE47" s="1304"/>
      <c r="AF47" s="1304"/>
      <c r="AG47" s="1301"/>
      <c r="AH47" s="1305"/>
      <c r="AI47" s="1330"/>
      <c r="AJ47" s="1331"/>
      <c r="AN47" s="410">
        <f>16*31.5</f>
        <v>504</v>
      </c>
    </row>
    <row r="48" spans="1:40">
      <c r="A48" s="1277" t="s">
        <v>241</v>
      </c>
      <c r="B48" s="1332">
        <f t="shared" ref="B48:M48" si="42">B45/B54</f>
        <v>7.7138156472310968E-2</v>
      </c>
      <c r="C48" s="1332">
        <f t="shared" si="42"/>
        <v>8.7316105528026031E-2</v>
      </c>
      <c r="D48" s="1332">
        <f t="shared" si="42"/>
        <v>9.3524499102249289E-2</v>
      </c>
      <c r="E48" s="1332">
        <f t="shared" si="42"/>
        <v>9.7225249249420137E-2</v>
      </c>
      <c r="F48" s="1332">
        <f t="shared" si="42"/>
        <v>0.10989112732819034</v>
      </c>
      <c r="G48" s="1332">
        <f t="shared" si="42"/>
        <v>0.13085369962356741</v>
      </c>
      <c r="H48" s="1332">
        <f t="shared" si="42"/>
        <v>7.6021131484178661E-2</v>
      </c>
      <c r="I48" s="1332">
        <f t="shared" si="42"/>
        <v>0.1075711572417213</v>
      </c>
      <c r="J48" s="1332">
        <f t="shared" si="42"/>
        <v>0.17673535772737287</v>
      </c>
      <c r="K48" s="1332">
        <f t="shared" si="42"/>
        <v>-1.7122114499983822E-2</v>
      </c>
      <c r="L48" s="1332">
        <f t="shared" si="42"/>
        <v>0.54086978668520869</v>
      </c>
      <c r="M48" s="1332">
        <f t="shared" si="42"/>
        <v>0.76967781072409458</v>
      </c>
      <c r="N48" s="1332">
        <f t="shared" ref="N48:S48" si="43">N45/N54</f>
        <v>0.68902827452303461</v>
      </c>
      <c r="O48" s="1332">
        <f t="shared" si="43"/>
        <v>0.94455228159954896</v>
      </c>
      <c r="P48" s="1332">
        <f t="shared" si="43"/>
        <v>1.1669397312408092</v>
      </c>
      <c r="Q48" s="1332">
        <f t="shared" si="43"/>
        <v>1.2841948570475967</v>
      </c>
      <c r="R48" s="1332">
        <f t="shared" si="43"/>
        <v>1.6016631036697118</v>
      </c>
      <c r="S48" s="1332">
        <f t="shared" si="43"/>
        <v>1.1860520595357951</v>
      </c>
      <c r="T48" s="1332">
        <f t="shared" ref="T48:AA48" si="44">T45/T54</f>
        <v>1.6181151190203222</v>
      </c>
      <c r="U48" s="1332">
        <f t="shared" si="44"/>
        <v>1.8924841102053414</v>
      </c>
      <c r="V48" s="1332">
        <f t="shared" si="44"/>
        <v>1.7025450024000583</v>
      </c>
      <c r="W48" s="1332">
        <f t="shared" si="44"/>
        <v>1.7814690743955239</v>
      </c>
      <c r="X48" s="1332">
        <f t="shared" si="44"/>
        <v>1.8822141492607638</v>
      </c>
      <c r="Y48" s="1332">
        <f t="shared" si="44"/>
        <v>1.6371602326812424</v>
      </c>
      <c r="Z48" s="1332">
        <f t="shared" si="44"/>
        <v>2.1143326517144296</v>
      </c>
      <c r="AA48" s="1332">
        <f t="shared" si="44"/>
        <v>2.19982542999242</v>
      </c>
      <c r="AB48" s="1332">
        <f>AB45/AB54</f>
        <v>2.3006711225305501</v>
      </c>
      <c r="AC48" s="1332">
        <f>AC45/AC54</f>
        <v>2.4003886789252227</v>
      </c>
      <c r="AD48" s="1332">
        <f>AD45/AD54</f>
        <v>2.5005874242573998</v>
      </c>
      <c r="AE48" s="1333"/>
      <c r="AF48" s="1333"/>
      <c r="AG48" s="1301">
        <f>((Y48/T48)^(1/5)-1)*100</f>
        <v>0.23429825915812774</v>
      </c>
      <c r="AH48" s="1302" t="s">
        <v>208</v>
      </c>
      <c r="AI48" s="1301">
        <f>((AD48/Y48)^(1/5)-1)*100</f>
        <v>8.8404105199102681</v>
      </c>
      <c r="AJ48" s="1303" t="s">
        <v>208</v>
      </c>
      <c r="AK48" s="527">
        <f>(V48/S48)^(1/3)-1</f>
        <v>0.12805848377575479</v>
      </c>
      <c r="AL48" s="527">
        <f>(AA48/X48)^(1/3)-1</f>
        <v>5.3350877659154028E-2</v>
      </c>
    </row>
    <row r="49" spans="1:40">
      <c r="A49" s="1277" t="s">
        <v>243</v>
      </c>
      <c r="B49" s="1276"/>
      <c r="C49" s="1334">
        <f t="shared" ref="C49:W49" si="45">C48/B48-1</f>
        <v>0.13194441663080814</v>
      </c>
      <c r="D49" s="1334">
        <f t="shared" si="45"/>
        <v>7.1102502071975104E-2</v>
      </c>
      <c r="E49" s="1334">
        <f t="shared" si="45"/>
        <v>3.9569847288087212E-2</v>
      </c>
      <c r="F49" s="1334">
        <f t="shared" si="45"/>
        <v>0.13027354701120242</v>
      </c>
      <c r="G49" s="1334">
        <f t="shared" si="45"/>
        <v>0.19075764172272303</v>
      </c>
      <c r="H49" s="1334">
        <f t="shared" si="45"/>
        <v>-0.41903720183019666</v>
      </c>
      <c r="I49" s="1334">
        <f t="shared" si="45"/>
        <v>0.41501652424245683</v>
      </c>
      <c r="J49" s="1334">
        <f t="shared" si="45"/>
        <v>0.64296231684329541</v>
      </c>
      <c r="K49" s="1334">
        <f t="shared" si="45"/>
        <v>-1.0968799606380741</v>
      </c>
      <c r="L49" s="1334">
        <f t="shared" si="45"/>
        <v>-32.588959803166816</v>
      </c>
      <c r="M49" s="1334">
        <f>M48/L48-1</f>
        <v>0.42303717026082355</v>
      </c>
      <c r="N49" s="1334">
        <f t="shared" si="45"/>
        <v>-0.10478350171636985</v>
      </c>
      <c r="O49" s="1334">
        <f t="shared" si="45"/>
        <v>0.37084691082292021</v>
      </c>
      <c r="P49" s="1334">
        <f t="shared" si="45"/>
        <v>0.23544218141600259</v>
      </c>
      <c r="Q49" s="1334">
        <f t="shared" si="45"/>
        <v>0.10048087546227435</v>
      </c>
      <c r="R49" s="1334">
        <f t="shared" si="45"/>
        <v>0.24721189691725143</v>
      </c>
      <c r="S49" s="1334">
        <f t="shared" si="45"/>
        <v>-0.25948718128155257</v>
      </c>
      <c r="T49" s="1334">
        <f t="shared" si="45"/>
        <v>0.36428675791316523</v>
      </c>
      <c r="U49" s="1334">
        <f t="shared" si="45"/>
        <v>0.16956086001540749</v>
      </c>
      <c r="V49" s="1334">
        <f t="shared" si="45"/>
        <v>-0.10036496834030162</v>
      </c>
      <c r="W49" s="1334">
        <f t="shared" si="45"/>
        <v>4.6356526191206227E-2</v>
      </c>
      <c r="X49" s="1334">
        <f t="shared" ref="X49:AD49" si="46">X48/W48-1</f>
        <v>5.6551683278265097E-2</v>
      </c>
      <c r="Y49" s="1334">
        <f t="shared" si="46"/>
        <v>-0.13019449284012974</v>
      </c>
      <c r="Z49" s="1334">
        <f t="shared" si="46"/>
        <v>0.29146348018220736</v>
      </c>
      <c r="AA49" s="1334">
        <f t="shared" si="46"/>
        <v>4.0434875850149599E-2</v>
      </c>
      <c r="AB49" s="1334">
        <f t="shared" si="46"/>
        <v>4.5842588763271852E-2</v>
      </c>
      <c r="AC49" s="1334">
        <f t="shared" si="46"/>
        <v>4.3342812198638558E-2</v>
      </c>
      <c r="AD49" s="1334">
        <f t="shared" si="46"/>
        <v>4.1742717007414498E-2</v>
      </c>
      <c r="AE49" s="1333"/>
      <c r="AF49" s="1333"/>
      <c r="AG49" s="1301"/>
      <c r="AH49" s="1305"/>
      <c r="AI49" s="1301"/>
      <c r="AJ49" s="1306"/>
    </row>
    <row r="50" spans="1:40">
      <c r="A50" s="1328"/>
      <c r="B50" s="1276"/>
      <c r="C50" s="1276"/>
      <c r="D50" s="1276"/>
      <c r="E50" s="1276"/>
      <c r="F50" s="1276"/>
      <c r="G50" s="1276"/>
      <c r="H50" s="1276"/>
      <c r="I50" s="1276"/>
      <c r="J50" s="1276"/>
      <c r="K50" s="1276"/>
      <c r="L50" s="1276"/>
      <c r="M50" s="1276"/>
      <c r="N50" s="1276"/>
      <c r="O50" s="1276"/>
      <c r="P50" s="1335"/>
      <c r="Q50" s="1335"/>
      <c r="R50" s="1335"/>
      <c r="S50" s="1335"/>
      <c r="T50" s="1335"/>
      <c r="U50" s="1332"/>
      <c r="V50" s="1332"/>
      <c r="W50" s="1336"/>
      <c r="X50" s="1337"/>
      <c r="Y50" s="514"/>
      <c r="Z50" s="514"/>
      <c r="AA50" s="514"/>
      <c r="AB50" s="514"/>
      <c r="AC50" s="514"/>
      <c r="AD50" s="514"/>
      <c r="AE50" s="1304"/>
      <c r="AF50" s="1304"/>
      <c r="AG50" s="1301"/>
      <c r="AH50" s="1305"/>
      <c r="AI50" s="1301"/>
      <c r="AJ50" s="1306"/>
      <c r="AN50" s="410">
        <f>2.005/2.3-1</f>
        <v>-0.12826086956521732</v>
      </c>
    </row>
    <row r="51" spans="1:40" ht="14.25" hidden="1" outlineLevel="1">
      <c r="A51" s="1277" t="s">
        <v>175</v>
      </c>
      <c r="B51" s="1332" t="e">
        <f>B47/B56</f>
        <v>#DIV/0!</v>
      </c>
      <c r="C51" s="1332" t="e">
        <f>C47/C56</f>
        <v>#DIV/0!</v>
      </c>
      <c r="D51" s="1332" t="e">
        <f>D47/D56</f>
        <v>#DIV/0!</v>
      </c>
      <c r="E51" s="1332"/>
      <c r="F51" s="1332"/>
      <c r="G51" s="1332"/>
      <c r="H51" s="1332"/>
      <c r="I51" s="1332"/>
      <c r="J51" s="1332"/>
      <c r="K51" s="1332"/>
      <c r="L51" s="1332"/>
      <c r="M51" s="1338"/>
      <c r="N51" s="1332">
        <f t="shared" ref="N51:S51" si="47">(N45+(N30*(1-N43)))/N54</f>
        <v>0.693077618512286</v>
      </c>
      <c r="O51" s="1332">
        <f t="shared" si="47"/>
        <v>0.94858204465491536</v>
      </c>
      <c r="P51" s="1332">
        <f t="shared" si="47"/>
        <v>1.1707102560759923</v>
      </c>
      <c r="Q51" s="1332">
        <f t="shared" si="47"/>
        <v>1.2879235808707812</v>
      </c>
      <c r="R51" s="1332">
        <f t="shared" si="47"/>
        <v>1.6055021074847624</v>
      </c>
      <c r="S51" s="1332">
        <f t="shared" si="47"/>
        <v>1.1901584472141808</v>
      </c>
      <c r="T51" s="1332">
        <f t="shared" ref="T51:Y51" si="48">(T45+(T30*(1-T43)))/T54</f>
        <v>1.622423520922009</v>
      </c>
      <c r="U51" s="1332">
        <f t="shared" si="48"/>
        <v>1.8969104097467036</v>
      </c>
      <c r="V51" s="1332">
        <f>(V45+(V30*(1-V43)))/V54</f>
        <v>1.707225930979362</v>
      </c>
      <c r="W51" s="1332">
        <f t="shared" si="48"/>
        <v>1.7865585352558349</v>
      </c>
      <c r="X51" s="1332">
        <f t="shared" si="48"/>
        <v>1.8877106279117999</v>
      </c>
      <c r="Y51" s="1332">
        <f t="shared" si="48"/>
        <v>1.6431170734002187</v>
      </c>
      <c r="Z51" s="1332">
        <f>(Z45+(Z30*(1-Z43)))/Z54</f>
        <v>2.1212736133251964</v>
      </c>
      <c r="AA51" s="1332">
        <f>(AA45+(AA30*(1-AA43)))/AA54</f>
        <v>2.2070095275328754</v>
      </c>
      <c r="AB51" s="1332">
        <f>(AB45+(AB30*(1-AB43)))/AB54</f>
        <v>2.3080321428512409</v>
      </c>
      <c r="AC51" s="1332">
        <f>(AC45+(AC30*(1-AC43)))/AC54</f>
        <v>2.4079294144435441</v>
      </c>
      <c r="AD51" s="1332">
        <f>(AD45+(AD30*(1-AD43)))/AD54</f>
        <v>2.5083051644339216</v>
      </c>
      <c r="AE51" s="1304"/>
      <c r="AF51" s="1304"/>
      <c r="AG51" s="1301"/>
      <c r="AH51" s="1305"/>
      <c r="AI51" s="1301"/>
      <c r="AJ51" s="1306"/>
    </row>
    <row r="52" spans="1:40" hidden="1" outlineLevel="1">
      <c r="A52" s="1277" t="s">
        <v>243</v>
      </c>
      <c r="B52" s="1276"/>
      <c r="C52" s="1334" t="e">
        <f>C51/B51-1</f>
        <v>#DIV/0!</v>
      </c>
      <c r="D52" s="1334" t="e">
        <f>D51/C51-1</f>
        <v>#DIV/0!</v>
      </c>
      <c r="E52" s="1334"/>
      <c r="F52" s="1334"/>
      <c r="G52" s="1334"/>
      <c r="H52" s="1334"/>
      <c r="I52" s="1334"/>
      <c r="J52" s="1334"/>
      <c r="K52" s="1334"/>
      <c r="L52" s="1334"/>
      <c r="M52" s="1334"/>
      <c r="N52" s="1334">
        <f>N51/M48-1</f>
        <v>-9.9522412033347996E-2</v>
      </c>
      <c r="O52" s="1334">
        <f t="shared" ref="O52:W52" si="49">O51/N51-1</f>
        <v>0.36865196526051158</v>
      </c>
      <c r="P52" s="1334">
        <f t="shared" si="49"/>
        <v>0.23416868648603284</v>
      </c>
      <c r="Q52" s="1334">
        <f t="shared" si="49"/>
        <v>0.10012154944953378</v>
      </c>
      <c r="R52" s="1334">
        <f t="shared" si="49"/>
        <v>0.24658180914683037</v>
      </c>
      <c r="S52" s="1334">
        <f t="shared" si="49"/>
        <v>-0.2587001650974311</v>
      </c>
      <c r="T52" s="1334">
        <f t="shared" si="49"/>
        <v>0.3631996014645249</v>
      </c>
      <c r="U52" s="1334">
        <f t="shared" si="49"/>
        <v>0.16918325288375136</v>
      </c>
      <c r="V52" s="1334">
        <f t="shared" si="49"/>
        <v>-9.9996540581307802E-2</v>
      </c>
      <c r="W52" s="1334">
        <f t="shared" si="49"/>
        <v>4.646872030051874E-2</v>
      </c>
      <c r="X52" s="1334">
        <f t="shared" ref="X52:AD52" si="50">X51/W51-1</f>
        <v>5.6618403852902732E-2</v>
      </c>
      <c r="Y52" s="1334">
        <f t="shared" si="50"/>
        <v>-0.12957153013550193</v>
      </c>
      <c r="Z52" s="1334">
        <f t="shared" si="50"/>
        <v>0.29100576438871428</v>
      </c>
      <c r="AA52" s="1334">
        <f t="shared" si="50"/>
        <v>4.0417187895569917E-2</v>
      </c>
      <c r="AB52" s="1334">
        <f t="shared" si="50"/>
        <v>4.5773529320145112E-2</v>
      </c>
      <c r="AC52" s="1334">
        <f t="shared" si="50"/>
        <v>4.3282443834986806E-2</v>
      </c>
      <c r="AD52" s="1334">
        <f t="shared" si="50"/>
        <v>4.1685503482075115E-2</v>
      </c>
      <c r="AE52" s="1304"/>
      <c r="AF52" s="1304"/>
      <c r="AG52" s="1301"/>
      <c r="AH52" s="1305"/>
      <c r="AI52" s="1301"/>
      <c r="AJ52" s="1306"/>
    </row>
    <row r="53" spans="1:40" hidden="1" outlineLevel="1">
      <c r="A53" s="1328"/>
      <c r="B53" s="1276"/>
      <c r="C53" s="1276"/>
      <c r="D53" s="1276"/>
      <c r="E53" s="1276"/>
      <c r="F53" s="1276"/>
      <c r="G53" s="1276"/>
      <c r="H53" s="1276"/>
      <c r="I53" s="1276"/>
      <c r="J53" s="1276"/>
      <c r="K53" s="1276"/>
      <c r="L53" s="1276"/>
      <c r="M53" s="1276"/>
      <c r="N53" s="1276"/>
      <c r="O53" s="1276"/>
      <c r="P53" s="1276"/>
      <c r="Q53" s="1276"/>
      <c r="R53" s="1276"/>
      <c r="S53" s="1276"/>
      <c r="T53" s="1276"/>
      <c r="U53" s="1276"/>
      <c r="V53" s="1276"/>
      <c r="W53" s="1276"/>
      <c r="X53" s="1276"/>
      <c r="Y53" s="1276"/>
      <c r="Z53" s="1276"/>
      <c r="AA53" s="1276">
        <f>Z54-AA54</f>
        <v>3.6435419103631261</v>
      </c>
      <c r="AB53" s="1276">
        <f t="shared" ref="AB53:AD53" si="51">AA54-AB54</f>
        <v>2.5</v>
      </c>
      <c r="AC53" s="1276">
        <f t="shared" si="51"/>
        <v>2.4193548387096797</v>
      </c>
      <c r="AD53" s="1276">
        <f t="shared" si="51"/>
        <v>2.2727272727272663</v>
      </c>
      <c r="AE53" s="1304"/>
      <c r="AF53" s="1304"/>
      <c r="AG53" s="1301"/>
      <c r="AH53" s="1305"/>
      <c r="AI53" s="1301"/>
      <c r="AJ53" s="1306"/>
    </row>
    <row r="54" spans="1:40" collapsed="1">
      <c r="A54" s="1277" t="s">
        <v>193</v>
      </c>
      <c r="B54" s="1276">
        <f>'qtrP&amp;L'!D114</f>
        <v>140.60486399999999</v>
      </c>
      <c r="C54" s="1276">
        <f>'qtrP&amp;L'!H114</f>
        <v>140.959104</v>
      </c>
      <c r="D54" s="1276">
        <f>'qtrP&amp;L'!L114</f>
        <v>141.78103200000001</v>
      </c>
      <c r="E54" s="1276">
        <f>'qtrP&amp;L'!P114</f>
        <v>142.75098399999999</v>
      </c>
      <c r="F54" s="1276">
        <f>'qtrP&amp;L'!T114</f>
        <v>143.432872</v>
      </c>
      <c r="G54" s="1276">
        <f>'qtrP&amp;L'!X114</f>
        <v>142.75484800000001</v>
      </c>
      <c r="H54" s="1276">
        <f>'qtrP&amp;L'!AB114</f>
        <v>138.05372</v>
      </c>
      <c r="I54" s="1276">
        <f>+'qtrP&amp;L'!AF114</f>
        <v>139.507656</v>
      </c>
      <c r="J54" s="1276">
        <f>+'qtrP&amp;L'!AJ114</f>
        <v>155.10761600000001</v>
      </c>
      <c r="K54" s="1276">
        <f>+'qtrP&amp;L'!AN114</f>
        <v>161.66227599999999</v>
      </c>
      <c r="L54" s="1276">
        <f>+'qtrP&amp;L'!AU114</f>
        <v>167.30274499999999</v>
      </c>
      <c r="M54" s="1276">
        <f>'qtrP&amp;L'!AY114</f>
        <v>169.93604099999999</v>
      </c>
      <c r="N54" s="1276">
        <f>'qtrP&amp;L'!BC114</f>
        <v>168.652005</v>
      </c>
      <c r="O54" s="1276">
        <f>+'qtrP&amp;L'!BG114</f>
        <v>169.63592499999999</v>
      </c>
      <c r="P54" s="1276">
        <f>'qtrP&amp;L'!BK114</f>
        <v>170.84344175000001</v>
      </c>
      <c r="Q54" s="1276">
        <f>'qtrP&amp;L'!BO114</f>
        <v>171.230245</v>
      </c>
      <c r="R54" s="1276">
        <f>'qtrP&amp;L'!$BS$114</f>
        <v>170.42160699999999</v>
      </c>
      <c r="S54" s="1276">
        <f>'qtrP&amp;L'!$BW$114</f>
        <v>156.19128900000001</v>
      </c>
      <c r="T54" s="1276">
        <f>+'qtrP&amp;L'!$CA$114</f>
        <v>146.66076425</v>
      </c>
      <c r="U54" s="1276">
        <f>+'qtrP&amp;L'!$CE$114</f>
        <v>149.21999</v>
      </c>
      <c r="V54" s="1276">
        <f>+'qtrP&amp;L'!$CI$114</f>
        <v>136.67626974439395</v>
      </c>
      <c r="W54" s="1276">
        <f>'qtrP&amp;L'!CM114</f>
        <v>126.013414</v>
      </c>
      <c r="X54" s="1276">
        <f>'qtrP&amp;L'!$CQ$114</f>
        <v>117.291117</v>
      </c>
      <c r="Y54" s="1276">
        <f>'qtrP&amp;L'!$CU$114</f>
        <v>111.16138565248997</v>
      </c>
      <c r="Z54" s="1276">
        <f>'qtrP&amp;L'!CY114</f>
        <v>107.65813391036312</v>
      </c>
      <c r="AA54" s="1309">
        <f>'qtrP&amp;L'!CY113-(-flow!AZ38/25)</f>
        <v>104.01459199999999</v>
      </c>
      <c r="AB54" s="1309">
        <f>AA54-(-flow!BB38/30)</f>
        <v>101.51459199999999</v>
      </c>
      <c r="AC54" s="1309">
        <f>AB54-(-flow!BD38/31)</f>
        <v>99.095237161290314</v>
      </c>
      <c r="AD54" s="1309">
        <f>AC54-(-flow!BF38/33)</f>
        <v>96.822509888563047</v>
      </c>
      <c r="AE54" s="1339"/>
      <c r="AF54" s="1339"/>
      <c r="AG54" s="1340">
        <f>((Y54/T54)^(1/5)-1)*100</f>
        <v>-5.3919695163903825</v>
      </c>
      <c r="AH54" s="1341" t="s">
        <v>208</v>
      </c>
      <c r="AI54" s="1340">
        <f>((AD54/Y54)^(1/5)-1)*100</f>
        <v>-2.7242748545163176</v>
      </c>
      <c r="AJ54" s="1342" t="s">
        <v>208</v>
      </c>
    </row>
    <row r="55" spans="1:40" hidden="1" outlineLevel="1">
      <c r="A55" s="1277"/>
      <c r="B55" s="1276"/>
      <c r="C55" s="1276"/>
      <c r="D55" s="1276"/>
      <c r="E55" s="1276"/>
      <c r="F55" s="1276"/>
      <c r="G55" s="1276"/>
      <c r="H55" s="1276"/>
      <c r="I55" s="1309"/>
      <c r="J55" s="1309"/>
      <c r="K55" s="1318">
        <f>K54/J54-1</f>
        <v>4.2258788891449406E-2</v>
      </c>
      <c r="L55" s="1318">
        <f t="shared" ref="L55:AD55" si="52">L54/K54-1</f>
        <v>3.4890446550436938E-2</v>
      </c>
      <c r="M55" s="1318">
        <f t="shared" si="52"/>
        <v>1.5739705884682209E-2</v>
      </c>
      <c r="N55" s="1318">
        <f t="shared" si="52"/>
        <v>-7.555995729004783E-3</v>
      </c>
      <c r="O55" s="1318">
        <f t="shared" si="52"/>
        <v>5.8340249201305205E-3</v>
      </c>
      <c r="P55" s="1318">
        <f t="shared" si="52"/>
        <v>7.1182843492616499E-3</v>
      </c>
      <c r="Q55" s="1318">
        <f t="shared" si="52"/>
        <v>2.264080177956096E-3</v>
      </c>
      <c r="R55" s="1318">
        <f t="shared" si="52"/>
        <v>-4.7225185013313187E-3</v>
      </c>
      <c r="S55" s="1318">
        <f t="shared" si="52"/>
        <v>-8.3500667846653887E-2</v>
      </c>
      <c r="T55" s="1318">
        <f t="shared" si="52"/>
        <v>-6.1018286045388948E-2</v>
      </c>
      <c r="U55" s="1318">
        <f t="shared" si="52"/>
        <v>1.7449968729451815E-2</v>
      </c>
      <c r="V55" s="1318">
        <f t="shared" si="52"/>
        <v>-8.4061929340740749E-2</v>
      </c>
      <c r="W55" s="1318">
        <f t="shared" si="52"/>
        <v>-7.8015413826666213E-2</v>
      </c>
      <c r="X55" s="1318">
        <f t="shared" si="52"/>
        <v>-6.9217210478878077E-2</v>
      </c>
      <c r="Y55" s="1318">
        <f t="shared" si="52"/>
        <v>-5.2260831888147452E-2</v>
      </c>
      <c r="Z55" s="1318">
        <f t="shared" si="52"/>
        <v>-3.1515006056857087E-2</v>
      </c>
      <c r="AA55" s="1318">
        <f t="shared" si="52"/>
        <v>-3.3843628697825645E-2</v>
      </c>
      <c r="AB55" s="1318">
        <f t="shared" si="52"/>
        <v>-2.4035089230557194E-2</v>
      </c>
      <c r="AC55" s="1318">
        <f t="shared" si="52"/>
        <v>-2.3832582006630965E-2</v>
      </c>
      <c r="AD55" s="1318">
        <f t="shared" si="52"/>
        <v>-2.2934778076448947E-2</v>
      </c>
      <c r="AE55" s="1277"/>
      <c r="AF55" s="1277"/>
      <c r="AG55" s="1301"/>
      <c r="AH55" s="1302"/>
      <c r="AI55" s="1301"/>
      <c r="AJ55" s="1343"/>
    </row>
    <row r="56" spans="1:40" hidden="1" outlineLevel="1">
      <c r="A56" s="1277" t="s">
        <v>192</v>
      </c>
      <c r="B56" s="1276"/>
      <c r="C56" s="1276"/>
      <c r="D56" s="1276"/>
      <c r="E56" s="1276"/>
      <c r="F56" s="1276"/>
      <c r="G56" s="1276">
        <f>'qtrP&amp;L'!X124</f>
        <v>138.86539999999999</v>
      </c>
      <c r="H56" s="1276">
        <f>'qtrP&amp;L'!AB124</f>
        <v>138.024</v>
      </c>
      <c r="I56" s="1276">
        <f>'qtrP&amp;L'!AF124</f>
        <v>138.26600000000002</v>
      </c>
      <c r="J56" s="1276">
        <f>'qtrP&amp;L'!AJ124</f>
        <v>153.92400000000001</v>
      </c>
      <c r="K56" s="1276">
        <f>'qtrP&amp;L'!AN124</f>
        <v>157.67515</v>
      </c>
      <c r="L56" s="1276">
        <f>'qtrP&amp;L'!AU124</f>
        <v>162.21981100000002</v>
      </c>
      <c r="M56" s="1276">
        <f>'qtrP&amp;L'!$AY$124</f>
        <v>164.16786200000001</v>
      </c>
      <c r="N56" s="1276">
        <f>'qtrP&amp;L'!$BC$124</f>
        <v>165.084463</v>
      </c>
      <c r="O56" s="1276">
        <f>'qtrP&amp;L'!$BG$124</f>
        <v>166.56671399999999</v>
      </c>
      <c r="P56" s="1276">
        <f>'qtrP&amp;L'!$BK$124</f>
        <v>167.72968800000001</v>
      </c>
      <c r="Q56" s="1276">
        <f>'qtrP&amp;L'!$BO$124</f>
        <v>168.888271</v>
      </c>
      <c r="R56" s="1276">
        <f>'qtrP&amp;L'!$BS$124</f>
        <v>162.255448</v>
      </c>
      <c r="S56" s="1344">
        <f>+'qtrP&amp;L'!BW124</f>
        <v>144.706907</v>
      </c>
      <c r="T56" s="1344">
        <f>+'qtrP&amp;L'!CA124</f>
        <v>146.22846699999999</v>
      </c>
      <c r="U56" s="1344">
        <f>'qtrP&amp;L'!CE124</f>
        <v>144.56095300000001</v>
      </c>
      <c r="V56" s="1344">
        <f>'qtrP&amp;L'!CI124</f>
        <v>130.44359800000001</v>
      </c>
      <c r="W56" s="1344">
        <f t="shared" ref="W56:AD56" si="53">W54/V54*(V56)</f>
        <v>120.26698672099072</v>
      </c>
      <c r="X56" s="1344">
        <f t="shared" si="53"/>
        <v>111.94244138746346</v>
      </c>
      <c r="Y56" s="1344">
        <f t="shared" si="53"/>
        <v>106.09223627696443</v>
      </c>
      <c r="Z56" s="1344">
        <f t="shared" si="53"/>
        <v>102.74873880811037</v>
      </c>
      <c r="AA56" s="1344">
        <f t="shared" si="53"/>
        <v>99.27134864271882</v>
      </c>
      <c r="AB56" s="1344">
        <f t="shared" si="53"/>
        <v>96.885352920053322</v>
      </c>
      <c r="AC56" s="1344">
        <f t="shared" si="53"/>
        <v>94.576324801344768</v>
      </c>
      <c r="AD56" s="1344">
        <f t="shared" si="53"/>
        <v>92.407237780739777</v>
      </c>
      <c r="AE56" s="1277"/>
      <c r="AF56" s="1277"/>
      <c r="AG56" s="1301"/>
      <c r="AH56" s="1302"/>
      <c r="AI56" s="1301"/>
      <c r="AJ56" s="1343"/>
      <c r="AM56" s="472">
        <f>Y54-Z54</f>
        <v>3.5032517421268494</v>
      </c>
    </row>
    <row r="57" spans="1:40" hidden="1" outlineLevel="1">
      <c r="A57" s="1277" t="s">
        <v>194</v>
      </c>
      <c r="B57" s="1276"/>
      <c r="C57" s="1276"/>
      <c r="D57" s="1276"/>
      <c r="E57" s="1276"/>
      <c r="F57" s="1276"/>
      <c r="G57" s="1276">
        <f>'qtrP&amp;L'!X259</f>
        <v>140.624</v>
      </c>
      <c r="H57" s="1276">
        <f>'qtrP&amp;L'!AB259</f>
        <v>138.066</v>
      </c>
      <c r="I57" s="1276">
        <f>'qtrP&amp;L'!AF259</f>
        <v>138.14799999999997</v>
      </c>
      <c r="J57" s="1276">
        <f>'qtrP&amp;L'!AJ259</f>
        <v>151.10582400000001</v>
      </c>
      <c r="K57" s="1276">
        <f>'qtrP&amp;L'!AN259</f>
        <v>157.069852</v>
      </c>
      <c r="L57" s="1276">
        <f>'qtrP&amp;L'!AU259</f>
        <v>161.41989799999999</v>
      </c>
      <c r="M57" s="1276">
        <f>'qtrP&amp;L'!$AY$259</f>
        <v>163.67641687214063</v>
      </c>
      <c r="N57" s="1276">
        <f>'qtrP&amp;L'!$BC$259</f>
        <v>164.67976924999999</v>
      </c>
      <c r="O57" s="1276">
        <f>'qtrP&amp;L'!$BG$259</f>
        <v>165.3005325</v>
      </c>
      <c r="P57" s="1276">
        <f>'qtrP&amp;L'!$BK$259</f>
        <v>166.78939874999998</v>
      </c>
      <c r="Q57" s="1276">
        <f>'qtrP&amp;L'!$BO$259</f>
        <v>168.04862974999998</v>
      </c>
      <c r="R57" s="1276">
        <f>'qtrP&amp;L'!$BS$259</f>
        <v>166.91226549999999</v>
      </c>
      <c r="S57" s="1344">
        <f>+'qtrP&amp;L'!BW259</f>
        <v>154.025589</v>
      </c>
      <c r="T57" s="1344">
        <f>+'qtrP&amp;L'!CA259</f>
        <v>145.25072449999999</v>
      </c>
      <c r="U57" s="1344">
        <f>'qtrP&amp;L'!CE259</f>
        <v>147.00895324999999</v>
      </c>
      <c r="V57" s="1344">
        <f>'qtrP&amp;L'!CI259</f>
        <v>136.71236375000001</v>
      </c>
      <c r="W57" s="1344">
        <f t="shared" ref="W57:AD57" si="54">W54/V54*(V57)</f>
        <v>126.04669211682204</v>
      </c>
      <c r="X57" s="1344">
        <f t="shared" si="54"/>
        <v>117.32209169840563</v>
      </c>
      <c r="Y57" s="1344">
        <f t="shared" si="54"/>
        <v>111.19074158738944</v>
      </c>
      <c r="Z57" s="1344">
        <f t="shared" si="54"/>
        <v>107.68656469279642</v>
      </c>
      <c r="AA57" s="1344">
        <f t="shared" si="54"/>
        <v>104.04206058158904</v>
      </c>
      <c r="AB57" s="1344">
        <f t="shared" si="54"/>
        <v>101.54140037177952</v>
      </c>
      <c r="AC57" s="1344">
        <f t="shared" si="54"/>
        <v>99.121406620350939</v>
      </c>
      <c r="AD57" s="1344">
        <f t="shared" si="54"/>
        <v>96.848079156887735</v>
      </c>
      <c r="AE57" s="1277"/>
      <c r="AF57" s="1277"/>
      <c r="AG57" s="1301"/>
      <c r="AH57" s="1302"/>
      <c r="AI57" s="1301"/>
      <c r="AJ57" s="1343"/>
    </row>
    <row r="58" spans="1:40" hidden="1" outlineLevel="1">
      <c r="A58" s="1277" t="s">
        <v>195</v>
      </c>
      <c r="B58" s="1276"/>
      <c r="C58" s="1276"/>
      <c r="D58" s="1276"/>
      <c r="E58" s="1276"/>
      <c r="F58" s="1276"/>
      <c r="G58" s="1276">
        <f>flow!L11</f>
        <v>8.6669999999999998</v>
      </c>
      <c r="H58" s="1276">
        <f>flow!N11</f>
        <v>11.997</v>
      </c>
      <c r="I58" s="1276">
        <f>flow!P11</f>
        <v>15.462</v>
      </c>
      <c r="J58" s="1276">
        <f>flow!R11</f>
        <v>19.95</v>
      </c>
      <c r="K58" s="1276">
        <f>flow!T11</f>
        <v>25.01</v>
      </c>
      <c r="L58" s="1276">
        <f>flow!V11</f>
        <v>31.858000000000001</v>
      </c>
      <c r="M58" s="1276">
        <f>flow!X11</f>
        <v>39.340000000000003</v>
      </c>
      <c r="N58" s="1276">
        <f>flow!Z11</f>
        <v>55.713000000000001</v>
      </c>
      <c r="O58" s="1276">
        <f>flow!AB11</f>
        <v>70.016999999999996</v>
      </c>
      <c r="P58" s="1276">
        <f>flow!AD11</f>
        <v>81.948999999999998</v>
      </c>
      <c r="Q58" s="1276">
        <f>flow!AF11</f>
        <v>92.35</v>
      </c>
      <c r="R58" s="1276">
        <f>flow!AH11</f>
        <v>101.105</v>
      </c>
      <c r="S58" s="1276">
        <f>+flow!AJ11</f>
        <v>108.11199999999999</v>
      </c>
      <c r="T58" s="1276">
        <f>flow!AL11</f>
        <v>118.664</v>
      </c>
      <c r="U58" s="1276">
        <f>flow!AN11</f>
        <v>132.66399999999999</v>
      </c>
      <c r="V58" s="1276">
        <f>flow!AP11</f>
        <v>138.11000000000001</v>
      </c>
      <c r="W58" s="1276">
        <f>flow!AR11</f>
        <v>142.72200000000001</v>
      </c>
      <c r="X58" s="1276">
        <f>flow!AT11</f>
        <v>135.33000000000001</v>
      </c>
      <c r="Y58" s="1276">
        <f>flow!AV11</f>
        <v>131.66999999999999</v>
      </c>
      <c r="Z58" s="1276">
        <f>flow!AX11</f>
        <v>132.99</v>
      </c>
      <c r="AA58" s="1276">
        <f>flow!AZ11</f>
        <v>134.64000000000001</v>
      </c>
      <c r="AB58" s="1276">
        <f>flow!BB11</f>
        <v>137.28</v>
      </c>
      <c r="AC58" s="1276">
        <f>flow!BD11</f>
        <v>139.26</v>
      </c>
      <c r="AD58" s="1276">
        <f>flow!BH11</f>
        <v>0</v>
      </c>
      <c r="AE58" s="704"/>
      <c r="AF58" s="704"/>
      <c r="AG58" s="1301"/>
      <c r="AH58" s="1302"/>
      <c r="AI58" s="1301"/>
      <c r="AJ58" s="1343"/>
    </row>
    <row r="59" spans="1:40" hidden="1" outlineLevel="1">
      <c r="A59" s="1328" t="s">
        <v>244</v>
      </c>
      <c r="B59" s="1276"/>
      <c r="C59" s="1276"/>
      <c r="D59" s="1276"/>
      <c r="E59" s="1276"/>
      <c r="F59" s="1276"/>
      <c r="G59" s="903">
        <f t="shared" ref="G59:AD59" si="55">G58/G7</f>
        <v>3.1163591777442982E-2</v>
      </c>
      <c r="H59" s="903">
        <f t="shared" si="55"/>
        <v>4.0621942011221233E-2</v>
      </c>
      <c r="I59" s="903">
        <f t="shared" si="55"/>
        <v>4.4309057250442749E-2</v>
      </c>
      <c r="J59" s="903">
        <f t="shared" si="55"/>
        <v>4.7190564725585096E-2</v>
      </c>
      <c r="K59" s="903">
        <f t="shared" si="55"/>
        <v>5.0299969630965953E-2</v>
      </c>
      <c r="L59" s="903">
        <f t="shared" si="55"/>
        <v>3.8487466022349745E-2</v>
      </c>
      <c r="M59" s="903">
        <f t="shared" si="55"/>
        <v>3.6022111386521657E-2</v>
      </c>
      <c r="N59" s="903">
        <f t="shared" si="55"/>
        <v>4.5490509236011258E-2</v>
      </c>
      <c r="O59" s="903">
        <f t="shared" si="55"/>
        <v>4.6438870774757182E-2</v>
      </c>
      <c r="P59" s="903">
        <f t="shared" si="55"/>
        <v>4.466815435147807E-2</v>
      </c>
      <c r="Q59" s="903">
        <f t="shared" si="55"/>
        <v>4.7656768060934607E-2</v>
      </c>
      <c r="R59" s="903">
        <f t="shared" si="55"/>
        <v>4.4459307454107165E-2</v>
      </c>
      <c r="S59" s="903">
        <f t="shared" si="55"/>
        <v>4.3702787734340789E-2</v>
      </c>
      <c r="T59" s="903">
        <f t="shared" si="55"/>
        <v>4.2456953227725247E-2</v>
      </c>
      <c r="U59" s="903">
        <f t="shared" si="55"/>
        <v>4.2980006838882888E-2</v>
      </c>
      <c r="V59" s="903">
        <f t="shared" si="55"/>
        <v>4.1557508372960815E-2</v>
      </c>
      <c r="W59" s="903">
        <f t="shared" si="55"/>
        <v>4.1427125911503007E-2</v>
      </c>
      <c r="X59" s="903">
        <f t="shared" si="55"/>
        <v>3.8166345817044083E-2</v>
      </c>
      <c r="Y59" s="903">
        <f t="shared" si="55"/>
        <v>3.6413022737190728E-2</v>
      </c>
      <c r="Z59" s="903">
        <f t="shared" si="55"/>
        <v>3.5174471607271572E-2</v>
      </c>
      <c r="AA59" s="903">
        <f t="shared" si="55"/>
        <v>3.5043630720551132E-2</v>
      </c>
      <c r="AB59" s="903">
        <f t="shared" si="55"/>
        <v>3.504986222139142E-2</v>
      </c>
      <c r="AC59" s="903">
        <f t="shared" si="55"/>
        <v>3.4954089686413378E-2</v>
      </c>
      <c r="AD59" s="903">
        <f t="shared" si="55"/>
        <v>0</v>
      </c>
      <c r="AE59" s="1276"/>
      <c r="AF59" s="1276"/>
      <c r="AG59" s="703"/>
      <c r="AH59" s="703"/>
      <c r="AI59" s="1301"/>
      <c r="AJ59" s="1345"/>
    </row>
    <row r="60" spans="1:40" collapsed="1">
      <c r="A60" s="1346"/>
      <c r="B60" s="1347"/>
      <c r="C60" s="1347"/>
      <c r="D60" s="925"/>
      <c r="E60" s="925"/>
      <c r="F60" s="704"/>
      <c r="G60" s="704"/>
      <c r="H60" s="1348"/>
      <c r="I60" s="1348"/>
      <c r="J60" s="1348"/>
      <c r="K60" s="1348"/>
      <c r="L60" s="1348"/>
      <c r="M60" s="1348"/>
      <c r="N60" s="1348"/>
      <c r="O60" s="1348"/>
      <c r="P60" s="1348"/>
      <c r="Q60" s="1348"/>
      <c r="R60" s="1349"/>
      <c r="S60" s="1349"/>
      <c r="T60" s="1349"/>
      <c r="U60" s="1349"/>
      <c r="V60" s="1349"/>
      <c r="W60" s="1349"/>
      <c r="X60" s="1350"/>
      <c r="Y60" s="1349"/>
      <c r="Z60" s="1349"/>
      <c r="AA60" s="1349"/>
      <c r="AB60" s="1349"/>
      <c r="AC60" s="1349"/>
      <c r="AD60" s="1349"/>
      <c r="AE60" s="1349"/>
      <c r="AF60" s="1349"/>
      <c r="AG60" s="704"/>
      <c r="AH60" s="704"/>
      <c r="AI60" s="704"/>
      <c r="AJ60" s="1345"/>
      <c r="AL60" s="410">
        <f>39.12/2.25</f>
        <v>17.386666666666667</v>
      </c>
    </row>
    <row r="61" spans="1:40" hidden="1" outlineLevel="1">
      <c r="A61" s="925" t="str">
        <f>"% Growth "&amp;yrSales!A38</f>
        <v>% Growth Avg. Gross Sq. Ft. (MM)</v>
      </c>
      <c r="B61" s="1347"/>
      <c r="C61" s="1347"/>
      <c r="D61" s="925"/>
      <c r="E61" s="925"/>
      <c r="F61" s="704"/>
      <c r="G61" s="704"/>
      <c r="H61" s="1348"/>
      <c r="I61" s="1348"/>
      <c r="J61" s="1325">
        <f>yrSales!J39</f>
        <v>0.15868215359625215</v>
      </c>
      <c r="K61" s="1325">
        <f>yrSales!K39</f>
        <v>0.16192493190394064</v>
      </c>
      <c r="L61" s="1325">
        <f>yrSales!L39</f>
        <v>0.20560146676918301</v>
      </c>
      <c r="M61" s="1325">
        <f>yrSales!M39</f>
        <v>0.1999364927024585</v>
      </c>
      <c r="N61" s="1325">
        <f>yrSales!N39</f>
        <v>0.18673650064001257</v>
      </c>
      <c r="O61" s="1325">
        <f>yrSales!O39</f>
        <v>0.1746091450046976</v>
      </c>
      <c r="P61" s="1325">
        <f>yrSales!P39</f>
        <v>0.14649167970261256</v>
      </c>
      <c r="Q61" s="1325">
        <f>yrSales!Q39</f>
        <v>0.11514534594371817</v>
      </c>
      <c r="R61" s="1325">
        <f>yrSales!R39</f>
        <v>0.10787523928237075</v>
      </c>
      <c r="S61" s="1325">
        <f>yrSales!S39</f>
        <v>0.10521096557145482</v>
      </c>
      <c r="T61" s="1325">
        <f>yrSales!T39</f>
        <v>9.0912807012882624E-2</v>
      </c>
      <c r="U61" s="1325">
        <f>yrSales!U39</f>
        <v>7.3239382085062976E-2</v>
      </c>
      <c r="V61" s="1325">
        <f>yrSales!V39</f>
        <v>6.3874902460299143E-2</v>
      </c>
      <c r="W61" s="1325">
        <f>yrSales!W39</f>
        <v>6.1297859981556568E-2</v>
      </c>
      <c r="X61" s="1325">
        <f>yrSales!X39</f>
        <v>4.6865989168062061E-2</v>
      </c>
      <c r="Y61" s="1325">
        <f>yrSales!Y39</f>
        <v>2.8011473381346574E-2</v>
      </c>
      <c r="Z61" s="1325">
        <f>yrSales!Z39</f>
        <v>1.5623424937284858E-2</v>
      </c>
      <c r="AA61" s="1325">
        <f>yrSales!AA39</f>
        <v>2.1978366544694206E-2</v>
      </c>
      <c r="AB61" s="1325">
        <f>yrSales!AB39</f>
        <v>3.0035322646725593E-2</v>
      </c>
      <c r="AC61" s="1325">
        <f>yrSales!AC39</f>
        <v>2.0660250081969034E-2</v>
      </c>
      <c r="AD61" s="1325">
        <f>yrSales!AD39</f>
        <v>1.1914829376571401E-2</v>
      </c>
      <c r="AE61" s="1325">
        <f>yrSales!AA39</f>
        <v>2.1978366544694206E-2</v>
      </c>
      <c r="AF61" s="1325">
        <f>yrSales!AF39</f>
        <v>0</v>
      </c>
      <c r="AG61" s="704"/>
      <c r="AH61" s="704"/>
      <c r="AI61" s="704"/>
      <c r="AJ61" s="1345"/>
    </row>
    <row r="62" spans="1:40" hidden="1" outlineLevel="1">
      <c r="A62" s="925" t="s">
        <v>86</v>
      </c>
      <c r="B62" s="1347"/>
      <c r="C62" s="1347"/>
      <c r="D62" s="925"/>
      <c r="E62" s="925"/>
      <c r="F62" s="704"/>
      <c r="G62" s="704"/>
      <c r="H62" s="1348"/>
      <c r="I62" s="1348"/>
      <c r="J62" s="1351">
        <f>yrSales!J26</f>
        <v>93</v>
      </c>
      <c r="K62" s="1351">
        <f>yrSales!K26</f>
        <v>114</v>
      </c>
      <c r="L62" s="1351">
        <f>yrSales!L26</f>
        <v>142</v>
      </c>
      <c r="M62" s="1351">
        <f>yrSales!M26</f>
        <v>175</v>
      </c>
      <c r="N62" s="1351">
        <f>yrSales!N26</f>
        <v>207</v>
      </c>
      <c r="O62" s="1351">
        <f>yrSales!O26</f>
        <v>245</v>
      </c>
      <c r="P62" s="1351">
        <f>yrSales!P26</f>
        <v>294</v>
      </c>
      <c r="Q62" s="1351">
        <f>yrSales!Q26</f>
        <v>327</v>
      </c>
      <c r="R62" s="1351">
        <f>yrSales!R26</f>
        <v>372</v>
      </c>
      <c r="S62" s="1351">
        <f>yrSales!S26</f>
        <v>429</v>
      </c>
      <c r="T62" s="1351">
        <f>yrSales!T26</f>
        <v>476</v>
      </c>
      <c r="U62" s="1351">
        <f>yrSales!U26</f>
        <v>511</v>
      </c>
      <c r="V62" s="1351">
        <f>yrSales!V26</f>
        <v>546</v>
      </c>
      <c r="W62" s="1351">
        <f>yrSales!W26</f>
        <v>572</v>
      </c>
      <c r="X62" s="1351">
        <f>yrSales!X26</f>
        <v>594</v>
      </c>
      <c r="Y62" s="1351">
        <f>yrSales!Y26</f>
        <v>603</v>
      </c>
      <c r="Z62" s="1351">
        <f>yrSales!Z26</f>
        <v>606</v>
      </c>
      <c r="AA62" s="1351">
        <f>yrSales!AA26</f>
        <v>618</v>
      </c>
      <c r="AB62" s="1351">
        <f>yrSales!AB26</f>
        <v>630</v>
      </c>
      <c r="AC62" s="1351">
        <f>yrSales!AC26</f>
        <v>636</v>
      </c>
      <c r="AD62" s="1351">
        <f>yrSales!AD26</f>
        <v>642</v>
      </c>
      <c r="AE62" s="1349"/>
      <c r="AF62" s="1349"/>
      <c r="AG62" s="704"/>
      <c r="AH62" s="704"/>
      <c r="AI62" s="704"/>
      <c r="AJ62" s="1345"/>
    </row>
    <row r="63" spans="1:40" hidden="1" outlineLevel="1">
      <c r="A63" s="925" t="s">
        <v>89</v>
      </c>
      <c r="B63" s="1347"/>
      <c r="C63" s="1347"/>
      <c r="D63" s="925"/>
      <c r="E63" s="925"/>
      <c r="F63" s="704"/>
      <c r="G63" s="704"/>
      <c r="H63" s="1348"/>
      <c r="I63" s="1348"/>
      <c r="J63" s="1352">
        <v>36.975000000000001</v>
      </c>
      <c r="K63" s="1352">
        <v>43.81</v>
      </c>
      <c r="L63" s="1352">
        <v>54.991999999999997</v>
      </c>
      <c r="M63" s="1352">
        <v>61.603000000000002</v>
      </c>
      <c r="N63" s="1352">
        <v>73.058000000000007</v>
      </c>
      <c r="O63" s="1352">
        <v>100.02</v>
      </c>
      <c r="P63" s="1352">
        <v>112.907</v>
      </c>
      <c r="Q63" s="1352">
        <v>125.651</v>
      </c>
      <c r="R63" s="1353">
        <v>143.91900000000001</v>
      </c>
      <c r="S63" s="1353">
        <v>165.90100000000001</v>
      </c>
      <c r="T63" s="1353">
        <v>186.804</v>
      </c>
      <c r="U63" s="1353">
        <v>205.75899999999999</v>
      </c>
      <c r="V63" s="1354">
        <f>U65*V62</f>
        <v>219.8520821917808</v>
      </c>
      <c r="W63" s="1354"/>
      <c r="X63" s="1354"/>
      <c r="Y63" s="1354"/>
      <c r="Z63" s="1354"/>
      <c r="AA63" s="1354"/>
      <c r="AB63" s="1354"/>
      <c r="AC63" s="1354"/>
      <c r="AD63" s="1354"/>
      <c r="AE63" s="1349"/>
      <c r="AF63" s="1349"/>
      <c r="AG63" s="704"/>
      <c r="AH63" s="704"/>
      <c r="AI63" s="704"/>
      <c r="AJ63" s="1345"/>
    </row>
    <row r="64" spans="1:40" hidden="1" outlineLevel="1">
      <c r="A64" s="925" t="s">
        <v>87</v>
      </c>
      <c r="B64" s="1347"/>
      <c r="C64" s="1348"/>
      <c r="D64" s="1348"/>
      <c r="E64" s="1348"/>
      <c r="F64" s="1348"/>
      <c r="G64" s="1348"/>
      <c r="H64" s="1348"/>
      <c r="I64" s="1348"/>
      <c r="J64" s="1352">
        <v>0.79700000000000004</v>
      </c>
      <c r="K64" s="1352">
        <v>0.78600000000000003</v>
      </c>
      <c r="L64" s="1352">
        <v>2.3290000000000002</v>
      </c>
      <c r="M64" s="1352">
        <v>3.3090000000000002</v>
      </c>
      <c r="N64" s="1352">
        <v>1.9910000000000001</v>
      </c>
      <c r="O64" s="1352">
        <v>3.282</v>
      </c>
      <c r="P64" s="1352">
        <v>1.9930000000000001</v>
      </c>
      <c r="Q64" s="1352">
        <v>3.327</v>
      </c>
      <c r="R64" s="1352">
        <v>5.8360000000000003</v>
      </c>
      <c r="S64" s="1352">
        <v>5.4029999999999996</v>
      </c>
      <c r="T64" s="1353">
        <v>5.7140000000000004</v>
      </c>
      <c r="U64" s="1353">
        <v>5.5419999999999998</v>
      </c>
      <c r="V64" s="1354">
        <v>5.3</v>
      </c>
      <c r="W64" s="1354"/>
      <c r="X64" s="1354"/>
      <c r="Y64" s="1354"/>
      <c r="Z64" s="1354"/>
      <c r="AA64" s="1354"/>
      <c r="AB64" s="1354"/>
      <c r="AC64" s="1354"/>
      <c r="AD64" s="1354"/>
      <c r="AE64" s="1349"/>
      <c r="AF64" s="1349"/>
      <c r="AG64" s="704"/>
      <c r="AH64" s="704"/>
      <c r="AI64" s="704"/>
      <c r="AJ64" s="1345"/>
    </row>
    <row r="65" spans="1:36" hidden="1" outlineLevel="1">
      <c r="A65" s="925" t="s">
        <v>88</v>
      </c>
      <c r="B65" s="1347"/>
      <c r="C65" s="1348"/>
      <c r="D65" s="1348"/>
      <c r="E65" s="1348"/>
      <c r="F65" s="1348"/>
      <c r="G65" s="1348"/>
      <c r="H65" s="1348"/>
      <c r="I65" s="1348"/>
      <c r="J65" s="1352">
        <f>J63/J62</f>
        <v>0.39758064516129032</v>
      </c>
      <c r="K65" s="1352">
        <f t="shared" ref="K65:U65" si="56">K63/K62</f>
        <v>0.38429824561403508</v>
      </c>
      <c r="L65" s="1352">
        <f t="shared" si="56"/>
        <v>0.3872676056338028</v>
      </c>
      <c r="M65" s="1352">
        <f t="shared" si="56"/>
        <v>0.35201714285714286</v>
      </c>
      <c r="N65" s="1352">
        <f t="shared" si="56"/>
        <v>0.35293719806763291</v>
      </c>
      <c r="O65" s="1352">
        <f t="shared" si="56"/>
        <v>0.40824489795918367</v>
      </c>
      <c r="P65" s="1352">
        <f t="shared" si="56"/>
        <v>0.38403741496598637</v>
      </c>
      <c r="Q65" s="1352">
        <f t="shared" si="56"/>
        <v>0.38425382262996943</v>
      </c>
      <c r="R65" s="1352">
        <f t="shared" si="56"/>
        <v>0.38687903225806453</v>
      </c>
      <c r="S65" s="1352">
        <f t="shared" si="56"/>
        <v>0.38671561771561774</v>
      </c>
      <c r="T65" s="1352">
        <f t="shared" si="56"/>
        <v>0.39244537815126052</v>
      </c>
      <c r="U65" s="1352">
        <f t="shared" si="56"/>
        <v>0.40265949119373773</v>
      </c>
      <c r="V65" s="1352"/>
      <c r="W65" s="1349"/>
      <c r="X65" s="1355"/>
      <c r="Y65" s="1349"/>
      <c r="Z65" s="1349"/>
      <c r="AA65" s="1349"/>
      <c r="AB65" s="1349"/>
      <c r="AC65" s="1349"/>
      <c r="AD65" s="1349"/>
      <c r="AE65" s="1349"/>
      <c r="AF65" s="1349"/>
      <c r="AG65" s="704"/>
      <c r="AH65" s="704"/>
      <c r="AI65" s="704"/>
      <c r="AJ65" s="1345"/>
    </row>
    <row r="66" spans="1:36" hidden="1" outlineLevel="1">
      <c r="A66" s="925" t="s">
        <v>91</v>
      </c>
      <c r="B66" s="1347"/>
      <c r="C66" s="1348"/>
      <c r="D66" s="1348"/>
      <c r="E66" s="1348"/>
      <c r="F66" s="1348"/>
      <c r="G66" s="1348"/>
      <c r="H66" s="1348"/>
      <c r="I66" s="1348"/>
      <c r="J66" s="1352"/>
      <c r="K66" s="483">
        <f>K12/J12-1</f>
        <v>0.18066292491792857</v>
      </c>
      <c r="L66" s="483">
        <f t="shared" ref="L66:AD66" si="57">L12/K12-1</f>
        <v>0.28533949233115075</v>
      </c>
      <c r="M66" s="483">
        <f t="shared" si="57"/>
        <v>0.25608415763856174</v>
      </c>
      <c r="N66" s="483">
        <f t="shared" si="57"/>
        <v>0.1791666666666667</v>
      </c>
      <c r="O66" s="483">
        <f t="shared" si="57"/>
        <v>0.17785630153121312</v>
      </c>
      <c r="P66" s="483">
        <f t="shared" si="57"/>
        <v>0.14900000000000002</v>
      </c>
      <c r="Q66" s="483">
        <f t="shared" si="57"/>
        <v>0.12252393385552662</v>
      </c>
      <c r="R66" s="483">
        <f t="shared" si="57"/>
        <v>0.16108948812975865</v>
      </c>
      <c r="S66" s="483">
        <f t="shared" si="57"/>
        <v>0.14389502854662606</v>
      </c>
      <c r="T66" s="483">
        <f t="shared" si="57"/>
        <v>0.12383832251436044</v>
      </c>
      <c r="U66" s="483">
        <f t="shared" si="57"/>
        <v>9.7564903022055116E-2</v>
      </c>
      <c r="V66" s="483">
        <f t="shared" si="57"/>
        <v>0.13053416689935227</v>
      </c>
      <c r="W66" s="483">
        <f t="shared" si="57"/>
        <v>3.8910261508771971E-2</v>
      </c>
      <c r="X66" s="483">
        <f t="shared" si="57"/>
        <v>5.8373425525227951E-2</v>
      </c>
      <c r="Y66" s="483">
        <f t="shared" si="57"/>
        <v>4.4999999999999929E-2</v>
      </c>
      <c r="Z66" s="483">
        <f t="shared" si="57"/>
        <v>7.440373399490996E-2</v>
      </c>
      <c r="AA66" s="483">
        <f t="shared" si="57"/>
        <v>1.6186927877489765E-2</v>
      </c>
      <c r="AB66" s="483">
        <f t="shared" si="57"/>
        <v>1.9426567470858913E-2</v>
      </c>
      <c r="AC66" s="483">
        <f t="shared" si="57"/>
        <v>1.720254766566387E-2</v>
      </c>
      <c r="AD66" s="483">
        <f t="shared" si="57"/>
        <v>1.5309086657131932E-2</v>
      </c>
      <c r="AE66" s="1349"/>
      <c r="AF66" s="1349"/>
      <c r="AG66" s="704"/>
      <c r="AH66" s="704"/>
      <c r="AI66" s="704"/>
      <c r="AJ66" s="1345"/>
    </row>
    <row r="67" spans="1:36" hidden="1" outlineLevel="1">
      <c r="A67" s="1328" t="s">
        <v>159</v>
      </c>
      <c r="B67" s="1276"/>
      <c r="C67" s="1276"/>
      <c r="D67" s="1276"/>
      <c r="E67" s="1276"/>
      <c r="F67" s="1276"/>
      <c r="G67" s="1276"/>
      <c r="H67" s="1276"/>
      <c r="I67" s="1276"/>
      <c r="J67" s="1318">
        <f>J8</f>
        <v>0.21147530648387486</v>
      </c>
      <c r="K67" s="1318">
        <f t="shared" ref="K67:Z67" si="58">K8</f>
        <v>0.17613789579755623</v>
      </c>
      <c r="L67" s="1318">
        <f t="shared" si="58"/>
        <v>0.6647660880460643</v>
      </c>
      <c r="M67" s="1318">
        <f t="shared" si="58"/>
        <v>0.31936816671700391</v>
      </c>
      <c r="N67" s="1318">
        <f t="shared" si="58"/>
        <v>0.12142583098542555</v>
      </c>
      <c r="O67" s="1318">
        <f t="shared" si="58"/>
        <v>0.23107950653089637</v>
      </c>
      <c r="P67" s="1318">
        <f t="shared" si="58"/>
        <v>0.21681289148411781</v>
      </c>
      <c r="Q67" s="1318">
        <f t="shared" si="58"/>
        <v>5.6249856918443031E-2</v>
      </c>
      <c r="R67" s="1318">
        <f t="shared" si="58"/>
        <v>0.17353926974453177</v>
      </c>
      <c r="S67" s="1318">
        <f t="shared" si="58"/>
        <v>8.7814442799839465E-2</v>
      </c>
      <c r="T67" s="1318">
        <f t="shared" si="58"/>
        <v>0.12980995641929149</v>
      </c>
      <c r="U67" s="1318">
        <f t="shared" si="58"/>
        <v>0.10437470057336057</v>
      </c>
      <c r="V67" s="1318">
        <f t="shared" si="58"/>
        <v>7.6685877841596348E-2</v>
      </c>
      <c r="W67" s="1318">
        <f t="shared" si="58"/>
        <v>3.6646043378263417E-2</v>
      </c>
      <c r="X67" s="1318">
        <f t="shared" si="58"/>
        <v>2.9218021708299256E-2</v>
      </c>
      <c r="Y67" s="1318">
        <f t="shared" si="58"/>
        <v>1.9803744944009792E-2</v>
      </c>
      <c r="Z67" s="1318">
        <f t="shared" si="58"/>
        <v>4.5589710125047159E-2</v>
      </c>
      <c r="AA67" s="1318">
        <f>AA8</f>
        <v>1.6186927877489782E-2</v>
      </c>
      <c r="AB67" s="1318">
        <f>AB8</f>
        <v>1.9426567470858774E-2</v>
      </c>
      <c r="AC67" s="1318">
        <f>AC8</f>
        <v>1.7202547665663863E-2</v>
      </c>
      <c r="AD67" s="1318">
        <f>AD8</f>
        <v>1.5309086657131907E-2</v>
      </c>
      <c r="AE67" s="1276"/>
      <c r="AF67" s="1276"/>
      <c r="AG67" s="1356"/>
      <c r="AH67" s="1356"/>
      <c r="AI67" s="1301"/>
      <c r="AJ67" s="1345"/>
    </row>
    <row r="68" spans="1:36" collapsed="1">
      <c r="A68" s="1328"/>
      <c r="B68" s="1276"/>
      <c r="C68" s="1276"/>
      <c r="D68" s="1276"/>
      <c r="E68" s="1276"/>
      <c r="F68" s="1276"/>
      <c r="G68" s="1276"/>
      <c r="H68" s="1276"/>
      <c r="I68" s="1276"/>
      <c r="J68" s="1335"/>
      <c r="K68" s="1335"/>
      <c r="L68" s="1335"/>
      <c r="M68" s="1335"/>
      <c r="N68" s="1335"/>
      <c r="O68" s="1335"/>
      <c r="P68" s="1335"/>
      <c r="Q68" s="1335"/>
      <c r="R68" s="1335"/>
      <c r="S68" s="1335"/>
      <c r="T68" s="1335"/>
      <c r="U68" s="1335"/>
      <c r="V68" s="1335"/>
      <c r="W68" s="1276"/>
      <c r="X68" s="1276"/>
      <c r="Y68" s="1276"/>
      <c r="Z68" s="1276"/>
      <c r="AA68" s="1276"/>
      <c r="AB68" s="1276"/>
      <c r="AC68" s="1276"/>
      <c r="AD68" s="1276"/>
      <c r="AE68" s="1276"/>
      <c r="AF68" s="1276"/>
      <c r="AG68" s="1356"/>
      <c r="AH68" s="1356"/>
      <c r="AI68" s="1301"/>
      <c r="AJ68" s="1345"/>
    </row>
    <row r="69" spans="1:36">
      <c r="A69" s="1328"/>
      <c r="B69" s="1276"/>
      <c r="C69" s="1276"/>
      <c r="D69" s="1276"/>
      <c r="E69" s="1276"/>
      <c r="F69" s="1276"/>
      <c r="G69" s="1276"/>
      <c r="H69" s="1276"/>
      <c r="I69" s="1276"/>
      <c r="J69" s="1335"/>
      <c r="K69" s="1335"/>
      <c r="L69" s="1332"/>
      <c r="M69" s="1332"/>
      <c r="N69" s="1335"/>
      <c r="O69" s="1276"/>
      <c r="P69" s="1276"/>
      <c r="Q69" s="1276"/>
      <c r="R69" s="1276"/>
      <c r="S69" s="1276"/>
      <c r="T69" s="1276"/>
      <c r="U69" s="1276"/>
      <c r="V69" s="1276"/>
      <c r="W69" s="1276"/>
      <c r="X69" s="1276"/>
      <c r="Y69" s="1276"/>
      <c r="Z69" s="1276"/>
      <c r="AA69" s="1276"/>
      <c r="AB69" s="1276"/>
      <c r="AC69" s="1276"/>
      <c r="AD69" s="1276"/>
      <c r="AE69" s="1276"/>
      <c r="AF69" s="1276"/>
      <c r="AG69" s="1356"/>
      <c r="AH69" s="1356"/>
      <c r="AI69" s="1301"/>
      <c r="AJ69" s="1345"/>
    </row>
    <row r="70" spans="1:36">
      <c r="A70" s="1328"/>
      <c r="B70" s="1276"/>
      <c r="C70" s="1276"/>
      <c r="D70" s="1276"/>
      <c r="E70" s="1276"/>
      <c r="F70" s="1276"/>
      <c r="G70" s="1276"/>
      <c r="H70" s="1276"/>
      <c r="I70" s="1276"/>
      <c r="J70" s="1335"/>
      <c r="K70" s="1335"/>
      <c r="L70" s="1332"/>
      <c r="M70" s="1332"/>
      <c r="N70" s="1335"/>
      <c r="O70" s="1276"/>
      <c r="P70" s="1276"/>
      <c r="Q70" s="1357"/>
      <c r="R70" s="1276"/>
      <c r="S70" s="1276"/>
      <c r="T70" s="1276"/>
      <c r="U70" s="1276"/>
      <c r="V70" s="1276"/>
      <c r="W70" s="1276"/>
      <c r="X70" s="1276"/>
      <c r="Y70" s="1358"/>
      <c r="Z70" s="1276"/>
      <c r="AA70" s="1276"/>
      <c r="AB70" s="1276"/>
      <c r="AC70" s="1276"/>
      <c r="AD70" s="1276"/>
      <c r="AE70" s="1276"/>
      <c r="AF70" s="1276"/>
      <c r="AG70" s="1356"/>
      <c r="AH70" s="1356"/>
      <c r="AI70" s="1301"/>
      <c r="AJ70" s="1345"/>
    </row>
    <row r="71" spans="1:36">
      <c r="A71" s="920" t="s">
        <v>161</v>
      </c>
      <c r="B71" s="1359"/>
      <c r="C71" s="1276"/>
      <c r="D71" s="1276"/>
      <c r="E71" s="1277"/>
      <c r="F71" s="1277"/>
      <c r="G71" s="1277"/>
      <c r="H71" s="1360"/>
      <c r="I71" s="1277"/>
      <c r="J71" s="1277"/>
      <c r="K71" s="1277"/>
      <c r="L71" s="1332"/>
      <c r="M71" s="1332"/>
      <c r="N71" s="1332"/>
      <c r="O71" s="1277"/>
      <c r="P71" s="1277"/>
      <c r="Q71" s="1277"/>
      <c r="R71" s="1277"/>
      <c r="S71" s="1277"/>
      <c r="T71" s="1277"/>
      <c r="U71" s="1277"/>
      <c r="V71" s="1277"/>
      <c r="W71" s="1277"/>
      <c r="X71" s="1277"/>
      <c r="Y71" s="1277"/>
      <c r="Z71" s="1277"/>
      <c r="AA71" s="1277"/>
      <c r="AB71" s="1277"/>
      <c r="AC71" s="1277"/>
      <c r="AD71" s="1277"/>
      <c r="AE71" s="1277"/>
      <c r="AF71" s="1277"/>
      <c r="AG71" s="1277"/>
      <c r="AH71" s="1277"/>
      <c r="AI71" s="1301"/>
      <c r="AJ71" s="1361"/>
    </row>
    <row r="72" spans="1:36">
      <c r="A72" s="704"/>
      <c r="B72" s="704"/>
      <c r="C72" s="704"/>
      <c r="D72" s="704"/>
      <c r="E72" s="704"/>
      <c r="F72" s="704"/>
      <c r="G72" s="704"/>
      <c r="H72" s="704"/>
      <c r="I72" s="704"/>
      <c r="J72" s="704"/>
      <c r="K72" s="704"/>
      <c r="L72" s="704"/>
      <c r="M72" s="793"/>
      <c r="N72" s="793"/>
      <c r="O72" s="704"/>
      <c r="P72" s="704"/>
      <c r="Q72" s="704"/>
      <c r="R72" s="1299"/>
      <c r="S72" s="1299"/>
      <c r="T72" s="704"/>
      <c r="U72" s="704"/>
      <c r="V72" s="704"/>
      <c r="W72" s="704"/>
      <c r="X72" s="704"/>
      <c r="Y72" s="704"/>
      <c r="Z72" s="704"/>
      <c r="AA72" s="704"/>
      <c r="AB72" s="704"/>
      <c r="AC72" s="704"/>
      <c r="AD72" s="704"/>
      <c r="AE72" s="704"/>
      <c r="AF72" s="704"/>
      <c r="AG72" s="704"/>
      <c r="AH72" s="704"/>
      <c r="AI72" s="1301"/>
      <c r="AJ72" s="703"/>
    </row>
    <row r="73" spans="1:36">
      <c r="A73" s="704"/>
      <c r="B73" s="704"/>
      <c r="C73" s="704"/>
      <c r="D73" s="704"/>
      <c r="E73" s="704"/>
      <c r="F73" s="704"/>
      <c r="G73" s="704"/>
      <c r="H73" s="704"/>
      <c r="I73" s="704"/>
      <c r="J73" s="793"/>
      <c r="K73" s="793"/>
      <c r="L73" s="793"/>
      <c r="M73" s="793"/>
      <c r="N73" s="793"/>
      <c r="O73" s="793"/>
      <c r="P73" s="704"/>
      <c r="Q73" s="1362"/>
      <c r="R73" s="793"/>
      <c r="S73" s="793"/>
      <c r="T73" s="704"/>
      <c r="U73" s="704"/>
      <c r="V73" s="704"/>
      <c r="W73" s="704"/>
      <c r="X73" s="704"/>
      <c r="Y73" s="704"/>
      <c r="Z73" s="704"/>
      <c r="AA73" s="704"/>
      <c r="AB73" s="704"/>
      <c r="AC73" s="704"/>
      <c r="AD73" s="704"/>
      <c r="AE73" s="704"/>
      <c r="AF73" s="704"/>
      <c r="AG73" s="704"/>
      <c r="AH73" s="704"/>
      <c r="AI73" s="1363"/>
      <c r="AJ73" s="1356"/>
    </row>
    <row r="74" spans="1:36">
      <c r="A74" s="704"/>
      <c r="B74" s="704"/>
      <c r="C74" s="704"/>
      <c r="D74" s="704"/>
      <c r="E74" s="704"/>
      <c r="F74" s="704"/>
      <c r="G74" s="704"/>
      <c r="H74" s="704"/>
      <c r="I74" s="704"/>
      <c r="J74" s="825"/>
      <c r="K74" s="825"/>
      <c r="L74" s="825"/>
      <c r="M74" s="825"/>
      <c r="N74" s="825"/>
      <c r="O74" s="793"/>
      <c r="P74" s="704"/>
      <c r="Q74" s="1362"/>
      <c r="R74" s="704"/>
      <c r="S74" s="793"/>
      <c r="T74" s="704"/>
      <c r="U74" s="704"/>
      <c r="V74" s="704"/>
      <c r="W74" s="704"/>
      <c r="X74" s="704"/>
      <c r="Y74" s="704"/>
      <c r="Z74" s="704"/>
      <c r="AA74" s="704"/>
      <c r="AB74" s="704"/>
      <c r="AC74" s="704"/>
      <c r="AD74" s="704"/>
      <c r="AE74" s="704"/>
      <c r="AF74" s="704"/>
      <c r="AG74" s="704"/>
      <c r="AH74" s="704"/>
      <c r="AI74" s="1277"/>
      <c r="AJ74" s="1277"/>
    </row>
    <row r="75" spans="1:36">
      <c r="A75" s="704"/>
      <c r="B75" s="704"/>
      <c r="C75" s="704"/>
      <c r="D75" s="704"/>
      <c r="E75" s="704"/>
      <c r="F75" s="704"/>
      <c r="G75" s="704"/>
      <c r="H75" s="704"/>
      <c r="I75" s="704"/>
      <c r="J75" s="704"/>
      <c r="K75" s="704"/>
      <c r="L75" s="704"/>
      <c r="M75" s="704"/>
      <c r="N75" s="704"/>
      <c r="O75" s="704"/>
      <c r="P75" s="704"/>
      <c r="Q75" s="704"/>
      <c r="R75" s="915"/>
      <c r="S75" s="915"/>
      <c r="T75" s="704"/>
      <c r="U75" s="704"/>
      <c r="V75" s="704"/>
      <c r="W75" s="704"/>
      <c r="X75" s="704"/>
      <c r="Y75" s="704"/>
      <c r="Z75" s="704"/>
      <c r="AA75" s="704"/>
      <c r="AB75" s="704"/>
      <c r="AC75" s="704"/>
      <c r="AD75" s="704"/>
      <c r="AE75" s="704"/>
      <c r="AF75" s="704"/>
      <c r="AG75" s="704"/>
      <c r="AH75" s="704"/>
      <c r="AI75" s="704"/>
      <c r="AJ75" s="704"/>
    </row>
    <row r="76" spans="1:36">
      <c r="A76" s="704"/>
      <c r="B76" s="704"/>
      <c r="C76" s="704"/>
      <c r="D76" s="704"/>
      <c r="E76" s="704"/>
      <c r="F76" s="704"/>
      <c r="G76" s="704"/>
      <c r="H76" s="704"/>
      <c r="I76" s="704"/>
      <c r="J76" s="704"/>
      <c r="K76" s="704"/>
      <c r="L76" s="704"/>
      <c r="M76" s="704"/>
      <c r="N76" s="704"/>
      <c r="O76" s="704"/>
      <c r="P76" s="704"/>
      <c r="Q76" s="704"/>
      <c r="R76" s="1364"/>
      <c r="S76" s="1365"/>
      <c r="T76" s="704"/>
      <c r="U76" s="704"/>
      <c r="V76" s="704"/>
      <c r="W76" s="704"/>
      <c r="X76" s="704"/>
      <c r="Y76" s="704"/>
      <c r="Z76" s="704"/>
      <c r="AA76" s="704"/>
      <c r="AB76" s="704"/>
      <c r="AC76" s="704"/>
      <c r="AD76" s="704"/>
      <c r="AE76" s="704"/>
      <c r="AF76" s="704"/>
      <c r="AG76" s="704"/>
      <c r="AH76" s="704"/>
      <c r="AI76" s="704"/>
      <c r="AJ76" s="704"/>
    </row>
    <row r="77" spans="1:36">
      <c r="A77" s="704"/>
      <c r="B77" s="704"/>
      <c r="C77" s="704"/>
      <c r="D77" s="704"/>
      <c r="E77" s="704"/>
      <c r="F77" s="704"/>
      <c r="G77" s="704"/>
      <c r="H77" s="704"/>
      <c r="I77" s="704"/>
      <c r="J77" s="704"/>
      <c r="K77" s="704"/>
      <c r="L77" s="704"/>
      <c r="M77" s="704"/>
      <c r="N77" s="704"/>
      <c r="O77" s="704"/>
      <c r="P77" s="704"/>
      <c r="Q77" s="704"/>
      <c r="R77" s="704"/>
      <c r="S77" s="704"/>
      <c r="T77" s="704"/>
      <c r="U77" s="704"/>
      <c r="V77" s="704"/>
      <c r="W77" s="704"/>
      <c r="X77" s="704"/>
      <c r="Y77" s="704"/>
      <c r="Z77" s="704"/>
      <c r="AA77" s="704"/>
      <c r="AB77" s="704"/>
      <c r="AC77" s="704"/>
      <c r="AD77" s="704"/>
      <c r="AE77" s="704"/>
      <c r="AF77" s="704"/>
      <c r="AG77" s="704"/>
      <c r="AH77" s="704"/>
      <c r="AI77" s="704"/>
      <c r="AJ77" s="704"/>
    </row>
    <row r="78" spans="1:36">
      <c r="A78" s="704"/>
      <c r="B78" s="704"/>
      <c r="C78" s="704"/>
      <c r="D78" s="704"/>
      <c r="E78" s="704"/>
      <c r="F78" s="704"/>
      <c r="G78" s="704"/>
      <c r="H78" s="704"/>
      <c r="I78" s="704"/>
      <c r="J78" s="704"/>
      <c r="K78" s="704"/>
      <c r="L78" s="704"/>
      <c r="M78" s="704"/>
      <c r="N78" s="704"/>
      <c r="O78" s="704"/>
      <c r="P78" s="704"/>
      <c r="Q78" s="704"/>
      <c r="R78" s="704"/>
      <c r="S78" s="704"/>
      <c r="T78" s="704"/>
      <c r="U78" s="704"/>
      <c r="V78" s="704"/>
      <c r="W78" s="704"/>
      <c r="X78" s="704"/>
      <c r="Y78" s="704"/>
      <c r="Z78" s="704"/>
      <c r="AA78" s="704"/>
      <c r="AB78" s="704"/>
      <c r="AC78" s="704"/>
      <c r="AD78" s="704"/>
      <c r="AE78" s="704"/>
      <c r="AF78" s="704"/>
      <c r="AG78" s="704"/>
      <c r="AH78" s="704"/>
      <c r="AI78" s="704"/>
      <c r="AJ78" s="704"/>
    </row>
    <row r="79" spans="1:36">
      <c r="A79" s="704"/>
      <c r="B79" s="704"/>
      <c r="C79" s="704"/>
      <c r="D79" s="704"/>
      <c r="E79" s="704"/>
      <c r="F79" s="704"/>
      <c r="G79" s="704"/>
      <c r="H79" s="704" t="s">
        <v>545</v>
      </c>
      <c r="I79" s="704"/>
      <c r="J79" s="704"/>
      <c r="K79" s="704"/>
      <c r="L79" s="704"/>
      <c r="M79" s="704"/>
      <c r="N79" s="704"/>
      <c r="O79" s="704"/>
      <c r="P79" s="704"/>
      <c r="Q79" s="704"/>
      <c r="R79" s="704"/>
      <c r="S79" s="704"/>
      <c r="T79" s="704"/>
      <c r="U79" s="704"/>
      <c r="V79" s="704"/>
      <c r="W79" s="704"/>
      <c r="X79" s="704"/>
      <c r="Y79" s="704"/>
      <c r="Z79" s="704"/>
      <c r="AA79" s="704"/>
      <c r="AB79" s="704"/>
      <c r="AC79" s="704"/>
      <c r="AD79" s="704"/>
      <c r="AE79" s="704"/>
      <c r="AF79" s="704"/>
      <c r="AG79" s="704"/>
      <c r="AH79" s="704"/>
      <c r="AI79" s="704"/>
      <c r="AJ79" s="704"/>
    </row>
  </sheetData>
  <phoneticPr fontId="0" type="noConversion"/>
  <dataValidations disablePrompts="1" count="1">
    <dataValidation type="custom" allowBlank="1" showInputMessage="1" showErrorMessage="1" sqref="AI4:AI5 C64:G66 A60:B66 C60:E63 A30 H60:AF66">
      <formula1>-1</formula1>
    </dataValidation>
  </dataValidations>
  <printOptions horizontalCentered="1"/>
  <pageMargins left="0" right="0" top="0.5" bottom="0.25" header="0.5" footer="0.5"/>
  <pageSetup scale="99" orientation="landscape" r:id="rId1"/>
  <headerFooter alignWithMargins="0">
    <oddFooter>&amp;R&amp;8&amp;D/&amp;T
&amp;F/&amp;A</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enableFormatConditionsCalculation="0">
    <tabColor indexed="59"/>
    <pageSetUpPr fitToPage="1"/>
  </sheetPr>
  <dimension ref="A1:BP124"/>
  <sheetViews>
    <sheetView zoomScale="85" zoomScaleNormal="85" zoomScaleSheetLayoutView="85" workbookViewId="0">
      <selection activeCell="AY50" sqref="AY50"/>
    </sheetView>
  </sheetViews>
  <sheetFormatPr defaultRowHeight="12.75" outlineLevelRow="1" outlineLevelCol="1"/>
  <cols>
    <col min="1" max="1" width="1.85546875" style="160" customWidth="1"/>
    <col min="2" max="2" width="4" style="160" customWidth="1"/>
    <col min="3" max="3" width="30.7109375" style="160" customWidth="1"/>
    <col min="4" max="4" width="1.42578125" style="160" customWidth="1"/>
    <col min="5" max="5" width="9.140625" style="160" hidden="1" customWidth="1" outlineLevel="1"/>
    <col min="6" max="6" width="1.5703125" style="160" hidden="1" customWidth="1" outlineLevel="1"/>
    <col min="7" max="7" width="9.140625" style="160" hidden="1" customWidth="1" outlineLevel="1"/>
    <col min="8" max="8" width="1.5703125" style="160" hidden="1" customWidth="1" outlineLevel="1"/>
    <col min="9" max="9" width="9.140625" style="160" hidden="1" customWidth="1" outlineLevel="1"/>
    <col min="10" max="10" width="1.5703125" style="160" hidden="1" customWidth="1" outlineLevel="1"/>
    <col min="11" max="11" width="9.140625" style="160" hidden="1" customWidth="1" outlineLevel="1"/>
    <col min="12" max="12" width="1.5703125" style="160" hidden="1" customWidth="1" outlineLevel="1"/>
    <col min="13" max="13" width="8.140625" style="160" hidden="1" customWidth="1" outlineLevel="1" collapsed="1"/>
    <col min="14" max="14" width="1.28515625" style="160" hidden="1" customWidth="1" outlineLevel="1"/>
    <col min="15" max="15" width="8.28515625" style="160" hidden="1" customWidth="1" outlineLevel="1"/>
    <col min="16" max="16" width="1" style="160" hidden="1" customWidth="1" outlineLevel="1"/>
    <col min="17" max="17" width="8.42578125" style="160" hidden="1" customWidth="1" outlineLevel="1"/>
    <col min="18" max="18" width="1.140625" style="160" hidden="1" customWidth="1" outlineLevel="1"/>
    <col min="19" max="19" width="8.28515625" style="160" hidden="1" customWidth="1" outlineLevel="1"/>
    <col min="20" max="20" width="1.28515625" style="160" hidden="1" customWidth="1" outlineLevel="1"/>
    <col min="21" max="21" width="8.7109375" style="160" hidden="1" customWidth="1" outlineLevel="1"/>
    <col min="22" max="22" width="1.28515625" style="160" hidden="1" customWidth="1" outlineLevel="1"/>
    <col min="23" max="23" width="9.7109375" style="160" hidden="1" customWidth="1" outlineLevel="1"/>
    <col min="24" max="24" width="1.28515625" style="160" hidden="1" customWidth="1" outlineLevel="1"/>
    <col min="25" max="25" width="9.7109375" style="160" hidden="1" customWidth="1" outlineLevel="1"/>
    <col min="26" max="26" width="1.42578125" style="160" hidden="1" customWidth="1" outlineLevel="1"/>
    <col min="27" max="27" width="9.42578125" style="160" hidden="1" customWidth="1" outlineLevel="1"/>
    <col min="28" max="28" width="1.28515625" style="160" hidden="1" customWidth="1" outlineLevel="1"/>
    <col min="29" max="29" width="8.85546875" style="160" hidden="1" customWidth="1" outlineLevel="1"/>
    <col min="30" max="30" width="1.28515625" style="160" hidden="1" customWidth="1" outlineLevel="1"/>
    <col min="31" max="31" width="9.7109375" style="160" hidden="1" customWidth="1" outlineLevel="1"/>
    <col min="32" max="32" width="1.28515625" style="160" hidden="1" customWidth="1" outlineLevel="1"/>
    <col min="33" max="33" width="9.85546875" style="160" hidden="1" customWidth="1" outlineLevel="1"/>
    <col min="34" max="34" width="1.28515625" style="160" hidden="1" customWidth="1" outlineLevel="1"/>
    <col min="35" max="35" width="9.7109375" style="160" hidden="1" customWidth="1" outlineLevel="1"/>
    <col min="36" max="36" width="1.28515625" style="160" hidden="1" customWidth="1" outlineLevel="1"/>
    <col min="37" max="37" width="9.42578125" style="160" hidden="1" customWidth="1" outlineLevel="1"/>
    <col min="38" max="38" width="1.28515625" style="160" customWidth="1" collapsed="1"/>
    <col min="39" max="39" width="9.42578125" style="160" customWidth="1"/>
    <col min="40" max="40" width="1.28515625" style="160" customWidth="1"/>
    <col min="41" max="41" width="9.42578125" style="160" customWidth="1"/>
    <col min="42" max="42" width="1.28515625" style="160" customWidth="1"/>
    <col min="43" max="43" width="9.42578125" style="160" customWidth="1"/>
    <col min="44" max="44" width="1.28515625" style="160" customWidth="1"/>
    <col min="45" max="45" width="9.42578125" style="160" customWidth="1"/>
    <col min="46" max="46" width="1.28515625" style="160" customWidth="1"/>
    <col min="47" max="47" width="9.42578125" style="160" customWidth="1"/>
    <col min="48" max="48" width="1.28515625" style="160" customWidth="1"/>
    <col min="49" max="49" width="9.42578125" style="160" customWidth="1"/>
    <col min="50" max="50" width="1.28515625" style="160" customWidth="1"/>
    <col min="51" max="51" width="9.42578125" style="160" customWidth="1"/>
    <col min="52" max="52" width="1.28515625" style="160" customWidth="1"/>
    <col min="53" max="53" width="9.7109375" style="160" customWidth="1"/>
    <col min="54" max="54" width="1.28515625" style="160" customWidth="1"/>
    <col min="55" max="55" width="9.42578125" style="160" customWidth="1"/>
    <col min="56" max="56" width="1.28515625" style="160" customWidth="1"/>
    <col min="57" max="57" width="9.42578125" style="160" customWidth="1"/>
    <col min="58" max="58" width="1.28515625" style="160" customWidth="1"/>
    <col min="59" max="59" width="9.42578125" style="160" customWidth="1"/>
    <col min="60" max="60" width="1.28515625" style="160" customWidth="1"/>
    <col min="61" max="62" width="9.42578125" style="160" customWidth="1"/>
    <col min="63" max="63" width="20.42578125" customWidth="1" outlineLevel="1"/>
    <col min="64" max="68" width="9.140625" customWidth="1" outlineLevel="1"/>
    <col min="69" max="16384" width="9.140625" style="160"/>
  </cols>
  <sheetData>
    <row r="1" spans="1:62">
      <c r="A1" s="1275" t="str">
        <f>sumry!A1</f>
        <v>Urban Outfitters, Inc.</v>
      </c>
      <c r="B1" s="1275"/>
      <c r="C1" s="1275"/>
      <c r="D1" s="1275"/>
      <c r="E1" s="1366"/>
      <c r="F1" s="1275"/>
      <c r="G1" s="1366"/>
      <c r="H1" s="1275"/>
      <c r="I1" s="1275"/>
      <c r="J1" s="1275"/>
      <c r="K1" s="1366"/>
      <c r="L1" s="1275"/>
      <c r="M1" s="1275"/>
      <c r="N1" s="1275"/>
      <c r="O1" s="1366"/>
      <c r="P1" s="1275"/>
      <c r="Q1" s="1366"/>
      <c r="R1" s="1275"/>
      <c r="S1" s="1366"/>
      <c r="T1" s="1275"/>
      <c r="U1" s="1366"/>
      <c r="V1" s="1275"/>
      <c r="W1" s="1366"/>
      <c r="X1" s="1275"/>
      <c r="Y1" s="1366"/>
      <c r="Z1" s="1275"/>
      <c r="AA1" s="1366"/>
      <c r="AB1" s="1275"/>
      <c r="AC1" s="1366"/>
      <c r="AD1" s="1275"/>
      <c r="AE1" s="1366"/>
      <c r="AF1" s="1275"/>
      <c r="AG1" s="1366"/>
      <c r="AH1" s="1275"/>
      <c r="AI1" s="1366"/>
      <c r="AJ1" s="1275"/>
      <c r="AK1" s="1366"/>
      <c r="AL1" s="1275"/>
      <c r="AM1" s="1366"/>
      <c r="AN1" s="1275"/>
      <c r="AO1" s="1366"/>
      <c r="AP1" s="1275"/>
      <c r="AQ1" s="1366"/>
      <c r="AR1" s="1275"/>
      <c r="AS1" s="1366"/>
      <c r="AT1" s="1366"/>
      <c r="AU1" s="1366"/>
      <c r="AV1" s="1366"/>
      <c r="AW1" s="1366"/>
      <c r="AX1" s="1366"/>
      <c r="AY1" s="1366"/>
      <c r="AZ1" s="1366"/>
      <c r="BA1" s="1366"/>
      <c r="BB1" s="1366"/>
      <c r="BC1" s="1366"/>
      <c r="BD1" s="1366"/>
      <c r="BE1" s="1366"/>
      <c r="BF1" s="1366"/>
      <c r="BG1" s="1366"/>
      <c r="BH1" s="1366"/>
      <c r="BI1" s="1366"/>
      <c r="BJ1" s="1366"/>
    </row>
    <row r="2" spans="1:62">
      <c r="A2" s="1367" t="s">
        <v>259</v>
      </c>
      <c r="B2" s="1368"/>
      <c r="C2" s="1368"/>
      <c r="D2" s="1368"/>
      <c r="E2" s="1369"/>
      <c r="F2" s="1368"/>
      <c r="G2" s="1369"/>
      <c r="H2" s="1368"/>
      <c r="I2" s="1368"/>
      <c r="J2" s="1368"/>
      <c r="K2" s="1369"/>
      <c r="L2" s="1368"/>
      <c r="M2" s="1368"/>
      <c r="N2" s="1368"/>
      <c r="O2" s="1369"/>
      <c r="P2" s="1368"/>
      <c r="Q2" s="1369"/>
      <c r="R2" s="1368"/>
      <c r="S2" s="1369"/>
      <c r="T2" s="1368"/>
      <c r="U2" s="1369"/>
      <c r="V2" s="1368"/>
      <c r="W2" s="1369"/>
      <c r="X2" s="1368"/>
      <c r="Y2" s="1369"/>
      <c r="Z2" s="1368"/>
      <c r="AA2" s="1369"/>
      <c r="AB2" s="1368"/>
      <c r="AC2" s="1369"/>
      <c r="AD2" s="1368"/>
      <c r="AE2" s="1369"/>
      <c r="AF2" s="1368"/>
      <c r="AG2" s="1369"/>
      <c r="AH2" s="1368"/>
      <c r="AI2" s="1369"/>
      <c r="AJ2" s="1368"/>
      <c r="AK2" s="1369"/>
      <c r="AL2" s="1368"/>
      <c r="AM2" s="1369"/>
      <c r="AN2" s="1368"/>
      <c r="AO2" s="1369"/>
      <c r="AP2" s="1368"/>
      <c r="AQ2" s="1369"/>
      <c r="AR2" s="1368"/>
      <c r="AS2" s="1369"/>
      <c r="AT2" s="1369"/>
      <c r="AU2" s="1369"/>
      <c r="AV2" s="1369"/>
      <c r="AW2" s="1369"/>
      <c r="AX2" s="1369"/>
      <c r="AY2" s="1369"/>
      <c r="AZ2" s="1369"/>
      <c r="BA2" s="1369"/>
      <c r="BB2" s="1369"/>
      <c r="BC2" s="1369"/>
      <c r="BD2" s="1369"/>
      <c r="BE2" s="1369"/>
      <c r="BF2" s="1369"/>
      <c r="BG2" s="1369"/>
      <c r="BH2" s="1369"/>
      <c r="BI2" s="1369"/>
      <c r="BJ2" s="1369"/>
    </row>
    <row r="3" spans="1:62">
      <c r="A3" s="1370" t="s">
        <v>376</v>
      </c>
      <c r="B3" s="1371"/>
      <c r="C3" s="1372"/>
      <c r="D3" s="1372"/>
      <c r="E3" s="1372"/>
      <c r="F3" s="1372"/>
      <c r="G3" s="1372"/>
      <c r="H3" s="1372"/>
      <c r="I3" s="1372"/>
      <c r="J3" s="1372"/>
      <c r="K3" s="1372"/>
      <c r="L3" s="1372"/>
      <c r="M3" s="1372"/>
      <c r="N3" s="1372"/>
      <c r="O3" s="1372"/>
      <c r="P3" s="1372"/>
      <c r="Q3" s="1372"/>
      <c r="R3" s="1372"/>
      <c r="S3" s="1372"/>
      <c r="T3" s="1372"/>
      <c r="U3" s="1372"/>
      <c r="V3" s="1372"/>
      <c r="W3" s="1372"/>
      <c r="X3" s="1372"/>
      <c r="Y3" s="1372"/>
      <c r="Z3" s="1372"/>
      <c r="AA3" s="1372"/>
      <c r="AB3" s="1372"/>
      <c r="AC3" s="1372"/>
      <c r="AD3" s="1372"/>
      <c r="AE3" s="1372"/>
      <c r="AF3" s="1372"/>
      <c r="AG3" s="1372"/>
      <c r="AH3" s="1372"/>
      <c r="AI3" s="1372"/>
      <c r="AJ3" s="1372"/>
      <c r="AK3" s="1372"/>
      <c r="AL3" s="1372"/>
      <c r="AM3" s="1372"/>
      <c r="AN3" s="1372"/>
      <c r="AO3" s="1372"/>
      <c r="AP3" s="1372"/>
      <c r="AQ3" s="1372"/>
      <c r="AR3" s="1372"/>
      <c r="AS3" s="1372"/>
      <c r="AT3" s="1372"/>
      <c r="AU3" s="1372"/>
      <c r="AV3" s="1372"/>
      <c r="AW3" s="1372"/>
      <c r="AX3" s="1372"/>
      <c r="AY3" s="1372"/>
      <c r="AZ3" s="1372"/>
      <c r="BA3" s="1372"/>
      <c r="BB3" s="1372"/>
      <c r="BC3" s="1372"/>
      <c r="BD3" s="1372"/>
      <c r="BE3" s="1372"/>
      <c r="BF3" s="1372"/>
      <c r="BG3" s="1372"/>
      <c r="BH3" s="1372"/>
      <c r="BI3" s="1372"/>
      <c r="BJ3" s="1372"/>
    </row>
    <row r="4" spans="1:62">
      <c r="A4" s="1371" t="s">
        <v>260</v>
      </c>
      <c r="B4" s="1371"/>
      <c r="C4" s="1372"/>
      <c r="D4" s="1372"/>
      <c r="E4" s="1372"/>
      <c r="F4" s="1372"/>
      <c r="G4" s="1372"/>
      <c r="H4" s="1372"/>
      <c r="I4" s="1372"/>
      <c r="J4" s="1372"/>
      <c r="K4" s="1372"/>
      <c r="L4" s="1372"/>
      <c r="M4" s="1372"/>
      <c r="N4" s="1372"/>
      <c r="O4" s="1372"/>
      <c r="P4" s="1372"/>
      <c r="Q4" s="1372"/>
      <c r="R4" s="1372"/>
      <c r="S4" s="1372"/>
      <c r="T4" s="1372"/>
      <c r="U4" s="1372"/>
      <c r="V4" s="1372"/>
      <c r="W4" s="1372"/>
      <c r="X4" s="1372"/>
      <c r="Y4" s="1372"/>
      <c r="Z4" s="1372"/>
      <c r="AA4" s="1372"/>
      <c r="AB4" s="1372"/>
      <c r="AC4" s="1372"/>
      <c r="AD4" s="1372"/>
      <c r="AE4" s="1372"/>
      <c r="AF4" s="1372"/>
      <c r="AG4" s="1372"/>
      <c r="AH4" s="1372"/>
      <c r="AI4" s="1372"/>
      <c r="AJ4" s="1372"/>
      <c r="AK4" s="1372"/>
      <c r="AL4" s="1372"/>
      <c r="AM4" s="1372"/>
      <c r="AN4" s="1372"/>
      <c r="AO4" s="1372"/>
      <c r="AP4" s="1372"/>
      <c r="AQ4" s="1372"/>
      <c r="AR4" s="1372"/>
      <c r="AS4" s="1372"/>
      <c r="AT4" s="1372"/>
      <c r="AU4" s="1372"/>
      <c r="AV4" s="1372"/>
      <c r="AW4" s="1373"/>
      <c r="AX4" s="1372"/>
      <c r="AY4" s="1372"/>
      <c r="AZ4" s="1372"/>
      <c r="BA4" s="1372"/>
      <c r="BB4" s="1372"/>
      <c r="BC4" s="1372"/>
      <c r="BD4" s="1372"/>
      <c r="BE4" s="1372"/>
      <c r="BF4" s="1372"/>
      <c r="BG4" s="1372"/>
      <c r="BH4" s="1372"/>
      <c r="BI4" s="1372"/>
      <c r="BJ4" s="1372"/>
    </row>
    <row r="5" spans="1:62">
      <c r="A5" s="704"/>
      <c r="B5" s="704"/>
      <c r="C5" s="704"/>
      <c r="D5" s="704"/>
      <c r="E5" s="704"/>
      <c r="F5" s="704"/>
      <c r="G5" s="704"/>
      <c r="H5" s="704"/>
      <c r="I5" s="704"/>
      <c r="J5" s="704"/>
      <c r="K5" s="704"/>
      <c r="L5" s="704"/>
      <c r="M5" s="704"/>
      <c r="N5" s="704"/>
      <c r="O5" s="1374"/>
      <c r="P5" s="704"/>
      <c r="Q5" s="704"/>
      <c r="R5" s="704"/>
      <c r="S5" s="704"/>
      <c r="T5" s="704"/>
      <c r="U5" s="704"/>
      <c r="V5" s="704"/>
      <c r="W5" s="704"/>
      <c r="X5" s="704"/>
      <c r="Y5" s="704"/>
      <c r="Z5" s="704"/>
      <c r="AA5" s="704"/>
      <c r="AB5" s="704"/>
      <c r="AC5" s="704"/>
      <c r="AD5" s="704"/>
      <c r="AE5" s="704"/>
      <c r="AF5" s="704"/>
      <c r="AG5" s="704"/>
      <c r="AH5" s="704"/>
      <c r="AI5" s="704"/>
      <c r="AJ5" s="704"/>
      <c r="AK5" s="704"/>
      <c r="AL5" s="704"/>
      <c r="AM5" s="704"/>
      <c r="AN5" s="704"/>
      <c r="AO5" s="704"/>
      <c r="AP5" s="704"/>
      <c r="AQ5" s="704"/>
      <c r="AR5" s="704"/>
      <c r="AS5" s="704"/>
      <c r="AT5" s="704"/>
      <c r="AU5" s="704"/>
      <c r="AV5" s="704"/>
      <c r="AW5" s="704"/>
      <c r="AX5" s="704"/>
      <c r="AY5" s="704"/>
      <c r="AZ5" s="704"/>
      <c r="BA5" s="704"/>
      <c r="BB5" s="704"/>
      <c r="BC5" s="704"/>
      <c r="BD5" s="704"/>
      <c r="BE5" s="704"/>
      <c r="BF5" s="704"/>
      <c r="BG5" s="704"/>
      <c r="BH5" s="704"/>
      <c r="BI5" s="704"/>
      <c r="BJ5" s="704"/>
    </row>
    <row r="6" spans="1:62">
      <c r="A6" s="704"/>
      <c r="B6" s="704"/>
      <c r="C6" s="704"/>
      <c r="D6" s="704"/>
      <c r="E6" s="1375">
        <v>1994</v>
      </c>
      <c r="F6" s="704"/>
      <c r="G6" s="1375">
        <v>1995</v>
      </c>
      <c r="H6" s="1376"/>
      <c r="I6" s="1377">
        <f>G6+1</f>
        <v>1996</v>
      </c>
      <c r="J6" s="1376"/>
      <c r="K6" s="1377">
        <f>I6+1</f>
        <v>1997</v>
      </c>
      <c r="L6" s="1376"/>
      <c r="M6" s="1377">
        <f>K6+1</f>
        <v>1998</v>
      </c>
      <c r="N6" s="1376"/>
      <c r="O6" s="1377">
        <f>M6+1</f>
        <v>1999</v>
      </c>
      <c r="P6" s="1376"/>
      <c r="Q6" s="1377">
        <f>O6+1</f>
        <v>2000</v>
      </c>
      <c r="R6" s="1376"/>
      <c r="S6" s="1377">
        <f>Q6+1</f>
        <v>2001</v>
      </c>
      <c r="T6" s="1376"/>
      <c r="U6" s="1377">
        <f>S6+1</f>
        <v>2002</v>
      </c>
      <c r="V6" s="1376"/>
      <c r="W6" s="1377">
        <f>U6+1</f>
        <v>2003</v>
      </c>
      <c r="X6" s="1376"/>
      <c r="Y6" s="1377">
        <f>W6+1</f>
        <v>2004</v>
      </c>
      <c r="Z6" s="1376"/>
      <c r="AA6" s="1377">
        <f>Y6+1</f>
        <v>2005</v>
      </c>
      <c r="AB6" s="1376"/>
      <c r="AC6" s="1377">
        <f>AA6+1</f>
        <v>2006</v>
      </c>
      <c r="AD6" s="1376"/>
      <c r="AE6" s="1377">
        <f>AC6+1</f>
        <v>2007</v>
      </c>
      <c r="AF6" s="1376"/>
      <c r="AG6" s="1377">
        <f>AE6+1</f>
        <v>2008</v>
      </c>
      <c r="AH6" s="1376"/>
      <c r="AI6" s="1377">
        <f>AG6+1</f>
        <v>2009</v>
      </c>
      <c r="AJ6" s="1376"/>
      <c r="AK6" s="1377">
        <f>AI6+1</f>
        <v>2010</v>
      </c>
      <c r="AL6" s="1376"/>
      <c r="AM6" s="1377">
        <f>AK6+1</f>
        <v>2011</v>
      </c>
      <c r="AN6" s="1376"/>
      <c r="AO6" s="1377">
        <f>AM6+1</f>
        <v>2012</v>
      </c>
      <c r="AP6" s="1376"/>
      <c r="AQ6" s="1377">
        <f>AO6+1</f>
        <v>2013</v>
      </c>
      <c r="AR6" s="1376"/>
      <c r="AS6" s="1377">
        <f>AQ6+1</f>
        <v>2014</v>
      </c>
      <c r="AT6" s="1378"/>
      <c r="AU6" s="1377">
        <f>AS6+1</f>
        <v>2015</v>
      </c>
      <c r="AV6" s="1378"/>
      <c r="AW6" s="1377">
        <f>AU6+1</f>
        <v>2016</v>
      </c>
      <c r="AX6" s="1378"/>
      <c r="AY6" s="1378">
        <f>AW6+1</f>
        <v>2017</v>
      </c>
      <c r="AZ6" s="1378"/>
      <c r="BA6" s="1378">
        <f>AY6+1</f>
        <v>2018</v>
      </c>
      <c r="BB6" s="1378"/>
      <c r="BC6" s="1378">
        <f>BA6+1</f>
        <v>2019</v>
      </c>
      <c r="BD6" s="1378"/>
      <c r="BE6" s="1378">
        <f>BC6+1</f>
        <v>2020</v>
      </c>
      <c r="BF6" s="1378"/>
      <c r="BG6" s="1378">
        <f>BE6+1</f>
        <v>2021</v>
      </c>
      <c r="BH6" s="1378"/>
      <c r="BI6" s="1378">
        <f>BG6+1</f>
        <v>2022</v>
      </c>
      <c r="BJ6" s="1480"/>
    </row>
    <row r="7" spans="1:62">
      <c r="A7" s="704"/>
      <c r="B7" s="704"/>
      <c r="C7" s="704"/>
      <c r="D7" s="704"/>
      <c r="E7" s="704"/>
      <c r="F7" s="704"/>
      <c r="G7" s="704"/>
      <c r="H7" s="704"/>
      <c r="I7" s="704"/>
      <c r="J7" s="704"/>
      <c r="K7" s="704"/>
      <c r="L7" s="704"/>
      <c r="M7" s="704"/>
      <c r="N7" s="704"/>
      <c r="O7" s="704"/>
      <c r="P7" s="704"/>
      <c r="Q7" s="704"/>
      <c r="R7" s="704"/>
      <c r="S7" s="704"/>
      <c r="T7" s="704"/>
      <c r="U7" s="704"/>
      <c r="V7" s="704"/>
      <c r="W7" s="704"/>
      <c r="X7" s="704"/>
      <c r="Y7" s="704"/>
      <c r="Z7" s="704"/>
      <c r="AA7" s="704"/>
      <c r="AB7" s="704"/>
      <c r="AC7" s="704"/>
      <c r="AD7" s="704"/>
      <c r="AE7" s="704"/>
      <c r="AF7" s="704"/>
      <c r="AG7" s="704"/>
      <c r="AH7" s="704"/>
      <c r="AI7" s="793"/>
      <c r="AJ7" s="704"/>
      <c r="AK7" s="704"/>
      <c r="AL7" s="704"/>
      <c r="AM7" s="704"/>
      <c r="AN7" s="704"/>
      <c r="AO7" s="704"/>
      <c r="AP7" s="704"/>
      <c r="AQ7" s="704"/>
      <c r="AR7" s="704"/>
      <c r="AS7" s="704"/>
      <c r="AT7" s="704"/>
      <c r="AU7" s="704"/>
      <c r="AV7" s="704"/>
      <c r="AW7" s="704"/>
      <c r="AX7" s="704"/>
      <c r="AY7" s="704"/>
      <c r="AZ7" s="704"/>
      <c r="BA7" s="704"/>
      <c r="BB7" s="704"/>
      <c r="BC7" s="704"/>
      <c r="BD7" s="704"/>
      <c r="BE7" s="704"/>
      <c r="BF7" s="704"/>
      <c r="BG7" s="704"/>
      <c r="BH7" s="704"/>
      <c r="BI7" s="704"/>
      <c r="BJ7" s="704"/>
    </row>
    <row r="8" spans="1:62">
      <c r="A8" s="1379" t="s">
        <v>261</v>
      </c>
      <c r="B8" s="1379"/>
      <c r="C8" s="704"/>
      <c r="D8" s="704"/>
      <c r="E8" s="704"/>
      <c r="F8" s="704"/>
      <c r="G8" s="704"/>
      <c r="H8" s="704"/>
      <c r="I8" s="704"/>
      <c r="J8" s="704"/>
      <c r="K8" s="704"/>
      <c r="L8" s="704"/>
      <c r="M8" s="704"/>
      <c r="N8" s="704"/>
      <c r="O8" s="704"/>
      <c r="P8" s="704"/>
      <c r="Q8" s="704"/>
      <c r="R8" s="704"/>
      <c r="S8" s="704"/>
      <c r="T8" s="704"/>
      <c r="U8" s="704"/>
      <c r="V8" s="704"/>
      <c r="W8" s="915"/>
      <c r="X8" s="704"/>
      <c r="Y8" s="704"/>
      <c r="Z8" s="704"/>
      <c r="AA8" s="704"/>
      <c r="AB8" s="704"/>
      <c r="AC8" s="704"/>
      <c r="AD8" s="704"/>
      <c r="AE8" s="1380"/>
      <c r="AF8" s="704"/>
      <c r="AG8" s="1380"/>
      <c r="AH8" s="704"/>
      <c r="AI8" s="793"/>
      <c r="AJ8" s="704"/>
      <c r="AK8" s="793"/>
      <c r="AL8" s="704"/>
      <c r="AM8" s="793"/>
      <c r="AN8" s="704"/>
      <c r="AO8" s="704"/>
      <c r="AP8" s="704"/>
      <c r="AQ8" s="704"/>
      <c r="AR8" s="704"/>
      <c r="AS8" s="704"/>
      <c r="AT8" s="704"/>
      <c r="AU8" s="704"/>
      <c r="AV8" s="704"/>
      <c r="AW8" s="704"/>
      <c r="AX8" s="704"/>
      <c r="AY8" s="704"/>
      <c r="AZ8" s="704"/>
      <c r="BA8" s="704"/>
      <c r="BB8" s="704"/>
      <c r="BC8" s="704"/>
      <c r="BD8" s="704"/>
      <c r="BE8" s="704"/>
      <c r="BF8" s="704"/>
      <c r="BG8" s="704"/>
      <c r="BH8" s="704"/>
      <c r="BI8" s="704"/>
      <c r="BJ8" s="704"/>
    </row>
    <row r="9" spans="1:62">
      <c r="A9" s="704"/>
      <c r="B9" s="704" t="s">
        <v>503</v>
      </c>
      <c r="C9" s="704"/>
      <c r="D9" s="704"/>
      <c r="E9" s="1381">
        <v>9.109</v>
      </c>
      <c r="F9" s="704"/>
      <c r="G9" s="1381">
        <v>20.094999999999999</v>
      </c>
      <c r="H9" s="704"/>
      <c r="I9" s="1381">
        <v>14.581</v>
      </c>
      <c r="J9" s="704"/>
      <c r="K9" s="1381">
        <v>26.712</v>
      </c>
      <c r="L9" s="1382"/>
      <c r="M9" s="1381">
        <v>25.164999999999999</v>
      </c>
      <c r="N9" s="704"/>
      <c r="O9" s="1381">
        <v>12.727</v>
      </c>
      <c r="P9" s="704"/>
      <c r="Q9" s="1381">
        <v>16.286000000000001</v>
      </c>
      <c r="R9" s="704"/>
      <c r="S9" s="1381">
        <v>28.251000000000001</v>
      </c>
      <c r="T9" s="704"/>
      <c r="U9" s="1380">
        <f>+flow!R46</f>
        <v>33.126999999999981</v>
      </c>
      <c r="V9" s="704"/>
      <c r="W9" s="1380">
        <f>+flow!T46</f>
        <v>3.31899999999996</v>
      </c>
      <c r="X9" s="704"/>
      <c r="Y9" s="1380">
        <f>+flow!V46</f>
        <v>29.730999999999902</v>
      </c>
      <c r="Z9" s="704"/>
      <c r="AA9" s="1380">
        <f>+flow!X46</f>
        <v>49.911999999999864</v>
      </c>
      <c r="AB9" s="704"/>
      <c r="AC9" s="1380">
        <f>+flow!Z46</f>
        <v>27.267000000000074</v>
      </c>
      <c r="AD9" s="704"/>
      <c r="AE9" s="1380">
        <f>+flow!AB46</f>
        <v>105.27100000000004</v>
      </c>
      <c r="AF9" s="704"/>
      <c r="AG9" s="1380">
        <f>+flow!AD46</f>
        <v>316.0349999999998</v>
      </c>
      <c r="AH9" s="704"/>
      <c r="AI9" s="1380">
        <f>+flow!AF46</f>
        <v>159.02399999999972</v>
      </c>
      <c r="AJ9" s="704"/>
      <c r="AK9" s="1380">
        <f>+flow!AH46</f>
        <v>340.25699999999961</v>
      </c>
      <c r="AL9" s="704"/>
      <c r="AM9" s="1380">
        <f>+flow!AJ46</f>
        <v>145.27300000000034</v>
      </c>
      <c r="AN9" s="704"/>
      <c r="AO9" s="1380">
        <f>+flow!AL46</f>
        <v>245.32700000000045</v>
      </c>
      <c r="AP9" s="704"/>
      <c r="AQ9" s="1383">
        <f>+flow!AN46-0.036</f>
        <v>242.05846000000042</v>
      </c>
      <c r="AR9" s="704"/>
      <c r="AS9" s="1380">
        <f>+flow!AP46</f>
        <v>154.59396000000061</v>
      </c>
      <c r="AT9" s="1380"/>
      <c r="AU9" s="1380">
        <f>+flow!AR46</f>
        <v>265.31196000000051</v>
      </c>
      <c r="AV9" s="1380"/>
      <c r="AW9" s="1380">
        <f>+flow!AT46</f>
        <v>248.17596000000015</v>
      </c>
      <c r="AX9" s="1380"/>
      <c r="AY9" s="1380">
        <f>+flow!AV46</f>
        <v>448.35295999999994</v>
      </c>
      <c r="AZ9" s="1380"/>
      <c r="BA9" s="1380">
        <f>+flow!AX46</f>
        <v>621.10628369581059</v>
      </c>
      <c r="BB9" s="1380"/>
      <c r="BC9" s="1380">
        <f>+flow!AZ46</f>
        <v>832.38283159981586</v>
      </c>
      <c r="BD9" s="1380"/>
      <c r="BE9" s="1380">
        <f>flow!$BB$46</f>
        <v>1048.3864290536121</v>
      </c>
      <c r="BF9" s="1380"/>
      <c r="BG9" s="1380">
        <f>flow!$BD$46</f>
        <v>1271.6355254590467</v>
      </c>
      <c r="BH9" s="1380"/>
      <c r="BI9" s="1380">
        <f>flow!$BF$46</f>
        <v>1499.9828561669829</v>
      </c>
      <c r="BJ9" s="1380"/>
    </row>
    <row r="10" spans="1:62">
      <c r="A10" s="704"/>
      <c r="B10" s="704" t="s">
        <v>502</v>
      </c>
      <c r="C10" s="704"/>
      <c r="D10" s="704"/>
      <c r="E10" s="1384">
        <v>10.276</v>
      </c>
      <c r="F10" s="704"/>
      <c r="G10" s="1384">
        <v>9.4990000000000006</v>
      </c>
      <c r="H10" s="704"/>
      <c r="I10" s="1384">
        <v>9.2550000000000008</v>
      </c>
      <c r="J10" s="704"/>
      <c r="K10" s="1384">
        <v>10.865</v>
      </c>
      <c r="L10" s="1382"/>
      <c r="M10" s="1384">
        <v>13.032</v>
      </c>
      <c r="N10" s="704"/>
      <c r="O10" s="1384">
        <v>11.225</v>
      </c>
      <c r="P10" s="704"/>
      <c r="Q10" s="1384">
        <v>0.314</v>
      </c>
      <c r="R10" s="704"/>
      <c r="S10" s="1384">
        <v>3.2000000000000001E-2</v>
      </c>
      <c r="T10" s="704"/>
      <c r="U10" s="1385">
        <f>7.379+39</f>
        <v>46.378999999999998</v>
      </c>
      <c r="V10" s="1386"/>
      <c r="W10" s="1384">
        <v>83.853999999999999</v>
      </c>
      <c r="X10" s="704"/>
      <c r="Y10" s="1384">
        <v>125.953</v>
      </c>
      <c r="Z10" s="704"/>
      <c r="AA10" s="1384">
        <v>141.88300000000001</v>
      </c>
      <c r="AB10" s="704"/>
      <c r="AC10" s="1384">
        <v>132.011</v>
      </c>
      <c r="AD10" s="704"/>
      <c r="AE10" s="1384">
        <v>80.126999999999995</v>
      </c>
      <c r="AF10" s="704"/>
      <c r="AG10" s="1384">
        <v>49.948</v>
      </c>
      <c r="AH10" s="704"/>
      <c r="AI10" s="1384">
        <v>342.512</v>
      </c>
      <c r="AJ10" s="704"/>
      <c r="AK10" s="1384">
        <v>116.42</v>
      </c>
      <c r="AL10" s="704"/>
      <c r="AM10" s="1384">
        <v>89.853999999999999</v>
      </c>
      <c r="AN10" s="704"/>
      <c r="AO10" s="1384">
        <v>228.48599999999999</v>
      </c>
      <c r="AP10" s="704"/>
      <c r="AQ10" s="1384">
        <v>281.81299999999999</v>
      </c>
      <c r="AR10" s="704"/>
      <c r="AS10" s="1384">
        <v>104.246</v>
      </c>
      <c r="AT10" s="915"/>
      <c r="AU10" s="1384">
        <v>61.061</v>
      </c>
      <c r="AV10" s="915"/>
      <c r="AW10" s="1384">
        <v>111.06699999999999</v>
      </c>
      <c r="AX10" s="915"/>
      <c r="AY10" s="1384">
        <v>165.125</v>
      </c>
      <c r="AZ10" s="915"/>
      <c r="BA10" s="915">
        <f>+AY10</f>
        <v>165.125</v>
      </c>
      <c r="BB10" s="915"/>
      <c r="BC10" s="915">
        <f>+BA10</f>
        <v>165.125</v>
      </c>
      <c r="BD10" s="915"/>
      <c r="BE10" s="915">
        <f>+BC10</f>
        <v>165.125</v>
      </c>
      <c r="BF10" s="915"/>
      <c r="BG10" s="915">
        <f>+BE10</f>
        <v>165.125</v>
      </c>
      <c r="BH10" s="915"/>
      <c r="BI10" s="915">
        <f>+BG10</f>
        <v>165.125</v>
      </c>
      <c r="BJ10" s="915"/>
    </row>
    <row r="11" spans="1:62">
      <c r="A11" s="704"/>
      <c r="B11" s="704" t="s">
        <v>262</v>
      </c>
      <c r="C11" s="704"/>
      <c r="D11" s="704"/>
      <c r="E11" s="1384">
        <v>1.1719999999999999</v>
      </c>
      <c r="F11" s="704"/>
      <c r="G11" s="1384">
        <v>1.573</v>
      </c>
      <c r="H11" s="704"/>
      <c r="I11" s="1384">
        <v>2.827</v>
      </c>
      <c r="J11" s="704"/>
      <c r="K11" s="1384">
        <v>4.4969999999999999</v>
      </c>
      <c r="L11" s="1387"/>
      <c r="M11" s="1384">
        <v>4.8239999999999998</v>
      </c>
      <c r="N11" s="704"/>
      <c r="O11" s="1384">
        <v>4.8250000000000002</v>
      </c>
      <c r="P11" s="704"/>
      <c r="Q11" s="1384">
        <v>3.444</v>
      </c>
      <c r="R11" s="704"/>
      <c r="S11" s="1384">
        <v>4.1289999999999996</v>
      </c>
      <c r="T11" s="704"/>
      <c r="U11" s="1384">
        <v>3.262</v>
      </c>
      <c r="V11" s="704"/>
      <c r="W11" s="1384">
        <v>6.7110000000000003</v>
      </c>
      <c r="X11" s="704"/>
      <c r="Y11" s="1384">
        <v>8.3640000000000008</v>
      </c>
      <c r="Z11" s="704"/>
      <c r="AA11" s="1384">
        <v>14.324</v>
      </c>
      <c r="AB11" s="704"/>
      <c r="AC11" s="1384">
        <v>20.870999999999999</v>
      </c>
      <c r="AD11" s="704"/>
      <c r="AE11" s="1384">
        <v>26.364999999999998</v>
      </c>
      <c r="AF11" s="704"/>
      <c r="AG11" s="1384">
        <v>36.39</v>
      </c>
      <c r="AH11" s="704"/>
      <c r="AI11" s="1384">
        <v>38.405000000000001</v>
      </c>
      <c r="AJ11" s="704"/>
      <c r="AK11" s="1384">
        <v>36.502000000000002</v>
      </c>
      <c r="AL11" s="704"/>
      <c r="AM11" s="1384">
        <v>36.673000000000002</v>
      </c>
      <c r="AN11" s="704"/>
      <c r="AO11" s="1384">
        <v>39.518999999999998</v>
      </c>
      <c r="AP11" s="704"/>
      <c r="AQ11" s="1384">
        <v>55.161000000000001</v>
      </c>
      <c r="AR11" s="704"/>
      <c r="AS11" s="1384">
        <v>70.457999999999998</v>
      </c>
      <c r="AT11" s="915"/>
      <c r="AU11" s="1384">
        <v>75.722999999999999</v>
      </c>
      <c r="AV11" s="915"/>
      <c r="AW11" s="1384">
        <v>54.505000000000003</v>
      </c>
      <c r="AX11" s="915"/>
      <c r="AY11" s="1384">
        <v>76.962000000000003</v>
      </c>
      <c r="AZ11" s="915"/>
      <c r="BA11" s="915">
        <f>BA67*BA72</f>
        <v>80.470675270643895</v>
      </c>
      <c r="BB11" s="915"/>
      <c r="BC11" s="915">
        <f>BC67*BC72</f>
        <v>81.773248287502696</v>
      </c>
      <c r="BD11" s="915"/>
      <c r="BE11" s="915">
        <f>BE67*BE72</f>
        <v>83.361821812671153</v>
      </c>
      <c r="BF11" s="915"/>
      <c r="BG11" s="915">
        <f>BG67*BG72</f>
        <v>84.795857525900217</v>
      </c>
      <c r="BH11" s="915"/>
      <c r="BI11" s="915">
        <f>BI67*BI72</f>
        <v>86.094004656930025</v>
      </c>
      <c r="BJ11" s="915"/>
    </row>
    <row r="12" spans="1:62">
      <c r="A12" s="704"/>
      <c r="B12" s="704" t="s">
        <v>263</v>
      </c>
      <c r="C12" s="704"/>
      <c r="D12" s="704"/>
      <c r="E12" s="1384">
        <v>10.381</v>
      </c>
      <c r="F12" s="704"/>
      <c r="G12" s="1384">
        <v>10.477</v>
      </c>
      <c r="H12" s="704"/>
      <c r="I12" s="1384">
        <v>16.965</v>
      </c>
      <c r="J12" s="704"/>
      <c r="K12" s="1384">
        <v>17.128</v>
      </c>
      <c r="L12" s="1387"/>
      <c r="M12" s="1384">
        <v>21.881</v>
      </c>
      <c r="N12" s="704"/>
      <c r="O12" s="1384">
        <v>26.867999999999999</v>
      </c>
      <c r="P12" s="704"/>
      <c r="Q12" s="1384">
        <v>34.786000000000001</v>
      </c>
      <c r="R12" s="704"/>
      <c r="S12" s="1384">
        <v>41.085999999999999</v>
      </c>
      <c r="T12" s="704"/>
      <c r="U12" s="1384">
        <v>48.825000000000003</v>
      </c>
      <c r="V12" s="704"/>
      <c r="W12" s="1384">
        <v>63.247</v>
      </c>
      <c r="X12" s="1374"/>
      <c r="Y12" s="1384">
        <v>98.995999999999995</v>
      </c>
      <c r="Z12" s="704"/>
      <c r="AA12" s="1384">
        <v>140.37700000000001</v>
      </c>
      <c r="AB12" s="704"/>
      <c r="AC12" s="1384">
        <v>154.387</v>
      </c>
      <c r="AD12" s="704"/>
      <c r="AE12" s="1384">
        <v>171.92500000000001</v>
      </c>
      <c r="AF12" s="704"/>
      <c r="AG12" s="1384">
        <v>169.69800000000001</v>
      </c>
      <c r="AH12" s="704"/>
      <c r="AI12" s="1384">
        <v>186.13</v>
      </c>
      <c r="AJ12" s="704"/>
      <c r="AK12" s="1384">
        <v>229.56100000000001</v>
      </c>
      <c r="AL12" s="704"/>
      <c r="AM12" s="1384">
        <v>250.07300000000001</v>
      </c>
      <c r="AN12" s="704"/>
      <c r="AO12" s="1384">
        <v>282.411</v>
      </c>
      <c r="AP12" s="704"/>
      <c r="AQ12" s="1384">
        <v>311.20699999999999</v>
      </c>
      <c r="AR12" s="704"/>
      <c r="AS12" s="1384">
        <v>358.23700000000002</v>
      </c>
      <c r="AT12" s="915"/>
      <c r="AU12" s="1384">
        <v>330.22300000000001</v>
      </c>
      <c r="AV12" s="915"/>
      <c r="AW12" s="1384">
        <v>338.59</v>
      </c>
      <c r="AX12" s="915"/>
      <c r="AY12" s="1384">
        <v>351.39499999999998</v>
      </c>
      <c r="AZ12" s="915"/>
      <c r="BA12" s="915">
        <f>+BA73*BA67</f>
        <v>367.41499618939093</v>
      </c>
      <c r="BB12" s="915"/>
      <c r="BC12" s="915">
        <f>+BC73*BC67</f>
        <v>373.36231623381678</v>
      </c>
      <c r="BD12" s="915"/>
      <c r="BE12" s="915">
        <f>+BE73*BE67</f>
        <v>380.61546446120911</v>
      </c>
      <c r="BF12" s="915"/>
      <c r="BG12" s="915">
        <f>+BG73*BG67</f>
        <v>387.16302013089188</v>
      </c>
      <c r="BH12" s="915"/>
      <c r="BI12" s="915">
        <f>+BI73*BI67</f>
        <v>393.09013235651258</v>
      </c>
      <c r="BJ12" s="915"/>
    </row>
    <row r="13" spans="1:62">
      <c r="A13" s="704"/>
      <c r="B13" s="704" t="s">
        <v>504</v>
      </c>
      <c r="C13" s="704"/>
      <c r="D13" s="704"/>
      <c r="E13" s="1384">
        <v>2.77</v>
      </c>
      <c r="F13" s="704"/>
      <c r="G13" s="1384">
        <v>3.2360000000000002</v>
      </c>
      <c r="H13" s="704"/>
      <c r="I13" s="1384">
        <v>4.7759999999999998</v>
      </c>
      <c r="J13" s="704"/>
      <c r="K13" s="1384">
        <v>4.6619999999999999</v>
      </c>
      <c r="L13" s="1387"/>
      <c r="M13" s="1384">
        <v>4.7290000000000001</v>
      </c>
      <c r="N13" s="704"/>
      <c r="O13" s="1384">
        <v>7.4859999999999998</v>
      </c>
      <c r="P13" s="704"/>
      <c r="Q13" s="1384">
        <v>7.3019999999999996</v>
      </c>
      <c r="R13" s="704"/>
      <c r="S13" s="1384">
        <v>5.87</v>
      </c>
      <c r="T13" s="704"/>
      <c r="U13" s="1384">
        <v>8.6329999999999991</v>
      </c>
      <c r="V13" s="704"/>
      <c r="W13" s="1384">
        <v>13.872</v>
      </c>
      <c r="X13" s="704"/>
      <c r="Y13" s="1384">
        <v>20.123000000000001</v>
      </c>
      <c r="Z13" s="704"/>
      <c r="AA13" s="1384">
        <v>33.993000000000002</v>
      </c>
      <c r="AB13" s="704"/>
      <c r="AC13" s="1384">
        <v>27.286000000000001</v>
      </c>
      <c r="AD13" s="704"/>
      <c r="AE13" s="1384">
        <v>46.238</v>
      </c>
      <c r="AF13" s="704"/>
      <c r="AG13" s="1384">
        <v>46.411999999999999</v>
      </c>
      <c r="AH13" s="704"/>
      <c r="AI13" s="1384">
        <v>67.864999999999995</v>
      </c>
      <c r="AJ13" s="704"/>
      <c r="AK13" s="1384">
        <v>66.885999999999996</v>
      </c>
      <c r="AL13" s="704"/>
      <c r="AM13" s="1384">
        <v>69.876000000000005</v>
      </c>
      <c r="AN13" s="704"/>
      <c r="AO13" s="1384">
        <v>61.826999999999998</v>
      </c>
      <c r="AP13" s="704"/>
      <c r="AQ13" s="1384">
        <v>75.968000000000004</v>
      </c>
      <c r="AR13" s="704"/>
      <c r="AS13" s="1384">
        <v>102.863</v>
      </c>
      <c r="AT13" s="1384"/>
      <c r="AU13" s="1384">
        <v>102.078</v>
      </c>
      <c r="AV13" s="1384"/>
      <c r="AW13" s="1384">
        <v>129.095</v>
      </c>
      <c r="AX13" s="1384"/>
      <c r="AY13" s="1384">
        <v>103.05500000000001</v>
      </c>
      <c r="AZ13" s="1384"/>
      <c r="BA13" s="1384">
        <f>AY13</f>
        <v>103.05500000000001</v>
      </c>
      <c r="BB13" s="1384"/>
      <c r="BC13" s="1384">
        <f>BA13</f>
        <v>103.05500000000001</v>
      </c>
      <c r="BD13" s="1384"/>
      <c r="BE13" s="1384">
        <f>BC13</f>
        <v>103.05500000000001</v>
      </c>
      <c r="BF13" s="1384"/>
      <c r="BG13" s="1384">
        <f>BE13</f>
        <v>103.05500000000001</v>
      </c>
      <c r="BH13" s="1384"/>
      <c r="BI13" s="1384">
        <f>BG13</f>
        <v>103.05500000000001</v>
      </c>
      <c r="BJ13" s="1384"/>
    </row>
    <row r="14" spans="1:62">
      <c r="A14" s="704"/>
      <c r="B14" s="704" t="s">
        <v>264</v>
      </c>
      <c r="C14" s="704"/>
      <c r="D14" s="704"/>
      <c r="E14" s="1388">
        <v>1.895</v>
      </c>
      <c r="F14" s="704"/>
      <c r="G14" s="1388">
        <v>1.679</v>
      </c>
      <c r="H14" s="704"/>
      <c r="I14" s="1388">
        <v>2.46</v>
      </c>
      <c r="J14" s="1387"/>
      <c r="K14" s="1388">
        <v>1.929</v>
      </c>
      <c r="L14" s="1387"/>
      <c r="M14" s="1388">
        <v>1.9239999999999999</v>
      </c>
      <c r="N14" s="704"/>
      <c r="O14" s="1388">
        <v>2.9470000000000001</v>
      </c>
      <c r="P14" s="704"/>
      <c r="Q14" s="1388">
        <v>2.8410000000000002</v>
      </c>
      <c r="R14" s="704"/>
      <c r="S14" s="1388">
        <v>2.7810000000000001</v>
      </c>
      <c r="T14" s="704"/>
      <c r="U14" s="1388">
        <v>4.3579999999999997</v>
      </c>
      <c r="V14" s="704"/>
      <c r="W14" s="1388">
        <v>4.8319999999999999</v>
      </c>
      <c r="X14" s="704"/>
      <c r="Y14" s="1388">
        <v>4.7009999999999996</v>
      </c>
      <c r="Z14" s="704"/>
      <c r="AA14" s="1388">
        <v>4.694</v>
      </c>
      <c r="AB14" s="704"/>
      <c r="AC14" s="1388">
        <v>4.5830000000000002</v>
      </c>
      <c r="AD14" s="704"/>
      <c r="AE14" s="1388">
        <v>3.6840000000000002</v>
      </c>
      <c r="AF14" s="704"/>
      <c r="AG14" s="1388">
        <v>5.9189999999999996</v>
      </c>
      <c r="AH14" s="704"/>
      <c r="AI14" s="1388">
        <v>12.276999999999999</v>
      </c>
      <c r="AJ14" s="704"/>
      <c r="AK14" s="1388">
        <v>14.351000000000001</v>
      </c>
      <c r="AL14" s="704"/>
      <c r="AM14" s="1388">
        <v>5.2430000000000003</v>
      </c>
      <c r="AN14" s="704"/>
      <c r="AO14" s="1388">
        <v>14.714</v>
      </c>
      <c r="AP14" s="704"/>
      <c r="AQ14" s="1388">
        <v>28.773</v>
      </c>
      <c r="AR14" s="704"/>
      <c r="AS14" s="1388">
        <v>18.754999999999999</v>
      </c>
      <c r="AT14" s="1389"/>
      <c r="AU14" s="1388">
        <v>0</v>
      </c>
      <c r="AV14" s="1389"/>
      <c r="AW14" s="1388">
        <v>0</v>
      </c>
      <c r="AX14" s="1389"/>
      <c r="AY14" s="1388">
        <v>0</v>
      </c>
      <c r="AZ14" s="1389"/>
      <c r="BA14" s="1388">
        <v>0</v>
      </c>
      <c r="BB14" s="1389">
        <v>0</v>
      </c>
      <c r="BC14" s="1388">
        <v>0</v>
      </c>
      <c r="BD14" s="1389">
        <v>0</v>
      </c>
      <c r="BE14" s="1388">
        <v>0</v>
      </c>
      <c r="BF14" s="1389"/>
      <c r="BG14" s="1388">
        <v>0</v>
      </c>
      <c r="BH14" s="1389"/>
      <c r="BI14" s="1388">
        <v>0</v>
      </c>
      <c r="BJ14" s="1389"/>
    </row>
    <row r="15" spans="1:62">
      <c r="A15" s="704"/>
      <c r="B15" s="704"/>
      <c r="C15" s="704" t="s">
        <v>265</v>
      </c>
      <c r="D15" s="704"/>
      <c r="E15" s="1390">
        <f>SUM(E9:E14)</f>
        <v>35.603000000000002</v>
      </c>
      <c r="F15" s="704"/>
      <c r="G15" s="1390">
        <f>SUM(G9:G14)</f>
        <v>46.559000000000005</v>
      </c>
      <c r="H15" s="704"/>
      <c r="I15" s="1390">
        <f>SUM(I9:I14)</f>
        <v>50.863999999999997</v>
      </c>
      <c r="J15" s="704"/>
      <c r="K15" s="1390">
        <f>SUM(K9:K14)</f>
        <v>65.792999999999992</v>
      </c>
      <c r="L15" s="704"/>
      <c r="M15" s="1390">
        <f>SUM(M9:M14)</f>
        <v>71.555000000000007</v>
      </c>
      <c r="N15" s="704"/>
      <c r="O15" s="1390">
        <f>SUM(O9:O14)</f>
        <v>66.077999999999989</v>
      </c>
      <c r="P15" s="704"/>
      <c r="Q15" s="1390">
        <f>SUM(Q9:Q14)</f>
        <v>64.972999999999999</v>
      </c>
      <c r="R15" s="704"/>
      <c r="S15" s="1390">
        <f>SUM(S9:S14)</f>
        <v>82.149000000000001</v>
      </c>
      <c r="T15" s="704"/>
      <c r="U15" s="1390">
        <f>SUM(U9:U14)</f>
        <v>144.58399999999997</v>
      </c>
      <c r="V15" s="704"/>
      <c r="W15" s="1390">
        <f>SUM(W9:W14)</f>
        <v>175.83499999999998</v>
      </c>
      <c r="X15" s="704"/>
      <c r="Y15" s="1390">
        <f>SUM(Y9:Y14)</f>
        <v>287.86799999999994</v>
      </c>
      <c r="Z15" s="704"/>
      <c r="AA15" s="1390">
        <f>SUM(AA9:AA14)</f>
        <v>385.18299999999988</v>
      </c>
      <c r="AB15" s="704"/>
      <c r="AC15" s="1390">
        <f>SUM(AC9:AC14)</f>
        <v>366.40500000000009</v>
      </c>
      <c r="AD15" s="704"/>
      <c r="AE15" s="1390">
        <f>SUM(AE9:AE14)</f>
        <v>433.61000000000007</v>
      </c>
      <c r="AF15" s="704"/>
      <c r="AG15" s="1390">
        <f>SUM(AG9:AG14)</f>
        <v>624.40199999999982</v>
      </c>
      <c r="AH15" s="704"/>
      <c r="AI15" s="1390">
        <f>SUM(AI9:AI14)</f>
        <v>806.21299999999974</v>
      </c>
      <c r="AJ15" s="704"/>
      <c r="AK15" s="1390">
        <f>SUM(AK9:AK14)</f>
        <v>803.97699999999963</v>
      </c>
      <c r="AL15" s="704"/>
      <c r="AM15" s="1390">
        <f>SUM(AM9:AM14)</f>
        <v>596.99200000000042</v>
      </c>
      <c r="AN15" s="704"/>
      <c r="AO15" s="1390">
        <f>SUM(AO9:AO14)</f>
        <v>872.28400000000045</v>
      </c>
      <c r="AP15" s="704"/>
      <c r="AQ15" s="1390">
        <f>SUM(AQ9:AQ14)</f>
        <v>994.98046000000033</v>
      </c>
      <c r="AR15" s="704"/>
      <c r="AS15" s="1390">
        <f>SUM(AS9:AS14)</f>
        <v>809.15296000000069</v>
      </c>
      <c r="AT15" s="1390"/>
      <c r="AU15" s="1390">
        <f>SUM(AU9:AU14)</f>
        <v>834.39696000000049</v>
      </c>
      <c r="AV15" s="1390"/>
      <c r="AW15" s="1390">
        <f>SUM(AW9:AW14)</f>
        <v>881.43296000000009</v>
      </c>
      <c r="AX15" s="1390"/>
      <c r="AY15" s="1390">
        <f>SUM(AY9:AY14)</f>
        <v>1144.88996</v>
      </c>
      <c r="AZ15" s="1390"/>
      <c r="BA15" s="1390">
        <f>SUM(BA9:BA14)</f>
        <v>1337.1719551558456</v>
      </c>
      <c r="BB15" s="1390"/>
      <c r="BC15" s="1390">
        <f>SUM(BC9:BC14)</f>
        <v>1555.6983961211354</v>
      </c>
      <c r="BD15" s="1390"/>
      <c r="BE15" s="1390">
        <f>SUM(BE9:BE14)</f>
        <v>1780.5437153274925</v>
      </c>
      <c r="BF15" s="1390"/>
      <c r="BG15" s="1390">
        <f>SUM(BG9:BG14)</f>
        <v>2011.7744031158388</v>
      </c>
      <c r="BH15" s="1390"/>
      <c r="BI15" s="1390">
        <f>SUM(BI9:BI14)</f>
        <v>2247.3469931804252</v>
      </c>
      <c r="BJ15" s="1390"/>
    </row>
    <row r="16" spans="1:62">
      <c r="A16" s="704"/>
      <c r="B16" s="704"/>
      <c r="C16" s="704"/>
      <c r="D16" s="704"/>
      <c r="E16" s="704"/>
      <c r="F16" s="704"/>
      <c r="G16" s="704"/>
      <c r="H16" s="704"/>
      <c r="I16" s="1391"/>
      <c r="J16" s="704"/>
      <c r="K16" s="704"/>
      <c r="L16" s="704"/>
      <c r="M16" s="704"/>
      <c r="N16" s="704"/>
      <c r="O16" s="704"/>
      <c r="P16" s="704"/>
      <c r="Q16" s="704"/>
      <c r="R16" s="704"/>
      <c r="S16" s="704"/>
      <c r="T16" s="704"/>
      <c r="U16" s="704"/>
      <c r="V16" s="704"/>
      <c r="W16" s="704"/>
      <c r="X16" s="704"/>
      <c r="Y16" s="704"/>
      <c r="Z16" s="704"/>
      <c r="AA16" s="704"/>
      <c r="AB16" s="704"/>
      <c r="AC16" s="704"/>
      <c r="AD16" s="704"/>
      <c r="AE16" s="704"/>
      <c r="AF16" s="704"/>
      <c r="AG16" s="704"/>
      <c r="AH16" s="704"/>
      <c r="AI16" s="704"/>
      <c r="AJ16" s="704"/>
      <c r="AK16" s="704"/>
      <c r="AL16" s="704"/>
      <c r="AM16" s="1390"/>
      <c r="AN16" s="704"/>
      <c r="AO16" s="704"/>
      <c r="AP16" s="704"/>
      <c r="AQ16" s="704"/>
      <c r="AR16" s="704"/>
      <c r="AS16" s="704"/>
      <c r="AT16" s="704"/>
      <c r="AU16" s="704"/>
      <c r="AV16" s="704"/>
      <c r="AW16" s="704"/>
      <c r="AX16" s="704"/>
      <c r="AY16" s="704"/>
      <c r="AZ16" s="704"/>
      <c r="BA16" s="704"/>
      <c r="BB16" s="704"/>
      <c r="BC16" s="704"/>
      <c r="BD16" s="704"/>
      <c r="BE16" s="704"/>
      <c r="BF16" s="704"/>
      <c r="BG16" s="704"/>
      <c r="BH16" s="704"/>
      <c r="BI16" s="704"/>
      <c r="BJ16" s="704"/>
    </row>
    <row r="17" spans="1:62" hidden="1" outlineLevel="1">
      <c r="A17" s="704"/>
      <c r="B17" s="704" t="s">
        <v>168</v>
      </c>
      <c r="C17" s="704"/>
      <c r="D17" s="704"/>
      <c r="E17" s="704"/>
      <c r="F17" s="704"/>
      <c r="G17" s="704"/>
      <c r="H17" s="704"/>
      <c r="I17" s="1391"/>
      <c r="J17" s="704"/>
      <c r="K17" s="704"/>
      <c r="L17" s="704"/>
      <c r="M17" s="704"/>
      <c r="N17" s="704"/>
      <c r="O17" s="704"/>
      <c r="P17" s="704"/>
      <c r="Q17" s="704"/>
      <c r="R17" s="704"/>
      <c r="S17" s="704"/>
      <c r="T17" s="704"/>
      <c r="U17" s="704"/>
      <c r="V17" s="704"/>
      <c r="W17" s="1389">
        <v>0.54300000000000004</v>
      </c>
      <c r="X17" s="704"/>
      <c r="Y17" s="1389">
        <v>0.54300000000000004</v>
      </c>
      <c r="Z17" s="704"/>
      <c r="AA17" s="1389">
        <v>0.54300000000000004</v>
      </c>
      <c r="AB17" s="704"/>
      <c r="AC17" s="1389">
        <v>0.54300000000000004</v>
      </c>
      <c r="AD17" s="704"/>
      <c r="AE17" s="1389">
        <v>0.54300000000000004</v>
      </c>
      <c r="AF17" s="704"/>
      <c r="AG17" s="1389">
        <v>0.54300000000000004</v>
      </c>
      <c r="AH17" s="704"/>
      <c r="AI17" s="1389">
        <v>2.387</v>
      </c>
      <c r="AJ17" s="704"/>
      <c r="AK17" s="1389">
        <v>2.387</v>
      </c>
      <c r="AL17" s="704"/>
      <c r="AM17" s="1392">
        <v>5.8010000000000002</v>
      </c>
      <c r="AN17" s="704"/>
      <c r="AO17" s="704"/>
      <c r="AP17" s="704"/>
      <c r="AQ17" s="704"/>
      <c r="AR17" s="704"/>
      <c r="AS17" s="704"/>
      <c r="AT17" s="704"/>
      <c r="AU17" s="704"/>
      <c r="AV17" s="704"/>
      <c r="AW17" s="704"/>
      <c r="AX17" s="704"/>
      <c r="AY17" s="704"/>
      <c r="AZ17" s="704"/>
      <c r="BA17" s="704"/>
      <c r="BB17" s="704"/>
      <c r="BC17" s="704"/>
      <c r="BD17" s="704"/>
      <c r="BE17" s="704"/>
      <c r="BF17" s="704"/>
      <c r="BG17" s="704"/>
      <c r="BH17" s="704"/>
      <c r="BI17" s="704"/>
      <c r="BJ17" s="704"/>
    </row>
    <row r="18" spans="1:62" hidden="1" outlineLevel="1">
      <c r="A18" s="704"/>
      <c r="B18" s="704" t="s">
        <v>169</v>
      </c>
      <c r="C18" s="704"/>
      <c r="D18" s="704"/>
      <c r="E18" s="704"/>
      <c r="F18" s="704"/>
      <c r="G18" s="704"/>
      <c r="H18" s="704"/>
      <c r="I18" s="1391"/>
      <c r="J18" s="704"/>
      <c r="K18" s="704"/>
      <c r="L18" s="704"/>
      <c r="M18" s="704"/>
      <c r="N18" s="704"/>
      <c r="O18" s="704"/>
      <c r="P18" s="704"/>
      <c r="Q18" s="704"/>
      <c r="R18" s="704"/>
      <c r="S18" s="704"/>
      <c r="T18" s="704"/>
      <c r="U18" s="704"/>
      <c r="V18" s="704"/>
      <c r="W18" s="1389">
        <v>4.3310000000000004</v>
      </c>
      <c r="X18" s="704"/>
      <c r="Y18" s="1389">
        <v>6.431</v>
      </c>
      <c r="Z18" s="704"/>
      <c r="AA18" s="1389">
        <v>4.3310000000000004</v>
      </c>
      <c r="AB18" s="704"/>
      <c r="AC18" s="1389">
        <v>92.376000000000005</v>
      </c>
      <c r="AD18" s="704"/>
      <c r="AE18" s="1389">
        <v>94.546999999999997</v>
      </c>
      <c r="AF18" s="704"/>
      <c r="AG18" s="1389">
        <v>96.204999999999998</v>
      </c>
      <c r="AH18" s="704"/>
      <c r="AI18" s="1389">
        <v>96.617000000000004</v>
      </c>
      <c r="AJ18" s="704"/>
      <c r="AK18" s="1389">
        <v>117.982</v>
      </c>
      <c r="AL18" s="704"/>
      <c r="AM18" s="1392">
        <v>118.05</v>
      </c>
      <c r="AN18" s="704"/>
      <c r="AO18" s="704"/>
      <c r="AP18" s="704"/>
      <c r="AQ18" s="704"/>
      <c r="AR18" s="704"/>
      <c r="AS18" s="704"/>
      <c r="AT18" s="704"/>
      <c r="AU18" s="704"/>
      <c r="AV18" s="704"/>
      <c r="AW18" s="704"/>
      <c r="AX18" s="704"/>
      <c r="AY18" s="704"/>
      <c r="AZ18" s="704"/>
      <c r="BA18" s="704"/>
      <c r="BB18" s="704"/>
      <c r="BC18" s="704"/>
      <c r="BD18" s="704"/>
      <c r="BE18" s="704"/>
      <c r="BF18" s="704"/>
      <c r="BG18" s="704"/>
      <c r="BH18" s="704"/>
      <c r="BI18" s="704"/>
      <c r="BJ18" s="704"/>
    </row>
    <row r="19" spans="1:62" hidden="1" outlineLevel="1">
      <c r="A19" s="704"/>
      <c r="B19" s="704" t="s">
        <v>170</v>
      </c>
      <c r="C19" s="704"/>
      <c r="D19" s="704"/>
      <c r="E19" s="704"/>
      <c r="F19" s="704"/>
      <c r="G19" s="704"/>
      <c r="H19" s="704"/>
      <c r="I19" s="1391"/>
      <c r="J19" s="704"/>
      <c r="K19" s="704"/>
      <c r="L19" s="704"/>
      <c r="M19" s="704"/>
      <c r="N19" s="704"/>
      <c r="O19" s="704"/>
      <c r="P19" s="704"/>
      <c r="Q19" s="704"/>
      <c r="R19" s="704"/>
      <c r="S19" s="704"/>
      <c r="T19" s="704"/>
      <c r="U19" s="704"/>
      <c r="V19" s="704"/>
      <c r="W19" s="1389">
        <v>59.22</v>
      </c>
      <c r="X19" s="704"/>
      <c r="Y19" s="1389">
        <v>80.463999999999999</v>
      </c>
      <c r="Z19" s="704"/>
      <c r="AA19" s="1389">
        <v>115.946</v>
      </c>
      <c r="AB19" s="704"/>
      <c r="AC19" s="1389">
        <v>153.59399999999999</v>
      </c>
      <c r="AD19" s="704"/>
      <c r="AE19" s="1389">
        <v>184.91</v>
      </c>
      <c r="AF19" s="704"/>
      <c r="AG19" s="1389">
        <v>214.178</v>
      </c>
      <c r="AH19" s="704"/>
      <c r="AI19" s="1389">
        <v>242.12299999999999</v>
      </c>
      <c r="AJ19" s="704"/>
      <c r="AK19" s="1389">
        <v>273.62099999999998</v>
      </c>
      <c r="AL19" s="704"/>
      <c r="AM19" s="1392">
        <v>306.02</v>
      </c>
      <c r="AN19" s="704"/>
      <c r="AO19" s="704"/>
      <c r="AP19" s="704"/>
      <c r="AQ19" s="704"/>
      <c r="AR19" s="704"/>
      <c r="AS19" s="704"/>
      <c r="AT19" s="704"/>
      <c r="AU19" s="704"/>
      <c r="AV19" s="704"/>
      <c r="AW19" s="704"/>
      <c r="AX19" s="704"/>
      <c r="AY19" s="704"/>
      <c r="AZ19" s="704"/>
      <c r="BA19" s="704"/>
      <c r="BB19" s="704"/>
      <c r="BC19" s="704"/>
      <c r="BD19" s="704"/>
      <c r="BE19" s="704"/>
      <c r="BF19" s="704"/>
      <c r="BG19" s="704"/>
      <c r="BH19" s="704"/>
      <c r="BI19" s="704"/>
      <c r="BJ19" s="704"/>
    </row>
    <row r="20" spans="1:62" hidden="1" outlineLevel="1">
      <c r="A20" s="704"/>
      <c r="B20" s="704" t="s">
        <v>171</v>
      </c>
      <c r="C20" s="704"/>
      <c r="D20" s="704"/>
      <c r="E20" s="704"/>
      <c r="F20" s="704"/>
      <c r="G20" s="704"/>
      <c r="H20" s="704"/>
      <c r="I20" s="1391"/>
      <c r="J20" s="704"/>
      <c r="K20" s="704"/>
      <c r="L20" s="704"/>
      <c r="M20" s="704"/>
      <c r="N20" s="704"/>
      <c r="O20" s="704"/>
      <c r="P20" s="704"/>
      <c r="Q20" s="704"/>
      <c r="R20" s="704"/>
      <c r="S20" s="704"/>
      <c r="T20" s="704"/>
      <c r="U20" s="704"/>
      <c r="V20" s="704"/>
      <c r="W20" s="1389">
        <v>171.53200000000001</v>
      </c>
      <c r="X20" s="704"/>
      <c r="Y20" s="1389">
        <v>215.654</v>
      </c>
      <c r="Z20" s="704"/>
      <c r="AA20" s="1389">
        <v>280.64</v>
      </c>
      <c r="AB20" s="704"/>
      <c r="AC20" s="1389">
        <v>370.435</v>
      </c>
      <c r="AD20" s="704"/>
      <c r="AE20" s="1389">
        <v>432.83100000000002</v>
      </c>
      <c r="AF20" s="704"/>
      <c r="AG20" s="1389">
        <v>486.959</v>
      </c>
      <c r="AH20" s="704"/>
      <c r="AI20" s="1389">
        <v>552.09500000000003</v>
      </c>
      <c r="AJ20" s="704"/>
      <c r="AK20" s="1389">
        <v>606.02</v>
      </c>
      <c r="AL20" s="704"/>
      <c r="AM20" s="1392">
        <v>676.64400000000001</v>
      </c>
      <c r="AN20" s="704"/>
      <c r="AO20" s="704"/>
      <c r="AP20" s="704"/>
      <c r="AQ20" s="704"/>
      <c r="AR20" s="704"/>
      <c r="AS20" s="704"/>
      <c r="AT20" s="704"/>
      <c r="AU20" s="704"/>
      <c r="AV20" s="704"/>
      <c r="AW20" s="704"/>
      <c r="AX20" s="704"/>
      <c r="AY20" s="704"/>
      <c r="AZ20" s="704"/>
      <c r="BA20" s="704"/>
      <c r="BB20" s="704"/>
      <c r="BC20" s="704"/>
      <c r="BD20" s="704"/>
      <c r="BE20" s="704"/>
      <c r="BF20" s="704"/>
      <c r="BG20" s="704"/>
      <c r="BH20" s="704"/>
      <c r="BI20" s="704"/>
      <c r="BJ20" s="704"/>
    </row>
    <row r="21" spans="1:62" hidden="1" outlineLevel="1">
      <c r="A21" s="704"/>
      <c r="B21" s="704" t="s">
        <v>172</v>
      </c>
      <c r="C21" s="704"/>
      <c r="D21" s="704"/>
      <c r="E21" s="704"/>
      <c r="F21" s="704"/>
      <c r="G21" s="704"/>
      <c r="H21" s="704"/>
      <c r="I21" s="1391"/>
      <c r="J21" s="704"/>
      <c r="K21" s="704"/>
      <c r="L21" s="704"/>
      <c r="M21" s="704"/>
      <c r="N21" s="704"/>
      <c r="O21" s="704"/>
      <c r="P21" s="704"/>
      <c r="Q21" s="704"/>
      <c r="R21" s="704"/>
      <c r="S21" s="704"/>
      <c r="T21" s="704"/>
      <c r="U21" s="704"/>
      <c r="V21" s="704"/>
      <c r="W21" s="1389">
        <v>12.638</v>
      </c>
      <c r="X21" s="704"/>
      <c r="Y21" s="1389">
        <v>17.896000000000001</v>
      </c>
      <c r="Z21" s="704"/>
      <c r="AA21" s="1389">
        <v>26.960999999999999</v>
      </c>
      <c r="AB21" s="704"/>
      <c r="AC21" s="1389">
        <v>27.175000000000001</v>
      </c>
      <c r="AD21" s="704"/>
      <c r="AE21" s="1389">
        <v>38.433</v>
      </c>
      <c r="AF21" s="704"/>
      <c r="AG21" s="1389">
        <v>48.021000000000001</v>
      </c>
      <c r="AH21" s="704"/>
      <c r="AI21" s="1389">
        <v>63.604999999999997</v>
      </c>
      <c r="AJ21" s="704"/>
      <c r="AK21" s="1389">
        <v>81.855999999999995</v>
      </c>
      <c r="AL21" s="704"/>
      <c r="AM21" s="1392">
        <v>103.818</v>
      </c>
      <c r="AN21" s="704"/>
      <c r="AO21" s="704"/>
      <c r="AP21" s="704"/>
      <c r="AQ21" s="704"/>
      <c r="AR21" s="704"/>
      <c r="AS21" s="704"/>
      <c r="AT21" s="704"/>
      <c r="AU21" s="704"/>
      <c r="AV21" s="704"/>
      <c r="AW21" s="704"/>
      <c r="AX21" s="704"/>
      <c r="AY21" s="704"/>
      <c r="AZ21" s="704"/>
      <c r="BA21" s="704"/>
      <c r="BB21" s="704"/>
      <c r="BC21" s="704"/>
      <c r="BD21" s="704"/>
      <c r="BE21" s="704"/>
      <c r="BF21" s="704"/>
      <c r="BG21" s="704"/>
      <c r="BH21" s="704"/>
      <c r="BI21" s="704"/>
      <c r="BJ21" s="704"/>
    </row>
    <row r="22" spans="1:62" hidden="1" outlineLevel="1">
      <c r="A22" s="704"/>
      <c r="B22" s="704" t="s">
        <v>173</v>
      </c>
      <c r="C22" s="704"/>
      <c r="D22" s="704"/>
      <c r="E22" s="704"/>
      <c r="F22" s="704"/>
      <c r="G22" s="704"/>
      <c r="H22" s="704"/>
      <c r="I22" s="1391"/>
      <c r="J22" s="704"/>
      <c r="K22" s="704"/>
      <c r="L22" s="704"/>
      <c r="M22" s="704"/>
      <c r="N22" s="704"/>
      <c r="O22" s="704"/>
      <c r="P22" s="704"/>
      <c r="Q22" s="704"/>
      <c r="R22" s="704"/>
      <c r="S22" s="704"/>
      <c r="T22" s="704"/>
      <c r="U22" s="704"/>
      <c r="V22" s="704"/>
      <c r="W22" s="1389">
        <v>3.4670000000000001</v>
      </c>
      <c r="X22" s="704"/>
      <c r="Y22" s="1389">
        <v>6.6769999999999996</v>
      </c>
      <c r="Z22" s="704"/>
      <c r="AA22" s="1389">
        <v>39.200000000000003</v>
      </c>
      <c r="AB22" s="704"/>
      <c r="AC22" s="1389">
        <v>15.903</v>
      </c>
      <c r="AD22" s="704"/>
      <c r="AE22" s="1389">
        <v>19.795999999999999</v>
      </c>
      <c r="AF22" s="704"/>
      <c r="AG22" s="1389">
        <v>15.458</v>
      </c>
      <c r="AH22" s="704"/>
      <c r="AI22" s="1389">
        <v>19.869</v>
      </c>
      <c r="AJ22" s="704"/>
      <c r="AK22" s="1389">
        <v>29.295000000000002</v>
      </c>
      <c r="AL22" s="704"/>
      <c r="AM22" s="1392">
        <v>91.433000000000007</v>
      </c>
      <c r="AN22" s="704"/>
      <c r="AO22" s="704"/>
      <c r="AP22" s="704"/>
      <c r="AQ22" s="704"/>
      <c r="AR22" s="704"/>
      <c r="AS22" s="704"/>
      <c r="AT22" s="704"/>
      <c r="AU22" s="704"/>
      <c r="AV22" s="704"/>
      <c r="AW22" s="704"/>
      <c r="AX22" s="704"/>
      <c r="AY22" s="704"/>
      <c r="AZ22" s="704"/>
      <c r="BA22" s="704"/>
      <c r="BB22" s="704"/>
      <c r="BC22" s="704"/>
      <c r="BD22" s="704"/>
      <c r="BE22" s="704"/>
      <c r="BF22" s="704"/>
      <c r="BG22" s="704"/>
      <c r="BH22" s="704"/>
      <c r="BI22" s="704"/>
      <c r="BJ22" s="704"/>
    </row>
    <row r="23" spans="1:62" ht="13.5" hidden="1" customHeight="1" outlineLevel="1">
      <c r="A23" s="1393"/>
      <c r="B23" s="704" t="s">
        <v>281</v>
      </c>
      <c r="C23" s="704"/>
      <c r="D23" s="1393"/>
      <c r="E23" s="1393"/>
      <c r="F23" s="1393"/>
      <c r="G23" s="1393"/>
      <c r="H23" s="1393"/>
      <c r="I23" s="1394"/>
      <c r="J23" s="1393"/>
      <c r="K23" s="1393"/>
      <c r="L23" s="1393"/>
      <c r="M23" s="1382"/>
      <c r="N23" s="1382"/>
      <c r="O23" s="1395">
        <v>103.51</v>
      </c>
      <c r="P23" s="1395"/>
      <c r="Q23" s="1395">
        <v>140.387</v>
      </c>
      <c r="R23" s="1395"/>
      <c r="S23" s="1395">
        <v>163.357</v>
      </c>
      <c r="T23" s="1395"/>
      <c r="U23" s="1395">
        <v>184.78200000000001</v>
      </c>
      <c r="V23" s="1395"/>
      <c r="W23" s="1396">
        <f>+SUM(W17:W22)</f>
        <v>251.73100000000002</v>
      </c>
      <c r="X23" s="1395"/>
      <c r="Y23" s="1396">
        <f>+SUM(Y17:Y22)</f>
        <v>327.66500000000002</v>
      </c>
      <c r="Z23" s="1395"/>
      <c r="AA23" s="1396">
        <f>+SUM(AA17:AA22)</f>
        <v>467.62099999999998</v>
      </c>
      <c r="AB23" s="1395"/>
      <c r="AC23" s="1396">
        <f>+SUM(AC17:AC22)</f>
        <v>660.02599999999995</v>
      </c>
      <c r="AD23" s="1395"/>
      <c r="AE23" s="1396">
        <f>+SUM(AE17:AE22)</f>
        <v>771.06000000000006</v>
      </c>
      <c r="AF23" s="1395"/>
      <c r="AG23" s="1396">
        <f>+SUM(AG17:AG22)</f>
        <v>861.36399999999992</v>
      </c>
      <c r="AH23" s="1395"/>
      <c r="AI23" s="1396">
        <f>+SUM(AI17:AI22)</f>
        <v>976.69600000000003</v>
      </c>
      <c r="AJ23" s="1395"/>
      <c r="AK23" s="1396">
        <f>+SUM(AK17:AK22)</f>
        <v>1111.1610000000001</v>
      </c>
      <c r="AL23" s="1395"/>
      <c r="AM23" s="1396">
        <f>+SUM(AM17:AM22)</f>
        <v>1301.7659999999998</v>
      </c>
      <c r="AN23" s="1395"/>
      <c r="AO23" s="1396">
        <f>AO25-AO24</f>
        <v>1246.8072000000002</v>
      </c>
      <c r="AP23" s="1395"/>
      <c r="AQ23" s="1396">
        <f>AQ25-AQ24</f>
        <v>1371.7453</v>
      </c>
      <c r="AR23" s="1395"/>
      <c r="AS23" s="1396">
        <f>AS25-AS24</f>
        <v>1511.6943999999999</v>
      </c>
      <c r="AT23" s="1396"/>
      <c r="AU23" s="1396">
        <f>AU25-AU24</f>
        <v>1467.3328999999999</v>
      </c>
      <c r="AV23" s="1396"/>
      <c r="AW23" s="1396">
        <f>AW25-AW24</f>
        <v>1475.2361999999998</v>
      </c>
      <c r="AX23" s="1396"/>
      <c r="AY23" s="1396">
        <f>AY25-AY24</f>
        <v>1383.4056</v>
      </c>
      <c r="AZ23" s="1396"/>
      <c r="BA23" s="1396">
        <f>BA25-BA24</f>
        <v>1344.3226</v>
      </c>
      <c r="BB23" s="1396"/>
      <c r="BC23" s="1396">
        <f>BC25-BC24</f>
        <v>1251.4346</v>
      </c>
      <c r="BD23" s="1396"/>
      <c r="BE23" s="1396">
        <f>BE25-BE24</f>
        <v>1154.0586000000001</v>
      </c>
      <c r="BF23" s="1396"/>
      <c r="BG23" s="1396">
        <f>BG25-BG24</f>
        <v>1053.3166000000001</v>
      </c>
      <c r="BH23" s="1396"/>
      <c r="BI23" s="1396">
        <f>BI25-BI24</f>
        <v>950.3306</v>
      </c>
      <c r="BJ23" s="1396"/>
    </row>
    <row r="24" spans="1:62" ht="13.5" hidden="1" customHeight="1" outlineLevel="1">
      <c r="A24" s="1393"/>
      <c r="B24" s="704" t="s">
        <v>282</v>
      </c>
      <c r="C24" s="704"/>
      <c r="D24" s="1393"/>
      <c r="E24" s="1393"/>
      <c r="F24" s="1393"/>
      <c r="G24" s="1393"/>
      <c r="H24" s="1393"/>
      <c r="I24" s="1394"/>
      <c r="J24" s="1393"/>
      <c r="K24" s="1393"/>
      <c r="L24" s="1393"/>
      <c r="M24" s="1397"/>
      <c r="N24" s="1397"/>
      <c r="O24" s="1398">
        <v>-30.690999999999999</v>
      </c>
      <c r="P24" s="1397"/>
      <c r="Q24" s="1398">
        <v>-42.485999999999997</v>
      </c>
      <c r="R24" s="1398"/>
      <c r="S24" s="1398">
        <v>-57.851999999999997</v>
      </c>
      <c r="T24" s="1398"/>
      <c r="U24" s="1398">
        <f>U25-U23</f>
        <v>-50.935000000000031</v>
      </c>
      <c r="V24" s="1398"/>
      <c r="W24" s="1398">
        <v>-104.905</v>
      </c>
      <c r="X24" s="1398"/>
      <c r="Y24" s="1398">
        <v>-134.87299999999999</v>
      </c>
      <c r="Z24" s="1398"/>
      <c r="AA24" s="1398">
        <v>-168.33</v>
      </c>
      <c r="AB24" s="1398"/>
      <c r="AC24" s="1398">
        <v>-214.328</v>
      </c>
      <c r="AD24" s="1398"/>
      <c r="AE24" s="1398">
        <v>-282.17099999999999</v>
      </c>
      <c r="AF24" s="1398"/>
      <c r="AG24" s="1398">
        <v>-355.95699999999999</v>
      </c>
      <c r="AH24" s="1398"/>
      <c r="AI24" s="1398">
        <v>-436.73500000000001</v>
      </c>
      <c r="AJ24" s="1398"/>
      <c r="AK24" s="1398">
        <v>-524.81500000000005</v>
      </c>
      <c r="AL24" s="1398"/>
      <c r="AM24" s="1398">
        <v>-616.78700000000003</v>
      </c>
      <c r="AN24" s="1398"/>
      <c r="AO24" s="1399">
        <f>-AO25*0.7</f>
        <v>-513.39120000000003</v>
      </c>
      <c r="AP24" s="1398"/>
      <c r="AQ24" s="1399">
        <f>-AQ25*0.7</f>
        <v>-564.83629999999994</v>
      </c>
      <c r="AR24" s="1398"/>
      <c r="AS24" s="1399">
        <f>-AS25*0.7</f>
        <v>-622.46239999999989</v>
      </c>
      <c r="AT24" s="1400"/>
      <c r="AU24" s="1399">
        <f>-AU25*0.7</f>
        <v>-604.19589999999994</v>
      </c>
      <c r="AV24" s="1400"/>
      <c r="AW24" s="1399">
        <f>-AW25*0.7</f>
        <v>-607.45019999999988</v>
      </c>
      <c r="AX24" s="1400"/>
      <c r="AY24" s="1399">
        <f>-AY25*0.7</f>
        <v>-569.63760000000002</v>
      </c>
      <c r="AZ24" s="1400"/>
      <c r="BA24" s="1399">
        <f>-BA25*0.7</f>
        <v>-553.54459999999995</v>
      </c>
      <c r="BB24" s="1400"/>
      <c r="BC24" s="1399">
        <f>-BC25*0.7</f>
        <v>-515.29660000000001</v>
      </c>
      <c r="BD24" s="1400"/>
      <c r="BE24" s="1399">
        <f>-BE25*0.7</f>
        <v>-475.20060000000001</v>
      </c>
      <c r="BF24" s="1400"/>
      <c r="BG24" s="1399">
        <f>-BG25*0.7</f>
        <v>-433.71860000000004</v>
      </c>
      <c r="BH24" s="1400"/>
      <c r="BI24" s="1399">
        <f>-BI25*0.7</f>
        <v>-391.31259999999997</v>
      </c>
      <c r="BJ24" s="1400"/>
    </row>
    <row r="25" spans="1:62" collapsed="1">
      <c r="A25" s="704"/>
      <c r="B25" s="704" t="s">
        <v>266</v>
      </c>
      <c r="C25" s="704"/>
      <c r="D25" s="704"/>
      <c r="E25" s="1384">
        <v>13.385999999999999</v>
      </c>
      <c r="F25" s="1401"/>
      <c r="G25" s="1384">
        <v>16.690000000000001</v>
      </c>
      <c r="H25" s="1401"/>
      <c r="I25" s="1384">
        <v>25.209</v>
      </c>
      <c r="J25" s="1401"/>
      <c r="K25" s="1384">
        <v>26.893000000000001</v>
      </c>
      <c r="L25" s="1401"/>
      <c r="M25" s="1384">
        <v>43.066000000000003</v>
      </c>
      <c r="N25" s="1401"/>
      <c r="O25" s="1384">
        <v>72.819000000000003</v>
      </c>
      <c r="P25" s="1401"/>
      <c r="Q25" s="1384">
        <v>97.900999999999996</v>
      </c>
      <c r="R25" s="1401"/>
      <c r="S25" s="1384">
        <v>105.505</v>
      </c>
      <c r="T25" s="1401"/>
      <c r="U25" s="1385">
        <f>108.847+25</f>
        <v>133.84699999999998</v>
      </c>
      <c r="V25" s="1386"/>
      <c r="W25" s="915">
        <f>+W23+W24</f>
        <v>146.82600000000002</v>
      </c>
      <c r="X25" s="1401"/>
      <c r="Y25" s="915">
        <f>+Y23+Y24</f>
        <v>192.79200000000003</v>
      </c>
      <c r="Z25" s="1401"/>
      <c r="AA25" s="915">
        <f>+AA23+AA24</f>
        <v>299.29099999999994</v>
      </c>
      <c r="AB25" s="1401"/>
      <c r="AC25" s="915">
        <f>+AC23+AC24</f>
        <v>445.69799999999998</v>
      </c>
      <c r="AD25" s="1401"/>
      <c r="AE25" s="915">
        <f>+AE23+AE24</f>
        <v>488.88900000000007</v>
      </c>
      <c r="AF25" s="1401"/>
      <c r="AG25" s="915">
        <f>+AG23+AG24</f>
        <v>505.40699999999993</v>
      </c>
      <c r="AH25" s="1401"/>
      <c r="AI25" s="915">
        <f>+AI23+AI24</f>
        <v>539.96100000000001</v>
      </c>
      <c r="AJ25" s="1401"/>
      <c r="AK25" s="915">
        <f>+AK23+AK24</f>
        <v>586.346</v>
      </c>
      <c r="AL25" s="1401"/>
      <c r="AM25" s="915">
        <f>+AM23+AM24</f>
        <v>684.97899999999981</v>
      </c>
      <c r="AN25" s="1401"/>
      <c r="AO25" s="1384">
        <v>733.41600000000005</v>
      </c>
      <c r="AP25" s="1401"/>
      <c r="AQ25" s="1384">
        <v>806.90899999999999</v>
      </c>
      <c r="AR25" s="1401"/>
      <c r="AS25" s="1384">
        <v>889.23199999999997</v>
      </c>
      <c r="AT25" s="915"/>
      <c r="AU25" s="1384">
        <v>863.13699999999994</v>
      </c>
      <c r="AV25" s="915"/>
      <c r="AW25" s="1384">
        <v>867.78599999999994</v>
      </c>
      <c r="AX25" s="915"/>
      <c r="AY25" s="1384">
        <v>813.76800000000003</v>
      </c>
      <c r="AZ25" s="915"/>
      <c r="BA25" s="915">
        <f>+AY25+flow!AX20-flow!AX11</f>
        <v>790.77800000000002</v>
      </c>
      <c r="BB25" s="915"/>
      <c r="BC25" s="915">
        <f>+BA25+flow!AZ20-flow!AZ11</f>
        <v>736.13800000000003</v>
      </c>
      <c r="BD25" s="915"/>
      <c r="BE25" s="915">
        <f>+BC25+flow!BB20-flow!BB11</f>
        <v>678.85800000000006</v>
      </c>
      <c r="BF25" s="915"/>
      <c r="BG25" s="915">
        <f>+BE25+flow!BD20-flow!BD11</f>
        <v>619.59800000000007</v>
      </c>
      <c r="BH25" s="915"/>
      <c r="BI25" s="915">
        <f>+BG25+flow!BF20-flow!BF11</f>
        <v>559.01800000000003</v>
      </c>
      <c r="BJ25" s="915"/>
    </row>
    <row r="26" spans="1:62">
      <c r="A26" s="704"/>
      <c r="B26" s="704" t="s">
        <v>502</v>
      </c>
      <c r="C26" s="704"/>
      <c r="D26" s="704"/>
      <c r="E26" s="1384">
        <v>6.641</v>
      </c>
      <c r="F26" s="1401"/>
      <c r="G26" s="1384">
        <v>6.2469999999999999</v>
      </c>
      <c r="H26" s="1401"/>
      <c r="I26" s="1384">
        <v>12.047000000000001</v>
      </c>
      <c r="J26" s="1401"/>
      <c r="K26" s="1384">
        <v>11.993</v>
      </c>
      <c r="L26" s="1401"/>
      <c r="M26" s="1384">
        <v>12.218</v>
      </c>
      <c r="N26" s="1401"/>
      <c r="O26" s="1384">
        <v>8.6460000000000008</v>
      </c>
      <c r="P26" s="1401"/>
      <c r="Q26" s="1384">
        <v>0</v>
      </c>
      <c r="R26" s="1401"/>
      <c r="S26" s="1384">
        <v>0</v>
      </c>
      <c r="T26" s="1401"/>
      <c r="U26" s="1384">
        <v>15.64</v>
      </c>
      <c r="V26" s="1401"/>
      <c r="W26" s="1384">
        <v>52.314999999999998</v>
      </c>
      <c r="X26" s="1401"/>
      <c r="Y26" s="1384">
        <v>63.457000000000001</v>
      </c>
      <c r="Z26" s="1401"/>
      <c r="AA26" s="1384">
        <v>64.748000000000005</v>
      </c>
      <c r="AB26" s="1401"/>
      <c r="AC26" s="1384">
        <v>62.322000000000003</v>
      </c>
      <c r="AD26" s="1401"/>
      <c r="AE26" s="1384">
        <v>188.25200000000001</v>
      </c>
      <c r="AF26" s="1401"/>
      <c r="AG26" s="1384">
        <v>155.226</v>
      </c>
      <c r="AH26" s="1401"/>
      <c r="AI26" s="1384">
        <v>243.44499999999999</v>
      </c>
      <c r="AJ26" s="1401"/>
      <c r="AK26" s="1384">
        <v>351.988</v>
      </c>
      <c r="AL26" s="1401"/>
      <c r="AM26" s="1384">
        <v>126.913</v>
      </c>
      <c r="AN26" s="1401"/>
      <c r="AO26" s="1384">
        <v>149.58500000000001</v>
      </c>
      <c r="AP26" s="1401"/>
      <c r="AQ26" s="1384">
        <v>366.42200000000003</v>
      </c>
      <c r="AR26" s="1401"/>
      <c r="AS26" s="1384">
        <v>104.44799999999999</v>
      </c>
      <c r="AT26" s="915"/>
      <c r="AU26" s="1384">
        <v>36.6</v>
      </c>
      <c r="AV26" s="915"/>
      <c r="AW26" s="1384">
        <v>44.287999999999997</v>
      </c>
      <c r="AX26" s="915"/>
      <c r="AY26" s="1384">
        <v>58.688000000000002</v>
      </c>
      <c r="AZ26" s="915"/>
      <c r="BA26" s="915">
        <f>+AY26+flow!AX40</f>
        <v>58.688000000000002</v>
      </c>
      <c r="BB26" s="915"/>
      <c r="BC26" s="915">
        <f>+BA26+flow!AZ40</f>
        <v>58.688000000000002</v>
      </c>
      <c r="BD26" s="915"/>
      <c r="BE26" s="915">
        <f>+BC26+flow!BB40</f>
        <v>58.688000000000002</v>
      </c>
      <c r="BF26" s="915"/>
      <c r="BG26" s="915">
        <f>+BE26+flow!BD40</f>
        <v>58.688000000000002</v>
      </c>
      <c r="BH26" s="915"/>
      <c r="BI26" s="915">
        <f>+BG26+flow!BF40</f>
        <v>58.688000000000002</v>
      </c>
      <c r="BJ26" s="915"/>
    </row>
    <row r="27" spans="1:62">
      <c r="A27" s="704"/>
      <c r="B27" s="704" t="s">
        <v>505</v>
      </c>
      <c r="C27" s="704"/>
      <c r="D27" s="704"/>
      <c r="E27" s="1384">
        <v>1.1359999999999999</v>
      </c>
      <c r="F27" s="1401"/>
      <c r="G27" s="1384">
        <v>1.621</v>
      </c>
      <c r="H27" s="1401"/>
      <c r="I27" s="1384">
        <v>1.5549999999999999</v>
      </c>
      <c r="J27" s="1401"/>
      <c r="K27" s="1384">
        <v>2.7450000000000001</v>
      </c>
      <c r="L27" s="1401"/>
      <c r="M27" s="1384">
        <v>6.524</v>
      </c>
      <c r="N27" s="1401"/>
      <c r="O27" s="1384">
        <v>5.9580000000000002</v>
      </c>
      <c r="P27" s="1401"/>
      <c r="Q27" s="1384">
        <v>5.8419999999999996</v>
      </c>
      <c r="R27" s="1401"/>
      <c r="S27" s="1384">
        <v>7.4480000000000004</v>
      </c>
      <c r="T27" s="1401"/>
      <c r="U27" s="1384">
        <v>8.9250000000000007</v>
      </c>
      <c r="V27" s="1401"/>
      <c r="W27" s="1384">
        <v>9.5259999999999998</v>
      </c>
      <c r="X27" s="1401"/>
      <c r="Y27" s="1384">
        <v>12.567</v>
      </c>
      <c r="Z27" s="1401"/>
      <c r="AA27" s="1384">
        <v>19.983000000000001</v>
      </c>
      <c r="AB27" s="1401"/>
      <c r="AC27" s="1384">
        <v>24.826000000000001</v>
      </c>
      <c r="AD27" s="1401"/>
      <c r="AE27" s="1384">
        <v>32.04</v>
      </c>
      <c r="AF27" s="1401"/>
      <c r="AG27" s="1384">
        <v>43.973999999999997</v>
      </c>
      <c r="AH27" s="1401"/>
      <c r="AI27" s="1384">
        <v>46.473999999999997</v>
      </c>
      <c r="AJ27" s="1401"/>
      <c r="AK27" s="1384">
        <v>52.01</v>
      </c>
      <c r="AL27" s="1401"/>
      <c r="AM27" s="1384">
        <v>74.823999999999998</v>
      </c>
      <c r="AN27" s="1401"/>
      <c r="AO27" s="1384">
        <v>41.926000000000002</v>
      </c>
      <c r="AP27" s="1401"/>
      <c r="AQ27" s="1384">
        <v>52.902999999999999</v>
      </c>
      <c r="AR27" s="1401"/>
      <c r="AS27" s="1384">
        <v>85.944000000000003</v>
      </c>
      <c r="AT27" s="1384"/>
      <c r="AU27" s="1384">
        <v>99.203000000000003</v>
      </c>
      <c r="AV27" s="1384"/>
      <c r="AW27" s="1384">
        <v>109.166</v>
      </c>
      <c r="AX27" s="1384"/>
      <c r="AY27" s="1384">
        <v>101.56699999999999</v>
      </c>
      <c r="AZ27" s="1384"/>
      <c r="BA27" s="1384">
        <f>AY27</f>
        <v>101.56699999999999</v>
      </c>
      <c r="BB27" s="1384"/>
      <c r="BC27" s="1384">
        <f>BA27</f>
        <v>101.56699999999999</v>
      </c>
      <c r="BD27" s="1384"/>
      <c r="BE27" s="1384">
        <f>BC27</f>
        <v>101.56699999999999</v>
      </c>
      <c r="BF27" s="1384"/>
      <c r="BG27" s="1384">
        <f>BE27</f>
        <v>101.56699999999999</v>
      </c>
      <c r="BH27" s="1384"/>
      <c r="BI27" s="1384">
        <f>BG27</f>
        <v>101.56699999999999</v>
      </c>
      <c r="BJ27" s="1384"/>
    </row>
    <row r="28" spans="1:62">
      <c r="A28" s="704"/>
      <c r="B28" s="704"/>
      <c r="C28" s="704"/>
      <c r="D28" s="704"/>
      <c r="E28" s="704"/>
      <c r="F28" s="704"/>
      <c r="G28" s="704"/>
      <c r="H28" s="704"/>
      <c r="I28" s="704"/>
      <c r="J28" s="704"/>
      <c r="K28" s="704"/>
      <c r="L28" s="704"/>
      <c r="M28" s="704"/>
      <c r="N28" s="704"/>
      <c r="O28" s="704"/>
      <c r="P28" s="704"/>
      <c r="Q28" s="704"/>
      <c r="R28" s="704"/>
      <c r="S28" s="704"/>
      <c r="T28" s="704"/>
      <c r="U28" s="704"/>
      <c r="V28" s="704"/>
      <c r="W28" s="704"/>
      <c r="X28" s="704"/>
      <c r="Y28" s="704"/>
      <c r="Z28" s="704"/>
      <c r="AA28" s="704"/>
      <c r="AB28" s="704"/>
      <c r="AC28" s="704"/>
      <c r="AD28" s="704"/>
      <c r="AE28" s="704"/>
      <c r="AF28" s="704"/>
      <c r="AG28" s="704"/>
      <c r="AH28" s="704"/>
      <c r="AI28" s="704"/>
      <c r="AJ28" s="704"/>
      <c r="AK28" s="704"/>
      <c r="AL28" s="704"/>
      <c r="AM28" s="704"/>
      <c r="AN28" s="704"/>
      <c r="AO28" s="704"/>
      <c r="AP28" s="704"/>
      <c r="AQ28" s="704"/>
      <c r="AR28" s="704"/>
      <c r="AS28" s="704"/>
      <c r="AT28" s="704"/>
      <c r="AU28" s="704"/>
      <c r="AV28" s="704"/>
      <c r="AW28" s="704"/>
      <c r="AX28" s="704"/>
      <c r="AY28" s="704"/>
      <c r="AZ28" s="704"/>
      <c r="BA28" s="704"/>
      <c r="BB28" s="704"/>
      <c r="BC28" s="704"/>
      <c r="BD28" s="704"/>
      <c r="BE28" s="704"/>
      <c r="BF28" s="704"/>
      <c r="BG28" s="704"/>
      <c r="BH28" s="704"/>
      <c r="BI28" s="704"/>
      <c r="BJ28" s="704"/>
    </row>
    <row r="29" spans="1:62">
      <c r="A29" s="704" t="s">
        <v>223</v>
      </c>
      <c r="B29" s="704"/>
      <c r="C29" s="704"/>
      <c r="D29" s="704"/>
      <c r="E29" s="1402">
        <f>+E25+E26+E27+E15</f>
        <v>56.766000000000005</v>
      </c>
      <c r="F29" s="1390"/>
      <c r="G29" s="1402">
        <f>+G25+G26+G27+G15</f>
        <v>71.117000000000004</v>
      </c>
      <c r="H29" s="1390"/>
      <c r="I29" s="1402">
        <f>+I25+I26+I27+I15</f>
        <v>89.674999999999997</v>
      </c>
      <c r="J29" s="1390"/>
      <c r="K29" s="1402">
        <f>+K25+K26+K27+K15</f>
        <v>107.42399999999999</v>
      </c>
      <c r="L29" s="1390"/>
      <c r="M29" s="1402">
        <f>+M25+M26+M27+M15</f>
        <v>133.363</v>
      </c>
      <c r="N29" s="1390"/>
      <c r="O29" s="1402">
        <f>+O25+O26+O27+O15</f>
        <v>153.50099999999998</v>
      </c>
      <c r="P29" s="1390"/>
      <c r="Q29" s="1402">
        <f>+Q25+Q26+Q27+Q15</f>
        <v>168.71600000000001</v>
      </c>
      <c r="R29" s="1390"/>
      <c r="S29" s="1402">
        <f>+S25+S26+S27+S15</f>
        <v>195.102</v>
      </c>
      <c r="T29" s="1390"/>
      <c r="U29" s="1402">
        <f>+U25+U26+U27+U15</f>
        <v>302.99599999999998</v>
      </c>
      <c r="V29" s="1390"/>
      <c r="W29" s="1402">
        <f>+W25+W26+W27+W15</f>
        <v>384.50200000000001</v>
      </c>
      <c r="X29" s="1390"/>
      <c r="Y29" s="1402">
        <f>+Y25+Y26+Y27+Y15</f>
        <v>556.68399999999997</v>
      </c>
      <c r="Z29" s="1390"/>
      <c r="AA29" s="1402">
        <f>+AA25+AA26+AA27+AA15</f>
        <v>769.20499999999981</v>
      </c>
      <c r="AB29" s="1390"/>
      <c r="AC29" s="1402">
        <f>+AC25+AC26+AC27+AC15</f>
        <v>899.25100000000009</v>
      </c>
      <c r="AD29" s="1390"/>
      <c r="AE29" s="1402">
        <f>+AE25+AE26+AE27+AE15</f>
        <v>1142.7910000000002</v>
      </c>
      <c r="AF29" s="1390"/>
      <c r="AG29" s="1402">
        <f>+AG25+AG26+AG27+AG15</f>
        <v>1329.0089999999998</v>
      </c>
      <c r="AH29" s="1390"/>
      <c r="AI29" s="1402">
        <f>+AI25+AI26+AI27+AI15</f>
        <v>1636.0929999999998</v>
      </c>
      <c r="AJ29" s="1390"/>
      <c r="AK29" s="1402">
        <f>+AK25+AK26+AK27+AK15</f>
        <v>1794.3209999999997</v>
      </c>
      <c r="AL29" s="1390"/>
      <c r="AM29" s="1402">
        <f>+AM25+AM26+AM27+AM15</f>
        <v>1483.7080000000001</v>
      </c>
      <c r="AN29" s="1390"/>
      <c r="AO29" s="1402">
        <f>+AO25+AO26+AO27+AO15</f>
        <v>1797.2110000000007</v>
      </c>
      <c r="AP29" s="1390"/>
      <c r="AQ29" s="1402">
        <f>+AQ25+AQ26+AQ27+AQ15</f>
        <v>2221.2144600000006</v>
      </c>
      <c r="AR29" s="1390"/>
      <c r="AS29" s="1402">
        <f>+AS25+AS26+AS27+AS15</f>
        <v>1888.7769600000006</v>
      </c>
      <c r="AT29" s="1403"/>
      <c r="AU29" s="1402">
        <f>+AU25+AU26+AU27+AU15</f>
        <v>1833.3369600000005</v>
      </c>
      <c r="AV29" s="1403"/>
      <c r="AW29" s="1402">
        <f>+AW25+AW26+AW27+AW15</f>
        <v>1902.6729600000001</v>
      </c>
      <c r="AX29" s="1403"/>
      <c r="AY29" s="1402">
        <f>+AY25+AY26+AY27+AY15</f>
        <v>2118.9129600000001</v>
      </c>
      <c r="AZ29" s="1403"/>
      <c r="BA29" s="1402">
        <f>+BA25+BA26+BA27+BA15</f>
        <v>2288.2049551558457</v>
      </c>
      <c r="BB29" s="1403"/>
      <c r="BC29" s="1402">
        <f>+BC25+BC26+BC27+BC15</f>
        <v>2452.0913961211354</v>
      </c>
      <c r="BD29" s="1403"/>
      <c r="BE29" s="1402">
        <f>+BE25+BE26+BE27+BE15</f>
        <v>2619.6567153274927</v>
      </c>
      <c r="BF29" s="1403"/>
      <c r="BG29" s="1402">
        <f>+BG25+BG26+BG27+BG15</f>
        <v>2791.6274031158391</v>
      </c>
      <c r="BH29" s="1403"/>
      <c r="BI29" s="1402">
        <f>+BI25+BI26+BI27+BI15</f>
        <v>2966.6199931804254</v>
      </c>
      <c r="BJ29" s="1403"/>
    </row>
    <row r="30" spans="1:62">
      <c r="A30" s="704"/>
      <c r="B30" s="704"/>
      <c r="C30" s="704"/>
      <c r="D30" s="704"/>
      <c r="E30" s="704"/>
      <c r="F30" s="704"/>
      <c r="G30" s="704"/>
      <c r="H30" s="704"/>
      <c r="I30" s="704"/>
      <c r="J30" s="704"/>
      <c r="K30" s="704"/>
      <c r="L30" s="704"/>
      <c r="M30" s="704"/>
      <c r="N30" s="704"/>
      <c r="O30" s="704"/>
      <c r="P30" s="704"/>
      <c r="Q30" s="704"/>
      <c r="R30" s="704"/>
      <c r="S30" s="704"/>
      <c r="T30" s="704"/>
      <c r="U30" s="704"/>
      <c r="V30" s="704"/>
      <c r="W30" s="704"/>
      <c r="X30" s="704"/>
      <c r="Y30" s="704"/>
      <c r="Z30" s="704"/>
      <c r="AA30" s="704"/>
      <c r="AB30" s="704"/>
      <c r="AC30" s="704"/>
      <c r="AD30" s="704"/>
      <c r="AE30" s="704"/>
      <c r="AF30" s="704"/>
      <c r="AG30" s="704"/>
      <c r="AH30" s="704"/>
      <c r="AI30" s="704"/>
      <c r="AJ30" s="704"/>
      <c r="AK30" s="704"/>
      <c r="AL30" s="704"/>
      <c r="AM30" s="704"/>
      <c r="AN30" s="704"/>
      <c r="AO30" s="704"/>
      <c r="AP30" s="704"/>
      <c r="AQ30" s="704"/>
      <c r="AR30" s="704"/>
      <c r="AS30" s="704"/>
      <c r="AT30" s="704"/>
      <c r="AU30" s="704"/>
      <c r="AV30" s="704"/>
      <c r="AW30" s="704"/>
      <c r="AX30" s="704"/>
      <c r="AY30" s="704"/>
      <c r="AZ30" s="704"/>
      <c r="BA30" s="704"/>
      <c r="BB30" s="704"/>
      <c r="BC30" s="704"/>
      <c r="BD30" s="704"/>
      <c r="BE30" s="704"/>
      <c r="BF30" s="704"/>
      <c r="BG30" s="704"/>
      <c r="BH30" s="704"/>
      <c r="BI30" s="704"/>
      <c r="BJ30" s="704"/>
    </row>
    <row r="31" spans="1:62">
      <c r="A31" s="1379" t="s">
        <v>267</v>
      </c>
      <c r="B31" s="704"/>
      <c r="C31" s="704"/>
      <c r="D31" s="704"/>
      <c r="E31" s="704"/>
      <c r="F31" s="704"/>
      <c r="G31" s="704"/>
      <c r="H31" s="704"/>
      <c r="I31" s="704"/>
      <c r="J31" s="704"/>
      <c r="K31" s="704"/>
      <c r="L31" s="704"/>
      <c r="M31" s="704"/>
      <c r="N31" s="704"/>
      <c r="O31" s="704"/>
      <c r="P31" s="704"/>
      <c r="Q31" s="915"/>
      <c r="R31" s="704"/>
      <c r="S31" s="915"/>
      <c r="T31" s="704"/>
      <c r="U31" s="704"/>
      <c r="V31" s="704"/>
      <c r="W31" s="704"/>
      <c r="X31" s="704"/>
      <c r="Y31" s="704"/>
      <c r="Z31" s="704"/>
      <c r="AA31" s="704"/>
      <c r="AB31" s="704"/>
      <c r="AC31" s="704"/>
      <c r="AD31" s="704"/>
      <c r="AE31" s="704"/>
      <c r="AF31" s="704"/>
      <c r="AG31" s="704"/>
      <c r="AH31" s="704"/>
      <c r="AI31" s="704"/>
      <c r="AJ31" s="704"/>
      <c r="AK31" s="704"/>
      <c r="AL31" s="704"/>
      <c r="AM31" s="704"/>
      <c r="AN31" s="704"/>
      <c r="AO31" s="704"/>
      <c r="AP31" s="704"/>
      <c r="AQ31" s="704"/>
      <c r="AR31" s="704"/>
      <c r="AS31" s="704"/>
      <c r="AT31" s="704"/>
      <c r="AU31" s="704"/>
      <c r="AV31" s="704"/>
      <c r="AW31" s="704"/>
      <c r="AX31" s="704"/>
      <c r="AY31" s="704"/>
      <c r="AZ31" s="704"/>
      <c r="BA31" s="704"/>
      <c r="BB31" s="704"/>
      <c r="BC31" s="704"/>
      <c r="BD31" s="704"/>
      <c r="BE31" s="704"/>
      <c r="BF31" s="704"/>
      <c r="BG31" s="704"/>
      <c r="BH31" s="704"/>
      <c r="BI31" s="704"/>
      <c r="BJ31" s="704"/>
    </row>
    <row r="32" spans="1:62">
      <c r="A32" s="704"/>
      <c r="B32" s="704"/>
      <c r="C32" s="704"/>
      <c r="D32" s="704"/>
      <c r="E32" s="704"/>
      <c r="F32" s="704"/>
      <c r="G32" s="704"/>
      <c r="H32" s="704"/>
      <c r="I32" s="704"/>
      <c r="J32" s="704"/>
      <c r="K32" s="704"/>
      <c r="L32" s="704"/>
      <c r="M32" s="704"/>
      <c r="N32" s="704"/>
      <c r="O32" s="704"/>
      <c r="P32" s="704"/>
      <c r="Q32" s="704"/>
      <c r="R32" s="704"/>
      <c r="S32" s="915"/>
      <c r="T32" s="704"/>
      <c r="U32" s="704"/>
      <c r="V32" s="704"/>
      <c r="W32" s="704"/>
      <c r="X32" s="704"/>
      <c r="Y32" s="704"/>
      <c r="Z32" s="704"/>
      <c r="AA32" s="704"/>
      <c r="AB32" s="704"/>
      <c r="AC32" s="704"/>
      <c r="AD32" s="704"/>
      <c r="AE32" s="704"/>
      <c r="AF32" s="704"/>
      <c r="AG32" s="704"/>
      <c r="AH32" s="704"/>
      <c r="AI32" s="704"/>
      <c r="AJ32" s="704"/>
      <c r="AK32" s="704"/>
      <c r="AL32" s="704"/>
      <c r="AM32" s="704"/>
      <c r="AN32" s="704"/>
      <c r="AO32" s="704"/>
      <c r="AP32" s="704"/>
      <c r="AQ32" s="704"/>
      <c r="AR32" s="704"/>
      <c r="AS32" s="704"/>
      <c r="AT32" s="704"/>
      <c r="AU32" s="704"/>
      <c r="AV32" s="704"/>
      <c r="AW32" s="704"/>
      <c r="AX32" s="704"/>
      <c r="AY32" s="704"/>
      <c r="AZ32" s="704"/>
      <c r="BA32" s="704"/>
      <c r="BB32" s="704"/>
      <c r="BC32" s="704"/>
      <c r="BD32" s="704"/>
      <c r="BE32" s="704"/>
      <c r="BF32" s="704"/>
      <c r="BG32" s="704"/>
      <c r="BH32" s="704"/>
      <c r="BI32" s="704"/>
      <c r="BJ32" s="704"/>
    </row>
    <row r="33" spans="1:62">
      <c r="A33" s="1379" t="s">
        <v>268</v>
      </c>
      <c r="B33" s="704"/>
      <c r="C33" s="704"/>
      <c r="D33" s="704"/>
      <c r="E33" s="704"/>
      <c r="F33" s="704"/>
      <c r="G33" s="704"/>
      <c r="H33" s="704"/>
      <c r="I33" s="704"/>
      <c r="J33" s="704"/>
      <c r="K33" s="704"/>
      <c r="L33" s="704"/>
      <c r="M33" s="704"/>
      <c r="N33" s="704"/>
      <c r="O33" s="704"/>
      <c r="P33" s="704"/>
      <c r="Q33" s="704"/>
      <c r="R33" s="704"/>
      <c r="S33" s="704"/>
      <c r="T33" s="704"/>
      <c r="U33" s="704"/>
      <c r="V33" s="704"/>
      <c r="W33" s="704"/>
      <c r="X33" s="704"/>
      <c r="Y33" s="704"/>
      <c r="Z33" s="704"/>
      <c r="AA33" s="704"/>
      <c r="AB33" s="704"/>
      <c r="AC33" s="704"/>
      <c r="AD33" s="704"/>
      <c r="AE33" s="704"/>
      <c r="AF33" s="704"/>
      <c r="AG33" s="704"/>
      <c r="AH33" s="704"/>
      <c r="AI33" s="704"/>
      <c r="AJ33" s="704"/>
      <c r="AK33" s="704"/>
      <c r="AL33" s="704"/>
      <c r="AM33" s="704"/>
      <c r="AN33" s="704"/>
      <c r="AO33" s="704"/>
      <c r="AP33" s="704"/>
      <c r="AQ33" s="704"/>
      <c r="AR33" s="704"/>
      <c r="AS33" s="704"/>
      <c r="AT33" s="704"/>
      <c r="AU33" s="704"/>
      <c r="AV33" s="704"/>
      <c r="AW33" s="704"/>
      <c r="AX33" s="704"/>
      <c r="AY33" s="704"/>
      <c r="AZ33" s="704"/>
      <c r="BA33" s="704"/>
      <c r="BB33" s="704"/>
      <c r="BC33" s="704"/>
      <c r="BD33" s="704"/>
      <c r="BE33" s="704"/>
      <c r="BF33" s="704"/>
      <c r="BG33" s="704"/>
      <c r="BH33" s="704"/>
      <c r="BI33" s="704"/>
      <c r="BJ33" s="704"/>
    </row>
    <row r="34" spans="1:62">
      <c r="A34" s="704"/>
      <c r="B34" s="704" t="s">
        <v>285</v>
      </c>
      <c r="C34" s="704"/>
      <c r="D34" s="704"/>
      <c r="E34" s="1381">
        <v>4.431</v>
      </c>
      <c r="F34" s="704"/>
      <c r="G34" s="1381">
        <v>6.8979999999999997</v>
      </c>
      <c r="H34" s="704"/>
      <c r="I34" s="1381">
        <v>8.6989999999999998</v>
      </c>
      <c r="J34" s="704"/>
      <c r="K34" s="1381">
        <v>10.385999999999999</v>
      </c>
      <c r="L34" s="1382"/>
      <c r="M34" s="1381">
        <v>14.763</v>
      </c>
      <c r="N34" s="704"/>
      <c r="O34" s="1381">
        <v>16.760000000000002</v>
      </c>
      <c r="P34" s="704"/>
      <c r="Q34" s="1381">
        <v>19.387</v>
      </c>
      <c r="R34" s="704"/>
      <c r="S34" s="1381">
        <v>20.838000000000001</v>
      </c>
      <c r="T34" s="704"/>
      <c r="U34" s="1381">
        <v>19.186</v>
      </c>
      <c r="V34" s="704"/>
      <c r="W34" s="1381">
        <v>27.353000000000002</v>
      </c>
      <c r="X34" s="704"/>
      <c r="Y34" s="1381">
        <v>39.101999999999997</v>
      </c>
      <c r="Z34" s="704"/>
      <c r="AA34" s="1381">
        <v>41.290999999999997</v>
      </c>
      <c r="AB34" s="704"/>
      <c r="AC34" s="1381">
        <v>57.933999999999997</v>
      </c>
      <c r="AD34" s="704"/>
      <c r="AE34" s="1381">
        <v>74.02</v>
      </c>
      <c r="AF34" s="704"/>
      <c r="AG34" s="1381">
        <v>62.954999999999998</v>
      </c>
      <c r="AH34" s="704"/>
      <c r="AI34" s="1381">
        <v>78.040999999999997</v>
      </c>
      <c r="AJ34" s="704"/>
      <c r="AK34" s="1381">
        <v>82.903999999999996</v>
      </c>
      <c r="AL34" s="704"/>
      <c r="AM34" s="1381">
        <v>95.754000000000005</v>
      </c>
      <c r="AN34" s="704"/>
      <c r="AO34" s="1381">
        <v>99.058999999999997</v>
      </c>
      <c r="AP34" s="704"/>
      <c r="AQ34" s="1381">
        <v>137.036</v>
      </c>
      <c r="AR34" s="704"/>
      <c r="AS34" s="1381">
        <v>156.09</v>
      </c>
      <c r="AT34" s="1380"/>
      <c r="AU34" s="1381">
        <v>118.035</v>
      </c>
      <c r="AV34" s="1380"/>
      <c r="AW34" s="1381">
        <v>119.53700000000001</v>
      </c>
      <c r="AX34" s="1380"/>
      <c r="AY34" s="1786">
        <v>128.24600000000001</v>
      </c>
      <c r="AZ34" s="1380"/>
      <c r="BA34" s="1380">
        <f>+BA74*BA12</f>
        <v>134.09269796469681</v>
      </c>
      <c r="BB34" s="1380"/>
      <c r="BC34" s="1380">
        <f>+BC74*BC12</f>
        <v>136.26324679554938</v>
      </c>
      <c r="BD34" s="1380"/>
      <c r="BE34" s="1380">
        <f>+BE74*BE12</f>
        <v>138.91037395322141</v>
      </c>
      <c r="BF34" s="1380"/>
      <c r="BG34" s="1380">
        <f>+BG74*BG12</f>
        <v>141.29998628240688</v>
      </c>
      <c r="BH34" s="1380"/>
      <c r="BI34" s="1380">
        <f>+BI74*BI12</f>
        <v>143.4631600170558</v>
      </c>
      <c r="BJ34" s="1380"/>
    </row>
    <row r="35" spans="1:62">
      <c r="A35" s="704"/>
      <c r="B35" s="704" t="s">
        <v>286</v>
      </c>
      <c r="C35" s="704"/>
      <c r="D35" s="704"/>
      <c r="E35" s="1384">
        <v>0.57299999999999995</v>
      </c>
      <c r="F35" s="704"/>
      <c r="G35" s="1384">
        <v>0</v>
      </c>
      <c r="H35" s="704"/>
      <c r="I35" s="1384">
        <v>0.38800000000000001</v>
      </c>
      <c r="J35" s="704"/>
      <c r="K35" s="1384">
        <v>0.36599999999999999</v>
      </c>
      <c r="L35" s="1382"/>
      <c r="M35" s="1384">
        <v>1.3</v>
      </c>
      <c r="N35" s="704"/>
      <c r="O35" s="1384">
        <v>0.75900000000000001</v>
      </c>
      <c r="P35" s="704"/>
      <c r="Q35" s="1384">
        <v>0</v>
      </c>
      <c r="R35" s="704"/>
      <c r="S35" s="1384">
        <v>0</v>
      </c>
      <c r="T35" s="704"/>
      <c r="U35" s="1384">
        <v>0</v>
      </c>
      <c r="V35" s="704"/>
      <c r="W35" s="1384">
        <v>0</v>
      </c>
      <c r="X35" s="704"/>
      <c r="Y35" s="1384">
        <v>0</v>
      </c>
      <c r="Z35" s="704"/>
      <c r="AA35" s="1384">
        <v>0</v>
      </c>
      <c r="AB35" s="704"/>
      <c r="AC35" s="1384">
        <v>0</v>
      </c>
      <c r="AD35" s="704"/>
      <c r="AE35" s="1384">
        <v>0</v>
      </c>
      <c r="AF35" s="704"/>
      <c r="AG35" s="1384">
        <v>0</v>
      </c>
      <c r="AH35" s="704"/>
      <c r="AI35" s="1384">
        <v>0</v>
      </c>
      <c r="AJ35" s="704"/>
      <c r="AK35" s="1384">
        <v>0</v>
      </c>
      <c r="AL35" s="704"/>
      <c r="AM35" s="1384">
        <v>0</v>
      </c>
      <c r="AN35" s="704"/>
      <c r="AO35" s="1384">
        <v>0</v>
      </c>
      <c r="AP35" s="704"/>
      <c r="AQ35" s="1384">
        <v>0</v>
      </c>
      <c r="AR35" s="704"/>
      <c r="AS35" s="1384">
        <v>0</v>
      </c>
      <c r="AT35" s="1384"/>
      <c r="AU35" s="1384">
        <v>0</v>
      </c>
      <c r="AV35" s="1384"/>
      <c r="AW35" s="1384">
        <v>0</v>
      </c>
      <c r="AX35" s="1384"/>
      <c r="AY35" s="1384">
        <v>0</v>
      </c>
      <c r="AZ35" s="1384"/>
      <c r="BA35" s="1384">
        <v>0</v>
      </c>
      <c r="BB35" s="1384"/>
      <c r="BC35" s="1384">
        <v>0</v>
      </c>
      <c r="BD35" s="1384"/>
      <c r="BE35" s="1384">
        <v>0</v>
      </c>
      <c r="BF35" s="1384"/>
      <c r="BG35" s="1384">
        <v>0</v>
      </c>
      <c r="BH35" s="1384"/>
      <c r="BI35" s="1384">
        <v>0</v>
      </c>
      <c r="BJ35" s="1384"/>
    </row>
    <row r="36" spans="1:62">
      <c r="A36" s="704"/>
      <c r="B36" s="704" t="s">
        <v>506</v>
      </c>
      <c r="C36" s="704"/>
      <c r="D36" s="704"/>
      <c r="E36" s="1384">
        <v>1.984</v>
      </c>
      <c r="F36" s="704"/>
      <c r="G36" s="1384">
        <v>1.3620000000000001</v>
      </c>
      <c r="H36" s="704"/>
      <c r="I36" s="1384">
        <v>0.95099999999999996</v>
      </c>
      <c r="J36" s="704"/>
      <c r="K36" s="1384">
        <v>1.024</v>
      </c>
      <c r="L36" s="1387"/>
      <c r="M36" s="1384">
        <v>2.0110000000000001</v>
      </c>
      <c r="N36" s="704"/>
      <c r="O36" s="1384">
        <v>2.4140000000000001</v>
      </c>
      <c r="P36" s="704"/>
      <c r="Q36" s="1384">
        <v>1.7749999999999999</v>
      </c>
      <c r="R36" s="704"/>
      <c r="S36" s="1384">
        <v>3.9279999999999999</v>
      </c>
      <c r="T36" s="704"/>
      <c r="U36" s="1384">
        <v>5.1970000000000001</v>
      </c>
      <c r="V36" s="704"/>
      <c r="W36" s="1384">
        <v>7.7560000000000002</v>
      </c>
      <c r="X36" s="704"/>
      <c r="Y36" s="1384">
        <v>9.5839999999999996</v>
      </c>
      <c r="Z36" s="704"/>
      <c r="AA36" s="1384">
        <v>12.673</v>
      </c>
      <c r="AB36" s="704"/>
      <c r="AC36" s="1384">
        <v>5.0919999999999996</v>
      </c>
      <c r="AD36" s="704"/>
      <c r="AE36" s="1384">
        <v>10.128</v>
      </c>
      <c r="AF36" s="704"/>
      <c r="AG36" s="1384">
        <v>11.975</v>
      </c>
      <c r="AH36" s="704"/>
      <c r="AI36" s="1384">
        <v>21.913</v>
      </c>
      <c r="AJ36" s="704"/>
      <c r="AK36" s="1384">
        <v>20.212</v>
      </c>
      <c r="AL36" s="704"/>
      <c r="AM36" s="1384">
        <v>15.63</v>
      </c>
      <c r="AN36" s="704"/>
      <c r="AO36" s="1384">
        <v>31.094999999999999</v>
      </c>
      <c r="AP36" s="704"/>
      <c r="AQ36" s="1384">
        <v>41.085000000000001</v>
      </c>
      <c r="AR36" s="704"/>
      <c r="AS36" s="1384">
        <v>45.006999999999998</v>
      </c>
      <c r="AT36" s="915"/>
      <c r="AU36" s="1384">
        <v>41.473999999999997</v>
      </c>
      <c r="AV36" s="915"/>
      <c r="AW36" s="1384">
        <v>58.781999999999996</v>
      </c>
      <c r="AX36" s="915"/>
      <c r="AY36" s="915">
        <v>0</v>
      </c>
      <c r="AZ36" s="915"/>
      <c r="BA36" s="915">
        <f>+BA75*BA69</f>
        <v>0</v>
      </c>
      <c r="BB36" s="915"/>
      <c r="BC36" s="915">
        <f>+BC75*BC69</f>
        <v>0</v>
      </c>
      <c r="BD36" s="915"/>
      <c r="BE36" s="915">
        <f>+BE75*BE69</f>
        <v>0</v>
      </c>
      <c r="BF36" s="915"/>
      <c r="BG36" s="915">
        <f>+BG75*BG69</f>
        <v>0</v>
      </c>
      <c r="BH36" s="915"/>
      <c r="BI36" s="915">
        <f>+BI75*BI69</f>
        <v>0</v>
      </c>
      <c r="BJ36" s="915"/>
    </row>
    <row r="37" spans="1:62">
      <c r="A37" s="704"/>
      <c r="B37" s="704" t="s">
        <v>507</v>
      </c>
      <c r="C37" s="704"/>
      <c r="D37" s="704"/>
      <c r="E37" s="1388">
        <v>1.7430000000000001</v>
      </c>
      <c r="F37" s="704"/>
      <c r="G37" s="1388">
        <v>1.8120000000000001</v>
      </c>
      <c r="H37" s="704"/>
      <c r="I37" s="1388">
        <v>1.587</v>
      </c>
      <c r="J37" s="704"/>
      <c r="K37" s="1388">
        <v>1.8839999999999999</v>
      </c>
      <c r="L37" s="1387"/>
      <c r="M37" s="1388">
        <v>6.1390000000000002</v>
      </c>
      <c r="N37" s="704"/>
      <c r="O37" s="1388">
        <v>8.1389999999999993</v>
      </c>
      <c r="P37" s="704"/>
      <c r="Q37" s="1388">
        <v>12.156000000000001</v>
      </c>
      <c r="R37" s="704"/>
      <c r="S37" s="1388">
        <v>16.064</v>
      </c>
      <c r="T37" s="704"/>
      <c r="U37" s="1388">
        <v>18.689</v>
      </c>
      <c r="V37" s="704"/>
      <c r="W37" s="1388">
        <v>22.652999999999999</v>
      </c>
      <c r="X37" s="704"/>
      <c r="Y37" s="1388">
        <v>49.585000000000001</v>
      </c>
      <c r="Z37" s="704"/>
      <c r="AA37" s="1388">
        <v>79.543999999999997</v>
      </c>
      <c r="AB37" s="704"/>
      <c r="AC37" s="1388">
        <v>72.292000000000002</v>
      </c>
      <c r="AD37" s="704"/>
      <c r="AE37" s="1388">
        <v>83.23</v>
      </c>
      <c r="AF37" s="704"/>
      <c r="AG37" s="1388">
        <v>66.22</v>
      </c>
      <c r="AH37" s="704"/>
      <c r="AI37" s="1388">
        <v>88.594999999999999</v>
      </c>
      <c r="AJ37" s="704"/>
      <c r="AK37" s="1388">
        <v>107.908</v>
      </c>
      <c r="AL37" s="704"/>
      <c r="AM37" s="1388">
        <v>122.08199999999999</v>
      </c>
      <c r="AN37" s="704"/>
      <c r="AO37" s="1388">
        <v>120.041</v>
      </c>
      <c r="AP37" s="704"/>
      <c r="AQ37" s="1388">
        <v>153.709</v>
      </c>
      <c r="AR37" s="704"/>
      <c r="AS37" s="1388">
        <v>152.643</v>
      </c>
      <c r="AT37" s="916"/>
      <c r="AU37" s="1388">
        <v>169.72200000000001</v>
      </c>
      <c r="AV37" s="916"/>
      <c r="AW37" s="1388">
        <v>174.60900000000001</v>
      </c>
      <c r="AX37" s="916"/>
      <c r="AY37" s="1388">
        <v>231.96799999999999</v>
      </c>
      <c r="AZ37" s="916"/>
      <c r="BA37" s="1404">
        <f>+BA76*BA69</f>
        <v>241.43818944182345</v>
      </c>
      <c r="BB37" s="916"/>
      <c r="BC37" s="1404">
        <f>+BC76*BC69</f>
        <v>247.99013700437459</v>
      </c>
      <c r="BD37" s="916"/>
      <c r="BE37" s="1404">
        <f>+BE76*BE69</f>
        <v>253.00663872318879</v>
      </c>
      <c r="BF37" s="916"/>
      <c r="BG37" s="1404">
        <f>+BG76*BG69</f>
        <v>258.37062876497822</v>
      </c>
      <c r="BH37" s="916"/>
      <c r="BI37" s="1404">
        <f>+BI76*BI69</f>
        <v>262.73689448253737</v>
      </c>
      <c r="BJ37" s="916"/>
    </row>
    <row r="38" spans="1:62">
      <c r="A38" s="704"/>
      <c r="B38" s="704"/>
      <c r="C38" s="704" t="s">
        <v>287</v>
      </c>
      <c r="D38" s="704"/>
      <c r="E38" s="1390">
        <f>SUM(E34:E37)</f>
        <v>8.7309999999999999</v>
      </c>
      <c r="F38" s="704"/>
      <c r="G38" s="1390">
        <f>SUM(G34:G37)</f>
        <v>10.071999999999999</v>
      </c>
      <c r="H38" s="704"/>
      <c r="I38" s="1390">
        <f>SUM(I34:I37)</f>
        <v>11.625</v>
      </c>
      <c r="J38" s="704"/>
      <c r="K38" s="1390">
        <f>SUM(K34:K37)</f>
        <v>13.66</v>
      </c>
      <c r="L38" s="704"/>
      <c r="M38" s="1390">
        <f>SUM(M34:M37)</f>
        <v>24.212999999999997</v>
      </c>
      <c r="N38" s="704"/>
      <c r="O38" s="1390">
        <f>SUM(O34:O37)</f>
        <v>28.072000000000003</v>
      </c>
      <c r="P38" s="704"/>
      <c r="Q38" s="1390">
        <f>SUM(Q34:Q37)</f>
        <v>33.317999999999998</v>
      </c>
      <c r="R38" s="704"/>
      <c r="S38" s="1390">
        <f>SUM(S34:S37)</f>
        <v>40.83</v>
      </c>
      <c r="T38" s="704"/>
      <c r="U38" s="1390">
        <f>SUM(U34:U37)</f>
        <v>43.072000000000003</v>
      </c>
      <c r="V38" s="704"/>
      <c r="W38" s="1390">
        <f>SUM(W34:W37)</f>
        <v>57.762</v>
      </c>
      <c r="X38" s="704"/>
      <c r="Y38" s="1390">
        <f>SUM(Y34:Y37)</f>
        <v>98.270999999999987</v>
      </c>
      <c r="Z38" s="704"/>
      <c r="AA38" s="1390">
        <f>SUM(AA34:AA37)</f>
        <v>133.50799999999998</v>
      </c>
      <c r="AB38" s="704"/>
      <c r="AC38" s="1390">
        <f>SUM(AC34:AC37)</f>
        <v>135.31799999999998</v>
      </c>
      <c r="AD38" s="704"/>
      <c r="AE38" s="1390">
        <f>SUM(AE34:AE37)</f>
        <v>167.37799999999999</v>
      </c>
      <c r="AF38" s="704"/>
      <c r="AG38" s="1390">
        <f>SUM(AG34:AG37)</f>
        <v>141.14999999999998</v>
      </c>
      <c r="AH38" s="704"/>
      <c r="AI38" s="1390">
        <f>SUM(AI34:AI37)</f>
        <v>188.54899999999998</v>
      </c>
      <c r="AJ38" s="704"/>
      <c r="AK38" s="1390">
        <f>SUM(AK34:AK37)</f>
        <v>211.024</v>
      </c>
      <c r="AL38" s="704"/>
      <c r="AM38" s="1390">
        <f>SUM(AM34:AM37)</f>
        <v>233.46600000000001</v>
      </c>
      <c r="AN38" s="704"/>
      <c r="AO38" s="1390">
        <f>SUM(AO34:AO37)</f>
        <v>250.19499999999999</v>
      </c>
      <c r="AP38" s="704"/>
      <c r="AQ38" s="1390">
        <f>SUM(AQ34:AQ37)</f>
        <v>331.83000000000004</v>
      </c>
      <c r="AR38" s="704"/>
      <c r="AS38" s="1390">
        <f>SUM(AS34:AS37)</f>
        <v>353.74</v>
      </c>
      <c r="AT38" s="1390"/>
      <c r="AU38" s="1390">
        <f>SUM(AU34:AU37)</f>
        <v>329.23099999999999</v>
      </c>
      <c r="AV38" s="1390"/>
      <c r="AW38" s="1390">
        <f>SUM(AW34:AW37)</f>
        <v>352.928</v>
      </c>
      <c r="AX38" s="1390"/>
      <c r="AY38" s="1390">
        <f>SUM(AY34:AY37)</f>
        <v>360.214</v>
      </c>
      <c r="AZ38" s="1390"/>
      <c r="BA38" s="1390">
        <f>SUM(BA34:BA37)</f>
        <v>375.53088740652026</v>
      </c>
      <c r="BB38" s="1390"/>
      <c r="BC38" s="1390">
        <f>SUM(BC34:BC37)</f>
        <v>384.25338379992399</v>
      </c>
      <c r="BD38" s="1390"/>
      <c r="BE38" s="1390">
        <f>SUM(BE34:BE37)</f>
        <v>391.9170126764102</v>
      </c>
      <c r="BF38" s="1390"/>
      <c r="BG38" s="1390">
        <f>SUM(BG34:BG37)</f>
        <v>399.67061504738513</v>
      </c>
      <c r="BH38" s="1390"/>
      <c r="BI38" s="1390">
        <f>SUM(BI34:BI37)</f>
        <v>406.20005449959319</v>
      </c>
      <c r="BJ38" s="1390"/>
    </row>
    <row r="39" spans="1:62">
      <c r="A39" s="704"/>
      <c r="B39" s="704" t="s">
        <v>686</v>
      </c>
      <c r="C39" s="704"/>
      <c r="D39" s="704"/>
      <c r="E39" s="1384"/>
      <c r="F39" s="704"/>
      <c r="G39" s="1384"/>
      <c r="H39" s="704"/>
      <c r="I39" s="1384">
        <f>+I38-G38</f>
        <v>1.5530000000000008</v>
      </c>
      <c r="J39" s="704"/>
      <c r="K39" s="1384"/>
      <c r="L39" s="1382"/>
      <c r="M39" s="1384"/>
      <c r="N39" s="704"/>
      <c r="O39" s="1384"/>
      <c r="P39" s="704"/>
      <c r="Q39" s="1384"/>
      <c r="R39" s="704"/>
      <c r="S39" s="1384"/>
      <c r="T39" s="704"/>
      <c r="U39" s="1384"/>
      <c r="V39" s="704"/>
      <c r="W39" s="1384"/>
      <c r="X39" s="704"/>
      <c r="Y39" s="1384"/>
      <c r="Z39" s="704"/>
      <c r="AA39" s="1384"/>
      <c r="AB39" s="704"/>
      <c r="AC39" s="1384"/>
      <c r="AD39" s="704"/>
      <c r="AE39" s="1384"/>
      <c r="AF39" s="704"/>
      <c r="AG39" s="1384"/>
      <c r="AH39" s="704"/>
      <c r="AI39" s="1384"/>
      <c r="AJ39" s="704"/>
      <c r="AK39" s="1384"/>
      <c r="AL39" s="704"/>
      <c r="AM39" s="1384"/>
      <c r="AN39" s="704"/>
      <c r="AO39" s="1384"/>
      <c r="AP39" s="704"/>
      <c r="AQ39" s="1384"/>
      <c r="AR39" s="704"/>
      <c r="AS39" s="1384"/>
      <c r="AT39" s="1384"/>
      <c r="AU39" s="1384">
        <v>150</v>
      </c>
      <c r="AV39" s="1384"/>
      <c r="AW39" s="1384">
        <f>AU39+flow!AT37</f>
        <v>0</v>
      </c>
      <c r="AX39" s="1384"/>
      <c r="AY39" s="1384">
        <f>AW39+flow!AV37</f>
        <v>0</v>
      </c>
      <c r="AZ39" s="1384"/>
      <c r="BA39" s="1384">
        <f>AY39+flow!AX37</f>
        <v>0</v>
      </c>
      <c r="BB39" s="1384"/>
      <c r="BC39" s="1384">
        <f>BA39+flow!AZ37</f>
        <v>0</v>
      </c>
      <c r="BD39" s="1384"/>
      <c r="BE39" s="1384">
        <f>BC39+flow!BB37</f>
        <v>0</v>
      </c>
      <c r="BF39" s="1384"/>
      <c r="BG39" s="1384">
        <f>BE39+flow!BD37</f>
        <v>0</v>
      </c>
      <c r="BH39" s="1384"/>
      <c r="BI39" s="1384">
        <f>BG39+flow!BF37</f>
        <v>0</v>
      </c>
      <c r="BJ39" s="1384"/>
    </row>
    <row r="40" spans="1:62">
      <c r="A40" s="704"/>
      <c r="B40" s="704" t="s">
        <v>546</v>
      </c>
      <c r="C40" s="704"/>
      <c r="D40" s="704"/>
      <c r="E40" s="1388">
        <v>1.284</v>
      </c>
      <c r="F40" s="703"/>
      <c r="G40" s="1388">
        <v>1.593</v>
      </c>
      <c r="H40" s="703"/>
      <c r="I40" s="1388">
        <v>2.3580000000000001</v>
      </c>
      <c r="J40" s="703"/>
      <c r="K40" s="1388">
        <v>3.1059999999999999</v>
      </c>
      <c r="L40" s="1405"/>
      <c r="M40" s="1388">
        <v>3.8559999999999999</v>
      </c>
      <c r="N40" s="703"/>
      <c r="O40" s="1388">
        <v>4.5129999999999999</v>
      </c>
      <c r="P40" s="703"/>
      <c r="Q40" s="1388">
        <v>5.7859999999999996</v>
      </c>
      <c r="R40" s="703"/>
      <c r="S40" s="1388">
        <v>8.3840000000000003</v>
      </c>
      <c r="T40" s="703"/>
      <c r="U40" s="1406">
        <f>10.539+25</f>
        <v>35.539000000000001</v>
      </c>
      <c r="V40" s="1386"/>
      <c r="W40" s="1388">
        <v>36.61</v>
      </c>
      <c r="X40" s="703"/>
      <c r="Y40" s="1388">
        <v>56.168999999999997</v>
      </c>
      <c r="Z40" s="703"/>
      <c r="AA40" s="1388">
        <v>74.816999999999993</v>
      </c>
      <c r="AB40" s="703"/>
      <c r="AC40" s="1388">
        <v>88.65</v>
      </c>
      <c r="AD40" s="703"/>
      <c r="AE40" s="1388">
        <v>121.982</v>
      </c>
      <c r="AF40" s="703"/>
      <c r="AG40" s="1388">
        <v>134.084</v>
      </c>
      <c r="AH40" s="703"/>
      <c r="AI40" s="1388">
        <v>150.76900000000001</v>
      </c>
      <c r="AJ40" s="703"/>
      <c r="AK40" s="1388">
        <v>171.749</v>
      </c>
      <c r="AL40" s="703"/>
      <c r="AM40" s="1388">
        <v>183.97399999999999</v>
      </c>
      <c r="AN40" s="703"/>
      <c r="AO40" s="1388">
        <v>192.428</v>
      </c>
      <c r="AP40" s="703"/>
      <c r="AQ40" s="1388">
        <v>195.214</v>
      </c>
      <c r="AR40" s="703"/>
      <c r="AS40" s="1388">
        <v>207.03200000000001</v>
      </c>
      <c r="AT40" s="1389"/>
      <c r="AU40" s="1388">
        <v>216.84299999999999</v>
      </c>
      <c r="AV40" s="1389"/>
      <c r="AW40" s="1388">
        <v>236.625</v>
      </c>
      <c r="AX40" s="1389"/>
      <c r="AY40" s="1388">
        <v>291.66300000000001</v>
      </c>
      <c r="AZ40" s="1389"/>
      <c r="BA40" s="1388">
        <f>AY40</f>
        <v>291.66300000000001</v>
      </c>
      <c r="BB40" s="1389"/>
      <c r="BC40" s="1388">
        <f>BA40</f>
        <v>291.66300000000001</v>
      </c>
      <c r="BD40" s="1389"/>
      <c r="BE40" s="1388">
        <f>BC40</f>
        <v>291.66300000000001</v>
      </c>
      <c r="BF40" s="1389"/>
      <c r="BG40" s="1388">
        <f>BE40</f>
        <v>291.66300000000001</v>
      </c>
      <c r="BH40" s="1389"/>
      <c r="BI40" s="1388">
        <f>BG40</f>
        <v>291.66300000000001</v>
      </c>
      <c r="BJ40" s="1389"/>
    </row>
    <row r="41" spans="1:62">
      <c r="A41" s="704"/>
      <c r="B41" s="704"/>
      <c r="C41" s="704" t="s">
        <v>508</v>
      </c>
      <c r="D41" s="704"/>
      <c r="E41" s="1390">
        <f>+E38+E40</f>
        <v>10.015000000000001</v>
      </c>
      <c r="F41" s="704"/>
      <c r="G41" s="1390">
        <f>+G38+G40</f>
        <v>11.664999999999999</v>
      </c>
      <c r="H41" s="704"/>
      <c r="I41" s="1390">
        <f>+I38+I40</f>
        <v>13.983000000000001</v>
      </c>
      <c r="J41" s="704"/>
      <c r="K41" s="1390">
        <f>+K38+K40</f>
        <v>16.765999999999998</v>
      </c>
      <c r="L41" s="704"/>
      <c r="M41" s="1390">
        <f>+M38+M40</f>
        <v>28.068999999999996</v>
      </c>
      <c r="N41" s="704"/>
      <c r="O41" s="1390">
        <f>+O38+O40</f>
        <v>32.585000000000001</v>
      </c>
      <c r="P41" s="704"/>
      <c r="Q41" s="1390">
        <f>+Q38+Q40</f>
        <v>39.103999999999999</v>
      </c>
      <c r="R41" s="704"/>
      <c r="S41" s="1390">
        <f>+S38+S40</f>
        <v>49.213999999999999</v>
      </c>
      <c r="T41" s="704"/>
      <c r="U41" s="1390">
        <f>+U38+U40</f>
        <v>78.611000000000004</v>
      </c>
      <c r="V41" s="704"/>
      <c r="W41" s="1390">
        <f>+W38+W40</f>
        <v>94.372</v>
      </c>
      <c r="X41" s="704"/>
      <c r="Y41" s="1390">
        <f>+Y38+Y40</f>
        <v>154.44</v>
      </c>
      <c r="Z41" s="704"/>
      <c r="AA41" s="1390">
        <f>+AA38+AA40</f>
        <v>208.32499999999999</v>
      </c>
      <c r="AB41" s="704"/>
      <c r="AC41" s="1390">
        <f>+AC38+AC40</f>
        <v>223.96799999999999</v>
      </c>
      <c r="AD41" s="704"/>
      <c r="AE41" s="1390">
        <f>+AE38+AE40</f>
        <v>289.36</v>
      </c>
      <c r="AF41" s="704"/>
      <c r="AG41" s="1390">
        <f>+AG38+AG40</f>
        <v>275.23399999999998</v>
      </c>
      <c r="AH41" s="704"/>
      <c r="AI41" s="1390">
        <f>+AI38+AI40</f>
        <v>339.31799999999998</v>
      </c>
      <c r="AJ41" s="704"/>
      <c r="AK41" s="1390">
        <f>+AK38+AK40</f>
        <v>382.77300000000002</v>
      </c>
      <c r="AL41" s="704"/>
      <c r="AM41" s="1390">
        <f>+AM38+AM40</f>
        <v>417.44</v>
      </c>
      <c r="AN41" s="704"/>
      <c r="AO41" s="1390">
        <f>+AO38+AO40</f>
        <v>442.62299999999999</v>
      </c>
      <c r="AP41" s="704"/>
      <c r="AQ41" s="1390">
        <f>+AQ38+AQ40</f>
        <v>527.0440000000001</v>
      </c>
      <c r="AR41" s="704"/>
      <c r="AS41" s="1390">
        <f>+AS38+AS40</f>
        <v>560.77200000000005</v>
      </c>
      <c r="AT41" s="1390"/>
      <c r="AU41" s="1390">
        <f>+AU38+AU40+AU39</f>
        <v>696.07399999999996</v>
      </c>
      <c r="AV41" s="1390"/>
      <c r="AW41" s="1390">
        <f>+AW38+AW40+AW39</f>
        <v>589.553</v>
      </c>
      <c r="AX41" s="1390"/>
      <c r="AY41" s="1390">
        <f>+AY38+AY40+AY39</f>
        <v>651.87699999999995</v>
      </c>
      <c r="AZ41" s="1390"/>
      <c r="BA41" s="1390">
        <f>+BA38+BA40+BA39</f>
        <v>667.19388740652028</v>
      </c>
      <c r="BB41" s="1390"/>
      <c r="BC41" s="1390">
        <f>+BC38+BC40+BC39</f>
        <v>675.91638379992401</v>
      </c>
      <c r="BD41" s="1390"/>
      <c r="BE41" s="1390">
        <f>+BE38+BE40+BE39</f>
        <v>683.58001267641021</v>
      </c>
      <c r="BF41" s="1390"/>
      <c r="BG41" s="1390">
        <f>+BG38+BG40+BG39</f>
        <v>691.33361504738514</v>
      </c>
      <c r="BH41" s="1390"/>
      <c r="BI41" s="1390">
        <f>+BI38+BI40+BI39</f>
        <v>697.8630544995932</v>
      </c>
      <c r="BJ41" s="1390"/>
    </row>
    <row r="42" spans="1:62">
      <c r="A42" s="704"/>
      <c r="B42" s="704"/>
      <c r="C42" s="704"/>
      <c r="D42" s="704"/>
      <c r="E42" s="704"/>
      <c r="F42" s="704"/>
      <c r="G42" s="704"/>
      <c r="H42" s="704"/>
      <c r="I42" s="704"/>
      <c r="J42" s="704"/>
      <c r="K42" s="704"/>
      <c r="L42" s="704"/>
      <c r="M42" s="704"/>
      <c r="N42" s="704"/>
      <c r="O42" s="704"/>
      <c r="P42" s="704"/>
      <c r="Q42" s="704"/>
      <c r="R42" s="704"/>
      <c r="S42" s="704"/>
      <c r="T42" s="704"/>
      <c r="U42" s="704"/>
      <c r="V42" s="704"/>
      <c r="W42" s="704"/>
      <c r="X42" s="704"/>
      <c r="Y42" s="704"/>
      <c r="Z42" s="704"/>
      <c r="AA42" s="704"/>
      <c r="AB42" s="704"/>
      <c r="AC42" s="704"/>
      <c r="AD42" s="704"/>
      <c r="AE42" s="704"/>
      <c r="AF42" s="704"/>
      <c r="AG42" s="704"/>
      <c r="AH42" s="704"/>
      <c r="AI42" s="704"/>
      <c r="AJ42" s="704"/>
      <c r="AK42" s="704"/>
      <c r="AL42" s="704"/>
      <c r="AM42" s="704"/>
      <c r="AN42" s="704"/>
      <c r="AO42" s="704"/>
      <c r="AP42" s="704"/>
      <c r="AQ42" s="704"/>
      <c r="AR42" s="704"/>
      <c r="AS42" s="704"/>
      <c r="AT42" s="704"/>
      <c r="AU42" s="704"/>
      <c r="AV42" s="704"/>
      <c r="AW42" s="704"/>
      <c r="AX42" s="704"/>
      <c r="AY42" s="704"/>
      <c r="AZ42" s="704"/>
      <c r="BA42" s="704"/>
      <c r="BB42" s="704"/>
      <c r="BC42" s="704"/>
      <c r="BD42" s="704"/>
      <c r="BE42" s="704"/>
      <c r="BF42" s="704"/>
      <c r="BG42" s="704"/>
      <c r="BH42" s="704"/>
      <c r="BI42" s="704"/>
      <c r="BJ42" s="704"/>
    </row>
    <row r="43" spans="1:62" ht="12.75" customHeight="1" outlineLevel="1">
      <c r="A43" s="704" t="s">
        <v>509</v>
      </c>
      <c r="B43" s="704"/>
      <c r="C43" s="704"/>
      <c r="D43" s="704"/>
      <c r="E43" s="1389">
        <v>0</v>
      </c>
      <c r="F43" s="703"/>
      <c r="G43" s="1389">
        <v>0</v>
      </c>
      <c r="H43" s="703"/>
      <c r="I43" s="1389">
        <v>0</v>
      </c>
      <c r="J43" s="703"/>
      <c r="K43" s="1389">
        <v>0</v>
      </c>
      <c r="L43" s="1405"/>
      <c r="M43" s="1389">
        <v>0</v>
      </c>
      <c r="N43" s="703"/>
      <c r="O43" s="1389">
        <v>0</v>
      </c>
      <c r="P43" s="703"/>
      <c r="Q43" s="1389">
        <v>0</v>
      </c>
      <c r="R43" s="703"/>
      <c r="S43" s="1389">
        <v>0</v>
      </c>
      <c r="T43" s="703"/>
      <c r="U43" s="1389">
        <v>0</v>
      </c>
      <c r="V43" s="703"/>
      <c r="W43" s="1389">
        <v>0</v>
      </c>
      <c r="X43" s="703"/>
      <c r="Y43" s="1389">
        <v>0</v>
      </c>
      <c r="Z43" s="703"/>
      <c r="AA43" s="1389">
        <v>0</v>
      </c>
      <c r="AB43" s="703"/>
      <c r="AC43" s="1389">
        <v>0</v>
      </c>
      <c r="AD43" s="703"/>
      <c r="AE43" s="1389">
        <v>0</v>
      </c>
      <c r="AF43" s="703"/>
      <c r="AG43" s="1389">
        <v>0</v>
      </c>
      <c r="AH43" s="703"/>
      <c r="AI43" s="1389">
        <v>0</v>
      </c>
      <c r="AJ43" s="703"/>
      <c r="AK43" s="1389">
        <v>0</v>
      </c>
      <c r="AL43" s="703"/>
      <c r="AM43" s="1389">
        <v>0</v>
      </c>
      <c r="AN43" s="703"/>
      <c r="AO43" s="1389">
        <v>0</v>
      </c>
      <c r="AP43" s="703"/>
      <c r="AQ43" s="1389">
        <v>0</v>
      </c>
      <c r="AR43" s="703"/>
      <c r="AS43" s="1389">
        <v>0</v>
      </c>
      <c r="AT43" s="1389"/>
      <c r="AU43" s="1389">
        <v>0</v>
      </c>
      <c r="AV43" s="1389"/>
      <c r="AW43" s="1389">
        <v>0</v>
      </c>
      <c r="AX43" s="1389"/>
      <c r="AY43" s="1389">
        <v>0</v>
      </c>
      <c r="AZ43" s="1389"/>
      <c r="BA43" s="1389">
        <v>0</v>
      </c>
      <c r="BB43" s="1389"/>
      <c r="BC43" s="1389">
        <v>0</v>
      </c>
      <c r="BD43" s="1389"/>
      <c r="BE43" s="1389">
        <v>0</v>
      </c>
      <c r="BF43" s="1389"/>
      <c r="BG43" s="1389">
        <v>0</v>
      </c>
      <c r="BH43" s="1389"/>
      <c r="BI43" s="1389">
        <v>0</v>
      </c>
      <c r="BJ43" s="1389"/>
    </row>
    <row r="44" spans="1:62" ht="12.75" customHeight="1" outlineLevel="1">
      <c r="A44" s="704"/>
      <c r="B44" s="704"/>
      <c r="C44" s="704"/>
      <c r="D44" s="704"/>
      <c r="E44" s="1389"/>
      <c r="F44" s="703"/>
      <c r="G44" s="1389"/>
      <c r="H44" s="703"/>
      <c r="I44" s="1389"/>
      <c r="J44" s="703"/>
      <c r="K44" s="1389"/>
      <c r="L44" s="1405"/>
      <c r="M44" s="1389"/>
      <c r="N44" s="703"/>
      <c r="O44" s="1389"/>
      <c r="P44" s="703"/>
      <c r="Q44" s="1389"/>
      <c r="R44" s="703"/>
      <c r="S44" s="1389"/>
      <c r="T44" s="703"/>
      <c r="U44" s="1389"/>
      <c r="V44" s="703"/>
      <c r="W44" s="1389"/>
      <c r="X44" s="703"/>
      <c r="Y44" s="1389"/>
      <c r="Z44" s="703"/>
      <c r="AA44" s="1389"/>
      <c r="AB44" s="703"/>
      <c r="AC44" s="1389"/>
      <c r="AD44" s="703"/>
      <c r="AE44" s="1389"/>
      <c r="AF44" s="703"/>
      <c r="AG44" s="1389"/>
      <c r="AH44" s="703"/>
      <c r="AI44" s="1389"/>
      <c r="AJ44" s="703"/>
      <c r="AK44" s="1389"/>
      <c r="AL44" s="703"/>
      <c r="AM44" s="1389"/>
      <c r="AN44" s="703"/>
      <c r="AO44" s="1389"/>
      <c r="AP44" s="703"/>
      <c r="AQ44" s="1389"/>
      <c r="AR44" s="703"/>
      <c r="AS44" s="1389"/>
      <c r="AT44" s="1389"/>
      <c r="AU44" s="1389"/>
      <c r="AV44" s="1389"/>
      <c r="AW44" s="1389"/>
      <c r="AX44" s="1389"/>
      <c r="AY44" s="1389"/>
      <c r="AZ44" s="1389"/>
      <c r="BA44" s="1389"/>
      <c r="BB44" s="1389"/>
      <c r="BC44" s="1389"/>
      <c r="BD44" s="1389"/>
      <c r="BE44" s="1389"/>
      <c r="BF44" s="1389"/>
      <c r="BG44" s="1389"/>
      <c r="BH44" s="1389"/>
      <c r="BI44" s="1389"/>
      <c r="BJ44" s="1389"/>
    </row>
    <row r="45" spans="1:62">
      <c r="A45" s="1379" t="s">
        <v>288</v>
      </c>
      <c r="B45" s="704"/>
      <c r="C45" s="704"/>
      <c r="D45" s="704"/>
      <c r="E45" s="704"/>
      <c r="F45" s="704"/>
      <c r="G45" s="704"/>
      <c r="H45" s="704"/>
      <c r="I45" s="704"/>
      <c r="J45" s="704"/>
      <c r="K45" s="704"/>
      <c r="L45" s="704"/>
      <c r="M45" s="704"/>
      <c r="N45" s="704"/>
      <c r="O45" s="704"/>
      <c r="P45" s="704"/>
      <c r="Q45" s="704"/>
      <c r="R45" s="704"/>
      <c r="S45" s="704"/>
      <c r="T45" s="704"/>
      <c r="U45" s="704"/>
      <c r="V45" s="704"/>
      <c r="W45" s="704"/>
      <c r="X45" s="704"/>
      <c r="Y45" s="704"/>
      <c r="Z45" s="704"/>
      <c r="AA45" s="704"/>
      <c r="AB45" s="704"/>
      <c r="AC45" s="704"/>
      <c r="AD45" s="704"/>
      <c r="AE45" s="704"/>
      <c r="AF45" s="704"/>
      <c r="AG45" s="704"/>
      <c r="AH45" s="704"/>
      <c r="AI45" s="704"/>
      <c r="AJ45" s="704"/>
      <c r="AK45" s="704"/>
      <c r="AL45" s="704"/>
      <c r="AM45" s="704"/>
      <c r="AN45" s="704"/>
      <c r="AO45" s="704"/>
      <c r="AP45" s="704"/>
      <c r="AQ45" s="704"/>
      <c r="AR45" s="704"/>
      <c r="AS45" s="704"/>
      <c r="AT45" s="704"/>
      <c r="AU45" s="704"/>
      <c r="AV45" s="704"/>
      <c r="AW45" s="704"/>
      <c r="AX45" s="704"/>
      <c r="AY45" s="704"/>
      <c r="AZ45" s="704"/>
      <c r="BA45" s="704"/>
      <c r="BB45" s="704"/>
      <c r="BC45" s="704"/>
      <c r="BD45" s="704"/>
      <c r="BE45" s="704"/>
      <c r="BF45" s="704"/>
      <c r="BG45" s="704"/>
      <c r="BH45" s="704"/>
      <c r="BI45" s="704"/>
      <c r="BJ45" s="704"/>
    </row>
    <row r="46" spans="1:62" outlineLevel="1">
      <c r="A46" s="704"/>
      <c r="B46" s="704" t="s">
        <v>289</v>
      </c>
      <c r="C46" s="704"/>
      <c r="D46" s="704"/>
      <c r="E46" s="1389">
        <v>1E-3</v>
      </c>
      <c r="F46" s="703"/>
      <c r="G46" s="1389">
        <v>1E-3</v>
      </c>
      <c r="H46" s="703"/>
      <c r="I46" s="1389">
        <v>2E-3</v>
      </c>
      <c r="J46" s="703"/>
      <c r="K46" s="1389">
        <v>2E-3</v>
      </c>
      <c r="L46" s="1405"/>
      <c r="M46" s="1389">
        <v>2E-3</v>
      </c>
      <c r="N46" s="703"/>
      <c r="O46" s="1389">
        <v>2E-3</v>
      </c>
      <c r="P46" s="703"/>
      <c r="Q46" s="1389">
        <v>2E-3</v>
      </c>
      <c r="R46" s="703"/>
      <c r="S46" s="1389">
        <v>2E-3</v>
      </c>
      <c r="T46" s="703"/>
      <c r="U46" s="1389">
        <v>2E-3</v>
      </c>
      <c r="V46" s="703"/>
      <c r="W46" s="1389">
        <v>8.0000000000000002E-3</v>
      </c>
      <c r="X46" s="703"/>
      <c r="Y46" s="1389">
        <v>8.0000000000000002E-3</v>
      </c>
      <c r="Z46" s="703"/>
      <c r="AA46" s="1389">
        <v>1.6E-2</v>
      </c>
      <c r="AB46" s="703"/>
      <c r="AC46" s="1389">
        <v>1.7000000000000001E-2</v>
      </c>
      <c r="AD46" s="703"/>
      <c r="AE46" s="1389">
        <v>1.7000000000000001E-2</v>
      </c>
      <c r="AF46" s="703"/>
      <c r="AG46" s="1389">
        <v>1.7000000000000001E-2</v>
      </c>
      <c r="AH46" s="703"/>
      <c r="AI46" s="1389">
        <v>1.7000000000000001E-2</v>
      </c>
      <c r="AJ46" s="703"/>
      <c r="AK46" s="1389">
        <v>1.7000000000000001E-2</v>
      </c>
      <c r="AL46" s="703"/>
      <c r="AM46" s="1389">
        <v>1.4999999999999999E-2</v>
      </c>
      <c r="AN46" s="703"/>
      <c r="AO46" s="1389">
        <v>1.4999999999999999E-2</v>
      </c>
      <c r="AP46" s="703"/>
      <c r="AQ46" s="1389">
        <f>+AO46</f>
        <v>1.4999999999999999E-2</v>
      </c>
      <c r="AR46" s="703"/>
      <c r="AS46" s="1389">
        <v>1.2999999999999999E-2</v>
      </c>
      <c r="AT46" s="916"/>
      <c r="AU46" s="1389">
        <v>0.12</v>
      </c>
      <c r="AV46" s="916"/>
      <c r="AW46" s="1389">
        <v>0.12</v>
      </c>
      <c r="AX46" s="916"/>
      <c r="AY46" s="916">
        <v>0.11</v>
      </c>
      <c r="AZ46" s="916"/>
      <c r="BA46" s="916">
        <f>+AY46</f>
        <v>0.11</v>
      </c>
      <c r="BB46" s="916"/>
      <c r="BC46" s="916">
        <f>+BA46</f>
        <v>0.11</v>
      </c>
      <c r="BD46" s="916"/>
      <c r="BE46" s="916">
        <f>+BC46</f>
        <v>0.11</v>
      </c>
      <c r="BF46" s="916"/>
      <c r="BG46" s="916">
        <f>+BE46</f>
        <v>0.11</v>
      </c>
      <c r="BH46" s="916"/>
      <c r="BI46" s="916">
        <f>+BG46</f>
        <v>0.11</v>
      </c>
      <c r="BJ46" s="916"/>
    </row>
    <row r="47" spans="1:62" outlineLevel="1">
      <c r="A47" s="704"/>
      <c r="B47" s="704" t="s">
        <v>290</v>
      </c>
      <c r="C47" s="704"/>
      <c r="D47" s="704"/>
      <c r="E47" s="1389">
        <v>17.024000000000001</v>
      </c>
      <c r="F47" s="703"/>
      <c r="G47" s="1389">
        <v>17.417000000000002</v>
      </c>
      <c r="H47" s="703"/>
      <c r="I47" s="1389">
        <v>20.396000000000001</v>
      </c>
      <c r="J47" s="703"/>
      <c r="K47" s="1389">
        <v>21.481999999999999</v>
      </c>
      <c r="L47" s="1405"/>
      <c r="M47" s="1389">
        <v>20.824999999999999</v>
      </c>
      <c r="N47" s="703"/>
      <c r="O47" s="1389">
        <v>17.68</v>
      </c>
      <c r="P47" s="703"/>
      <c r="Q47" s="1389">
        <v>16.268000000000001</v>
      </c>
      <c r="R47" s="703"/>
      <c r="S47" s="1389">
        <v>17.872</v>
      </c>
      <c r="T47" s="703"/>
      <c r="U47" s="1389">
        <v>67.162000000000006</v>
      </c>
      <c r="V47" s="703"/>
      <c r="W47" s="1389">
        <v>83.278999999999996</v>
      </c>
      <c r="X47" s="703"/>
      <c r="Y47" s="1389">
        <v>109.43</v>
      </c>
      <c r="Z47" s="703"/>
      <c r="AA47" s="1389">
        <v>134.14599999999999</v>
      </c>
      <c r="AB47" s="703"/>
      <c r="AC47" s="1389">
        <v>128.58600000000001</v>
      </c>
      <c r="AD47" s="703"/>
      <c r="AE47" s="1389">
        <v>144.20400000000001</v>
      </c>
      <c r="AF47" s="703"/>
      <c r="AG47" s="1389">
        <v>170.166</v>
      </c>
      <c r="AH47" s="703"/>
      <c r="AI47" s="1389">
        <v>184.62</v>
      </c>
      <c r="AJ47" s="703"/>
      <c r="AK47" s="1389">
        <v>27.603000000000002</v>
      </c>
      <c r="AL47" s="703"/>
      <c r="AM47" s="1389">
        <v>0</v>
      </c>
      <c r="AN47" s="703"/>
      <c r="AO47" s="1389">
        <v>48.276000000000003</v>
      </c>
      <c r="AP47" s="703"/>
      <c r="AQ47" s="1389">
        <v>97.683999999999997</v>
      </c>
      <c r="AR47" s="703"/>
      <c r="AS47" s="1389">
        <v>0</v>
      </c>
      <c r="AT47" s="916"/>
      <c r="AU47" s="1389">
        <v>0</v>
      </c>
      <c r="AV47" s="916"/>
      <c r="AW47" s="1389">
        <v>0</v>
      </c>
      <c r="AX47" s="916"/>
      <c r="AY47" s="1787">
        <v>0.68400000000000005</v>
      </c>
      <c r="AZ47" s="916"/>
      <c r="BA47" s="916">
        <f>+AY47+flow!AX38+flow!AX12</f>
        <v>-72.966000000000008</v>
      </c>
      <c r="BB47" s="916"/>
      <c r="BC47" s="916">
        <f>+BA47+flow!AZ38+flow!AZ12</f>
        <v>-146.61600000000001</v>
      </c>
      <c r="BD47" s="916"/>
      <c r="BE47" s="916">
        <f>+BC47+flow!BB38+flow!BB12</f>
        <v>-220.26600000000002</v>
      </c>
      <c r="BF47" s="916"/>
      <c r="BG47" s="916">
        <f>+BE47+flow!BD38+flow!BD12</f>
        <v>-293.916</v>
      </c>
      <c r="BH47" s="916"/>
      <c r="BI47" s="916">
        <f>+BG47+flow!BF38+flow!BF12</f>
        <v>-367.56599999999997</v>
      </c>
      <c r="BJ47" s="916"/>
    </row>
    <row r="48" spans="1:62">
      <c r="A48" s="704"/>
      <c r="B48" s="704" t="s">
        <v>291</v>
      </c>
      <c r="C48" s="704"/>
      <c r="D48" s="704"/>
      <c r="E48" s="1389">
        <v>29.725999999999999</v>
      </c>
      <c r="F48" s="703"/>
      <c r="G48" s="1389">
        <v>42.033999999999999</v>
      </c>
      <c r="H48" s="703"/>
      <c r="I48" s="1389">
        <v>55.293999999999997</v>
      </c>
      <c r="J48" s="703"/>
      <c r="K48" s="1389">
        <v>69.174000000000007</v>
      </c>
      <c r="L48" s="1405"/>
      <c r="M48" s="1389">
        <v>84.933999999999997</v>
      </c>
      <c r="N48" s="703"/>
      <c r="O48" s="1389">
        <v>103.614</v>
      </c>
      <c r="P48" s="703"/>
      <c r="Q48" s="1389">
        <v>114.10899999999999</v>
      </c>
      <c r="R48" s="703"/>
      <c r="S48" s="1389">
        <v>129.11600000000001</v>
      </c>
      <c r="T48" s="703"/>
      <c r="U48" s="916">
        <f>+S48+flow!R10</f>
        <v>156.529</v>
      </c>
      <c r="V48" s="703"/>
      <c r="W48" s="916">
        <f>+U48+flow!T10</f>
        <v>204.905</v>
      </c>
      <c r="X48" s="703"/>
      <c r="Y48" s="916">
        <f>+W48+flow!V10</f>
        <v>295.39399999999989</v>
      </c>
      <c r="Z48" s="703"/>
      <c r="AA48" s="916">
        <f>+Y48+flow!X10</f>
        <v>426.18999999999983</v>
      </c>
      <c r="AB48" s="703"/>
      <c r="AC48" s="916">
        <f>+AA48+flow!Z10</f>
        <v>542.39600000000007</v>
      </c>
      <c r="AD48" s="703"/>
      <c r="AE48" s="1389">
        <v>701.97500000000002</v>
      </c>
      <c r="AF48" s="703"/>
      <c r="AG48" s="1389">
        <v>901.33900000000006</v>
      </c>
      <c r="AH48" s="703"/>
      <c r="AI48" s="1389">
        <v>1121.232</v>
      </c>
      <c r="AJ48" s="703"/>
      <c r="AK48" s="1389">
        <v>1394.19</v>
      </c>
      <c r="AL48" s="703"/>
      <c r="AM48" s="1389">
        <v>1077.7650000000001</v>
      </c>
      <c r="AN48" s="703"/>
      <c r="AO48" s="1389">
        <v>1315.079</v>
      </c>
      <c r="AP48" s="703"/>
      <c r="AQ48" s="1389">
        <v>1597.4390000000001</v>
      </c>
      <c r="AR48" s="703"/>
      <c r="AS48" s="1389">
        <v>1343.383</v>
      </c>
      <c r="AT48" s="916"/>
      <c r="AU48" s="1389">
        <v>1160.6659999999999</v>
      </c>
      <c r="AV48" s="916"/>
      <c r="AW48" s="1389">
        <f>1347.141</f>
        <v>1347.1410000000001</v>
      </c>
      <c r="AX48" s="916"/>
      <c r="AY48" s="1787">
        <f>1310.859+166.03396</f>
        <v>1476.8929599999999</v>
      </c>
      <c r="AZ48" s="916"/>
      <c r="BA48" s="916">
        <f>+AY48+flow!AX10</f>
        <v>1704.5180677493252</v>
      </c>
      <c r="BB48" s="916"/>
      <c r="BC48" s="916">
        <f>+BA48+flow!AZ10</f>
        <v>1933.3320123212113</v>
      </c>
      <c r="BD48" s="916"/>
      <c r="BE48" s="916">
        <f>+BC48+flow!BB10</f>
        <v>2166.8837026510819</v>
      </c>
      <c r="BF48" s="916"/>
      <c r="BG48" s="916">
        <f>+BE48+flow!BD10</f>
        <v>2404.7507880684534</v>
      </c>
      <c r="BH48" s="916"/>
      <c r="BI48" s="916">
        <f>+BG48+flow!BF10</f>
        <v>2646.8639386808318</v>
      </c>
      <c r="BJ48" s="916"/>
    </row>
    <row r="49" spans="1:62">
      <c r="A49" s="704"/>
      <c r="B49" s="704" t="s">
        <v>510</v>
      </c>
      <c r="C49" s="704"/>
      <c r="D49" s="704"/>
      <c r="E49" s="1388">
        <v>0</v>
      </c>
      <c r="F49" s="703"/>
      <c r="G49" s="1388">
        <v>0</v>
      </c>
      <c r="H49" s="703"/>
      <c r="I49" s="1388">
        <v>0</v>
      </c>
      <c r="J49" s="703"/>
      <c r="K49" s="1388">
        <v>0</v>
      </c>
      <c r="L49" s="1405"/>
      <c r="M49" s="1388">
        <v>-0.46700000000000003</v>
      </c>
      <c r="N49" s="703"/>
      <c r="O49" s="1388">
        <v>-0.38</v>
      </c>
      <c r="P49" s="703"/>
      <c r="Q49" s="1388">
        <v>-0.76700000000000002</v>
      </c>
      <c r="R49" s="703"/>
      <c r="S49" s="1388">
        <v>-1.1020000000000001</v>
      </c>
      <c r="T49" s="703"/>
      <c r="U49" s="1388">
        <v>0.69199999999999995</v>
      </c>
      <c r="V49" s="703"/>
      <c r="W49" s="1388">
        <v>1.9379999999999999</v>
      </c>
      <c r="X49" s="703"/>
      <c r="Y49" s="1388">
        <f>2.47-5.058</f>
        <v>-2.5879999999999996</v>
      </c>
      <c r="Z49" s="703"/>
      <c r="AA49" s="1388">
        <f>0.528</f>
        <v>0.52800000000000002</v>
      </c>
      <c r="AB49" s="703"/>
      <c r="AC49" s="1388">
        <v>4.2839999999999998</v>
      </c>
      <c r="AD49" s="703"/>
      <c r="AE49" s="1388">
        <v>7.2350000000000003</v>
      </c>
      <c r="AF49" s="703"/>
      <c r="AG49" s="1388">
        <v>-17.747</v>
      </c>
      <c r="AH49" s="703"/>
      <c r="AI49" s="1388">
        <v>-9.0939999999999994</v>
      </c>
      <c r="AJ49" s="703"/>
      <c r="AK49" s="1388">
        <v>-10.262</v>
      </c>
      <c r="AL49" s="703"/>
      <c r="AM49" s="1388">
        <v>-11.512</v>
      </c>
      <c r="AN49" s="703"/>
      <c r="AO49" s="1388">
        <v>-8.782</v>
      </c>
      <c r="AP49" s="703"/>
      <c r="AQ49" s="1388">
        <v>-0.96799999999999997</v>
      </c>
      <c r="AR49" s="703"/>
      <c r="AS49" s="1388">
        <f>-15.427+0.04</f>
        <v>-15.387</v>
      </c>
      <c r="AT49" s="916"/>
      <c r="AU49" s="1388">
        <f>-23.451-0.07</f>
        <v>-23.521000000000001</v>
      </c>
      <c r="AV49" s="916"/>
      <c r="AW49" s="1388">
        <v>-34.139000000000003</v>
      </c>
      <c r="AX49" s="916"/>
      <c r="AY49" s="1788">
        <v>-10.651</v>
      </c>
      <c r="AZ49" s="916"/>
      <c r="BA49" s="1404">
        <f>+AY49</f>
        <v>-10.651</v>
      </c>
      <c r="BB49" s="916"/>
      <c r="BC49" s="1404">
        <f>+BA49</f>
        <v>-10.651</v>
      </c>
      <c r="BD49" s="916"/>
      <c r="BE49" s="1404">
        <f>+BC49</f>
        <v>-10.651</v>
      </c>
      <c r="BF49" s="916"/>
      <c r="BG49" s="1404">
        <f>+BE49</f>
        <v>-10.651</v>
      </c>
      <c r="BH49" s="916"/>
      <c r="BI49" s="1404">
        <f>+BG49</f>
        <v>-10.651</v>
      </c>
      <c r="BJ49" s="916"/>
    </row>
    <row r="50" spans="1:62">
      <c r="A50" s="704"/>
      <c r="B50" s="704"/>
      <c r="C50" s="704" t="s">
        <v>292</v>
      </c>
      <c r="D50" s="704"/>
      <c r="E50" s="1390">
        <f>SUM(E46:E49)</f>
        <v>46.751000000000005</v>
      </c>
      <c r="F50" s="704"/>
      <c r="G50" s="1390">
        <f>SUM(G46:G49)</f>
        <v>59.451999999999998</v>
      </c>
      <c r="H50" s="704"/>
      <c r="I50" s="1390">
        <f>SUM(I46:I49)</f>
        <v>75.691999999999993</v>
      </c>
      <c r="J50" s="704"/>
      <c r="K50" s="1390">
        <f>SUM(K46:K49)</f>
        <v>90.658000000000001</v>
      </c>
      <c r="L50" s="704"/>
      <c r="M50" s="1390">
        <f>SUM(M46:M49)</f>
        <v>105.294</v>
      </c>
      <c r="N50" s="704"/>
      <c r="O50" s="1390">
        <f>SUM(O46:O49)</f>
        <v>120.91600000000001</v>
      </c>
      <c r="P50" s="704"/>
      <c r="Q50" s="1390">
        <f>SUM(Q46:Q49)</f>
        <v>129.61199999999999</v>
      </c>
      <c r="R50" s="704"/>
      <c r="S50" s="1390">
        <f>SUM(S46:S49)</f>
        <v>145.88800000000001</v>
      </c>
      <c r="T50" s="704"/>
      <c r="U50" s="1390">
        <f>SUM(U46:U49)</f>
        <v>224.38499999999999</v>
      </c>
      <c r="V50" s="704"/>
      <c r="W50" s="1390">
        <f>SUM(W46:W49)</f>
        <v>290.13</v>
      </c>
      <c r="X50" s="704"/>
      <c r="Y50" s="1390">
        <f>SUM(Y46:Y49)</f>
        <v>402.24399999999986</v>
      </c>
      <c r="Z50" s="704"/>
      <c r="AA50" s="1390">
        <f>SUM(AA46:AA49)</f>
        <v>560.87999999999988</v>
      </c>
      <c r="AB50" s="704"/>
      <c r="AC50" s="1390">
        <f>SUM(AC46:AC49)</f>
        <v>675.28300000000002</v>
      </c>
      <c r="AD50" s="704"/>
      <c r="AE50" s="1390">
        <f>SUM(AE46:AE49)</f>
        <v>853.43100000000004</v>
      </c>
      <c r="AF50" s="704"/>
      <c r="AG50" s="1390">
        <f>SUM(AG46:AG49)</f>
        <v>1053.7749999999999</v>
      </c>
      <c r="AH50" s="704"/>
      <c r="AI50" s="1390">
        <f>SUM(AI46:AI49)</f>
        <v>1296.7749999999999</v>
      </c>
      <c r="AJ50" s="704"/>
      <c r="AK50" s="1390">
        <f>SUM(AK46:AK49)</f>
        <v>1411.548</v>
      </c>
      <c r="AL50" s="704"/>
      <c r="AM50" s="1390">
        <f>SUM(AM46:AM49)</f>
        <v>1066.2680000000003</v>
      </c>
      <c r="AN50" s="704"/>
      <c r="AO50" s="1390">
        <f>SUM(AO43:AO49)</f>
        <v>1354.588</v>
      </c>
      <c r="AP50" s="704"/>
      <c r="AQ50" s="1390">
        <f>SUM(AQ43:AQ49)</f>
        <v>1694.17</v>
      </c>
      <c r="AR50" s="704"/>
      <c r="AS50" s="1390">
        <f>SUM(AS43:AS49)</f>
        <v>1328.009</v>
      </c>
      <c r="AT50" s="1390"/>
      <c r="AU50" s="1390">
        <f>SUM(AU43:AU49)</f>
        <v>1137.2649999999999</v>
      </c>
      <c r="AV50" s="1390"/>
      <c r="AW50" s="1390">
        <f>SUM(AW43:AW49)</f>
        <v>1313.1220000000001</v>
      </c>
      <c r="AX50" s="1390"/>
      <c r="AY50" s="1390">
        <f>SUM(AY43:AY49)</f>
        <v>1467.0359599999999</v>
      </c>
      <c r="AZ50" s="1390"/>
      <c r="BA50" s="1390">
        <f>SUM(BA43:BA49)</f>
        <v>1621.0110677493251</v>
      </c>
      <c r="BB50" s="1390"/>
      <c r="BC50" s="1390">
        <f>SUM(BC43:BC49)</f>
        <v>1776.1750123212112</v>
      </c>
      <c r="BD50" s="1390"/>
      <c r="BE50" s="1390">
        <f>SUM(BE43:BE49)</f>
        <v>1936.0767026510819</v>
      </c>
      <c r="BF50" s="1390"/>
      <c r="BG50" s="1390">
        <f>SUM(BG43:BG49)</f>
        <v>2100.2937880684535</v>
      </c>
      <c r="BH50" s="1390"/>
      <c r="BI50" s="1390">
        <f>SUM(BI43:BI49)</f>
        <v>2268.7569386808318</v>
      </c>
      <c r="BJ50" s="1390"/>
    </row>
    <row r="51" spans="1:62">
      <c r="A51" s="704"/>
      <c r="B51" s="704"/>
      <c r="C51" s="704"/>
      <c r="D51" s="704"/>
      <c r="E51" s="704"/>
      <c r="F51" s="704"/>
      <c r="G51" s="704"/>
      <c r="H51" s="704"/>
      <c r="I51" s="704"/>
      <c r="J51" s="704"/>
      <c r="K51" s="704"/>
      <c r="L51" s="704"/>
      <c r="M51" s="704"/>
      <c r="N51" s="704"/>
      <c r="O51" s="704"/>
      <c r="P51" s="704"/>
      <c r="Q51" s="704"/>
      <c r="R51" s="704"/>
      <c r="S51" s="704"/>
      <c r="T51" s="704"/>
      <c r="U51" s="704"/>
      <c r="V51" s="704"/>
      <c r="W51" s="704"/>
      <c r="X51" s="704"/>
      <c r="Y51" s="704"/>
      <c r="Z51" s="704"/>
      <c r="AA51" s="704"/>
      <c r="AB51" s="704"/>
      <c r="AC51" s="704"/>
      <c r="AD51" s="704"/>
      <c r="AE51" s="704"/>
      <c r="AF51" s="704"/>
      <c r="AG51" s="704"/>
      <c r="AH51" s="704"/>
      <c r="AI51" s="704"/>
      <c r="AJ51" s="704"/>
      <c r="AK51" s="704"/>
      <c r="AL51" s="704"/>
      <c r="AM51" s="704"/>
      <c r="AN51" s="704"/>
      <c r="AO51" s="704"/>
      <c r="AP51" s="704"/>
      <c r="AQ51" s="704"/>
      <c r="AR51" s="704"/>
      <c r="AS51" s="704"/>
      <c r="AT51" s="704"/>
      <c r="AU51" s="704"/>
      <c r="AV51" s="704"/>
      <c r="AW51" s="704"/>
      <c r="AX51" s="704"/>
      <c r="AY51" s="704"/>
      <c r="AZ51" s="704"/>
      <c r="BA51" s="704"/>
      <c r="BB51" s="704"/>
      <c r="BC51" s="704"/>
      <c r="BD51" s="704"/>
      <c r="BE51" s="704"/>
      <c r="BF51" s="704"/>
      <c r="BG51" s="704"/>
      <c r="BH51" s="704"/>
      <c r="BI51" s="704"/>
      <c r="BJ51" s="704"/>
    </row>
    <row r="52" spans="1:62">
      <c r="A52" s="704" t="s">
        <v>294</v>
      </c>
      <c r="B52" s="704"/>
      <c r="C52" s="704"/>
      <c r="D52" s="704"/>
      <c r="E52" s="1402">
        <f>E41+E50+E43</f>
        <v>56.766000000000005</v>
      </c>
      <c r="F52" s="704"/>
      <c r="G52" s="1402">
        <f>G41+G50+G43</f>
        <v>71.11699999999999</v>
      </c>
      <c r="H52" s="704"/>
      <c r="I52" s="1402">
        <f>I41+I50+I43</f>
        <v>89.674999999999997</v>
      </c>
      <c r="J52" s="704"/>
      <c r="K52" s="1402">
        <f>K41+K50+K43</f>
        <v>107.42400000000001</v>
      </c>
      <c r="L52" s="704"/>
      <c r="M52" s="1402">
        <f>M41+M50+M43</f>
        <v>133.363</v>
      </c>
      <c r="N52" s="704"/>
      <c r="O52" s="1402">
        <f>O41+O50+O43</f>
        <v>153.501</v>
      </c>
      <c r="P52" s="704"/>
      <c r="Q52" s="1402">
        <f>Q41+Q50</f>
        <v>168.71600000000001</v>
      </c>
      <c r="R52" s="704"/>
      <c r="S52" s="1402">
        <f>S41+S50</f>
        <v>195.102</v>
      </c>
      <c r="T52" s="704"/>
      <c r="U52" s="1402">
        <f>U41+U50</f>
        <v>302.99599999999998</v>
      </c>
      <c r="V52" s="704"/>
      <c r="W52" s="1402">
        <f>W41+W50</f>
        <v>384.50200000000001</v>
      </c>
      <c r="X52" s="704"/>
      <c r="Y52" s="1402">
        <f>Y41+Y50+Y43</f>
        <v>556.68399999999986</v>
      </c>
      <c r="Z52" s="704"/>
      <c r="AA52" s="1402">
        <f>AA41+AA50+AA43</f>
        <v>769.20499999999993</v>
      </c>
      <c r="AB52" s="704"/>
      <c r="AC52" s="1402">
        <f>AC41+AC50+AC43</f>
        <v>899.25099999999998</v>
      </c>
      <c r="AD52" s="704"/>
      <c r="AE52" s="1402">
        <f>AE41+AE50+AE43</f>
        <v>1142.7910000000002</v>
      </c>
      <c r="AF52" s="704"/>
      <c r="AG52" s="1402">
        <f>AG41+AG50+AG43</f>
        <v>1329.0089999999998</v>
      </c>
      <c r="AH52" s="704"/>
      <c r="AI52" s="1402">
        <f>AI41+AI50+AI43</f>
        <v>1636.0929999999998</v>
      </c>
      <c r="AJ52" s="704"/>
      <c r="AK52" s="1402">
        <f>AK41+AK50+AK43</f>
        <v>1794.3209999999999</v>
      </c>
      <c r="AL52" s="704"/>
      <c r="AM52" s="1402">
        <f>AM41+AM50+AM43</f>
        <v>1483.7080000000003</v>
      </c>
      <c r="AN52" s="704"/>
      <c r="AO52" s="1402">
        <f>AO41+AO50</f>
        <v>1797.211</v>
      </c>
      <c r="AP52" s="704"/>
      <c r="AQ52" s="1402">
        <f>AQ41+AQ50</f>
        <v>2221.2139999999999</v>
      </c>
      <c r="AR52" s="704"/>
      <c r="AS52" s="1402">
        <f>AS41+AS50</f>
        <v>1888.7809999999999</v>
      </c>
      <c r="AT52" s="1403"/>
      <c r="AU52" s="1402">
        <f>AU41+AU50</f>
        <v>1833.3389999999999</v>
      </c>
      <c r="AV52" s="1403"/>
      <c r="AW52" s="1402">
        <f>AW41+AW50</f>
        <v>1902.6750000000002</v>
      </c>
      <c r="AX52" s="1403"/>
      <c r="AY52" s="1402">
        <f>AY41+AY50</f>
        <v>2118.9129599999997</v>
      </c>
      <c r="AZ52" s="1403"/>
      <c r="BA52" s="1402">
        <f>BA41+BA50</f>
        <v>2288.2049551558453</v>
      </c>
      <c r="BB52" s="1403"/>
      <c r="BC52" s="1402">
        <f>BC41+BC50</f>
        <v>2452.0913961211354</v>
      </c>
      <c r="BD52" s="1403"/>
      <c r="BE52" s="1402">
        <f>BE41+BE50</f>
        <v>2619.6567153274918</v>
      </c>
      <c r="BF52" s="1403"/>
      <c r="BG52" s="1402">
        <f>BG41+BG50</f>
        <v>2791.6274031158387</v>
      </c>
      <c r="BH52" s="1403"/>
      <c r="BI52" s="1402">
        <f>BI41+BI50</f>
        <v>2966.6199931804249</v>
      </c>
      <c r="BJ52" s="1403"/>
    </row>
    <row r="53" spans="1:62">
      <c r="A53" s="704"/>
      <c r="B53" s="704"/>
      <c r="C53" s="704"/>
      <c r="D53" s="704"/>
      <c r="E53" s="704"/>
      <c r="F53" s="704"/>
      <c r="G53" s="704"/>
      <c r="H53" s="704"/>
      <c r="I53" s="704"/>
      <c r="J53" s="704"/>
      <c r="K53" s="704"/>
      <c r="L53" s="704"/>
      <c r="M53" s="704"/>
      <c r="N53" s="704"/>
      <c r="O53" s="704"/>
      <c r="P53" s="704"/>
      <c r="Q53" s="704"/>
      <c r="R53" s="704"/>
      <c r="S53" s="1407"/>
      <c r="T53" s="1407"/>
      <c r="U53" s="1407"/>
      <c r="V53" s="1407"/>
      <c r="W53" s="1407"/>
      <c r="X53" s="1407"/>
      <c r="Y53" s="1407"/>
      <c r="Z53" s="1407"/>
      <c r="AA53" s="1407"/>
      <c r="AB53" s="1407"/>
      <c r="AC53" s="1407"/>
      <c r="AD53" s="1407"/>
      <c r="AE53" s="1407"/>
      <c r="AF53" s="1407"/>
      <c r="AG53" s="1407"/>
      <c r="AH53" s="1407"/>
      <c r="AI53" s="1407"/>
      <c r="AJ53" s="1407"/>
      <c r="AK53" s="1407"/>
      <c r="AL53" s="1407"/>
      <c r="AM53" s="1407"/>
      <c r="AN53" s="1407"/>
      <c r="AO53" s="704"/>
      <c r="AP53" s="1407"/>
      <c r="AQ53" s="704"/>
      <c r="AR53" s="1407"/>
      <c r="AS53" s="704"/>
      <c r="AT53" s="704"/>
      <c r="AU53" s="704"/>
      <c r="AV53" s="704"/>
      <c r="AW53" s="704"/>
      <c r="AX53" s="704"/>
      <c r="AY53" s="704"/>
      <c r="AZ53" s="704"/>
      <c r="BA53" s="704"/>
      <c r="BB53" s="704"/>
      <c r="BC53" s="704"/>
      <c r="BD53" s="704"/>
      <c r="BE53" s="704"/>
      <c r="BF53" s="704"/>
      <c r="BG53" s="704"/>
      <c r="BH53" s="704"/>
      <c r="BI53" s="704"/>
      <c r="BJ53" s="704"/>
    </row>
    <row r="54" spans="1:62">
      <c r="A54" s="704"/>
      <c r="B54" s="704"/>
      <c r="C54" s="704"/>
      <c r="D54" s="704"/>
      <c r="E54" s="704"/>
      <c r="F54" s="704"/>
      <c r="G54" s="704"/>
      <c r="H54" s="704"/>
      <c r="I54" s="704"/>
      <c r="J54" s="704"/>
      <c r="K54" s="704"/>
      <c r="L54" s="704"/>
      <c r="M54" s="704"/>
      <c r="N54" s="704"/>
      <c r="O54" s="1408"/>
      <c r="P54" s="704"/>
      <c r="Q54" s="704"/>
      <c r="R54" s="704"/>
      <c r="S54" s="1408"/>
      <c r="T54" s="704"/>
      <c r="U54" s="704"/>
      <c r="V54" s="704"/>
      <c r="W54" s="704"/>
      <c r="X54" s="704"/>
      <c r="Y54" s="704"/>
      <c r="Z54" s="704"/>
      <c r="AA54" s="704"/>
      <c r="AB54" s="704"/>
      <c r="AC54" s="704"/>
      <c r="AD54" s="704"/>
      <c r="AE54" s="704"/>
      <c r="AF54" s="704"/>
      <c r="AG54" s="704"/>
      <c r="AH54" s="1409"/>
      <c r="AI54" s="1409"/>
      <c r="AJ54" s="1409"/>
      <c r="AK54" s="1409"/>
      <c r="AL54" s="1409"/>
      <c r="AM54" s="1409"/>
      <c r="AN54" s="1409"/>
      <c r="AO54" s="1409"/>
      <c r="AP54" s="1409"/>
      <c r="AQ54" s="1409"/>
      <c r="AR54" s="1409"/>
      <c r="AS54" s="1409"/>
      <c r="AT54" s="1409"/>
      <c r="AU54" s="1409"/>
      <c r="AV54" s="1409"/>
      <c r="AW54" s="1409"/>
      <c r="AX54" s="1409"/>
      <c r="AY54" s="1409"/>
      <c r="AZ54" s="1409"/>
      <c r="BA54" s="1409"/>
      <c r="BB54" s="1409"/>
      <c r="BC54" s="1409"/>
      <c r="BD54" s="1409"/>
      <c r="BE54" s="1409"/>
      <c r="BF54" s="1409"/>
      <c r="BG54" s="1409"/>
      <c r="BH54" s="1409"/>
      <c r="BI54" s="1409"/>
      <c r="BJ54" s="1409"/>
    </row>
    <row r="55" spans="1:62">
      <c r="A55" s="704"/>
      <c r="B55" s="704"/>
      <c r="C55" s="704"/>
      <c r="D55" s="704"/>
      <c r="E55" s="704"/>
      <c r="F55" s="704"/>
      <c r="G55" s="704"/>
      <c r="H55" s="704"/>
      <c r="I55" s="704"/>
      <c r="J55" s="704"/>
      <c r="K55" s="704"/>
      <c r="L55" s="704"/>
      <c r="M55" s="704"/>
      <c r="N55" s="704"/>
      <c r="O55" s="704"/>
      <c r="P55" s="704"/>
      <c r="Q55" s="704"/>
      <c r="R55" s="704"/>
      <c r="S55" s="704"/>
      <c r="T55" s="704"/>
      <c r="U55" s="704"/>
      <c r="V55" s="704"/>
      <c r="W55" s="704"/>
      <c r="X55" s="704"/>
      <c r="Y55" s="704"/>
      <c r="Z55" s="704"/>
      <c r="AA55" s="704"/>
      <c r="AB55" s="704"/>
      <c r="AC55" s="704"/>
      <c r="AD55" s="704"/>
      <c r="AE55" s="704"/>
      <c r="AF55" s="704"/>
      <c r="AG55" s="704"/>
      <c r="AH55" s="704"/>
      <c r="AI55" s="704"/>
      <c r="AJ55" s="704"/>
      <c r="AK55" s="704"/>
      <c r="AL55" s="704"/>
      <c r="AM55" s="704"/>
      <c r="AN55" s="704"/>
      <c r="AO55" s="704"/>
      <c r="AP55" s="704"/>
      <c r="AQ55" s="704"/>
      <c r="AR55" s="704"/>
      <c r="AS55" s="704"/>
      <c r="AT55" s="704"/>
      <c r="AU55" s="704"/>
      <c r="AV55" s="704"/>
      <c r="AW55" s="704"/>
      <c r="AX55" s="704"/>
      <c r="AY55" s="704"/>
      <c r="AZ55" s="704"/>
      <c r="BA55" s="704"/>
      <c r="BB55" s="704"/>
      <c r="BC55" s="704"/>
      <c r="BD55" s="704"/>
      <c r="BE55" s="704"/>
      <c r="BF55" s="704"/>
      <c r="BG55" s="704"/>
      <c r="BH55" s="704"/>
      <c r="BI55" s="704"/>
      <c r="BJ55" s="704"/>
    </row>
    <row r="56" spans="1:62">
      <c r="A56" s="1410" t="s">
        <v>161</v>
      </c>
      <c r="B56" s="704"/>
      <c r="C56" s="704"/>
      <c r="D56" s="704"/>
      <c r="E56" s="704"/>
      <c r="F56" s="704"/>
      <c r="G56" s="704"/>
      <c r="H56" s="704"/>
      <c r="I56" s="704"/>
      <c r="J56" s="704"/>
      <c r="K56" s="704"/>
      <c r="L56" s="704"/>
      <c r="M56" s="704"/>
      <c r="N56" s="704"/>
      <c r="O56" s="704"/>
      <c r="P56" s="704"/>
      <c r="Q56" s="704"/>
      <c r="R56" s="704"/>
      <c r="S56" s="704"/>
      <c r="T56" s="704"/>
      <c r="U56" s="704"/>
      <c r="V56" s="704"/>
      <c r="W56" s="704"/>
      <c r="X56" s="704"/>
      <c r="Y56" s="704"/>
      <c r="Z56" s="704"/>
      <c r="AA56" s="704"/>
      <c r="AB56" s="704"/>
      <c r="AC56" s="704"/>
      <c r="AD56" s="704"/>
      <c r="AE56" s="704"/>
      <c r="AF56" s="704"/>
      <c r="AG56" s="704"/>
      <c r="AH56" s="704"/>
      <c r="AI56" s="704"/>
      <c r="AJ56" s="704"/>
      <c r="AK56" s="704"/>
      <c r="AL56" s="704"/>
      <c r="AM56" s="704"/>
      <c r="AN56" s="704"/>
      <c r="AO56" s="704"/>
      <c r="AP56" s="704"/>
      <c r="AQ56" s="704"/>
      <c r="AR56" s="704"/>
      <c r="AS56" s="704"/>
      <c r="AT56" s="704"/>
      <c r="AU56" s="704"/>
      <c r="AV56" s="704"/>
      <c r="AW56" s="704"/>
      <c r="AX56" s="704"/>
      <c r="AY56" s="1390"/>
      <c r="AZ56" s="704"/>
      <c r="BA56" s="704"/>
      <c r="BB56" s="704"/>
      <c r="BC56" s="704"/>
      <c r="BD56" s="704"/>
      <c r="BE56" s="704"/>
      <c r="BF56" s="704"/>
      <c r="BG56" s="704"/>
      <c r="BH56" s="704"/>
      <c r="BI56" s="704"/>
      <c r="BJ56" s="704"/>
    </row>
    <row r="57" spans="1:62">
      <c r="A57" s="704"/>
      <c r="B57" s="704"/>
      <c r="C57" s="704"/>
      <c r="D57" s="704"/>
      <c r="E57" s="704"/>
      <c r="F57" s="704"/>
      <c r="G57" s="704"/>
      <c r="H57" s="704"/>
      <c r="I57" s="704"/>
      <c r="J57" s="704"/>
      <c r="K57" s="704"/>
      <c r="L57" s="704"/>
      <c r="M57" s="704"/>
      <c r="N57" s="704"/>
      <c r="O57" s="704"/>
      <c r="P57" s="704"/>
      <c r="Q57" s="704"/>
      <c r="R57" s="704"/>
      <c r="S57" s="704"/>
      <c r="T57" s="704"/>
      <c r="U57" s="704"/>
      <c r="V57" s="704"/>
      <c r="W57" s="704"/>
      <c r="X57" s="704"/>
      <c r="Y57" s="704"/>
      <c r="Z57" s="704"/>
      <c r="AA57" s="704"/>
      <c r="AB57" s="704"/>
      <c r="AC57" s="704"/>
      <c r="AD57" s="704"/>
      <c r="AE57" s="704"/>
      <c r="AF57" s="704"/>
      <c r="AG57" s="704"/>
      <c r="AH57" s="704"/>
      <c r="AI57" s="704"/>
      <c r="AJ57" s="704"/>
      <c r="AK57" s="704"/>
      <c r="AL57" s="704"/>
      <c r="AM57" s="704"/>
      <c r="AN57" s="704"/>
      <c r="AO57" s="704"/>
      <c r="AP57" s="704"/>
      <c r="AQ57" s="704"/>
      <c r="AR57" s="704"/>
      <c r="AS57" s="704"/>
      <c r="AT57" s="704"/>
      <c r="AU57" s="704"/>
      <c r="AV57" s="704"/>
      <c r="AW57" s="704"/>
      <c r="AX57" s="704"/>
      <c r="AY57" s="704"/>
      <c r="AZ57" s="704"/>
      <c r="BA57" s="704"/>
      <c r="BB57" s="704"/>
      <c r="BC57" s="704"/>
      <c r="BD57" s="704"/>
      <c r="BE57" s="704"/>
      <c r="BF57" s="704"/>
      <c r="BG57" s="704"/>
      <c r="BH57" s="704"/>
      <c r="BI57" s="704"/>
      <c r="BJ57" s="704"/>
    </row>
    <row r="58" spans="1:62">
      <c r="A58" s="704"/>
      <c r="B58" s="704"/>
      <c r="C58" s="704"/>
      <c r="D58" s="704"/>
      <c r="E58" s="704"/>
      <c r="F58" s="704"/>
      <c r="G58" s="704"/>
      <c r="H58" s="704"/>
      <c r="I58" s="704"/>
      <c r="J58" s="704"/>
      <c r="K58" s="704"/>
      <c r="L58" s="704"/>
      <c r="M58" s="704"/>
      <c r="N58" s="704"/>
      <c r="O58" s="704"/>
      <c r="P58" s="704"/>
      <c r="Q58" s="704"/>
      <c r="R58" s="704"/>
      <c r="S58" s="704"/>
      <c r="T58" s="704"/>
      <c r="U58" s="704"/>
      <c r="V58" s="704"/>
      <c r="W58" s="704"/>
      <c r="X58" s="704"/>
      <c r="Y58" s="704"/>
      <c r="Z58" s="704"/>
      <c r="AA58" s="704"/>
      <c r="AB58" s="704"/>
      <c r="AC58" s="704"/>
      <c r="AD58" s="704"/>
      <c r="AE58" s="704"/>
      <c r="AF58" s="704"/>
      <c r="AG58" s="704"/>
      <c r="AH58" s="704"/>
      <c r="AI58" s="704"/>
      <c r="AJ58" s="704"/>
      <c r="AK58" s="704"/>
      <c r="AL58" s="704"/>
      <c r="AM58" s="704"/>
      <c r="AN58" s="704"/>
      <c r="AO58" s="704"/>
      <c r="AP58" s="704"/>
      <c r="AQ58" s="704"/>
      <c r="AR58" s="704"/>
      <c r="AS58" s="704"/>
      <c r="AT58" s="704"/>
      <c r="AU58" s="704"/>
      <c r="AV58" s="704"/>
      <c r="AW58" s="704"/>
      <c r="AX58" s="704"/>
      <c r="AY58" s="704"/>
      <c r="AZ58" s="704"/>
      <c r="BA58" s="704"/>
      <c r="BB58" s="704"/>
      <c r="BC58" s="704"/>
      <c r="BD58" s="704"/>
      <c r="BE58" s="704"/>
      <c r="BF58" s="704"/>
      <c r="BG58" s="704"/>
      <c r="BH58" s="704"/>
      <c r="BI58" s="704"/>
      <c r="BJ58" s="704"/>
    </row>
    <row r="59" spans="1:62" hidden="1" outlineLevel="1">
      <c r="A59" s="1275" t="s">
        <v>461</v>
      </c>
      <c r="B59" s="704"/>
      <c r="C59" s="704"/>
      <c r="D59" s="704"/>
      <c r="E59" s="704"/>
      <c r="F59" s="704"/>
      <c r="G59" s="704"/>
      <c r="H59" s="704"/>
      <c r="I59" s="704"/>
      <c r="J59" s="704"/>
      <c r="K59" s="704"/>
      <c r="L59" s="704"/>
      <c r="M59" s="704"/>
      <c r="N59" s="704"/>
      <c r="O59" s="704"/>
      <c r="P59" s="704"/>
      <c r="Q59" s="704"/>
      <c r="R59" s="704"/>
      <c r="S59" s="704"/>
      <c r="T59" s="704"/>
      <c r="U59" s="704"/>
      <c r="V59" s="704"/>
      <c r="W59" s="704"/>
      <c r="X59" s="704"/>
      <c r="Y59" s="704"/>
      <c r="Z59" s="704"/>
      <c r="AA59" s="704"/>
      <c r="AB59" s="704"/>
      <c r="AC59" s="704"/>
      <c r="AD59" s="704"/>
      <c r="AE59" s="704"/>
      <c r="AF59" s="704"/>
      <c r="AG59" s="704"/>
      <c r="AH59" s="704"/>
      <c r="AI59" s="704"/>
      <c r="AJ59" s="704"/>
      <c r="AK59" s="704"/>
      <c r="AL59" s="704"/>
      <c r="AM59" s="704"/>
      <c r="AN59" s="704"/>
      <c r="AO59" s="704"/>
      <c r="AP59" s="704"/>
      <c r="AQ59" s="704"/>
      <c r="AR59" s="704"/>
      <c r="AS59" s="704"/>
      <c r="AT59" s="704"/>
      <c r="AU59" s="704"/>
      <c r="AV59" s="704"/>
      <c r="AW59" s="704"/>
      <c r="AX59" s="704"/>
      <c r="AY59" s="704"/>
      <c r="AZ59" s="704"/>
      <c r="BA59" s="704"/>
      <c r="BB59" s="704"/>
      <c r="BC59" s="704"/>
      <c r="BD59" s="704"/>
      <c r="BE59" s="704"/>
      <c r="BF59" s="704"/>
      <c r="BG59" s="704"/>
      <c r="BH59" s="704"/>
      <c r="BI59" s="704"/>
      <c r="BJ59" s="704"/>
    </row>
    <row r="60" spans="1:62" hidden="1" outlineLevel="1">
      <c r="A60" s="704"/>
      <c r="B60" s="704" t="s">
        <v>9</v>
      </c>
      <c r="C60" s="704"/>
      <c r="D60" s="704"/>
      <c r="E60" s="704"/>
      <c r="F60" s="704"/>
      <c r="G60" s="704"/>
      <c r="H60" s="704"/>
      <c r="I60" s="704"/>
      <c r="J60" s="704"/>
      <c r="K60" s="704"/>
      <c r="L60" s="704"/>
      <c r="M60" s="704"/>
      <c r="N60" s="704"/>
      <c r="O60" s="704"/>
      <c r="P60" s="704"/>
      <c r="Q60" s="1411">
        <f>flow!N38</f>
        <v>-1.411999999999999</v>
      </c>
      <c r="R60" s="704"/>
      <c r="S60" s="1411">
        <f>flow!P38</f>
        <v>1.2809999999999999</v>
      </c>
      <c r="T60" s="1411"/>
      <c r="U60" s="1411">
        <f>flow!R38</f>
        <v>47.042000000000002</v>
      </c>
      <c r="V60" s="1411"/>
      <c r="W60" s="1411">
        <f>flow!T38</f>
        <v>8.5419999999999998</v>
      </c>
      <c r="X60" s="1411"/>
      <c r="Y60" s="1411">
        <f>flow!V38</f>
        <v>6.9169999999999998</v>
      </c>
      <c r="Z60" s="1411"/>
      <c r="AA60" s="1411">
        <f>flow!X38</f>
        <v>15.23</v>
      </c>
      <c r="AB60" s="1411"/>
      <c r="AC60" s="1411">
        <f>flow!Z38</f>
        <v>-14.45</v>
      </c>
      <c r="AD60" s="1411"/>
      <c r="AE60" s="1411">
        <f>flow!AB38</f>
        <v>5</v>
      </c>
      <c r="AF60" s="1411"/>
      <c r="AG60" s="1411">
        <f>flow!AD38</f>
        <v>8.891</v>
      </c>
      <c r="AH60" s="1411"/>
      <c r="AI60" s="1411">
        <f>flow!AF38</f>
        <v>3.25</v>
      </c>
      <c r="AJ60" s="1411"/>
      <c r="AK60" s="1411">
        <f>flow!AH38</f>
        <v>-180.589</v>
      </c>
      <c r="AL60" s="1411"/>
      <c r="AM60" s="1411">
        <f>flow!AJ38</f>
        <v>-541.34199999999998</v>
      </c>
      <c r="AN60" s="1411"/>
      <c r="AO60" s="1411">
        <f>flow!AL38</f>
        <v>30.670999999999999</v>
      </c>
      <c r="AP60" s="1411"/>
      <c r="AQ60" s="1411">
        <f>flow!AN38</f>
        <v>24.126000000000005</v>
      </c>
      <c r="AR60" s="1411"/>
      <c r="AS60" s="1411">
        <f>flow!AP38</f>
        <v>-604.72900000000004</v>
      </c>
      <c r="AT60" s="1411"/>
      <c r="AU60" s="1411">
        <f>flow!AR38</f>
        <v>-429.024</v>
      </c>
      <c r="AV60" s="1411"/>
      <c r="AW60" s="1411">
        <f>flow!AT38</f>
        <v>-43.743000000000002</v>
      </c>
      <c r="AX60" s="1411"/>
      <c r="AY60" s="1411">
        <f>flow!AV38</f>
        <v>-100</v>
      </c>
      <c r="AZ60" s="1411"/>
      <c r="BA60" s="1411">
        <f>flow!AX38</f>
        <v>-75</v>
      </c>
      <c r="BB60" s="1411"/>
      <c r="BC60" s="1411">
        <f>flow!AZ38</f>
        <v>-75</v>
      </c>
      <c r="BD60" s="1411"/>
      <c r="BE60" s="1411">
        <f>flow!BK38</f>
        <v>0.39300000000000068</v>
      </c>
      <c r="BF60" s="1411"/>
      <c r="BG60" s="1411">
        <f>flow!BM38</f>
        <v>2.9799999999999991</v>
      </c>
      <c r="BH60" s="1411"/>
      <c r="BI60" s="1411">
        <f>flow!BO38</f>
        <v>0</v>
      </c>
      <c r="BJ60" s="1411"/>
    </row>
    <row r="61" spans="1:62" hidden="1" outlineLevel="1">
      <c r="A61" s="704"/>
      <c r="B61" s="704" t="s">
        <v>10</v>
      </c>
      <c r="C61" s="704"/>
      <c r="D61" s="704"/>
      <c r="E61" s="704"/>
      <c r="F61" s="704"/>
      <c r="G61" s="704"/>
      <c r="H61" s="704"/>
      <c r="I61" s="704"/>
      <c r="J61" s="704"/>
      <c r="K61" s="704"/>
      <c r="L61" s="704"/>
      <c r="M61" s="704"/>
      <c r="N61" s="704"/>
      <c r="O61" s="704"/>
      <c r="P61" s="704"/>
      <c r="Q61" s="1411">
        <v>0</v>
      </c>
      <c r="R61" s="1411">
        <v>0</v>
      </c>
      <c r="S61" s="1411">
        <v>0</v>
      </c>
      <c r="T61" s="1411">
        <v>0</v>
      </c>
      <c r="U61" s="1411">
        <v>0</v>
      </c>
      <c r="V61" s="1411">
        <v>0</v>
      </c>
      <c r="W61" s="1411">
        <v>0</v>
      </c>
      <c r="X61" s="1411">
        <v>0</v>
      </c>
      <c r="Y61" s="1411">
        <v>0</v>
      </c>
      <c r="Z61" s="1411">
        <v>0</v>
      </c>
      <c r="AA61" s="1411">
        <v>0</v>
      </c>
      <c r="AB61" s="1411">
        <v>0</v>
      </c>
      <c r="AC61" s="1411">
        <v>0</v>
      </c>
      <c r="AD61" s="1411">
        <v>0</v>
      </c>
      <c r="AE61" s="1411">
        <v>0</v>
      </c>
      <c r="AF61" s="1411">
        <v>0</v>
      </c>
      <c r="AG61" s="1411">
        <v>0</v>
      </c>
      <c r="AH61" s="1411">
        <v>0</v>
      </c>
      <c r="AI61" s="1411">
        <v>0</v>
      </c>
      <c r="AJ61" s="1411">
        <v>0</v>
      </c>
      <c r="AK61" s="1411">
        <v>0</v>
      </c>
      <c r="AL61" s="1411">
        <v>0</v>
      </c>
      <c r="AM61" s="1411">
        <v>0</v>
      </c>
      <c r="AN61" s="1411">
        <v>0</v>
      </c>
      <c r="AO61" s="1411">
        <v>0</v>
      </c>
      <c r="AP61" s="1411">
        <v>0</v>
      </c>
      <c r="AQ61" s="1411">
        <v>0</v>
      </c>
      <c r="AR61" s="1411">
        <v>0</v>
      </c>
      <c r="AS61" s="1411">
        <v>0</v>
      </c>
      <c r="AT61" s="1411"/>
      <c r="AU61" s="1411">
        <v>0</v>
      </c>
      <c r="AV61" s="1411"/>
      <c r="AW61" s="1411">
        <v>0</v>
      </c>
      <c r="AX61" s="1411"/>
      <c r="AY61" s="1411">
        <v>0</v>
      </c>
      <c r="AZ61" s="1411"/>
      <c r="BA61" s="1411">
        <v>0</v>
      </c>
      <c r="BB61" s="1411"/>
      <c r="BC61" s="1411">
        <v>0</v>
      </c>
      <c r="BD61" s="1411"/>
      <c r="BE61" s="1411">
        <v>0</v>
      </c>
      <c r="BF61" s="1411"/>
      <c r="BG61" s="1411">
        <v>0</v>
      </c>
      <c r="BH61" s="1411"/>
      <c r="BI61" s="1411">
        <v>0</v>
      </c>
      <c r="BJ61" s="1411"/>
    </row>
    <row r="62" spans="1:62" customFormat="1" hidden="1" outlineLevel="1"/>
    <row r="63" spans="1:62" collapsed="1">
      <c r="A63" s="704"/>
      <c r="B63" s="704"/>
      <c r="C63" s="704"/>
      <c r="D63" s="704"/>
      <c r="E63" s="704"/>
      <c r="F63" s="704"/>
      <c r="G63" s="704"/>
      <c r="H63" s="704"/>
      <c r="I63" s="704"/>
      <c r="J63" s="704"/>
      <c r="K63" s="704"/>
      <c r="L63" s="704"/>
      <c r="M63" s="704"/>
      <c r="N63" s="704"/>
      <c r="O63" s="704"/>
      <c r="P63" s="704"/>
      <c r="Q63" s="704"/>
      <c r="R63" s="704"/>
      <c r="S63" s="704"/>
      <c r="T63" s="704"/>
      <c r="U63" s="704"/>
      <c r="V63" s="704"/>
      <c r="W63" s="704"/>
      <c r="X63" s="704"/>
      <c r="Y63" s="704"/>
      <c r="Z63" s="704"/>
      <c r="AA63" s="704"/>
      <c r="AB63" s="704"/>
      <c r="AC63" s="704"/>
      <c r="AD63" s="704"/>
      <c r="AE63" s="704"/>
      <c r="AF63" s="704"/>
      <c r="AG63" s="704"/>
      <c r="AH63" s="704"/>
      <c r="AI63" s="704"/>
      <c r="AJ63" s="704"/>
      <c r="AK63" s="704"/>
      <c r="AL63" s="704"/>
      <c r="AM63" s="704"/>
      <c r="AN63" s="704"/>
      <c r="AO63" s="704"/>
      <c r="AP63" s="704"/>
      <c r="AQ63" s="704"/>
      <c r="AR63" s="704"/>
      <c r="AS63" s="704"/>
      <c r="AT63" s="704"/>
      <c r="AU63" s="704"/>
      <c r="AV63" s="704"/>
      <c r="AW63" s="704"/>
      <c r="AX63" s="704"/>
      <c r="AY63" s="704"/>
      <c r="AZ63" s="704"/>
      <c r="BA63" s="704"/>
      <c r="BB63" s="704"/>
      <c r="BC63" s="704"/>
      <c r="BD63" s="704"/>
      <c r="BE63" s="704"/>
      <c r="BF63" s="704"/>
      <c r="BG63" s="704"/>
      <c r="BH63" s="704"/>
      <c r="BI63" s="704"/>
      <c r="BJ63" s="704"/>
    </row>
    <row r="64" spans="1:62">
      <c r="A64" s="704"/>
      <c r="B64" s="704"/>
      <c r="C64" s="704"/>
      <c r="D64" s="704"/>
      <c r="E64" s="704"/>
      <c r="F64" s="704"/>
      <c r="G64" s="704"/>
      <c r="H64" s="704"/>
      <c r="I64" s="704"/>
      <c r="J64" s="704"/>
      <c r="K64" s="704"/>
      <c r="L64" s="704"/>
      <c r="M64" s="704"/>
      <c r="N64" s="704"/>
      <c r="O64" s="704"/>
      <c r="P64" s="704"/>
      <c r="Q64" s="704"/>
      <c r="R64" s="704"/>
      <c r="S64" s="704"/>
      <c r="T64" s="704"/>
      <c r="U64" s="704"/>
      <c r="V64" s="704"/>
      <c r="W64" s="704"/>
      <c r="X64" s="704"/>
      <c r="Y64" s="704"/>
      <c r="Z64" s="704"/>
      <c r="AA64" s="704"/>
      <c r="AB64" s="704"/>
      <c r="AC64" s="704"/>
      <c r="AD64" s="704"/>
      <c r="AE64" s="704"/>
      <c r="AF64" s="704"/>
      <c r="AG64" s="1380"/>
      <c r="AH64" s="704"/>
      <c r="AI64" s="704"/>
      <c r="AJ64" s="704"/>
      <c r="AK64" s="704"/>
      <c r="AL64" s="704"/>
      <c r="AM64" s="704"/>
      <c r="AN64" s="704"/>
      <c r="AO64" s="704"/>
      <c r="AP64" s="704"/>
      <c r="AQ64" s="704"/>
      <c r="AR64" s="704"/>
      <c r="AS64" s="704"/>
      <c r="AT64" s="704"/>
      <c r="AU64" s="704"/>
      <c r="AV64" s="704"/>
      <c r="AW64" s="704"/>
      <c r="AX64" s="704"/>
      <c r="AY64" s="704"/>
      <c r="AZ64" s="704"/>
      <c r="BA64" s="704"/>
      <c r="BB64" s="704"/>
      <c r="BC64" s="704"/>
      <c r="BD64" s="704"/>
      <c r="BE64" s="704"/>
      <c r="BF64" s="704"/>
      <c r="BG64" s="704"/>
      <c r="BH64" s="704"/>
      <c r="BI64" s="704"/>
      <c r="BJ64" s="704"/>
    </row>
    <row r="65" spans="1:62">
      <c r="A65" s="704" t="s">
        <v>298</v>
      </c>
      <c r="B65" s="704"/>
      <c r="C65" s="704"/>
      <c r="D65" s="704"/>
      <c r="E65" s="704"/>
      <c r="F65" s="704"/>
      <c r="G65" s="704"/>
      <c r="H65" s="704"/>
      <c r="I65" s="704"/>
      <c r="J65" s="704"/>
      <c r="K65" s="704"/>
      <c r="L65" s="704"/>
      <c r="M65" s="704"/>
      <c r="N65" s="704"/>
      <c r="O65" s="704"/>
      <c r="P65" s="704"/>
      <c r="Q65" s="704"/>
      <c r="R65" s="704"/>
      <c r="S65" s="704"/>
      <c r="T65" s="704"/>
      <c r="U65" s="704"/>
      <c r="V65" s="704"/>
      <c r="W65" s="704"/>
      <c r="X65" s="704"/>
      <c r="Y65" s="704"/>
      <c r="Z65" s="704"/>
      <c r="AA65" s="704"/>
      <c r="AB65" s="704"/>
      <c r="AC65" s="704"/>
      <c r="AD65" s="704"/>
      <c r="AE65" s="704"/>
      <c r="AF65" s="704"/>
      <c r="AG65" s="704"/>
      <c r="AH65" s="704"/>
      <c r="AI65" s="704"/>
      <c r="AJ65" s="704"/>
      <c r="AK65" s="704"/>
      <c r="AL65" s="704"/>
      <c r="AM65" s="704"/>
      <c r="AN65" s="704"/>
      <c r="AO65" s="704"/>
      <c r="AP65" s="704"/>
      <c r="AQ65" s="704"/>
      <c r="AR65" s="704"/>
      <c r="AS65" s="704"/>
      <c r="AT65" s="704"/>
      <c r="AU65" s="704"/>
      <c r="AV65" s="704"/>
      <c r="AW65" s="704"/>
      <c r="AX65" s="704"/>
      <c r="AY65" s="704"/>
      <c r="AZ65" s="704"/>
      <c r="BA65" s="704"/>
      <c r="BB65" s="704"/>
      <c r="BC65" s="704"/>
      <c r="BD65" s="704"/>
      <c r="BE65" s="704"/>
      <c r="BF65" s="704"/>
      <c r="BG65" s="704"/>
      <c r="BH65" s="704"/>
      <c r="BI65" s="704"/>
      <c r="BJ65" s="704"/>
    </row>
    <row r="66" spans="1:62">
      <c r="A66" s="704"/>
      <c r="B66" s="704"/>
      <c r="C66" s="704"/>
      <c r="D66" s="704"/>
      <c r="E66" s="704"/>
      <c r="F66" s="704"/>
      <c r="G66" s="704"/>
      <c r="H66" s="704"/>
      <c r="I66" s="704"/>
      <c r="J66" s="704"/>
      <c r="K66" s="704"/>
      <c r="L66" s="704"/>
      <c r="M66" s="704"/>
      <c r="N66" s="704"/>
      <c r="O66" s="704"/>
      <c r="P66" s="704"/>
      <c r="Q66" s="704"/>
      <c r="R66" s="704"/>
      <c r="S66" s="704"/>
      <c r="T66" s="704"/>
      <c r="U66" s="704"/>
      <c r="V66" s="704"/>
      <c r="W66" s="704"/>
      <c r="X66" s="704"/>
      <c r="Y66" s="704"/>
      <c r="Z66" s="704"/>
      <c r="AA66" s="704"/>
      <c r="AB66" s="704"/>
      <c r="AC66" s="704"/>
      <c r="AD66" s="704"/>
      <c r="AE66" s="704"/>
      <c r="AF66" s="704"/>
      <c r="AG66" s="704"/>
      <c r="AH66" s="704"/>
      <c r="AI66" s="704"/>
      <c r="AJ66" s="704"/>
      <c r="AK66" s="704"/>
      <c r="AL66" s="704"/>
      <c r="AM66" s="704"/>
      <c r="AN66" s="704"/>
      <c r="AO66" s="704"/>
      <c r="AP66" s="704"/>
      <c r="AQ66" s="704"/>
      <c r="AR66" s="704"/>
      <c r="AS66" s="704"/>
      <c r="AT66" s="704"/>
      <c r="AU66" s="704"/>
      <c r="AV66" s="704"/>
      <c r="AW66" s="704"/>
      <c r="AX66" s="704"/>
      <c r="AY66" s="704"/>
      <c r="AZ66" s="704"/>
      <c r="BA66" s="704"/>
      <c r="BB66" s="704"/>
      <c r="BC66" s="704"/>
      <c r="BD66" s="704"/>
      <c r="BE66" s="704"/>
      <c r="BF66" s="704"/>
      <c r="BG66" s="704"/>
      <c r="BH66" s="704"/>
      <c r="BI66" s="704"/>
      <c r="BJ66" s="704"/>
    </row>
    <row r="67" spans="1:62">
      <c r="A67" s="704"/>
      <c r="B67" s="704" t="s">
        <v>295</v>
      </c>
      <c r="C67" s="704"/>
      <c r="D67" s="704"/>
      <c r="E67" s="1412">
        <f>+'qtrP&amp;L'!D14</f>
        <v>110.121</v>
      </c>
      <c r="F67" s="704"/>
      <c r="G67" s="1412">
        <f>'qtrP&amp;L'!H14</f>
        <v>133.036</v>
      </c>
      <c r="H67" s="704"/>
      <c r="I67" s="1412">
        <f>'qtrP&amp;L'!L14</f>
        <v>156.49799999999999</v>
      </c>
      <c r="J67" s="704"/>
      <c r="K67" s="1412">
        <f>'qtrP&amp;L'!P14</f>
        <v>173.26</v>
      </c>
      <c r="L67" s="704"/>
      <c r="M67" s="1412">
        <f>'qtrP&amp;L'!T14</f>
        <v>209.86500000000001</v>
      </c>
      <c r="N67" s="704"/>
      <c r="O67" s="1412">
        <f>'qtrP&amp;L'!X14</f>
        <v>278.113</v>
      </c>
      <c r="P67" s="704"/>
      <c r="Q67" s="1412">
        <f>'qtrP&amp;L'!AB14</f>
        <v>295.33299999999997</v>
      </c>
      <c r="R67" s="704"/>
      <c r="S67" s="1412">
        <f>+'qtrP&amp;L'!AF14</f>
        <v>348.95799999999997</v>
      </c>
      <c r="T67" s="704"/>
      <c r="U67" s="1412">
        <f>+'qtrP&amp;L'!AJ14</f>
        <v>422.75399999999996</v>
      </c>
      <c r="V67" s="704"/>
      <c r="W67" s="1412">
        <f>+'yrP&amp;L'!K7</f>
        <v>497.21700000000004</v>
      </c>
      <c r="X67" s="704"/>
      <c r="Y67" s="1412">
        <f>+'yrP&amp;L'!L7</f>
        <v>827.75</v>
      </c>
      <c r="Z67" s="704"/>
      <c r="AA67" s="1412">
        <f>+'yrP&amp;L'!M7</f>
        <v>1092.107</v>
      </c>
      <c r="AB67" s="704"/>
      <c r="AC67" s="1412">
        <f>+'yrP&amp;L'!N7</f>
        <v>1224.7170000000001</v>
      </c>
      <c r="AD67" s="704"/>
      <c r="AE67" s="1412">
        <f>+'yrP&amp;L'!O7</f>
        <v>1507.7239999999999</v>
      </c>
      <c r="AF67" s="704"/>
      <c r="AG67" s="1412">
        <f>+'yrP&amp;L'!P7</f>
        <v>1834.6179999999999</v>
      </c>
      <c r="AH67" s="704"/>
      <c r="AI67" s="1412">
        <f>+'yrP&amp;L'!Q7</f>
        <v>1937.8150000000001</v>
      </c>
      <c r="AJ67" s="704"/>
      <c r="AK67" s="1412">
        <f>+'yrP&amp;L'!R7</f>
        <v>2274.1019999999999</v>
      </c>
      <c r="AL67" s="704"/>
      <c r="AM67" s="1412">
        <f>+'yrP&amp;L'!S7</f>
        <v>2473.8010000000004</v>
      </c>
      <c r="AN67" s="704"/>
      <c r="AO67" s="1412">
        <f>+'yrP&amp;L'!T7</f>
        <v>2794.9250000000002</v>
      </c>
      <c r="AP67" s="704"/>
      <c r="AQ67" s="1412">
        <f>+'yrP&amp;L'!U7</f>
        <v>3086.64446</v>
      </c>
      <c r="AR67" s="704"/>
      <c r="AS67" s="1412">
        <f>+'yrP&amp;L'!V7</f>
        <v>3323.3465000000001</v>
      </c>
      <c r="AT67" s="1412"/>
      <c r="AU67" s="1412">
        <f>+'yrP&amp;L'!W7</f>
        <v>3445.134</v>
      </c>
      <c r="AV67" s="1412"/>
      <c r="AW67" s="1412">
        <f>+'yrP&amp;L'!X7</f>
        <v>3545.7939999999999</v>
      </c>
      <c r="AX67" s="1412"/>
      <c r="AY67" s="1412">
        <f>+'yrP&amp;L'!Y7</f>
        <v>3616.0140000000001</v>
      </c>
      <c r="AZ67" s="1412"/>
      <c r="BA67" s="1412">
        <f>+'yrP&amp;L'!Z7</f>
        <v>3780.8670300681124</v>
      </c>
      <c r="BB67" s="1412"/>
      <c r="BC67" s="1412">
        <f>+'yrP&amp;L'!AA7</f>
        <v>3842.0676519982039</v>
      </c>
      <c r="BD67" s="1412"/>
      <c r="BE67" s="1412">
        <f>'yrP&amp;L'!$AB$7</f>
        <v>3916.705838467351</v>
      </c>
      <c r="BF67" s="1412"/>
      <c r="BG67" s="1412">
        <f>'yrP&amp;L'!$AC$7</f>
        <v>3984.0831573459695</v>
      </c>
      <c r="BH67" s="1412"/>
      <c r="BI67" s="1412">
        <f>'yrP&amp;L'!$AD$7</f>
        <v>4045.0758316509987</v>
      </c>
      <c r="BJ67" s="1412"/>
    </row>
    <row r="68" spans="1:62">
      <c r="A68" s="704"/>
      <c r="B68" s="704" t="s">
        <v>296</v>
      </c>
      <c r="C68" s="704"/>
      <c r="D68" s="704"/>
      <c r="E68" s="707">
        <f>+'qtrP&amp;L'!D24</f>
        <v>52.795999999999992</v>
      </c>
      <c r="F68" s="704"/>
      <c r="G68" s="707">
        <f>'qtrP&amp;L'!H24</f>
        <v>65.453000000000003</v>
      </c>
      <c r="H68" s="707"/>
      <c r="I68" s="707">
        <f>'qtrP&amp;L'!L24</f>
        <v>99.411000000000001</v>
      </c>
      <c r="J68" s="707"/>
      <c r="K68" s="707">
        <f>'qtrP&amp;L'!P24</f>
        <v>112.69800000000001</v>
      </c>
      <c r="L68" s="707"/>
      <c r="M68" s="707">
        <f>'qtrP&amp;L'!T24</f>
        <v>131.08499999999998</v>
      </c>
      <c r="N68" s="707"/>
      <c r="O68" s="707">
        <f>'qtrP&amp;L'!X24</f>
        <v>173.45899999999997</v>
      </c>
      <c r="P68" s="704"/>
      <c r="Q68" s="707">
        <f>'qtrP&amp;L'!AB24</f>
        <v>200.00099999999998</v>
      </c>
      <c r="R68" s="704"/>
      <c r="S68" s="707">
        <f>+'qtrP&amp;L'!AF24</f>
        <v>235.31100000000001</v>
      </c>
      <c r="T68" s="704"/>
      <c r="U68" s="707">
        <f>'qtrP&amp;L'!AJ24</f>
        <v>271.96299999999997</v>
      </c>
      <c r="V68" s="704"/>
      <c r="W68" s="707">
        <f>+'yrP&amp;L'!K10</f>
        <v>334.88800000000003</v>
      </c>
      <c r="X68" s="704"/>
      <c r="Y68" s="707">
        <f>+'yrP&amp;L'!L10</f>
        <v>489.00000000000011</v>
      </c>
      <c r="Z68" s="704"/>
      <c r="AA68" s="707">
        <f>+'yrP&amp;L'!M10</f>
        <v>643.50099999999998</v>
      </c>
      <c r="AB68" s="704"/>
      <c r="AC68" s="707">
        <f>+'yrP&amp;L'!N10</f>
        <v>772.79599999999994</v>
      </c>
      <c r="AD68" s="704"/>
      <c r="AE68" s="707">
        <f>+'yrP&amp;L'!O10</f>
        <v>930.952</v>
      </c>
      <c r="AF68" s="704"/>
      <c r="AG68" s="707">
        <f>+'yrP&amp;L'!P10</f>
        <v>1121.1400000000001</v>
      </c>
      <c r="AH68" s="704"/>
      <c r="AI68" s="707">
        <f>+'yrP&amp;L'!Q10</f>
        <v>1151.67</v>
      </c>
      <c r="AJ68" s="704"/>
      <c r="AK68" s="707">
        <f>+'yrP&amp;L'!R10</f>
        <v>1337.482</v>
      </c>
      <c r="AL68" s="704"/>
      <c r="AM68" s="707">
        <f>+'yrP&amp;L'!S10</f>
        <v>1613.2649999999999</v>
      </c>
      <c r="AN68" s="704"/>
      <c r="AO68" s="707">
        <f>+'yrP&amp;L'!T10</f>
        <v>1763.394</v>
      </c>
      <c r="AP68" s="704"/>
      <c r="AQ68" s="707">
        <f>+'yrP&amp;L'!U10</f>
        <v>1925.2660000000001</v>
      </c>
      <c r="AR68" s="704"/>
      <c r="AS68" s="707">
        <f>+'yrP&amp;L'!V10</f>
        <v>2148.1469999999999</v>
      </c>
      <c r="AT68" s="707"/>
      <c r="AU68" s="707">
        <f>+'yrP&amp;L'!W10</f>
        <v>2243.232</v>
      </c>
      <c r="AV68" s="707"/>
      <c r="AW68" s="707">
        <f>+'yrP&amp;L'!X10</f>
        <v>2296.84</v>
      </c>
      <c r="AX68" s="707"/>
      <c r="AY68" s="707">
        <f>+'yrP&amp;L'!Y10</f>
        <v>2429.0970000000002</v>
      </c>
      <c r="AZ68" s="707"/>
      <c r="BA68" s="707">
        <f>+'yrP&amp;L'!Z10</f>
        <v>2525.7731349124797</v>
      </c>
      <c r="BB68" s="707"/>
      <c r="BC68" s="707">
        <f>+'yrP&amp;L'!AA10</f>
        <v>2559.5854697612035</v>
      </c>
      <c r="BD68" s="707"/>
      <c r="BE68" s="707">
        <f>'yrP&amp;L'!$AB$10</f>
        <v>2608.1344178354088</v>
      </c>
      <c r="BF68" s="707"/>
      <c r="BG68" s="707">
        <f>'yrP&amp;L'!$AC$10</f>
        <v>2648.6184830036009</v>
      </c>
      <c r="BH68" s="707"/>
      <c r="BI68" s="707">
        <f>'yrP&amp;L'!$AD$10</f>
        <v>2686.7393673825932</v>
      </c>
      <c r="BJ68" s="707"/>
    </row>
    <row r="69" spans="1:62">
      <c r="A69" s="704"/>
      <c r="B69" s="704" t="s">
        <v>297</v>
      </c>
      <c r="C69" s="704"/>
      <c r="D69" s="704"/>
      <c r="E69" s="707">
        <f>+'qtrP&amp;L'!D34</f>
        <v>39.72</v>
      </c>
      <c r="F69" s="704"/>
      <c r="G69" s="707">
        <f>'qtrP&amp;L'!H34</f>
        <v>47.716000000000001</v>
      </c>
      <c r="H69" s="707"/>
      <c r="I69" s="707">
        <f>'qtrP&amp;L'!L34</f>
        <v>35.731000000000009</v>
      </c>
      <c r="J69" s="707"/>
      <c r="K69" s="707">
        <f>'qtrP&amp;L'!P34</f>
        <v>38.5</v>
      </c>
      <c r="L69" s="707"/>
      <c r="M69" s="707">
        <f>'qtrP&amp;L'!T34</f>
        <v>53.664000000000001</v>
      </c>
      <c r="N69" s="707"/>
      <c r="O69" s="707">
        <f>'qtrP&amp;L'!X34</f>
        <v>67.088999999999999</v>
      </c>
      <c r="P69" s="704"/>
      <c r="Q69" s="707">
        <f>'qtrP&amp;L'!AB34</f>
        <v>77.454000000000008</v>
      </c>
      <c r="R69" s="704"/>
      <c r="S69" s="707">
        <f>+'qtrP&amp;L'!AF34</f>
        <v>88.149000000000001</v>
      </c>
      <c r="T69" s="704"/>
      <c r="U69" s="707">
        <f>'qtrP&amp;L'!AJ34</f>
        <v>105.39200000000001</v>
      </c>
      <c r="V69" s="704"/>
      <c r="W69" s="707">
        <f>+'yrP&amp;L'!K24</f>
        <v>132.767</v>
      </c>
      <c r="X69" s="704"/>
      <c r="Y69" s="707">
        <f>+'yrP&amp;L'!L24</f>
        <v>190.38400000000001</v>
      </c>
      <c r="Z69" s="704"/>
      <c r="AA69" s="707">
        <f>+'yrP&amp;L'!M24</f>
        <v>240.90700000000004</v>
      </c>
      <c r="AB69" s="704"/>
      <c r="AC69" s="707">
        <f>+'yrP&amp;L'!N24</f>
        <v>287.93199999999996</v>
      </c>
      <c r="AD69" s="704"/>
      <c r="AE69" s="707">
        <f>+'yrP&amp;L'!O24</f>
        <v>351.827</v>
      </c>
      <c r="AF69" s="704"/>
      <c r="AG69" s="707">
        <f>+'yrP&amp;L'!P24</f>
        <v>414.04300000000001</v>
      </c>
      <c r="AH69" s="704"/>
      <c r="AI69" s="707">
        <f>+'yrP&amp;L'!Q24</f>
        <v>447.16100000000006</v>
      </c>
      <c r="AJ69" s="704"/>
      <c r="AK69" s="707">
        <f>+'yrP&amp;L'!R24</f>
        <v>522.41700000000003</v>
      </c>
      <c r="AL69" s="704"/>
      <c r="AM69" s="707">
        <f>+'yrP&amp;L'!S24</f>
        <v>575.81099999999992</v>
      </c>
      <c r="AN69" s="704"/>
      <c r="AO69" s="707">
        <f>+'yrP&amp;L'!T24</f>
        <v>657.24599999999998</v>
      </c>
      <c r="AP69" s="704"/>
      <c r="AQ69" s="707">
        <f>+'yrP&amp;L'!U24</f>
        <v>734.51099999999997</v>
      </c>
      <c r="AR69" s="704"/>
      <c r="AS69" s="707">
        <f>+'yrP&amp;L'!V24</f>
        <v>809.54499999999996</v>
      </c>
      <c r="AT69" s="707"/>
      <c r="AU69" s="707">
        <f>+'yrP&amp;L'!W24</f>
        <v>848.32300000000009</v>
      </c>
      <c r="AV69" s="707"/>
      <c r="AW69" s="707">
        <f>+'yrP&amp;L'!X24</f>
        <v>906.08600000000001</v>
      </c>
      <c r="AX69" s="707"/>
      <c r="AY69" s="707">
        <f>+'yrP&amp;L'!Y24</f>
        <v>913.55400000000009</v>
      </c>
      <c r="AZ69" s="707"/>
      <c r="BA69" s="707">
        <f>+'yrP&amp;L'!Z24</f>
        <v>950.85021950155021</v>
      </c>
      <c r="BB69" s="707"/>
      <c r="BC69" s="707">
        <f>+'yrP&amp;L'!AA24</f>
        <v>976.65359713794339</v>
      </c>
      <c r="BD69" s="707"/>
      <c r="BE69" s="707">
        <f>'yrP&amp;L'!$AB$24</f>
        <v>996.40996530609414</v>
      </c>
      <c r="BF69" s="707"/>
      <c r="BG69" s="707">
        <f>'yrP&amp;L'!$AC$24</f>
        <v>1017.5348383861607</v>
      </c>
      <c r="BH69" s="707"/>
      <c r="BI69" s="707">
        <f>'yrP&amp;L'!$AD$24</f>
        <v>1034.7303977363256</v>
      </c>
      <c r="BJ69" s="707"/>
    </row>
    <row r="70" spans="1:62">
      <c r="A70" s="704"/>
      <c r="B70" s="704" t="s">
        <v>299</v>
      </c>
      <c r="C70" s="704"/>
      <c r="D70" s="704"/>
      <c r="E70" s="707">
        <f>+'qtrP&amp;L'!D94</f>
        <v>10.845999999999989</v>
      </c>
      <c r="F70" s="704"/>
      <c r="G70" s="707">
        <f>'qtrP&amp;L'!H94</f>
        <v>12.308000000000005</v>
      </c>
      <c r="H70" s="707"/>
      <c r="I70" s="707">
        <f>'qtrP&amp;L'!L94</f>
        <v>13.259999999999996</v>
      </c>
      <c r="J70" s="707"/>
      <c r="K70" s="707">
        <f>'qtrP&amp;L'!P94</f>
        <v>13.879000000000001</v>
      </c>
      <c r="L70" s="707"/>
      <c r="M70" s="707">
        <f>'qtrP&amp;L'!T94</f>
        <v>15.762000000000006</v>
      </c>
      <c r="N70" s="707"/>
      <c r="O70" s="707">
        <f>'qtrP&amp;L'!X94</f>
        <v>18.68000000000001</v>
      </c>
      <c r="P70" s="704"/>
      <c r="Q70" s="707">
        <f>'qtrP&amp;L'!AB94</f>
        <v>10.494999999999978</v>
      </c>
      <c r="R70" s="704"/>
      <c r="S70" s="707">
        <f>+'qtrP&amp;L'!AF94</f>
        <v>15.006999999999991</v>
      </c>
      <c r="T70" s="704"/>
      <c r="U70" s="707">
        <f>'qtrP&amp;L'!AJ94</f>
        <v>27.412999999999993</v>
      </c>
      <c r="V70" s="704"/>
      <c r="W70" s="707">
        <f>+'yrP&amp;L'!K45</f>
        <v>-2.7679999999999865</v>
      </c>
      <c r="X70" s="704"/>
      <c r="Y70" s="707">
        <f>+'yrP&amp;L'!L45</f>
        <v>90.488999999999862</v>
      </c>
      <c r="Z70" s="704"/>
      <c r="AA70" s="707">
        <f>+'yrP&amp;L'!M45</f>
        <v>130.79599999999996</v>
      </c>
      <c r="AB70" s="704"/>
      <c r="AC70" s="707">
        <f>+'yrP&amp;L'!N45</f>
        <v>116.20600000000022</v>
      </c>
      <c r="AD70" s="704"/>
      <c r="AE70" s="707">
        <f>+'yrP&amp;L'!O45</f>
        <v>160.22999999999996</v>
      </c>
      <c r="AF70" s="704"/>
      <c r="AG70" s="707">
        <f>+'yrP&amp;L'!P45</f>
        <v>199.36399999999983</v>
      </c>
      <c r="AH70" s="704"/>
      <c r="AI70" s="707">
        <f>+'yrP&amp;L'!Q45</f>
        <v>219.89299999999997</v>
      </c>
      <c r="AJ70" s="704"/>
      <c r="AK70" s="707">
        <f>+'yrP&amp;L'!R45</f>
        <v>272.95799999999986</v>
      </c>
      <c r="AL70" s="704"/>
      <c r="AM70" s="707">
        <f>+'yrP&amp;L'!S45</f>
        <v>185.2510000000006</v>
      </c>
      <c r="AN70" s="704"/>
      <c r="AO70" s="707">
        <f>+'yrP&amp;L'!T45</f>
        <v>237.31400000000016</v>
      </c>
      <c r="AP70" s="704"/>
      <c r="AQ70" s="707">
        <f>+'yrP&amp;L'!U45</f>
        <v>282.39645999999993</v>
      </c>
      <c r="AR70" s="704"/>
      <c r="AS70" s="707">
        <f>+'yrP&amp;L'!V45</f>
        <v>232.69750000000022</v>
      </c>
      <c r="AT70" s="707"/>
      <c r="AU70" s="1413">
        <f>+'yrP&amp;L'!W45</f>
        <v>224.48899999999995</v>
      </c>
      <c r="AV70" s="1413"/>
      <c r="AW70" s="1413">
        <f>+'yrP&amp;L'!X45-4.341+1.694</f>
        <v>218.11999999999969</v>
      </c>
      <c r="AX70" s="707"/>
      <c r="AY70" s="707">
        <f>+'yrP&amp;L'!Y45-11.41-2.061+4.45</f>
        <v>172.96799999999979</v>
      </c>
      <c r="AZ70" s="707"/>
      <c r="BA70" s="707">
        <f>+'yrP&amp;L'!Z45</f>
        <v>227.6251077493252</v>
      </c>
      <c r="BB70" s="707"/>
      <c r="BC70" s="707">
        <f>+'yrP&amp;L'!AA45</f>
        <v>228.81394457188614</v>
      </c>
      <c r="BD70" s="707"/>
      <c r="BE70" s="707">
        <f>'yrP&amp;L'!$AB$45</f>
        <v>233.55169032987078</v>
      </c>
      <c r="BF70" s="707"/>
      <c r="BG70" s="707">
        <f>'yrP&amp;L'!$AC$45</f>
        <v>237.8670854173713</v>
      </c>
      <c r="BH70" s="707"/>
      <c r="BI70" s="707">
        <f>'yrP&amp;L'!$AD$45</f>
        <v>242.11315061237849</v>
      </c>
      <c r="BJ70" s="707"/>
    </row>
    <row r="71" spans="1:62">
      <c r="A71" s="704"/>
      <c r="B71" s="704"/>
      <c r="C71" s="704"/>
      <c r="D71" s="704"/>
      <c r="E71" s="704"/>
      <c r="F71" s="704"/>
      <c r="G71" s="704"/>
      <c r="H71" s="704"/>
      <c r="I71" s="704"/>
      <c r="J71" s="704"/>
      <c r="K71" s="704"/>
      <c r="L71" s="704"/>
      <c r="M71" s="704"/>
      <c r="N71" s="704"/>
      <c r="O71" s="704"/>
      <c r="P71" s="704"/>
      <c r="Q71" s="704"/>
      <c r="R71" s="704"/>
      <c r="S71" s="704"/>
      <c r="T71" s="704"/>
      <c r="U71" s="704"/>
      <c r="V71" s="704"/>
      <c r="W71" s="704"/>
      <c r="X71" s="704"/>
      <c r="Y71" s="704"/>
      <c r="Z71" s="704"/>
      <c r="AA71" s="704"/>
      <c r="AB71" s="704"/>
      <c r="AC71" s="704"/>
      <c r="AD71" s="704"/>
      <c r="AE71" s="704"/>
      <c r="AF71" s="704"/>
      <c r="AG71" s="704"/>
      <c r="AH71" s="704"/>
      <c r="AI71" s="704"/>
      <c r="AJ71" s="704"/>
      <c r="AK71" s="704"/>
      <c r="AL71" s="704"/>
      <c r="AM71" s="704"/>
      <c r="AN71" s="704"/>
      <c r="AO71" s="704"/>
      <c r="AP71" s="704"/>
      <c r="AQ71" s="704"/>
      <c r="AR71" s="704"/>
      <c r="AS71" s="704"/>
      <c r="AT71" s="704"/>
      <c r="AU71" s="704"/>
      <c r="AV71" s="704"/>
      <c r="AW71" s="704"/>
      <c r="AX71" s="704"/>
      <c r="AY71" s="704"/>
      <c r="AZ71" s="704"/>
      <c r="BA71" s="704"/>
      <c r="BB71" s="704"/>
      <c r="BC71" s="704"/>
      <c r="BD71" s="704"/>
      <c r="BE71" s="704"/>
      <c r="BF71" s="704"/>
      <c r="BG71" s="704"/>
      <c r="BH71" s="704"/>
      <c r="BI71" s="704"/>
      <c r="BJ71" s="704"/>
    </row>
    <row r="72" spans="1:62">
      <c r="A72" s="704"/>
      <c r="B72" s="704" t="s">
        <v>300</v>
      </c>
      <c r="C72" s="704"/>
      <c r="D72" s="704"/>
      <c r="E72" s="825">
        <f>E11/E67</f>
        <v>1.0642838332379837E-2</v>
      </c>
      <c r="F72" s="704"/>
      <c r="G72" s="825">
        <f>G11/G67</f>
        <v>1.1823867223909316E-2</v>
      </c>
      <c r="H72" s="704"/>
      <c r="I72" s="825">
        <f>I11/I67</f>
        <v>1.8064128615062174E-2</v>
      </c>
      <c r="J72" s="704"/>
      <c r="K72" s="825">
        <f>K11/K67</f>
        <v>2.595521182038555E-2</v>
      </c>
      <c r="L72" s="704"/>
      <c r="M72" s="825">
        <f>M11/M67</f>
        <v>2.2986205417768565E-2</v>
      </c>
      <c r="N72" s="704"/>
      <c r="O72" s="825">
        <f>O11/O67</f>
        <v>1.7349063150589868E-2</v>
      </c>
      <c r="P72" s="704"/>
      <c r="Q72" s="825">
        <f>Q11/Q67</f>
        <v>1.1661412710398094E-2</v>
      </c>
      <c r="R72" s="704"/>
      <c r="S72" s="825">
        <f>S11/S67</f>
        <v>1.1832369511517145E-2</v>
      </c>
      <c r="T72" s="704"/>
      <c r="U72" s="825">
        <f>U11/U67</f>
        <v>7.7160712849553177E-3</v>
      </c>
      <c r="V72" s="704"/>
      <c r="W72" s="825">
        <f>W11/W67</f>
        <v>1.3497124997737406E-2</v>
      </c>
      <c r="X72" s="704"/>
      <c r="Y72" s="825">
        <f>Y11/Y67</f>
        <v>1.010450015101178E-2</v>
      </c>
      <c r="Z72" s="704"/>
      <c r="AA72" s="825">
        <f>AA11/AA67</f>
        <v>1.311593094815801E-2</v>
      </c>
      <c r="AB72" s="704"/>
      <c r="AC72" s="825">
        <f>AC11/AC67</f>
        <v>1.704148795191052E-2</v>
      </c>
      <c r="AD72" s="704"/>
      <c r="AE72" s="825">
        <f>AE11/AE67</f>
        <v>1.7486622219981908E-2</v>
      </c>
      <c r="AF72" s="704"/>
      <c r="AG72" s="825">
        <f>AG11/AG67</f>
        <v>1.9835191849202398E-2</v>
      </c>
      <c r="AH72" s="704"/>
      <c r="AI72" s="825">
        <f>AI11/AI67</f>
        <v>1.9818713344669125E-2</v>
      </c>
      <c r="AJ72" s="704"/>
      <c r="AK72" s="825">
        <f>AK11/AK67</f>
        <v>1.6051170967705055E-2</v>
      </c>
      <c r="AL72" s="704"/>
      <c r="AM72" s="825">
        <f>AM11/AM67</f>
        <v>1.4824555410883898E-2</v>
      </c>
      <c r="AN72" s="704"/>
      <c r="AO72" s="825">
        <f>AO11/AO67</f>
        <v>1.4139556517616751E-2</v>
      </c>
      <c r="AP72" s="704"/>
      <c r="AQ72" s="825">
        <f>AQ11/AQ67</f>
        <v>1.7870862911110924E-2</v>
      </c>
      <c r="AR72" s="704"/>
      <c r="AS72" s="825">
        <f>AS11/AS67</f>
        <v>2.1200919013410126E-2</v>
      </c>
      <c r="AT72" s="1414"/>
      <c r="AU72" s="825">
        <f>AU11/AU67</f>
        <v>2.1979696580742579E-2</v>
      </c>
      <c r="AV72" s="825"/>
      <c r="AW72" s="825">
        <f>AW11/AW67</f>
        <v>1.5371733383270433E-2</v>
      </c>
      <c r="AX72" s="1414"/>
      <c r="AY72" s="825">
        <f>AY11/AY67</f>
        <v>2.1283656534515631E-2</v>
      </c>
      <c r="AZ72" s="1414"/>
      <c r="BA72" s="1414">
        <f>AY72</f>
        <v>2.1283656534515631E-2</v>
      </c>
      <c r="BB72" s="1414"/>
      <c r="BC72" s="1414">
        <f>BA72</f>
        <v>2.1283656534515631E-2</v>
      </c>
      <c r="BD72" s="1414"/>
      <c r="BE72" s="1414">
        <f>BC72</f>
        <v>2.1283656534515631E-2</v>
      </c>
      <c r="BF72" s="1414"/>
      <c r="BG72" s="1414">
        <f>BE72</f>
        <v>2.1283656534515631E-2</v>
      </c>
      <c r="BH72" s="1414"/>
      <c r="BI72" s="1414">
        <f>BG72</f>
        <v>2.1283656534515631E-2</v>
      </c>
      <c r="BJ72" s="1414"/>
    </row>
    <row r="73" spans="1:62">
      <c r="A73" s="704"/>
      <c r="B73" s="704" t="s">
        <v>302</v>
      </c>
      <c r="C73" s="704"/>
      <c r="D73" s="704"/>
      <c r="E73" s="825">
        <f>E12/E67</f>
        <v>9.4269031338255205E-2</v>
      </c>
      <c r="F73" s="704"/>
      <c r="G73" s="825">
        <f>G12/G67</f>
        <v>7.8753119456387743E-2</v>
      </c>
      <c r="H73" s="704"/>
      <c r="I73" s="825">
        <f>I12/I67</f>
        <v>0.10840394126442511</v>
      </c>
      <c r="J73" s="704"/>
      <c r="K73" s="825">
        <f>K12/K67</f>
        <v>9.8857208819115791E-2</v>
      </c>
      <c r="L73" s="704"/>
      <c r="M73" s="825">
        <f>M12/M67</f>
        <v>0.1042622638362757</v>
      </c>
      <c r="N73" s="704"/>
      <c r="O73" s="825">
        <f>O12/O67</f>
        <v>9.6608213208300223E-2</v>
      </c>
      <c r="P73" s="704"/>
      <c r="Q73" s="825">
        <f>Q12/Q67</f>
        <v>0.11778568598835892</v>
      </c>
      <c r="R73" s="704"/>
      <c r="S73" s="825">
        <f>S12/S67</f>
        <v>0.11773909754182452</v>
      </c>
      <c r="T73" s="704"/>
      <c r="U73" s="825">
        <f>U12/U67</f>
        <v>0.11549269788103722</v>
      </c>
      <c r="V73" s="704"/>
      <c r="W73" s="825">
        <f>W12/W67</f>
        <v>0.12720200636744117</v>
      </c>
      <c r="X73" s="704"/>
      <c r="Y73" s="825">
        <f>Y12/Y67</f>
        <v>0.11959649652672907</v>
      </c>
      <c r="Z73" s="825"/>
      <c r="AA73" s="825">
        <f>AA12/AA67</f>
        <v>0.12853777148209838</v>
      </c>
      <c r="AB73" s="704"/>
      <c r="AC73" s="825">
        <f>AC12/AC67</f>
        <v>0.12605932635866079</v>
      </c>
      <c r="AD73" s="704"/>
      <c r="AE73" s="825">
        <f>AE12/AE67</f>
        <v>0.11402949080866261</v>
      </c>
      <c r="AF73" s="704"/>
      <c r="AG73" s="825">
        <f>AG12/AG67</f>
        <v>9.249772977262842E-2</v>
      </c>
      <c r="AH73" s="704"/>
      <c r="AI73" s="825">
        <f>AI12/AI67</f>
        <v>9.6051480662498731E-2</v>
      </c>
      <c r="AJ73" s="704"/>
      <c r="AK73" s="825">
        <f>AK12/AK67</f>
        <v>0.10094577991664402</v>
      </c>
      <c r="AL73" s="704"/>
      <c r="AM73" s="825">
        <f>AM12/AM67</f>
        <v>0.10108856775464153</v>
      </c>
      <c r="AN73" s="704"/>
      <c r="AO73" s="825">
        <f>AO12/AO67</f>
        <v>0.10104421406656708</v>
      </c>
      <c r="AP73" s="704"/>
      <c r="AQ73" s="825">
        <f>AQ12/AQ67</f>
        <v>0.10082372752448462</v>
      </c>
      <c r="AR73" s="704"/>
      <c r="AS73" s="825">
        <f>AS12/AS67</f>
        <v>0.10779405638262517</v>
      </c>
      <c r="AT73" s="1414"/>
      <c r="AU73" s="825">
        <f>AU12/AU67</f>
        <v>9.5852004595467111E-2</v>
      </c>
      <c r="AV73" s="825"/>
      <c r="AW73" s="825">
        <f>AW12/AW67</f>
        <v>9.5490600976819287E-2</v>
      </c>
      <c r="AX73" s="1414"/>
      <c r="AY73" s="825">
        <f>AY12/AY67</f>
        <v>9.7177444556354034E-2</v>
      </c>
      <c r="AZ73" s="1414"/>
      <c r="BA73" s="1414">
        <f t="shared" ref="BA73:BG76" si="0">AY73</f>
        <v>9.7177444556354034E-2</v>
      </c>
      <c r="BB73" s="1414"/>
      <c r="BC73" s="1414">
        <f t="shared" si="0"/>
        <v>9.7177444556354034E-2</v>
      </c>
      <c r="BD73" s="1414"/>
      <c r="BE73" s="1414">
        <f t="shared" si="0"/>
        <v>9.7177444556354034E-2</v>
      </c>
      <c r="BF73" s="1414"/>
      <c r="BG73" s="1414">
        <f t="shared" si="0"/>
        <v>9.7177444556354034E-2</v>
      </c>
      <c r="BH73" s="1414"/>
      <c r="BI73" s="1414">
        <f t="shared" ref="BI73:BI76" si="1">BG73</f>
        <v>9.7177444556354034E-2</v>
      </c>
      <c r="BJ73" s="1414"/>
    </row>
    <row r="74" spans="1:62">
      <c r="A74" s="704"/>
      <c r="B74" s="704" t="s">
        <v>301</v>
      </c>
      <c r="C74" s="704"/>
      <c r="D74" s="704"/>
      <c r="E74" s="825">
        <f>E34/E12</f>
        <v>0.42683749157113959</v>
      </c>
      <c r="F74" s="704"/>
      <c r="G74" s="825">
        <f>G34/G12</f>
        <v>0.65839457860074446</v>
      </c>
      <c r="H74" s="704"/>
      <c r="I74" s="825">
        <f>I34/I12</f>
        <v>0.51276156793398175</v>
      </c>
      <c r="J74" s="704"/>
      <c r="K74" s="825">
        <f>K34/K12</f>
        <v>0.60637552545539464</v>
      </c>
      <c r="L74" s="704"/>
      <c r="M74" s="825">
        <f>M34/M12</f>
        <v>0.67469494081623327</v>
      </c>
      <c r="N74" s="704"/>
      <c r="O74" s="825">
        <f>O34/O12</f>
        <v>0.62379038261128494</v>
      </c>
      <c r="P74" s="704"/>
      <c r="Q74" s="825">
        <f>Q34/Q12</f>
        <v>0.55732191111366636</v>
      </c>
      <c r="R74" s="704"/>
      <c r="S74" s="825">
        <f>S34/S12</f>
        <v>0.50718006133476123</v>
      </c>
      <c r="T74" s="704"/>
      <c r="U74" s="825">
        <f>U34/U12</f>
        <v>0.39295442908346134</v>
      </c>
      <c r="V74" s="704"/>
      <c r="W74" s="825">
        <f>W34/W12</f>
        <v>0.43247901086217533</v>
      </c>
      <c r="X74" s="704"/>
      <c r="Y74" s="825">
        <f>Y34/Y12</f>
        <v>0.39498565598610041</v>
      </c>
      <c r="Z74" s="704"/>
      <c r="AA74" s="825">
        <f>AA34/AA12</f>
        <v>0.29414362751732831</v>
      </c>
      <c r="AB74" s="704"/>
      <c r="AC74" s="825">
        <f>AC34/AC12</f>
        <v>0.3752518022890528</v>
      </c>
      <c r="AD74" s="704"/>
      <c r="AE74" s="825">
        <f>AE34/AE12</f>
        <v>0.43053657117929323</v>
      </c>
      <c r="AF74" s="704"/>
      <c r="AG74" s="825">
        <f>AG34/AG12</f>
        <v>0.37098256903440224</v>
      </c>
      <c r="AH74" s="704"/>
      <c r="AI74" s="825">
        <f>AI34/AI12</f>
        <v>0.41928222210283134</v>
      </c>
      <c r="AJ74" s="704"/>
      <c r="AK74" s="825">
        <f>AK34/AK12</f>
        <v>0.36114148309164013</v>
      </c>
      <c r="AL74" s="704"/>
      <c r="AM74" s="825">
        <f>AM34/AM12</f>
        <v>0.38290419197594305</v>
      </c>
      <c r="AN74" s="704"/>
      <c r="AO74" s="825">
        <f>AO34/AO12</f>
        <v>0.35076183293143681</v>
      </c>
      <c r="AP74" s="704"/>
      <c r="AQ74" s="825">
        <f>AQ34/AQ12</f>
        <v>0.44033713894610343</v>
      </c>
      <c r="AR74" s="704"/>
      <c r="AS74" s="825">
        <f>AS34/AS12</f>
        <v>0.43571713697915065</v>
      </c>
      <c r="AT74" s="1414"/>
      <c r="AU74" s="825">
        <f>AU34/AU12</f>
        <v>0.35744027520796551</v>
      </c>
      <c r="AV74" s="825"/>
      <c r="AW74" s="825">
        <f>AW34/AW12</f>
        <v>0.35304350394282175</v>
      </c>
      <c r="AX74" s="1414"/>
      <c r="AY74" s="825">
        <f>AY34/AY12</f>
        <v>0.36496250658091328</v>
      </c>
      <c r="AZ74" s="1414"/>
      <c r="BA74" s="1414">
        <f t="shared" si="0"/>
        <v>0.36496250658091328</v>
      </c>
      <c r="BB74" s="1414"/>
      <c r="BC74" s="1414">
        <f t="shared" si="0"/>
        <v>0.36496250658091328</v>
      </c>
      <c r="BD74" s="1414"/>
      <c r="BE74" s="1414">
        <f t="shared" si="0"/>
        <v>0.36496250658091328</v>
      </c>
      <c r="BF74" s="1414"/>
      <c r="BG74" s="1414">
        <f t="shared" si="0"/>
        <v>0.36496250658091328</v>
      </c>
      <c r="BH74" s="1414"/>
      <c r="BI74" s="1414">
        <f t="shared" si="1"/>
        <v>0.36496250658091328</v>
      </c>
      <c r="BJ74" s="1414"/>
    </row>
    <row r="75" spans="1:62">
      <c r="A75" s="704"/>
      <c r="B75" s="704" t="s">
        <v>522</v>
      </c>
      <c r="C75" s="704"/>
      <c r="D75" s="704"/>
      <c r="E75" s="825">
        <f>E36/E68</f>
        <v>3.7578604439730288E-2</v>
      </c>
      <c r="F75" s="704"/>
      <c r="G75" s="825">
        <f>G36/G69</f>
        <v>2.8543884650850868E-2</v>
      </c>
      <c r="H75" s="704"/>
      <c r="I75" s="825">
        <f>I36/I69</f>
        <v>2.6615543925442884E-2</v>
      </c>
      <c r="J75" s="704"/>
      <c r="K75" s="825">
        <f>K36/K69</f>
        <v>2.6597402597402599E-2</v>
      </c>
      <c r="L75" s="704"/>
      <c r="M75" s="825">
        <f>M36/M69</f>
        <v>3.7473911747167563E-2</v>
      </c>
      <c r="N75" s="704"/>
      <c r="O75" s="825">
        <f>O36/O69</f>
        <v>3.598205368987465E-2</v>
      </c>
      <c r="P75" s="704"/>
      <c r="Q75" s="825">
        <f>Q36/Q69</f>
        <v>2.2916828052779711E-2</v>
      </c>
      <c r="R75" s="704"/>
      <c r="S75" s="825">
        <f>S36/S69</f>
        <v>4.4560913907134507E-2</v>
      </c>
      <c r="T75" s="704"/>
      <c r="U75" s="825">
        <f>U36/U69</f>
        <v>4.9311143160771211E-2</v>
      </c>
      <c r="V75" s="704"/>
      <c r="W75" s="825">
        <f>W36/W69</f>
        <v>5.8418131011471225E-2</v>
      </c>
      <c r="X75" s="704"/>
      <c r="Y75" s="825">
        <f>Y36/Y69</f>
        <v>5.0340364736532479E-2</v>
      </c>
      <c r="Z75" s="704"/>
      <c r="AA75" s="825">
        <f>AA36/AA69</f>
        <v>5.2605362235219388E-2</v>
      </c>
      <c r="AB75" s="704"/>
      <c r="AC75" s="825">
        <f>AC36/AC69</f>
        <v>1.7684731117069308E-2</v>
      </c>
      <c r="AD75" s="704"/>
      <c r="AE75" s="825">
        <f>AE36/AE69</f>
        <v>2.8786875367723341E-2</v>
      </c>
      <c r="AF75" s="704"/>
      <c r="AG75" s="825">
        <f>AG36/AG69</f>
        <v>2.8922116784971606E-2</v>
      </c>
      <c r="AH75" s="704"/>
      <c r="AI75" s="825">
        <f>AI36/AI69</f>
        <v>4.9004720894711293E-2</v>
      </c>
      <c r="AJ75" s="704"/>
      <c r="AK75" s="825">
        <f>AK36/AK69</f>
        <v>3.8689399464412529E-2</v>
      </c>
      <c r="AL75" s="704"/>
      <c r="AM75" s="825">
        <f>AM36/AM69</f>
        <v>2.714432339778157E-2</v>
      </c>
      <c r="AN75" s="704"/>
      <c r="AO75" s="825">
        <f>AO36/AO69</f>
        <v>4.7311052482632072E-2</v>
      </c>
      <c r="AP75" s="704"/>
      <c r="AQ75" s="825">
        <f>AQ36/AQ69</f>
        <v>5.5935173196861587E-2</v>
      </c>
      <c r="AR75" s="704"/>
      <c r="AS75" s="825">
        <f>AS36/AS69</f>
        <v>5.559542706087988E-2</v>
      </c>
      <c r="AT75" s="1414"/>
      <c r="AU75" s="825">
        <f>AU36/AU69</f>
        <v>4.8889397081064635E-2</v>
      </c>
      <c r="AV75" s="825"/>
      <c r="AW75" s="825">
        <f>AW36/AW69</f>
        <v>6.4874636623896628E-2</v>
      </c>
      <c r="AX75" s="1414"/>
      <c r="AY75" s="825">
        <f>AY36/AY69</f>
        <v>0</v>
      </c>
      <c r="AZ75" s="1414"/>
      <c r="BA75" s="1414">
        <f t="shared" si="0"/>
        <v>0</v>
      </c>
      <c r="BB75" s="1414"/>
      <c r="BC75" s="1414">
        <f t="shared" si="0"/>
        <v>0</v>
      </c>
      <c r="BD75" s="1414"/>
      <c r="BE75" s="1414">
        <f t="shared" si="0"/>
        <v>0</v>
      </c>
      <c r="BF75" s="1414"/>
      <c r="BG75" s="1414">
        <f t="shared" si="0"/>
        <v>0</v>
      </c>
      <c r="BH75" s="1414"/>
      <c r="BI75" s="1414">
        <f t="shared" si="1"/>
        <v>0</v>
      </c>
      <c r="BJ75" s="1414"/>
    </row>
    <row r="76" spans="1:62">
      <c r="A76" s="704"/>
      <c r="B76" s="704" t="s">
        <v>523</v>
      </c>
      <c r="C76" s="704"/>
      <c r="D76" s="704"/>
      <c r="E76" s="825">
        <f>E37/E69</f>
        <v>4.3882175226586106E-2</v>
      </c>
      <c r="F76" s="704"/>
      <c r="G76" s="825">
        <f>G37/G69</f>
        <v>3.7974683544303799E-2</v>
      </c>
      <c r="H76" s="704"/>
      <c r="I76" s="825">
        <f>I37/I69</f>
        <v>4.4415213679997748E-2</v>
      </c>
      <c r="J76" s="704"/>
      <c r="K76" s="825">
        <f>K37/K69</f>
        <v>4.8935064935064936E-2</v>
      </c>
      <c r="L76" s="704"/>
      <c r="M76" s="825">
        <f>M37/M69</f>
        <v>0.11439698867024449</v>
      </c>
      <c r="N76" s="704"/>
      <c r="O76" s="825">
        <f>O37/O69</f>
        <v>0.12131646022447792</v>
      </c>
      <c r="P76" s="704"/>
      <c r="Q76" s="825">
        <f>Q37/Q69</f>
        <v>0.15694476721667053</v>
      </c>
      <c r="R76" s="704"/>
      <c r="S76" s="825">
        <f>S37/S69</f>
        <v>0.18223689434934032</v>
      </c>
      <c r="T76" s="704"/>
      <c r="U76" s="825">
        <f>U37/U69</f>
        <v>0.17732844997722785</v>
      </c>
      <c r="V76" s="704"/>
      <c r="W76" s="825">
        <f>W37/W69</f>
        <v>0.17062221787040455</v>
      </c>
      <c r="X76" s="704"/>
      <c r="Y76" s="825">
        <f>Y37/Y69</f>
        <v>0.26044730649634423</v>
      </c>
      <c r="Z76" s="704"/>
      <c r="AA76" s="825">
        <f>AA37/AA69</f>
        <v>0.33018550727044038</v>
      </c>
      <c r="AB76" s="704"/>
      <c r="AC76" s="825">
        <f>AC37/AC69</f>
        <v>0.25107317005404056</v>
      </c>
      <c r="AD76" s="704"/>
      <c r="AE76" s="825">
        <f>AE37/AE69</f>
        <v>0.23656513002128887</v>
      </c>
      <c r="AF76" s="704"/>
      <c r="AG76" s="825">
        <f>AG37/AG69</f>
        <v>0.15993507920674904</v>
      </c>
      <c r="AH76" s="704"/>
      <c r="AI76" s="825">
        <f>AI37/AI69</f>
        <v>0.19812774369857833</v>
      </c>
      <c r="AJ76" s="704"/>
      <c r="AK76" s="825">
        <f>AK37/AK69</f>
        <v>0.20655529969353983</v>
      </c>
      <c r="AL76" s="704"/>
      <c r="AM76" s="825">
        <f>AM37/AM69</f>
        <v>0.21201748490390077</v>
      </c>
      <c r="AN76" s="704"/>
      <c r="AO76" s="825">
        <f>AO37/AO69</f>
        <v>0.18264242003755063</v>
      </c>
      <c r="AP76" s="704"/>
      <c r="AQ76" s="825">
        <f>AQ37/AQ69</f>
        <v>0.20926711785119625</v>
      </c>
      <c r="AR76" s="704"/>
      <c r="AS76" s="825">
        <f>AS37/AS69</f>
        <v>0.18855406432008104</v>
      </c>
      <c r="AT76" s="1414"/>
      <c r="AU76" s="825">
        <f>AU37/AU69</f>
        <v>0.20006766290669944</v>
      </c>
      <c r="AV76" s="825"/>
      <c r="AW76" s="825">
        <f>AW37/AW69</f>
        <v>0.19270687329900252</v>
      </c>
      <c r="AX76" s="1414"/>
      <c r="AY76" s="825">
        <f>AY37/AY69</f>
        <v>0.25391821392057828</v>
      </c>
      <c r="AZ76" s="1414"/>
      <c r="BA76" s="1414">
        <f t="shared" si="0"/>
        <v>0.25391821392057828</v>
      </c>
      <c r="BB76" s="1414"/>
      <c r="BC76" s="1414">
        <f t="shared" si="0"/>
        <v>0.25391821392057828</v>
      </c>
      <c r="BD76" s="1414"/>
      <c r="BE76" s="1414">
        <f t="shared" si="0"/>
        <v>0.25391821392057828</v>
      </c>
      <c r="BF76" s="1414"/>
      <c r="BG76" s="1414">
        <f t="shared" si="0"/>
        <v>0.25391821392057828</v>
      </c>
      <c r="BH76" s="1414"/>
      <c r="BI76" s="1414">
        <f t="shared" si="1"/>
        <v>0.25391821392057828</v>
      </c>
      <c r="BJ76" s="1414"/>
    </row>
    <row r="77" spans="1:62">
      <c r="A77" s="704"/>
      <c r="B77" s="704"/>
      <c r="C77" s="704"/>
      <c r="D77" s="704"/>
      <c r="E77" s="704"/>
      <c r="F77" s="704"/>
      <c r="G77" s="704"/>
      <c r="H77" s="704"/>
      <c r="I77" s="704"/>
      <c r="J77" s="704"/>
      <c r="K77" s="704"/>
      <c r="L77" s="704"/>
      <c r="M77" s="704"/>
      <c r="N77" s="704"/>
      <c r="O77" s="704"/>
      <c r="P77" s="704"/>
      <c r="Q77" s="704"/>
      <c r="R77" s="704"/>
      <c r="S77" s="704"/>
      <c r="T77" s="704"/>
      <c r="U77" s="704"/>
      <c r="V77" s="704"/>
      <c r="W77" s="704"/>
      <c r="X77" s="704"/>
      <c r="Y77" s="704"/>
      <c r="Z77" s="704"/>
      <c r="AA77" s="704"/>
      <c r="AB77" s="704"/>
      <c r="AC77" s="704"/>
      <c r="AD77" s="704"/>
      <c r="AE77" s="704"/>
      <c r="AF77" s="704"/>
      <c r="AG77" s="704"/>
      <c r="AH77" s="704"/>
      <c r="AI77" s="704"/>
      <c r="AJ77" s="704"/>
      <c r="AK77" s="704"/>
      <c r="AL77" s="704"/>
      <c r="AM77" s="704"/>
      <c r="AN77" s="704"/>
      <c r="AO77" s="704"/>
      <c r="AP77" s="704"/>
      <c r="AQ77" s="704"/>
      <c r="AR77" s="704"/>
      <c r="AS77" s="704"/>
      <c r="AT77" s="704"/>
      <c r="AU77" s="704"/>
      <c r="AV77" s="704"/>
      <c r="AW77" s="704"/>
      <c r="AX77" s="704"/>
      <c r="AY77" s="704"/>
      <c r="AZ77" s="704"/>
      <c r="BA77" s="704"/>
      <c r="BB77" s="704"/>
      <c r="BC77" s="704"/>
      <c r="BD77" s="704"/>
      <c r="BE77" s="704"/>
      <c r="BF77" s="704"/>
      <c r="BG77" s="704"/>
      <c r="BH77" s="704"/>
      <c r="BI77" s="704"/>
      <c r="BJ77" s="704"/>
    </row>
    <row r="78" spans="1:62">
      <c r="A78" s="1415"/>
      <c r="B78" s="1415" t="s">
        <v>293</v>
      </c>
      <c r="C78" s="1415"/>
      <c r="D78" s="1415"/>
      <c r="E78" s="1415" t="str">
        <f>IF(E52=E29," ","Unbalanced")</f>
        <v xml:space="preserve"> </v>
      </c>
      <c r="F78" s="1415"/>
      <c r="G78" s="1415" t="str">
        <f>IF(G52=G29," ",G52-G29)</f>
        <v xml:space="preserve"> </v>
      </c>
      <c r="H78" s="1415"/>
      <c r="I78" s="1415" t="str">
        <f>IF(I52=I29," ",I52-I29)</f>
        <v xml:space="preserve"> </v>
      </c>
      <c r="J78" s="1415"/>
      <c r="K78" s="1415" t="str">
        <f>IF(K52=K29," ",K52-K29)</f>
        <v xml:space="preserve"> </v>
      </c>
      <c r="L78" s="1415"/>
      <c r="M78" s="1415" t="str">
        <f>IF(M52=M29," ",M52-M29)</f>
        <v xml:space="preserve"> </v>
      </c>
      <c r="N78" s="1415"/>
      <c r="O78" s="1415" t="str">
        <f>IF(O52=O29," ",O52-O29)</f>
        <v xml:space="preserve"> </v>
      </c>
      <c r="P78" s="1415"/>
      <c r="Q78" s="1415" t="str">
        <f>IF(Q52=Q29," ",Q52-Q29)</f>
        <v xml:space="preserve"> </v>
      </c>
      <c r="R78" s="1415"/>
      <c r="S78" s="1415" t="str">
        <f>IF(S52=S29," ",S52-S29)</f>
        <v xml:space="preserve"> </v>
      </c>
      <c r="T78" s="1415"/>
      <c r="U78" s="1416" t="str">
        <f>IF(U52=U29," ",U52-U29)</f>
        <v xml:space="preserve"> </v>
      </c>
      <c r="V78" s="1415"/>
      <c r="W78" s="1416" t="str">
        <f>IF(W52=W29," ",W52-W29)</f>
        <v xml:space="preserve"> </v>
      </c>
      <c r="X78" s="1415"/>
      <c r="Y78" s="1416" t="str">
        <f>IF(Y52=Y29," ",Y52-Y29)</f>
        <v xml:space="preserve"> </v>
      </c>
      <c r="Z78" s="1415"/>
      <c r="AA78" s="1416" t="str">
        <f>IF(AA52=AA29," ",AA52-AA29)</f>
        <v xml:space="preserve"> </v>
      </c>
      <c r="AB78" s="1415"/>
      <c r="AC78" s="1416" t="str">
        <f>IF(AC52=AC29," ",AC52-AC29)</f>
        <v xml:space="preserve"> </v>
      </c>
      <c r="AD78" s="1415"/>
      <c r="AE78" s="1416" t="str">
        <f>IF(AE52=AE29," ",AE52-AE29)</f>
        <v xml:space="preserve"> </v>
      </c>
      <c r="AF78" s="1415"/>
      <c r="AG78" s="1416" t="str">
        <f>IF(AG52=AG29," ",AG52-AG29)</f>
        <v xml:space="preserve"> </v>
      </c>
      <c r="AH78" s="1415"/>
      <c r="AI78" s="1416" t="str">
        <f>IF(AI52=AI29," ",AI52-AI29)</f>
        <v xml:space="preserve"> </v>
      </c>
      <c r="AJ78" s="1415"/>
      <c r="AK78" s="1416" t="str">
        <f>IF(AK52=AK29," ",AK52-AK29)</f>
        <v xml:space="preserve"> </v>
      </c>
      <c r="AL78" s="1415"/>
      <c r="AM78" s="1416" t="str">
        <f>IF(AM52=AM29," ",AM52-AM29)</f>
        <v xml:space="preserve"> </v>
      </c>
      <c r="AN78" s="1415"/>
      <c r="AO78" s="1416" t="str">
        <f>IF(AO52=AO29," ",AO52-AO29)</f>
        <v xml:space="preserve"> </v>
      </c>
      <c r="AP78" s="1415"/>
      <c r="AQ78" s="1417">
        <f>IF(AQ52=AQ29," ",AQ52-AQ29)</f>
        <v>-4.6000000065760105E-4</v>
      </c>
      <c r="AR78" s="1417"/>
      <c r="AS78" s="1417">
        <f>IF(AS52=AS29," ",AS52-AS29)</f>
        <v>4.0399999993496749E-3</v>
      </c>
      <c r="AT78" s="1417"/>
      <c r="AU78" s="1417">
        <f>IF(AU52=AU29," ",AU52-AU29)</f>
        <v>2.0399999993969686E-3</v>
      </c>
      <c r="AV78" s="1417"/>
      <c r="AW78" s="1417">
        <f>IF(AW52=AW29," ",AW52-AW29)</f>
        <v>2.0400000000790897E-3</v>
      </c>
      <c r="AX78" s="1417"/>
      <c r="AY78" s="1417" t="str">
        <f>IF(AY52=AY29," ",AY52-AY29)</f>
        <v xml:space="preserve"> </v>
      </c>
      <c r="AZ78" s="1417"/>
      <c r="BA78" s="1417" t="str">
        <f>IF(BA52=BA29," ",BA52-BA29)</f>
        <v xml:space="preserve"> </v>
      </c>
      <c r="BB78" s="1417"/>
      <c r="BC78" s="1417" t="str">
        <f>IF(BC52=BC29," ",BC52-BC29)</f>
        <v xml:space="preserve"> </v>
      </c>
      <c r="BD78" s="1417"/>
      <c r="BE78" s="1417" t="str">
        <f>IF(BE52=BE29," ",BE52-BE29)</f>
        <v xml:space="preserve"> </v>
      </c>
      <c r="BF78" s="1417"/>
      <c r="BG78" s="1417" t="str">
        <f>IF(BG52=BG29," ",BG52-BG29)</f>
        <v xml:space="preserve"> </v>
      </c>
      <c r="BH78" s="1417"/>
      <c r="BI78" s="1417">
        <f>IF(BI52=BI29," ",BI52-BI29)</f>
        <v>-4.5474735088646412E-13</v>
      </c>
      <c r="BJ78" s="1417"/>
    </row>
    <row r="79" spans="1:62" ht="9" customHeight="1">
      <c r="A79" s="704"/>
      <c r="B79" s="704"/>
      <c r="C79" s="704"/>
      <c r="D79" s="704"/>
      <c r="E79" s="704"/>
      <c r="F79" s="704"/>
      <c r="G79" s="704"/>
      <c r="H79" s="704"/>
      <c r="I79" s="704"/>
      <c r="J79" s="704"/>
      <c r="K79" s="704"/>
      <c r="L79" s="704"/>
      <c r="M79" s="704"/>
      <c r="N79" s="704"/>
      <c r="O79" s="704"/>
      <c r="P79" s="704"/>
      <c r="Q79" s="704"/>
      <c r="R79" s="704"/>
      <c r="S79" s="704"/>
      <c r="T79" s="704"/>
      <c r="U79" s="704"/>
      <c r="V79" s="704"/>
      <c r="W79" s="704"/>
      <c r="X79" s="704"/>
      <c r="Y79" s="704"/>
      <c r="Z79" s="704"/>
      <c r="AA79" s="704"/>
      <c r="AB79" s="704"/>
      <c r="AC79" s="704"/>
      <c r="AD79" s="704"/>
      <c r="AE79" s="704"/>
      <c r="AF79" s="704"/>
      <c r="AG79" s="704"/>
      <c r="AH79" s="704"/>
      <c r="AI79" s="704"/>
      <c r="AJ79" s="704"/>
      <c r="AK79" s="704"/>
      <c r="AL79" s="704"/>
      <c r="AM79" s="704"/>
      <c r="AN79" s="704"/>
      <c r="AO79" s="704"/>
      <c r="AP79" s="704"/>
      <c r="AQ79" s="704"/>
      <c r="AR79" s="704"/>
      <c r="AS79" s="704"/>
      <c r="AT79" s="704"/>
      <c r="AU79" s="704"/>
      <c r="AV79" s="704"/>
      <c r="AW79" s="704"/>
      <c r="AX79" s="704"/>
      <c r="AY79" s="704"/>
      <c r="AZ79" s="704"/>
      <c r="BA79" s="704"/>
      <c r="BB79" s="704"/>
      <c r="BC79" s="704"/>
      <c r="BD79" s="704"/>
      <c r="BE79" s="704"/>
      <c r="BF79" s="704"/>
      <c r="BG79" s="704"/>
      <c r="BH79" s="704"/>
      <c r="BI79" s="704"/>
      <c r="BJ79" s="704"/>
    </row>
    <row r="80" spans="1:62" hidden="1" outlineLevel="1">
      <c r="A80" s="1418"/>
      <c r="B80" s="1418"/>
      <c r="C80" s="1418"/>
      <c r="D80" s="1418"/>
      <c r="E80" s="1418"/>
      <c r="F80" s="1418"/>
      <c r="G80" s="1418"/>
      <c r="H80" s="1418"/>
      <c r="I80" s="1418"/>
      <c r="J80" s="1418"/>
      <c r="K80" s="1418"/>
      <c r="L80" s="1418"/>
      <c r="M80" s="1418"/>
      <c r="N80" s="1418"/>
      <c r="O80" s="1418"/>
      <c r="P80" s="1418"/>
      <c r="Q80" s="1418"/>
      <c r="R80" s="1418"/>
      <c r="S80" s="1418"/>
      <c r="T80" s="1418"/>
      <c r="U80" s="1418"/>
      <c r="V80" s="1418"/>
      <c r="W80" s="1418"/>
      <c r="X80" s="1418"/>
      <c r="Y80" s="1418"/>
      <c r="Z80" s="1418"/>
      <c r="AA80" s="1418"/>
      <c r="AB80" s="1418"/>
      <c r="AC80" s="1418"/>
      <c r="AD80" s="1418"/>
      <c r="AE80" s="1418"/>
      <c r="AF80" s="1418"/>
      <c r="AG80" s="1418"/>
      <c r="AH80" s="1418"/>
      <c r="AI80" s="1418"/>
      <c r="AJ80" s="1418"/>
      <c r="AK80" s="1418"/>
      <c r="AL80" s="1418"/>
      <c r="AM80" s="1418"/>
      <c r="AN80" s="1418"/>
      <c r="AO80" s="1418"/>
      <c r="AP80" s="1418"/>
      <c r="AQ80" s="1418"/>
      <c r="AR80" s="1418"/>
      <c r="AS80" s="1418"/>
      <c r="AT80" s="1418"/>
      <c r="AU80" s="1418"/>
      <c r="AV80" s="1418"/>
      <c r="AW80" s="1418"/>
      <c r="AX80" s="1418"/>
      <c r="AY80" s="1418"/>
      <c r="AZ80" s="1418"/>
      <c r="BA80" s="1418"/>
      <c r="BB80" s="1418"/>
      <c r="BC80" s="1418"/>
      <c r="BD80" s="1418"/>
      <c r="BE80" s="1418"/>
      <c r="BF80" s="1418"/>
      <c r="BG80" s="1418"/>
      <c r="BH80" s="1418"/>
      <c r="BI80" s="1418"/>
      <c r="BJ80" s="1481"/>
    </row>
    <row r="81" spans="1:62" hidden="1" outlineLevel="1">
      <c r="A81" s="1393" t="s">
        <v>276</v>
      </c>
      <c r="B81" s="704"/>
      <c r="C81" s="704"/>
      <c r="D81" s="704"/>
      <c r="E81" s="704"/>
      <c r="F81" s="704"/>
      <c r="G81" s="704"/>
      <c r="H81" s="704"/>
      <c r="I81" s="704"/>
      <c r="J81" s="704"/>
      <c r="K81" s="704"/>
      <c r="L81" s="704"/>
      <c r="M81" s="1419">
        <v>0</v>
      </c>
      <c r="N81" s="1393"/>
      <c r="O81" s="1419">
        <v>0</v>
      </c>
      <c r="P81" s="1393"/>
      <c r="Q81" s="1419">
        <v>0</v>
      </c>
      <c r="R81" s="1393"/>
      <c r="S81" s="1419">
        <v>0</v>
      </c>
      <c r="T81" s="1393"/>
      <c r="U81" s="1419">
        <v>0</v>
      </c>
      <c r="V81" s="1393"/>
      <c r="W81" s="1419">
        <v>0</v>
      </c>
      <c r="X81" s="1393"/>
      <c r="Y81" s="1419">
        <v>0</v>
      </c>
      <c r="Z81" s="1393"/>
      <c r="AA81" s="1419">
        <v>0</v>
      </c>
      <c r="AB81" s="1393"/>
      <c r="AC81" s="1419">
        <v>0</v>
      </c>
      <c r="AD81" s="1393"/>
      <c r="AE81" s="1419">
        <v>0</v>
      </c>
      <c r="AF81" s="1393"/>
      <c r="AG81" s="1419">
        <v>0</v>
      </c>
      <c r="AH81" s="1393"/>
      <c r="AI81" s="1419">
        <v>0</v>
      </c>
      <c r="AJ81" s="1393"/>
      <c r="AK81" s="1419">
        <v>0</v>
      </c>
      <c r="AL81" s="1393"/>
      <c r="AM81" s="1419">
        <v>0</v>
      </c>
      <c r="AN81" s="1393"/>
      <c r="AO81" s="1419">
        <v>0</v>
      </c>
      <c r="AP81" s="1393"/>
      <c r="AQ81" s="1419">
        <v>0</v>
      </c>
      <c r="AR81" s="1393"/>
      <c r="AS81" s="1419">
        <v>0</v>
      </c>
      <c r="AT81" s="1419"/>
      <c r="AU81" s="1419">
        <v>0</v>
      </c>
      <c r="AV81" s="1419"/>
      <c r="AW81" s="1419">
        <v>0</v>
      </c>
      <c r="AX81" s="1419"/>
      <c r="AY81" s="1419">
        <v>0</v>
      </c>
      <c r="AZ81" s="1419"/>
      <c r="BA81" s="1419">
        <v>0</v>
      </c>
      <c r="BB81" s="1419"/>
      <c r="BC81" s="1419">
        <v>0</v>
      </c>
      <c r="BD81" s="1419"/>
      <c r="BE81" s="1419">
        <v>0</v>
      </c>
      <c r="BF81" s="1419"/>
      <c r="BG81" s="1419">
        <v>0</v>
      </c>
      <c r="BH81" s="1419"/>
      <c r="BI81" s="1419">
        <v>0</v>
      </c>
      <c r="BJ81" s="1419"/>
    </row>
    <row r="82" spans="1:62" hidden="1" outlineLevel="1">
      <c r="A82" s="1393" t="s">
        <v>277</v>
      </c>
      <c r="B82" s="704"/>
      <c r="C82" s="704"/>
      <c r="D82" s="704"/>
      <c r="E82" s="704"/>
      <c r="F82" s="704"/>
      <c r="G82" s="704"/>
      <c r="H82" s="704"/>
      <c r="I82" s="704"/>
      <c r="J82" s="704"/>
      <c r="K82" s="704"/>
      <c r="L82" s="704"/>
      <c r="M82" s="1420">
        <v>0</v>
      </c>
      <c r="N82" s="1421"/>
      <c r="O82" s="1420">
        <v>0</v>
      </c>
      <c r="P82" s="1421"/>
      <c r="Q82" s="1420">
        <v>0</v>
      </c>
      <c r="R82" s="1421"/>
      <c r="S82" s="1420">
        <v>0</v>
      </c>
      <c r="T82" s="1421"/>
      <c r="U82" s="1420">
        <v>0</v>
      </c>
      <c r="V82" s="1421"/>
      <c r="W82" s="1420">
        <v>0</v>
      </c>
      <c r="X82" s="1421"/>
      <c r="Y82" s="1420">
        <v>0</v>
      </c>
      <c r="Z82" s="1421"/>
      <c r="AA82" s="1420">
        <v>0</v>
      </c>
      <c r="AB82" s="1421"/>
      <c r="AC82" s="1420">
        <v>0</v>
      </c>
      <c r="AD82" s="1421"/>
      <c r="AE82" s="1420">
        <v>0</v>
      </c>
      <c r="AF82" s="1421"/>
      <c r="AG82" s="1420">
        <v>0</v>
      </c>
      <c r="AH82" s="1421"/>
      <c r="AI82" s="1420">
        <v>0</v>
      </c>
      <c r="AJ82" s="1421"/>
      <c r="AK82" s="1420">
        <v>0</v>
      </c>
      <c r="AL82" s="1421"/>
      <c r="AM82" s="1420">
        <v>0</v>
      </c>
      <c r="AN82" s="1421"/>
      <c r="AO82" s="1420">
        <v>0</v>
      </c>
      <c r="AP82" s="1421"/>
      <c r="AQ82" s="1420">
        <v>0</v>
      </c>
      <c r="AR82" s="1421"/>
      <c r="AS82" s="1420">
        <v>0</v>
      </c>
      <c r="AT82" s="1420"/>
      <c r="AU82" s="1420">
        <v>0</v>
      </c>
      <c r="AV82" s="1420"/>
      <c r="AW82" s="1420">
        <v>0</v>
      </c>
      <c r="AX82" s="1420"/>
      <c r="AY82" s="1420">
        <v>0</v>
      </c>
      <c r="AZ82" s="1420"/>
      <c r="BA82" s="1420">
        <v>0</v>
      </c>
      <c r="BB82" s="1420"/>
      <c r="BC82" s="1420">
        <v>0</v>
      </c>
      <c r="BD82" s="1420"/>
      <c r="BE82" s="1420">
        <v>0</v>
      </c>
      <c r="BF82" s="1420"/>
      <c r="BG82" s="1420">
        <v>0</v>
      </c>
      <c r="BH82" s="1420"/>
      <c r="BI82" s="1420">
        <v>0</v>
      </c>
      <c r="BJ82" s="1420"/>
    </row>
    <row r="83" spans="1:62" hidden="1" outlineLevel="1">
      <c r="A83" s="1393" t="s">
        <v>278</v>
      </c>
      <c r="B83" s="704"/>
      <c r="C83" s="704"/>
      <c r="D83" s="704"/>
      <c r="E83" s="704"/>
      <c r="F83" s="704"/>
      <c r="G83" s="704"/>
      <c r="H83" s="704"/>
      <c r="I83" s="704"/>
      <c r="J83" s="704"/>
      <c r="K83" s="704"/>
      <c r="L83" s="704"/>
      <c r="M83" s="1422">
        <f>M81-M82</f>
        <v>0</v>
      </c>
      <c r="N83" s="704"/>
      <c r="O83" s="1422">
        <f>O81-O82</f>
        <v>0</v>
      </c>
      <c r="P83" s="704"/>
      <c r="Q83" s="1422">
        <f>Q81-Q82</f>
        <v>0</v>
      </c>
      <c r="R83" s="704"/>
      <c r="S83" s="1422">
        <f>S81-S82</f>
        <v>0</v>
      </c>
      <c r="T83" s="704"/>
      <c r="U83" s="1422">
        <f>U81-U82</f>
        <v>0</v>
      </c>
      <c r="V83" s="704"/>
      <c r="W83" s="1422">
        <f>W81-W82</f>
        <v>0</v>
      </c>
      <c r="X83" s="704"/>
      <c r="Y83" s="1422">
        <f>Y81-Y82</f>
        <v>0</v>
      </c>
      <c r="Z83" s="704"/>
      <c r="AA83" s="1422">
        <f>AA81-AA82</f>
        <v>0</v>
      </c>
      <c r="AB83" s="704"/>
      <c r="AC83" s="1422">
        <f>AC81-AC82</f>
        <v>0</v>
      </c>
      <c r="AD83" s="704"/>
      <c r="AE83" s="1422">
        <f>AE81-AE82</f>
        <v>0</v>
      </c>
      <c r="AF83" s="704"/>
      <c r="AG83" s="1422">
        <f>AG81-AG82</f>
        <v>0</v>
      </c>
      <c r="AH83" s="704"/>
      <c r="AI83" s="1422">
        <f>AI81-AI82</f>
        <v>0</v>
      </c>
      <c r="AJ83" s="704"/>
      <c r="AK83" s="1422">
        <f>AK81-AK82</f>
        <v>0</v>
      </c>
      <c r="AL83" s="704"/>
      <c r="AM83" s="1422">
        <f>AM81-AM82</f>
        <v>0</v>
      </c>
      <c r="AN83" s="704"/>
      <c r="AO83" s="1422">
        <f>AO81-AO82</f>
        <v>0</v>
      </c>
      <c r="AP83" s="704"/>
      <c r="AQ83" s="1422">
        <f>AQ81-AQ82</f>
        <v>0</v>
      </c>
      <c r="AR83" s="704"/>
      <c r="AS83" s="1422">
        <f>AS81-AS82</f>
        <v>0</v>
      </c>
      <c r="AT83" s="1422"/>
      <c r="AU83" s="1422">
        <f>AU81-AU82</f>
        <v>0</v>
      </c>
      <c r="AV83" s="1422"/>
      <c r="AW83" s="1422">
        <f>AW81-AW82</f>
        <v>0</v>
      </c>
      <c r="AX83" s="1422"/>
      <c r="AY83" s="1422">
        <f>AY81-AY82</f>
        <v>0</v>
      </c>
      <c r="AZ83" s="1422"/>
      <c r="BA83" s="1422">
        <f>BA81-BA82</f>
        <v>0</v>
      </c>
      <c r="BB83" s="1422"/>
      <c r="BC83" s="1422">
        <f>BC81-BC82</f>
        <v>0</v>
      </c>
      <c r="BD83" s="1422"/>
      <c r="BE83" s="1422">
        <f>BE81-BE82</f>
        <v>0</v>
      </c>
      <c r="BF83" s="1422"/>
      <c r="BG83" s="1422">
        <f>BG81-BG82</f>
        <v>0</v>
      </c>
      <c r="BH83" s="1422"/>
      <c r="BI83" s="1422">
        <f>BI81-BI82</f>
        <v>0</v>
      </c>
      <c r="BJ83" s="1422"/>
    </row>
    <row r="84" spans="1:62" hidden="1" outlineLevel="1">
      <c r="A84" s="1393" t="s">
        <v>279</v>
      </c>
      <c r="B84" s="704"/>
      <c r="C84" s="704"/>
      <c r="D84" s="704"/>
      <c r="E84" s="704"/>
      <c r="F84" s="704"/>
      <c r="G84" s="704"/>
      <c r="H84" s="704"/>
      <c r="I84" s="704"/>
      <c r="J84" s="704"/>
      <c r="K84" s="704"/>
      <c r="L84" s="704"/>
      <c r="M84" s="1419">
        <v>0</v>
      </c>
      <c r="N84" s="1419"/>
      <c r="O84" s="1419">
        <v>0</v>
      </c>
      <c r="P84" s="1419"/>
      <c r="Q84" s="1419">
        <v>0</v>
      </c>
      <c r="R84" s="1419"/>
      <c r="S84" s="1419">
        <v>0</v>
      </c>
      <c r="T84" s="1419"/>
      <c r="U84" s="1419">
        <v>0</v>
      </c>
      <c r="V84" s="1419"/>
      <c r="W84" s="1419">
        <v>0</v>
      </c>
      <c r="X84" s="1419"/>
      <c r="Y84" s="1419">
        <v>0</v>
      </c>
      <c r="Z84" s="1419"/>
      <c r="AA84" s="1419">
        <v>0</v>
      </c>
      <c r="AB84" s="1419"/>
      <c r="AC84" s="1419">
        <v>0</v>
      </c>
      <c r="AD84" s="1419"/>
      <c r="AE84" s="1419">
        <v>0</v>
      </c>
      <c r="AF84" s="1419"/>
      <c r="AG84" s="1419">
        <v>0</v>
      </c>
      <c r="AH84" s="1419"/>
      <c r="AI84" s="1419">
        <v>0</v>
      </c>
      <c r="AJ84" s="1419"/>
      <c r="AK84" s="1419">
        <v>0</v>
      </c>
      <c r="AL84" s="1419"/>
      <c r="AM84" s="1419">
        <v>0</v>
      </c>
      <c r="AN84" s="1419"/>
      <c r="AO84" s="1419">
        <v>0</v>
      </c>
      <c r="AP84" s="1419"/>
      <c r="AQ84" s="1419">
        <v>0</v>
      </c>
      <c r="AR84" s="1419"/>
      <c r="AS84" s="1419">
        <v>0</v>
      </c>
      <c r="AT84" s="1419"/>
      <c r="AU84" s="1419">
        <v>0</v>
      </c>
      <c r="AV84" s="1419"/>
      <c r="AW84" s="1419">
        <v>0</v>
      </c>
      <c r="AX84" s="1419"/>
      <c r="AY84" s="1419">
        <v>0</v>
      </c>
      <c r="AZ84" s="1419"/>
      <c r="BA84" s="1419">
        <v>0</v>
      </c>
      <c r="BB84" s="1419"/>
      <c r="BC84" s="1419">
        <v>0</v>
      </c>
      <c r="BD84" s="1419"/>
      <c r="BE84" s="1419">
        <v>0</v>
      </c>
      <c r="BF84" s="1419"/>
      <c r="BG84" s="1419">
        <v>0</v>
      </c>
      <c r="BH84" s="1419"/>
      <c r="BI84" s="1419">
        <v>0</v>
      </c>
      <c r="BJ84" s="1419"/>
    </row>
    <row r="85" spans="1:62" hidden="1" outlineLevel="1">
      <c r="A85" s="1393" t="s">
        <v>280</v>
      </c>
      <c r="B85" s="704"/>
      <c r="C85" s="704"/>
      <c r="D85" s="704"/>
      <c r="E85" s="704"/>
      <c r="F85" s="704"/>
      <c r="G85" s="704"/>
      <c r="H85" s="704"/>
      <c r="I85" s="704"/>
      <c r="J85" s="704"/>
      <c r="K85" s="704"/>
      <c r="L85" s="704"/>
      <c r="M85" s="1419">
        <v>0</v>
      </c>
      <c r="N85" s="1419"/>
      <c r="O85" s="1419">
        <v>0</v>
      </c>
      <c r="P85" s="1419"/>
      <c r="Q85" s="1419">
        <v>0</v>
      </c>
      <c r="R85" s="1419"/>
      <c r="S85" s="1419">
        <v>0</v>
      </c>
      <c r="T85" s="1419"/>
      <c r="U85" s="1419">
        <v>0</v>
      </c>
      <c r="V85" s="1419"/>
      <c r="W85" s="1419">
        <v>0</v>
      </c>
      <c r="X85" s="1419"/>
      <c r="Y85" s="1419">
        <v>0</v>
      </c>
      <c r="Z85" s="1419"/>
      <c r="AA85" s="1419">
        <v>0</v>
      </c>
      <c r="AB85" s="1419"/>
      <c r="AC85" s="1419">
        <v>0</v>
      </c>
      <c r="AD85" s="1419"/>
      <c r="AE85" s="1419">
        <v>0</v>
      </c>
      <c r="AF85" s="1419"/>
      <c r="AG85" s="1419">
        <v>0</v>
      </c>
      <c r="AH85" s="1419"/>
      <c r="AI85" s="1419">
        <v>0</v>
      </c>
      <c r="AJ85" s="1419"/>
      <c r="AK85" s="1419">
        <v>0</v>
      </c>
      <c r="AL85" s="1419"/>
      <c r="AM85" s="1419">
        <v>0</v>
      </c>
      <c r="AN85" s="1419"/>
      <c r="AO85" s="1419">
        <v>0</v>
      </c>
      <c r="AP85" s="1419"/>
      <c r="AQ85" s="1419">
        <v>0</v>
      </c>
      <c r="AR85" s="1419"/>
      <c r="AS85" s="1419">
        <v>0</v>
      </c>
      <c r="AT85" s="1419"/>
      <c r="AU85" s="1419">
        <v>0</v>
      </c>
      <c r="AV85" s="1419"/>
      <c r="AW85" s="1419">
        <v>0</v>
      </c>
      <c r="AX85" s="1419"/>
      <c r="AY85" s="1419">
        <v>0</v>
      </c>
      <c r="AZ85" s="1419"/>
      <c r="BA85" s="1419">
        <v>0</v>
      </c>
      <c r="BB85" s="1419"/>
      <c r="BC85" s="1419">
        <v>0</v>
      </c>
      <c r="BD85" s="1419"/>
      <c r="BE85" s="1419">
        <v>0</v>
      </c>
      <c r="BF85" s="1419"/>
      <c r="BG85" s="1419">
        <v>0</v>
      </c>
      <c r="BH85" s="1419"/>
      <c r="BI85" s="1419">
        <v>0</v>
      </c>
      <c r="BJ85" s="1419"/>
    </row>
    <row r="86" spans="1:62" hidden="1" outlineLevel="1">
      <c r="A86" s="1393" t="s">
        <v>283</v>
      </c>
      <c r="B86" s="704"/>
      <c r="C86" s="704"/>
      <c r="D86" s="704"/>
      <c r="E86" s="704"/>
      <c r="F86" s="704"/>
      <c r="G86" s="704"/>
      <c r="H86" s="704"/>
      <c r="I86" s="704"/>
      <c r="J86" s="704"/>
      <c r="K86" s="704"/>
      <c r="L86" s="704"/>
      <c r="M86" s="704"/>
      <c r="N86" s="704"/>
      <c r="O86" s="1419">
        <v>5.5789999999999997</v>
      </c>
      <c r="P86" s="704"/>
      <c r="Q86" s="1419">
        <v>5.4859999999999998</v>
      </c>
      <c r="R86" s="704"/>
      <c r="S86" s="1419">
        <v>6.82</v>
      </c>
      <c r="T86" s="704"/>
      <c r="U86" s="1419">
        <v>12.7</v>
      </c>
      <c r="V86" s="704"/>
      <c r="W86" s="1419">
        <v>13.8</v>
      </c>
      <c r="X86" s="704"/>
      <c r="Y86" s="1419">
        <v>16.7</v>
      </c>
      <c r="Z86" s="704"/>
      <c r="AA86" s="1423">
        <f>AA29*AA87</f>
        <v>23.076149999999995</v>
      </c>
      <c r="AB86" s="1423"/>
      <c r="AC86" s="1423">
        <f>AC29*AC87</f>
        <v>26.977530000000002</v>
      </c>
      <c r="AD86" s="1423"/>
      <c r="AE86" s="1423">
        <f>AE29*AE87</f>
        <v>34.283730000000006</v>
      </c>
      <c r="AF86" s="1423"/>
      <c r="AG86" s="1423">
        <f>AG29*AG87</f>
        <v>39.870269999999991</v>
      </c>
      <c r="AH86" s="1423"/>
      <c r="AI86" s="1423">
        <f>AI29*AI87</f>
        <v>49.082789999999996</v>
      </c>
      <c r="AJ86" s="1423"/>
      <c r="AK86" s="1423">
        <f>AK29*AK87</f>
        <v>53.829629999999987</v>
      </c>
      <c r="AL86" s="1423"/>
      <c r="AM86" s="1423">
        <f>AM29*AM87</f>
        <v>44.511240000000001</v>
      </c>
      <c r="AN86" s="1423"/>
      <c r="AO86" s="1423">
        <f>AO29*AO87</f>
        <v>53.916330000000016</v>
      </c>
      <c r="AP86" s="1423"/>
      <c r="AQ86" s="1423">
        <f>AQ29*AQ87</f>
        <v>66.63643380000002</v>
      </c>
      <c r="AR86" s="1423"/>
      <c r="AS86" s="1423">
        <f>AS29*AS87</f>
        <v>56.663308800000017</v>
      </c>
      <c r="AT86" s="1423"/>
      <c r="AU86" s="1423">
        <f>AU29*AU87</f>
        <v>55.000108800000014</v>
      </c>
      <c r="AV86" s="1423"/>
      <c r="AW86" s="1423">
        <f>AW29*AW87</f>
        <v>57.080188800000002</v>
      </c>
      <c r="AX86" s="1423"/>
      <c r="AY86" s="1423">
        <f>AY29*AY87</f>
        <v>63.567388800000003</v>
      </c>
      <c r="AZ86" s="1423"/>
      <c r="BA86" s="1423">
        <f>BA29*BA87</f>
        <v>68.646148654675372</v>
      </c>
      <c r="BB86" s="1423"/>
      <c r="BC86" s="1423">
        <f>BC29*BC87</f>
        <v>73.562741883634061</v>
      </c>
      <c r="BD86" s="1423"/>
      <c r="BE86" s="1423">
        <f>BE29*BE87</f>
        <v>78.589701459824781</v>
      </c>
      <c r="BF86" s="1423"/>
      <c r="BG86" s="1423">
        <f>BG29*BG87</f>
        <v>83.748822093475169</v>
      </c>
      <c r="BH86" s="1423"/>
      <c r="BI86" s="1423">
        <f>BI29*BI87</f>
        <v>88.998599795412758</v>
      </c>
      <c r="BJ86" s="1423"/>
    </row>
    <row r="87" spans="1:62" hidden="1" outlineLevel="1">
      <c r="A87" s="704"/>
      <c r="B87" s="1393" t="s">
        <v>284</v>
      </c>
      <c r="C87" s="704"/>
      <c r="D87" s="704"/>
      <c r="E87" s="704"/>
      <c r="F87" s="704"/>
      <c r="G87" s="704"/>
      <c r="H87" s="704"/>
      <c r="I87" s="704"/>
      <c r="J87" s="704"/>
      <c r="K87" s="704"/>
      <c r="L87" s="704"/>
      <c r="M87" s="825"/>
      <c r="N87" s="704"/>
      <c r="O87" s="825">
        <f>O86/O29</f>
        <v>3.6345040097458654E-2</v>
      </c>
      <c r="P87" s="704"/>
      <c r="Q87" s="825">
        <f>Q86/Q29</f>
        <v>3.2516181037957274E-2</v>
      </c>
      <c r="R87" s="704"/>
      <c r="S87" s="825">
        <f>S86/S29</f>
        <v>3.4956074258592942E-2</v>
      </c>
      <c r="T87" s="704"/>
      <c r="U87" s="825">
        <f>U86/U29</f>
        <v>4.1914744749105601E-2</v>
      </c>
      <c r="V87" s="704"/>
      <c r="W87" s="825">
        <f>W86/W29</f>
        <v>3.5890580543144118E-2</v>
      </c>
      <c r="X87" s="704"/>
      <c r="Y87" s="825">
        <f>Y86/Y29</f>
        <v>2.9999065897349304E-2</v>
      </c>
      <c r="Z87" s="704"/>
      <c r="AA87" s="1414">
        <v>0.03</v>
      </c>
      <c r="AB87" s="825"/>
      <c r="AC87" s="1414">
        <v>0.03</v>
      </c>
      <c r="AD87" s="825"/>
      <c r="AE87" s="1414">
        <v>0.03</v>
      </c>
      <c r="AF87" s="825"/>
      <c r="AG87" s="1414">
        <v>0.03</v>
      </c>
      <c r="AH87" s="825"/>
      <c r="AI87" s="1414">
        <v>0.03</v>
      </c>
      <c r="AJ87" s="825"/>
      <c r="AK87" s="1414">
        <v>0.03</v>
      </c>
      <c r="AL87" s="825"/>
      <c r="AM87" s="1414">
        <v>0.03</v>
      </c>
      <c r="AN87" s="825"/>
      <c r="AO87" s="1414">
        <v>0.03</v>
      </c>
      <c r="AP87" s="825"/>
      <c r="AQ87" s="1414">
        <v>0.03</v>
      </c>
      <c r="AR87" s="825"/>
      <c r="AS87" s="1414">
        <v>0.03</v>
      </c>
      <c r="AT87" s="1414"/>
      <c r="AU87" s="1414">
        <v>0.03</v>
      </c>
      <c r="AV87" s="1414"/>
      <c r="AW87" s="1414">
        <v>0.03</v>
      </c>
      <c r="AX87" s="1414"/>
      <c r="AY87" s="1414">
        <v>0.03</v>
      </c>
      <c r="AZ87" s="1414"/>
      <c r="BA87" s="1414">
        <v>0.03</v>
      </c>
      <c r="BB87" s="1414"/>
      <c r="BC87" s="1414">
        <v>0.03</v>
      </c>
      <c r="BD87" s="1414"/>
      <c r="BE87" s="1414">
        <v>0.03</v>
      </c>
      <c r="BF87" s="1414"/>
      <c r="BG87" s="1414">
        <v>0.03</v>
      </c>
      <c r="BH87" s="1414"/>
      <c r="BI87" s="1414">
        <v>0.03</v>
      </c>
      <c r="BJ87" s="1414"/>
    </row>
    <row r="88" spans="1:62" collapsed="1">
      <c r="A88" s="704" t="s">
        <v>497</v>
      </c>
      <c r="B88" s="704"/>
      <c r="C88" s="704"/>
      <c r="D88" s="704"/>
      <c r="E88" s="704"/>
      <c r="F88" s="704"/>
      <c r="G88" s="704"/>
      <c r="H88" s="704"/>
      <c r="I88" s="704"/>
      <c r="J88" s="704"/>
      <c r="K88" s="704"/>
      <c r="L88" s="704"/>
      <c r="M88" s="1407">
        <f>(M9+M10)/'yrP&amp;L'!F54</f>
        <v>0.26630576009103407</v>
      </c>
      <c r="N88" s="704"/>
      <c r="O88" s="1407">
        <f>(O9+O10)/'yrP&amp;L'!G54</f>
        <v>0.16778414418542198</v>
      </c>
      <c r="P88" s="704"/>
      <c r="Q88" s="1407">
        <f>(Q9+Q10)/'yrP&amp;L'!H54</f>
        <v>0.12024304741661436</v>
      </c>
      <c r="R88" s="704"/>
      <c r="S88" s="1407">
        <f>(S9+S10)/'yrP&amp;L'!I54</f>
        <v>0.20273439330096696</v>
      </c>
      <c r="T88" s="704"/>
      <c r="U88" s="1407">
        <f>(U9+U10)/'yrP&amp;L'!J54</f>
        <v>0.51258604864380075</v>
      </c>
      <c r="V88" s="704"/>
      <c r="W88" s="1407">
        <f>(W9+W10)/'yrP&amp;L'!K54</f>
        <v>0.53922907778435558</v>
      </c>
      <c r="X88" s="704"/>
      <c r="Y88" s="1407">
        <f>(Y9+Y10)/'yrP&amp;L'!L54</f>
        <v>0.93055257401783764</v>
      </c>
      <c r="Z88" s="704"/>
      <c r="AA88" s="1407">
        <f>(AA9+AA10)/'yrP&amp;L'!M54</f>
        <v>1.1286305063444422</v>
      </c>
      <c r="AB88" s="704"/>
      <c r="AC88" s="1407">
        <f>(AC9+AC10)/'yrP&amp;L'!N54</f>
        <v>0.9444180636927505</v>
      </c>
      <c r="AD88" s="704"/>
      <c r="AE88" s="1407">
        <f>(AE9+AE10)/'yrP&amp;L'!O54</f>
        <v>1.0929170810958826</v>
      </c>
      <c r="AF88" s="704"/>
      <c r="AG88" s="1407">
        <f>(AG9+AG10)/'yrP&amp;L'!P54</f>
        <v>2.1422127548539613</v>
      </c>
      <c r="AH88" s="704"/>
      <c r="AI88" s="1407">
        <f>(AI9+AI10)/'yrP&amp;L'!Q54</f>
        <v>2.9290152566212804</v>
      </c>
      <c r="AJ88" s="704"/>
      <c r="AK88" s="1407">
        <f>(AK9+AK10)/'yrP&amp;L'!R54</f>
        <v>2.6796895536843497</v>
      </c>
      <c r="AL88" s="704"/>
      <c r="AM88" s="1407">
        <f>(AM9+AM10)/'yrP&amp;L'!S54</f>
        <v>1.5053784465534459</v>
      </c>
      <c r="AN88" s="704"/>
      <c r="AO88" s="1407">
        <f>(AO9+AO10)/'yrP&amp;L'!T54</f>
        <v>3.2306731962226252</v>
      </c>
      <c r="AP88" s="704"/>
      <c r="AQ88" s="1407">
        <f>(AQ9+AQ10)/'yrP&amp;L'!U54</f>
        <v>3.5107324427511384</v>
      </c>
      <c r="AR88" s="704"/>
      <c r="AS88" s="1407">
        <f>(AS9+AS10)/'yrP&amp;L'!V54</f>
        <v>1.8938178550239329</v>
      </c>
      <c r="AT88" s="1407"/>
      <c r="AU88" s="1407">
        <f>(AU9+AU10)/'yrP&amp;L'!W54</f>
        <v>2.5899858565850815</v>
      </c>
      <c r="AV88" s="1407"/>
      <c r="AW88" s="1407">
        <f>(AW9+AW10)/'yrP&amp;L'!X54</f>
        <v>3.0628317743789597</v>
      </c>
      <c r="AX88" s="1407"/>
      <c r="AY88" s="1407">
        <f>(AY9+AY10)/'yrP&amp;L'!Y54</f>
        <v>5.5188045416943599</v>
      </c>
      <c r="AZ88" s="1407"/>
      <c r="BA88" s="1407">
        <f>(BA9+BA10)/'yrP&amp;L'!Z54</f>
        <v>7.3030365206815864</v>
      </c>
      <c r="BB88" s="1407"/>
      <c r="BC88" s="1407">
        <f>(BC9+BC10)/'yrP&amp;L'!AA54</f>
        <v>9.5900758962724755</v>
      </c>
      <c r="BD88" s="1407"/>
      <c r="BE88" s="1407">
        <f>(BE9+BE10)/'yrP&amp;L'!AB54</f>
        <v>11.954059068213683</v>
      </c>
      <c r="BF88" s="1407"/>
      <c r="BG88" s="1407">
        <f>(BG9+BG10)/'yrP&amp;L'!AC54</f>
        <v>14.498784872178399</v>
      </c>
      <c r="BH88" s="1407"/>
      <c r="BI88" s="1407">
        <f>(BI9+BI10)/'yrP&amp;L'!AD54</f>
        <v>17.197528323562601</v>
      </c>
      <c r="BJ88" s="1407"/>
    </row>
    <row r="89" spans="1:62">
      <c r="A89" s="704"/>
      <c r="B89" s="704"/>
      <c r="C89" s="704"/>
      <c r="D89" s="704"/>
      <c r="E89" s="704"/>
      <c r="F89" s="704"/>
      <c r="G89" s="704"/>
      <c r="H89" s="704"/>
      <c r="I89" s="704"/>
      <c r="J89" s="704"/>
      <c r="K89" s="704"/>
      <c r="L89" s="704"/>
      <c r="M89" s="704"/>
      <c r="N89" s="704"/>
      <c r="O89" s="704"/>
      <c r="P89" s="704"/>
      <c r="Q89" s="704"/>
      <c r="R89" s="704"/>
      <c r="S89" s="704"/>
      <c r="T89" s="704"/>
      <c r="U89" s="704"/>
      <c r="V89" s="704"/>
      <c r="W89" s="704"/>
      <c r="X89" s="704"/>
      <c r="Y89" s="704"/>
      <c r="Z89" s="704"/>
      <c r="AA89" s="704"/>
      <c r="AB89" s="704"/>
      <c r="AC89" s="704"/>
      <c r="AD89" s="704"/>
      <c r="AE89" s="704"/>
      <c r="AF89" s="704"/>
      <c r="AG89" s="704"/>
      <c r="AH89" s="704"/>
      <c r="AI89" s="704"/>
      <c r="AJ89" s="704"/>
      <c r="AK89" s="704"/>
      <c r="AL89" s="704"/>
      <c r="AM89" s="704"/>
      <c r="AN89" s="704"/>
      <c r="AO89" s="704"/>
      <c r="AP89" s="704"/>
      <c r="AQ89" s="704"/>
      <c r="AR89" s="704"/>
      <c r="AS89" s="704"/>
      <c r="AT89" s="704"/>
      <c r="AU89" s="704"/>
      <c r="AV89" s="704"/>
      <c r="AW89" s="704"/>
      <c r="AX89" s="704"/>
      <c r="AY89" s="704"/>
      <c r="AZ89" s="704"/>
      <c r="BA89" s="704"/>
      <c r="BB89" s="704"/>
      <c r="BC89" s="704"/>
      <c r="BD89" s="704"/>
      <c r="BE89" s="704"/>
      <c r="BF89" s="704"/>
      <c r="BG89" s="704"/>
      <c r="BH89" s="704"/>
      <c r="BI89" s="704"/>
      <c r="BJ89" s="704"/>
    </row>
    <row r="90" spans="1:62" hidden="1" outlineLevel="1">
      <c r="A90" s="1424" t="s">
        <v>548</v>
      </c>
      <c r="B90" s="1425"/>
      <c r="C90" s="1425"/>
      <c r="D90" s="704"/>
      <c r="E90" s="704"/>
      <c r="F90" s="704"/>
      <c r="G90" s="704"/>
      <c r="H90" s="704"/>
      <c r="I90" s="704"/>
      <c r="J90" s="704"/>
      <c r="K90" s="704"/>
      <c r="L90" s="704"/>
      <c r="M90" s="704"/>
      <c r="N90" s="704"/>
      <c r="O90" s="704"/>
      <c r="P90" s="704"/>
      <c r="Q90" s="704"/>
      <c r="R90" s="704"/>
      <c r="S90" s="704"/>
      <c r="T90" s="704"/>
      <c r="U90" s="704"/>
      <c r="V90" s="704"/>
      <c r="W90" s="704"/>
      <c r="X90" s="704"/>
      <c r="Y90" s="704"/>
      <c r="Z90" s="704"/>
      <c r="AA90" s="704"/>
      <c r="AB90" s="704"/>
      <c r="AC90" s="704"/>
      <c r="AD90" s="704"/>
      <c r="AE90" s="704"/>
      <c r="AF90" s="704"/>
      <c r="AG90" s="704"/>
      <c r="AH90" s="704"/>
      <c r="AI90" s="704"/>
      <c r="AJ90" s="704"/>
      <c r="AK90" s="704"/>
      <c r="AL90" s="704"/>
      <c r="AM90" s="704"/>
      <c r="AN90" s="704"/>
      <c r="AO90" s="704"/>
      <c r="AP90" s="704"/>
      <c r="AQ90" s="704"/>
      <c r="AR90" s="704"/>
      <c r="AS90" s="704"/>
      <c r="AT90" s="704"/>
      <c r="AU90" s="704"/>
      <c r="AV90" s="704"/>
      <c r="AW90" s="704"/>
      <c r="AX90" s="704"/>
      <c r="AY90" s="704"/>
      <c r="AZ90" s="704"/>
      <c r="BA90" s="704"/>
      <c r="BB90" s="704"/>
      <c r="BC90" s="704"/>
      <c r="BD90" s="704"/>
      <c r="BE90" s="704"/>
      <c r="BF90" s="704"/>
      <c r="BG90" s="704"/>
      <c r="BH90" s="704"/>
      <c r="BI90" s="704"/>
      <c r="BJ90" s="704"/>
    </row>
    <row r="91" spans="1:62" hidden="1" outlineLevel="1">
      <c r="A91" s="1426"/>
      <c r="B91" s="704"/>
      <c r="C91" s="704"/>
      <c r="D91" s="704"/>
      <c r="E91" s="704"/>
      <c r="F91" s="704"/>
      <c r="G91" s="704"/>
      <c r="H91" s="704"/>
      <c r="I91" s="704"/>
      <c r="J91" s="704"/>
      <c r="K91" s="704"/>
      <c r="L91" s="704"/>
      <c r="M91" s="704"/>
      <c r="N91" s="704"/>
      <c r="O91" s="704"/>
      <c r="P91" s="704"/>
      <c r="Q91" s="704"/>
      <c r="R91" s="704"/>
      <c r="S91" s="704"/>
      <c r="T91" s="704"/>
      <c r="U91" s="704"/>
      <c r="V91" s="704"/>
      <c r="W91" s="704"/>
      <c r="X91" s="704"/>
      <c r="Y91" s="704"/>
      <c r="Z91" s="704"/>
      <c r="AA91" s="704"/>
      <c r="AB91" s="704"/>
      <c r="AC91" s="704"/>
      <c r="AD91" s="704"/>
      <c r="AE91" s="704"/>
      <c r="AF91" s="704"/>
      <c r="AG91" s="704"/>
      <c r="AH91" s="704"/>
      <c r="AI91" s="704"/>
      <c r="AJ91" s="704"/>
      <c r="AK91" s="704"/>
      <c r="AL91" s="704"/>
      <c r="AM91" s="704"/>
      <c r="AN91" s="704"/>
      <c r="AO91" s="704"/>
      <c r="AP91" s="704"/>
      <c r="AQ91" s="704"/>
      <c r="AR91" s="704"/>
      <c r="AS91" s="704"/>
      <c r="AT91" s="704"/>
      <c r="AU91" s="704"/>
      <c r="AV91" s="704"/>
      <c r="AW91" s="704"/>
      <c r="AX91" s="704"/>
      <c r="AY91" s="704"/>
      <c r="AZ91" s="704"/>
      <c r="BA91" s="704"/>
      <c r="BB91" s="704"/>
      <c r="BC91" s="704"/>
      <c r="BD91" s="704"/>
      <c r="BE91" s="704"/>
      <c r="BF91" s="704"/>
      <c r="BG91" s="704"/>
      <c r="BH91" s="704"/>
      <c r="BI91" s="704"/>
      <c r="BJ91" s="704"/>
    </row>
    <row r="92" spans="1:62" hidden="1" outlineLevel="1">
      <c r="A92" s="1427" t="s">
        <v>549</v>
      </c>
      <c r="B92" s="704"/>
      <c r="C92" s="704"/>
      <c r="D92" s="704"/>
      <c r="E92" s="704"/>
      <c r="F92" s="704"/>
      <c r="G92" s="704"/>
      <c r="H92" s="704"/>
      <c r="I92" s="704"/>
      <c r="J92" s="704"/>
      <c r="K92" s="704"/>
      <c r="L92" s="704"/>
      <c r="M92" s="704"/>
      <c r="N92" s="704"/>
      <c r="O92" s="704"/>
      <c r="P92" s="704"/>
      <c r="Q92" s="704"/>
      <c r="R92" s="704"/>
      <c r="S92" s="704"/>
      <c r="T92" s="704"/>
      <c r="U92" s="704"/>
      <c r="V92" s="704"/>
      <c r="W92" s="704"/>
      <c r="X92" s="704"/>
      <c r="Y92" s="704"/>
      <c r="Z92" s="704"/>
      <c r="AA92" s="704"/>
      <c r="AB92" s="704"/>
      <c r="AC92" s="704"/>
      <c r="AD92" s="704"/>
      <c r="AE92" s="704"/>
      <c r="AF92" s="704"/>
      <c r="AG92" s="704"/>
      <c r="AH92" s="704"/>
      <c r="AI92" s="704"/>
      <c r="AJ92" s="704"/>
      <c r="AK92" s="704"/>
      <c r="AL92" s="704"/>
      <c r="AM92" s="704"/>
      <c r="AN92" s="704"/>
      <c r="AO92" s="704"/>
      <c r="AP92" s="704"/>
      <c r="AQ92" s="704"/>
      <c r="AR92" s="704"/>
      <c r="AS92" s="704"/>
      <c r="AT92" s="704"/>
      <c r="AU92" s="704"/>
      <c r="AV92" s="704"/>
      <c r="AW92" s="704"/>
      <c r="AX92" s="704"/>
      <c r="AY92" s="704"/>
      <c r="AZ92" s="704"/>
      <c r="BA92" s="704"/>
      <c r="BB92" s="704"/>
      <c r="BC92" s="704"/>
      <c r="BD92" s="704"/>
      <c r="BE92" s="704"/>
      <c r="BF92" s="704"/>
      <c r="BG92" s="704"/>
      <c r="BH92" s="704"/>
      <c r="BI92" s="704"/>
      <c r="BJ92" s="704"/>
    </row>
    <row r="93" spans="1:62" hidden="1" outlineLevel="1">
      <c r="A93" s="1428" t="s">
        <v>550</v>
      </c>
      <c r="B93" s="704"/>
      <c r="C93" s="704"/>
      <c r="D93" s="704"/>
      <c r="E93" s="704"/>
      <c r="F93" s="704"/>
      <c r="G93" s="704"/>
      <c r="H93" s="704"/>
      <c r="I93" s="704"/>
      <c r="J93" s="704"/>
      <c r="K93" s="704"/>
      <c r="L93" s="704"/>
      <c r="M93" s="704"/>
      <c r="N93" s="704"/>
      <c r="O93" s="704"/>
      <c r="P93" s="704"/>
      <c r="Q93" s="1380">
        <f>SUM(Q9:Q14)</f>
        <v>64.972999999999999</v>
      </c>
      <c r="R93" s="704"/>
      <c r="S93" s="1380">
        <f>SUM(S9:S14)</f>
        <v>82.149000000000001</v>
      </c>
      <c r="T93" s="704"/>
      <c r="U93" s="1380">
        <f>SUM(U9:U14)</f>
        <v>144.58399999999997</v>
      </c>
      <c r="V93" s="704"/>
      <c r="W93" s="1380">
        <f>SUM(W9:W14)</f>
        <v>175.83499999999998</v>
      </c>
      <c r="X93" s="704"/>
      <c r="Y93" s="1380">
        <f>SUM(Y9:Y14)</f>
        <v>287.86799999999994</v>
      </c>
      <c r="Z93" s="704"/>
      <c r="AA93" s="1380">
        <f>SUM(AA9:AA14)</f>
        <v>385.18299999999988</v>
      </c>
      <c r="AB93" s="704"/>
      <c r="AC93" s="1380">
        <f>SUM(AC9:AC14)</f>
        <v>366.40500000000009</v>
      </c>
      <c r="AD93" s="704"/>
      <c r="AE93" s="1380">
        <f>SUM(AE9:AE14)</f>
        <v>433.61000000000007</v>
      </c>
      <c r="AF93" s="704"/>
      <c r="AG93" s="1380">
        <f>SUM(AG9:AG14)</f>
        <v>624.40199999999982</v>
      </c>
      <c r="AH93" s="704"/>
      <c r="AI93" s="1380">
        <f>SUM(AI9:AI14)</f>
        <v>806.21299999999974</v>
      </c>
      <c r="AJ93" s="704"/>
      <c r="AK93" s="1380">
        <f>SUM(AK9:AK14)</f>
        <v>803.97699999999963</v>
      </c>
      <c r="AL93" s="704"/>
      <c r="AM93" s="1380">
        <f>SUM(AM9:AM14)</f>
        <v>596.99200000000042</v>
      </c>
      <c r="AN93" s="704"/>
      <c r="AO93" s="1380">
        <f>SUM(AO9:AO14)</f>
        <v>872.28400000000045</v>
      </c>
      <c r="AP93" s="704"/>
      <c r="AQ93" s="1380">
        <f>SUM(AQ9:AQ14)</f>
        <v>994.98046000000033</v>
      </c>
      <c r="AR93" s="704"/>
      <c r="AS93" s="1380">
        <f>SUM(AS9:AS14)</f>
        <v>809.15296000000069</v>
      </c>
      <c r="AT93" s="1380"/>
      <c r="AU93" s="1380">
        <f>SUM(AU9:AU14)</f>
        <v>834.39696000000049</v>
      </c>
      <c r="AV93" s="1380"/>
      <c r="AW93" s="1380">
        <f>SUM(AW9:AW14)</f>
        <v>881.43296000000009</v>
      </c>
      <c r="AX93" s="1380"/>
      <c r="AY93" s="1380">
        <f>SUM(AY9:AY14)</f>
        <v>1144.88996</v>
      </c>
      <c r="AZ93" s="1380"/>
      <c r="BA93" s="1380">
        <f>SUM(BA9:BA14)</f>
        <v>1337.1719551558456</v>
      </c>
      <c r="BB93" s="1380"/>
      <c r="BC93" s="1380">
        <f>SUM(BC9:BC14)</f>
        <v>1555.6983961211354</v>
      </c>
      <c r="BD93" s="1380"/>
      <c r="BE93" s="1380">
        <f>SUM(BE9:BE14)</f>
        <v>1780.5437153274925</v>
      </c>
      <c r="BF93" s="1380"/>
      <c r="BG93" s="1380">
        <f>SUM(BG9:BG14)</f>
        <v>2011.7744031158388</v>
      </c>
      <c r="BH93" s="1380"/>
      <c r="BI93" s="1380">
        <f>SUM(BI9:BI14)</f>
        <v>2247.3469931804252</v>
      </c>
      <c r="BJ93" s="1380"/>
    </row>
    <row r="94" spans="1:62" hidden="1" outlineLevel="1">
      <c r="A94" s="1428" t="s">
        <v>551</v>
      </c>
      <c r="B94" s="704"/>
      <c r="C94" s="704"/>
      <c r="D94" s="704"/>
      <c r="E94" s="704"/>
      <c r="F94" s="704"/>
      <c r="G94" s="704"/>
      <c r="H94" s="704"/>
      <c r="I94" s="704"/>
      <c r="J94" s="704"/>
      <c r="K94" s="704"/>
      <c r="L94" s="704"/>
      <c r="M94" s="704"/>
      <c r="N94" s="704"/>
      <c r="O94" s="704"/>
      <c r="P94" s="704"/>
      <c r="Q94" s="1380">
        <f>+Q34+Q36+Q37</f>
        <v>33.317999999999998</v>
      </c>
      <c r="R94" s="704"/>
      <c r="S94" s="1380">
        <f>+S34+S36+S37</f>
        <v>40.83</v>
      </c>
      <c r="T94" s="704"/>
      <c r="U94" s="1380">
        <f>+U34+U36+U37</f>
        <v>43.072000000000003</v>
      </c>
      <c r="V94" s="704"/>
      <c r="W94" s="1380">
        <f>+W34+W36+W37</f>
        <v>57.762</v>
      </c>
      <c r="X94" s="704"/>
      <c r="Y94" s="1380">
        <f>+Y34+Y36+Y37</f>
        <v>98.270999999999987</v>
      </c>
      <c r="Z94" s="704"/>
      <c r="AA94" s="1380">
        <f>+AA34+AA36+AA37</f>
        <v>133.50799999999998</v>
      </c>
      <c r="AB94" s="704"/>
      <c r="AC94" s="1380">
        <f>+AC34+AC36+AC37</f>
        <v>135.31799999999998</v>
      </c>
      <c r="AD94" s="704"/>
      <c r="AE94" s="1380">
        <f>+AE34+AE36+AE37</f>
        <v>167.37799999999999</v>
      </c>
      <c r="AF94" s="704"/>
      <c r="AG94" s="1380">
        <f>+AG34+AG36+AG37</f>
        <v>141.14999999999998</v>
      </c>
      <c r="AH94" s="704"/>
      <c r="AI94" s="1380">
        <f>+AI34+AI36+AI37</f>
        <v>188.54899999999998</v>
      </c>
      <c r="AJ94" s="704"/>
      <c r="AK94" s="1380">
        <f>+AK34+AK36+AK37</f>
        <v>211.024</v>
      </c>
      <c r="AL94" s="704"/>
      <c r="AM94" s="1380">
        <f>+AM34+AM36+AM37</f>
        <v>233.46600000000001</v>
      </c>
      <c r="AN94" s="704"/>
      <c r="AO94" s="1380">
        <f>+AO34+AO36+AO37</f>
        <v>250.19499999999999</v>
      </c>
      <c r="AP94" s="704"/>
      <c r="AQ94" s="1380">
        <f>+AQ34+AQ36+AQ37</f>
        <v>331.83000000000004</v>
      </c>
      <c r="AR94" s="704"/>
      <c r="AS94" s="1380">
        <f>+AS34+AS36+AS37</f>
        <v>353.74</v>
      </c>
      <c r="AT94" s="1380"/>
      <c r="AU94" s="1380">
        <f>+AU34+AU36+AU37</f>
        <v>329.23099999999999</v>
      </c>
      <c r="AV94" s="1380"/>
      <c r="AW94" s="1380">
        <f>+AW34+AW36+AW37</f>
        <v>352.928</v>
      </c>
      <c r="AX94" s="1380"/>
      <c r="AY94" s="1380">
        <f>+AY34+AY36+AY37</f>
        <v>360.214</v>
      </c>
      <c r="AZ94" s="1380"/>
      <c r="BA94" s="1380">
        <f>+BA34+BA36+BA37</f>
        <v>375.53088740652026</v>
      </c>
      <c r="BB94" s="1380"/>
      <c r="BC94" s="1380">
        <f>+BC34+BC36+BC37</f>
        <v>384.25338379992399</v>
      </c>
      <c r="BD94" s="1380"/>
      <c r="BE94" s="1380">
        <f>+BE34+BE36+BE37</f>
        <v>391.9170126764102</v>
      </c>
      <c r="BF94" s="1380"/>
      <c r="BG94" s="1380">
        <f>+BG34+BG36+BG37</f>
        <v>399.67061504738513</v>
      </c>
      <c r="BH94" s="1380"/>
      <c r="BI94" s="1380">
        <f>+BI34+BI36+BI37</f>
        <v>406.20005449959319</v>
      </c>
      <c r="BJ94" s="1380"/>
    </row>
    <row r="95" spans="1:62" hidden="1" outlineLevel="1">
      <c r="A95" s="1429" t="s">
        <v>552</v>
      </c>
      <c r="B95" s="1275"/>
      <c r="C95" s="1275"/>
      <c r="D95" s="1275"/>
      <c r="E95" s="1275"/>
      <c r="F95" s="1275"/>
      <c r="G95" s="1275"/>
      <c r="H95" s="1275"/>
      <c r="I95" s="1275"/>
      <c r="J95" s="1275"/>
      <c r="K95" s="1275"/>
      <c r="L95" s="1275"/>
      <c r="M95" s="1275"/>
      <c r="N95" s="1275"/>
      <c r="O95" s="1275"/>
      <c r="P95" s="1275"/>
      <c r="Q95" s="1430">
        <f>+Q93-Q94</f>
        <v>31.655000000000001</v>
      </c>
      <c r="R95" s="1275"/>
      <c r="S95" s="1430">
        <f>+S93-S94</f>
        <v>41.319000000000003</v>
      </c>
      <c r="T95" s="1275"/>
      <c r="U95" s="1430">
        <f>+U93-U94</f>
        <v>101.51199999999997</v>
      </c>
      <c r="V95" s="1275"/>
      <c r="W95" s="1430">
        <f>+W93-W94</f>
        <v>118.07299999999998</v>
      </c>
      <c r="X95" s="1275"/>
      <c r="Y95" s="1430">
        <f>+Y93-Y94</f>
        <v>189.59699999999995</v>
      </c>
      <c r="Z95" s="1275"/>
      <c r="AA95" s="1430">
        <f>+AA93-AA94</f>
        <v>251.6749999999999</v>
      </c>
      <c r="AB95" s="1275"/>
      <c r="AC95" s="1430">
        <f>+AC93-AC94</f>
        <v>231.0870000000001</v>
      </c>
      <c r="AD95" s="1275"/>
      <c r="AE95" s="1430">
        <f>+AE93-AE94</f>
        <v>266.23200000000008</v>
      </c>
      <c r="AF95" s="1275"/>
      <c r="AG95" s="1430">
        <f>+AG93-AG94</f>
        <v>483.25199999999984</v>
      </c>
      <c r="AH95" s="1275"/>
      <c r="AI95" s="1430">
        <f>+AI93-AI94</f>
        <v>617.66399999999976</v>
      </c>
      <c r="AJ95" s="1275"/>
      <c r="AK95" s="1430">
        <f>+AK93-AK94</f>
        <v>592.95299999999963</v>
      </c>
      <c r="AL95" s="1275"/>
      <c r="AM95" s="1430">
        <f>+AM93-AM94</f>
        <v>363.52600000000041</v>
      </c>
      <c r="AN95" s="1275"/>
      <c r="AO95" s="1430">
        <f>+AO93-AO94</f>
        <v>622.0890000000004</v>
      </c>
      <c r="AP95" s="1275"/>
      <c r="AQ95" s="1430">
        <f>+AQ93-AQ94</f>
        <v>663.15046000000029</v>
      </c>
      <c r="AR95" s="1275"/>
      <c r="AS95" s="1430">
        <f>+AS93-AS94</f>
        <v>455.41296000000068</v>
      </c>
      <c r="AT95" s="1430"/>
      <c r="AU95" s="1430">
        <f>+AU93-AU94</f>
        <v>505.1659600000005</v>
      </c>
      <c r="AV95" s="1430"/>
      <c r="AW95" s="1430">
        <f>+AW93-AW94</f>
        <v>528.5049600000001</v>
      </c>
      <c r="AX95" s="1430"/>
      <c r="AY95" s="1430">
        <f>+AY93-AY94</f>
        <v>784.67596000000003</v>
      </c>
      <c r="AZ95" s="1430"/>
      <c r="BA95" s="1430">
        <f>+BA93-BA94</f>
        <v>961.64106774932532</v>
      </c>
      <c r="BB95" s="1430"/>
      <c r="BC95" s="1430">
        <f>+BC93-BC94</f>
        <v>1171.4450123212114</v>
      </c>
      <c r="BD95" s="1430"/>
      <c r="BE95" s="1430">
        <f>+BE93-BE94</f>
        <v>1388.6267026510823</v>
      </c>
      <c r="BF95" s="1430"/>
      <c r="BG95" s="1430">
        <f>+BG93-BG94</f>
        <v>1612.1037880684537</v>
      </c>
      <c r="BH95" s="1430"/>
      <c r="BI95" s="1430">
        <f>+BI93-BI94</f>
        <v>1841.1469386808321</v>
      </c>
      <c r="BJ95" s="1430"/>
    </row>
    <row r="96" spans="1:62" hidden="1" outlineLevel="1">
      <c r="A96" s="1431" t="s">
        <v>553</v>
      </c>
      <c r="B96" s="704"/>
      <c r="C96" s="704"/>
      <c r="D96" s="704"/>
      <c r="E96" s="704"/>
      <c r="F96" s="704"/>
      <c r="G96" s="704"/>
      <c r="H96" s="704"/>
      <c r="I96" s="704"/>
      <c r="J96" s="704"/>
      <c r="K96" s="704"/>
      <c r="L96" s="704"/>
      <c r="M96" s="704"/>
      <c r="N96" s="704"/>
      <c r="O96" s="704"/>
      <c r="P96" s="704"/>
      <c r="Q96" s="915">
        <f>+Q25</f>
        <v>97.900999999999996</v>
      </c>
      <c r="R96" s="704"/>
      <c r="S96" s="915">
        <f>+S25</f>
        <v>105.505</v>
      </c>
      <c r="T96" s="704"/>
      <c r="U96" s="915">
        <f>+U25</f>
        <v>133.84699999999998</v>
      </c>
      <c r="V96" s="704"/>
      <c r="W96" s="915">
        <f>+W25</f>
        <v>146.82600000000002</v>
      </c>
      <c r="X96" s="704"/>
      <c r="Y96" s="915">
        <f>+Y25</f>
        <v>192.79200000000003</v>
      </c>
      <c r="Z96" s="704"/>
      <c r="AA96" s="915">
        <f>+AA25</f>
        <v>299.29099999999994</v>
      </c>
      <c r="AB96" s="704"/>
      <c r="AC96" s="915">
        <f>+AC25</f>
        <v>445.69799999999998</v>
      </c>
      <c r="AD96" s="704"/>
      <c r="AE96" s="915">
        <f>+AE25</f>
        <v>488.88900000000007</v>
      </c>
      <c r="AF96" s="704"/>
      <c r="AG96" s="915">
        <f>+AG25</f>
        <v>505.40699999999993</v>
      </c>
      <c r="AH96" s="704"/>
      <c r="AI96" s="915">
        <f>+AI25</f>
        <v>539.96100000000001</v>
      </c>
      <c r="AJ96" s="704"/>
      <c r="AK96" s="915">
        <f>+AK25</f>
        <v>586.346</v>
      </c>
      <c r="AL96" s="704"/>
      <c r="AM96" s="915">
        <f>+AM25</f>
        <v>684.97899999999981</v>
      </c>
      <c r="AN96" s="704"/>
      <c r="AO96" s="915">
        <f>+AO25</f>
        <v>733.41600000000005</v>
      </c>
      <c r="AP96" s="704"/>
      <c r="AQ96" s="915">
        <f>+AQ25</f>
        <v>806.90899999999999</v>
      </c>
      <c r="AR96" s="704"/>
      <c r="AS96" s="915">
        <f>+AS25</f>
        <v>889.23199999999997</v>
      </c>
      <c r="AT96" s="915"/>
      <c r="AU96" s="915">
        <f>+AU25</f>
        <v>863.13699999999994</v>
      </c>
      <c r="AV96" s="915"/>
      <c r="AW96" s="915">
        <f>+AW25</f>
        <v>867.78599999999994</v>
      </c>
      <c r="AX96" s="915"/>
      <c r="AY96" s="915">
        <f>+AY25</f>
        <v>813.76800000000003</v>
      </c>
      <c r="AZ96" s="915"/>
      <c r="BA96" s="915">
        <f>+BA25</f>
        <v>790.77800000000002</v>
      </c>
      <c r="BB96" s="915"/>
      <c r="BC96" s="915">
        <f>+BC25</f>
        <v>736.13800000000003</v>
      </c>
      <c r="BD96" s="915"/>
      <c r="BE96" s="915">
        <f>+BE25</f>
        <v>678.85800000000006</v>
      </c>
      <c r="BF96" s="915"/>
      <c r="BG96" s="915">
        <f>+BG25</f>
        <v>619.59800000000007</v>
      </c>
      <c r="BH96" s="915"/>
      <c r="BI96" s="915">
        <f>+BI25</f>
        <v>559.01800000000003</v>
      </c>
      <c r="BJ96" s="915"/>
    </row>
    <row r="97" spans="1:62" hidden="1" outlineLevel="1">
      <c r="A97" s="1431" t="s">
        <v>554</v>
      </c>
      <c r="B97" s="704"/>
      <c r="C97" s="704"/>
      <c r="D97" s="704"/>
      <c r="E97" s="704"/>
      <c r="F97" s="704"/>
      <c r="G97" s="704"/>
      <c r="H97" s="704"/>
      <c r="I97" s="704"/>
      <c r="J97" s="704"/>
      <c r="K97" s="704"/>
      <c r="L97" s="704"/>
      <c r="M97" s="704"/>
      <c r="N97" s="704"/>
      <c r="O97" s="704"/>
      <c r="P97" s="704"/>
      <c r="Q97" s="704"/>
      <c r="R97" s="704"/>
      <c r="S97" s="704"/>
      <c r="T97" s="704"/>
      <c r="U97" s="704"/>
      <c r="V97" s="704"/>
      <c r="W97" s="704"/>
      <c r="X97" s="704"/>
      <c r="Y97" s="704"/>
      <c r="Z97" s="704"/>
      <c r="AA97" s="704"/>
      <c r="AB97" s="704"/>
      <c r="AC97" s="704"/>
      <c r="AD97" s="704"/>
      <c r="AE97" s="704"/>
      <c r="AF97" s="704"/>
      <c r="AG97" s="704"/>
      <c r="AH97" s="704"/>
      <c r="AI97" s="704"/>
      <c r="AJ97" s="704"/>
      <c r="AK97" s="704"/>
      <c r="AL97" s="704"/>
      <c r="AM97" s="704"/>
      <c r="AN97" s="704"/>
      <c r="AO97" s="704"/>
      <c r="AP97" s="704"/>
      <c r="AQ97" s="704"/>
      <c r="AR97" s="704"/>
      <c r="AS97" s="704"/>
      <c r="AT97" s="704"/>
      <c r="AU97" s="704"/>
      <c r="AV97" s="704"/>
      <c r="AW97" s="704"/>
      <c r="AX97" s="704"/>
      <c r="AY97" s="704"/>
      <c r="AZ97" s="704"/>
      <c r="BA97" s="704"/>
      <c r="BB97" s="704"/>
      <c r="BC97" s="704"/>
      <c r="BD97" s="704"/>
      <c r="BE97" s="704"/>
      <c r="BF97" s="704"/>
      <c r="BG97" s="704"/>
      <c r="BH97" s="704"/>
      <c r="BI97" s="704"/>
      <c r="BJ97" s="704"/>
    </row>
    <row r="98" spans="1:62" hidden="1" outlineLevel="1">
      <c r="A98" s="1431" t="s">
        <v>555</v>
      </c>
      <c r="B98" s="704"/>
      <c r="C98" s="704"/>
      <c r="D98" s="704"/>
      <c r="E98" s="704"/>
      <c r="F98" s="704"/>
      <c r="G98" s="704"/>
      <c r="H98" s="704"/>
      <c r="I98" s="704"/>
      <c r="J98" s="704"/>
      <c r="K98" s="704"/>
      <c r="L98" s="704"/>
      <c r="M98" s="704"/>
      <c r="N98" s="704"/>
      <c r="O98" s="704"/>
      <c r="P98" s="704"/>
      <c r="Q98" s="704"/>
      <c r="R98" s="704"/>
      <c r="S98" s="704"/>
      <c r="T98" s="704"/>
      <c r="U98" s="704"/>
      <c r="V98" s="704"/>
      <c r="W98" s="704"/>
      <c r="X98" s="704"/>
      <c r="Y98" s="704"/>
      <c r="Z98" s="704"/>
      <c r="AA98" s="704"/>
      <c r="AB98" s="704"/>
      <c r="AC98" s="704"/>
      <c r="AD98" s="704"/>
      <c r="AE98" s="704"/>
      <c r="AF98" s="704"/>
      <c r="AG98" s="704"/>
      <c r="AH98" s="704"/>
      <c r="AI98" s="704"/>
      <c r="AJ98" s="704"/>
      <c r="AK98" s="704"/>
      <c r="AL98" s="704"/>
      <c r="AM98" s="704"/>
      <c r="AN98" s="704"/>
      <c r="AO98" s="704"/>
      <c r="AP98" s="704"/>
      <c r="AQ98" s="704"/>
      <c r="AR98" s="704"/>
      <c r="AS98" s="704"/>
      <c r="AT98" s="704"/>
      <c r="AU98" s="704"/>
      <c r="AV98" s="704"/>
      <c r="AW98" s="704"/>
      <c r="AX98" s="704"/>
      <c r="AY98" s="704"/>
      <c r="AZ98" s="704"/>
      <c r="BA98" s="704"/>
      <c r="BB98" s="704"/>
      <c r="BC98" s="704"/>
      <c r="BD98" s="704"/>
      <c r="BE98" s="704"/>
      <c r="BF98" s="704"/>
      <c r="BG98" s="704"/>
      <c r="BH98" s="704"/>
      <c r="BI98" s="704"/>
      <c r="BJ98" s="704"/>
    </row>
    <row r="99" spans="1:62" hidden="1" outlineLevel="1">
      <c r="A99" s="1428"/>
      <c r="B99" s="1428" t="s">
        <v>556</v>
      </c>
      <c r="C99" s="704"/>
      <c r="D99" s="704"/>
      <c r="E99" s="704"/>
      <c r="F99" s="704"/>
      <c r="G99" s="704"/>
      <c r="H99" s="704"/>
      <c r="I99" s="704"/>
      <c r="J99" s="704"/>
      <c r="K99" s="704"/>
      <c r="L99" s="704"/>
      <c r="M99" s="704"/>
      <c r="N99" s="704"/>
      <c r="O99" s="704"/>
      <c r="P99" s="704"/>
      <c r="Q99" s="704"/>
      <c r="R99" s="704"/>
      <c r="S99" s="704"/>
      <c r="T99" s="704"/>
      <c r="U99" s="704"/>
      <c r="V99" s="704"/>
      <c r="W99" s="704"/>
      <c r="X99" s="704"/>
      <c r="Y99" s="704"/>
      <c r="Z99" s="704"/>
      <c r="AA99" s="704"/>
      <c r="AB99" s="704"/>
      <c r="AC99" s="704"/>
      <c r="AD99" s="704"/>
      <c r="AE99" s="704"/>
      <c r="AF99" s="704"/>
      <c r="AG99" s="704"/>
      <c r="AH99" s="704"/>
      <c r="AI99" s="704"/>
      <c r="AJ99" s="704"/>
      <c r="AK99" s="704"/>
      <c r="AL99" s="704"/>
      <c r="AM99" s="704"/>
      <c r="AN99" s="704"/>
      <c r="AO99" s="704"/>
      <c r="AP99" s="704"/>
      <c r="AQ99" s="704"/>
      <c r="AR99" s="704"/>
      <c r="AS99" s="704"/>
      <c r="AT99" s="704"/>
      <c r="AU99" s="704"/>
      <c r="AV99" s="704"/>
      <c r="AW99" s="704"/>
      <c r="AX99" s="704"/>
      <c r="AY99" s="704"/>
      <c r="AZ99" s="704"/>
      <c r="BA99" s="704"/>
      <c r="BB99" s="704"/>
      <c r="BC99" s="704"/>
      <c r="BD99" s="704"/>
      <c r="BE99" s="704"/>
      <c r="BF99" s="704"/>
      <c r="BG99" s="704"/>
      <c r="BH99" s="704"/>
      <c r="BI99" s="704"/>
      <c r="BJ99" s="704"/>
    </row>
    <row r="100" spans="1:62" hidden="1" outlineLevel="1">
      <c r="A100" s="1428"/>
      <c r="B100" s="1428" t="s">
        <v>557</v>
      </c>
      <c r="C100" s="704"/>
      <c r="D100" s="704"/>
      <c r="E100" s="704"/>
      <c r="F100" s="704"/>
      <c r="G100" s="704"/>
      <c r="H100" s="704"/>
      <c r="I100" s="704"/>
      <c r="J100" s="704"/>
      <c r="K100" s="704"/>
      <c r="L100" s="704"/>
      <c r="M100" s="704"/>
      <c r="N100" s="704"/>
      <c r="O100" s="704"/>
      <c r="P100" s="704"/>
      <c r="Q100" s="704"/>
      <c r="R100" s="704"/>
      <c r="S100" s="704"/>
      <c r="T100" s="704"/>
      <c r="U100" s="704"/>
      <c r="V100" s="704"/>
      <c r="W100" s="704"/>
      <c r="X100" s="704"/>
      <c r="Y100" s="704"/>
      <c r="Z100" s="704"/>
      <c r="AA100" s="704"/>
      <c r="AB100" s="704"/>
      <c r="AC100" s="704"/>
      <c r="AD100" s="704"/>
      <c r="AE100" s="704"/>
      <c r="AF100" s="704"/>
      <c r="AG100" s="704"/>
      <c r="AH100" s="704"/>
      <c r="AI100" s="704"/>
      <c r="AJ100" s="704"/>
      <c r="AK100" s="704"/>
      <c r="AL100" s="704"/>
      <c r="AM100" s="704"/>
      <c r="AN100" s="704"/>
      <c r="AO100" s="704"/>
      <c r="AP100" s="704"/>
      <c r="AQ100" s="704"/>
      <c r="AR100" s="704"/>
      <c r="AS100" s="704"/>
      <c r="AT100" s="704"/>
      <c r="AU100" s="704"/>
      <c r="AV100" s="704"/>
      <c r="AW100" s="704"/>
      <c r="AX100" s="704"/>
      <c r="AY100" s="704"/>
      <c r="AZ100" s="704"/>
      <c r="BA100" s="704"/>
      <c r="BB100" s="704"/>
      <c r="BC100" s="704"/>
      <c r="BD100" s="704"/>
      <c r="BE100" s="704"/>
      <c r="BF100" s="704"/>
      <c r="BG100" s="704"/>
      <c r="BH100" s="704"/>
      <c r="BI100" s="704"/>
      <c r="BJ100" s="704"/>
    </row>
    <row r="101" spans="1:62" hidden="1" outlineLevel="1">
      <c r="A101" s="1431"/>
      <c r="B101" s="1431" t="s">
        <v>558</v>
      </c>
      <c r="C101" s="704"/>
      <c r="D101" s="704"/>
      <c r="E101" s="704"/>
      <c r="F101" s="704"/>
      <c r="G101" s="704"/>
      <c r="H101" s="704"/>
      <c r="I101" s="704"/>
      <c r="J101" s="704"/>
      <c r="K101" s="704"/>
      <c r="L101" s="704"/>
      <c r="M101" s="704"/>
      <c r="N101" s="704"/>
      <c r="O101" s="704"/>
      <c r="P101" s="704"/>
      <c r="Q101" s="704"/>
      <c r="R101" s="704"/>
      <c r="S101" s="704"/>
      <c r="T101" s="704"/>
      <c r="U101" s="704"/>
      <c r="V101" s="704"/>
      <c r="W101" s="704"/>
      <c r="X101" s="704"/>
      <c r="Y101" s="704"/>
      <c r="Z101" s="704"/>
      <c r="AA101" s="704"/>
      <c r="AB101" s="704"/>
      <c r="AC101" s="704"/>
      <c r="AD101" s="704"/>
      <c r="AE101" s="704"/>
      <c r="AF101" s="704"/>
      <c r="AG101" s="704"/>
      <c r="AH101" s="704"/>
      <c r="AI101" s="704"/>
      <c r="AJ101" s="704"/>
      <c r="AK101" s="704"/>
      <c r="AL101" s="704"/>
      <c r="AM101" s="704"/>
      <c r="AN101" s="704"/>
      <c r="AO101" s="704"/>
      <c r="AP101" s="704"/>
      <c r="AQ101" s="704"/>
      <c r="AR101" s="704"/>
      <c r="AS101" s="704"/>
      <c r="AT101" s="704"/>
      <c r="AU101" s="704"/>
      <c r="AV101" s="704"/>
      <c r="AW101" s="704"/>
      <c r="AX101" s="704"/>
      <c r="AY101" s="704"/>
      <c r="AZ101" s="704"/>
      <c r="BA101" s="704"/>
      <c r="BB101" s="704"/>
      <c r="BC101" s="704"/>
      <c r="BD101" s="704"/>
      <c r="BE101" s="704"/>
      <c r="BF101" s="704"/>
      <c r="BG101" s="704"/>
      <c r="BH101" s="704"/>
      <c r="BI101" s="704"/>
      <c r="BJ101" s="704"/>
    </row>
    <row r="102" spans="1:62" hidden="1" outlineLevel="1">
      <c r="A102" s="1431"/>
      <c r="B102" s="1431" t="s">
        <v>559</v>
      </c>
      <c r="C102" s="704"/>
      <c r="D102" s="704"/>
      <c r="E102" s="704"/>
      <c r="F102" s="704"/>
      <c r="G102" s="704"/>
      <c r="H102" s="704"/>
      <c r="I102" s="704"/>
      <c r="J102" s="704"/>
      <c r="K102" s="704"/>
      <c r="L102" s="704"/>
      <c r="M102" s="704"/>
      <c r="N102" s="704"/>
      <c r="O102" s="704"/>
      <c r="P102" s="704"/>
      <c r="Q102" s="1382">
        <v>177.3</v>
      </c>
      <c r="R102" s="704"/>
      <c r="S102" s="1382">
        <v>200.7</v>
      </c>
      <c r="T102" s="704"/>
      <c r="U102" s="1395">
        <f>+S102*(1+yrSales!J42)</f>
        <v>227.92771981320874</v>
      </c>
      <c r="V102" s="704"/>
      <c r="W102" s="1395">
        <f>+U102*(1+yrSales!K42)</f>
        <v>270.10551434289522</v>
      </c>
      <c r="X102" s="704"/>
      <c r="Y102" s="1395">
        <f>+W102*(1+yrSales!M42)</f>
        <v>319.02777819016512</v>
      </c>
      <c r="Z102" s="704"/>
      <c r="AA102" s="1395">
        <f>+Y102*(1+yrSales!AF42)</f>
        <v>319.02777819016512</v>
      </c>
      <c r="AB102" s="704"/>
      <c r="AC102" s="1395">
        <f>+AA102*(1+yrSales!AH42)</f>
        <v>319.02777819016512</v>
      </c>
      <c r="AD102" s="704"/>
      <c r="AE102" s="1395">
        <v>319</v>
      </c>
      <c r="AF102" s="704"/>
      <c r="AG102" s="1395">
        <f>+AE102*(1+yrSales!AL42)</f>
        <v>319</v>
      </c>
      <c r="AH102" s="704"/>
      <c r="AI102" s="1395">
        <f>+AG102*(1+yrSales!AN42)</f>
        <v>319</v>
      </c>
      <c r="AJ102" s="704"/>
      <c r="AK102" s="1395">
        <f>+AI102*(1+yrSales!AP42)</f>
        <v>319</v>
      </c>
      <c r="AL102" s="704"/>
      <c r="AM102" s="1395">
        <f>+AK102*(1+yrSales!AR42)</f>
        <v>319</v>
      </c>
      <c r="AN102" s="704"/>
      <c r="AO102" s="1395">
        <f>+AM102*(1+yrSales!AT42)</f>
        <v>319</v>
      </c>
      <c r="AP102" s="704"/>
      <c r="AQ102" s="1395">
        <f>+AO102*(1+yrSales!AV42)</f>
        <v>319</v>
      </c>
      <c r="AR102" s="704"/>
      <c r="AS102" s="1395">
        <f>+AQ102*(1+yrSales!AX42)</f>
        <v>319</v>
      </c>
      <c r="AT102" s="1395"/>
      <c r="AU102" s="1395">
        <f>+AS102*(1+yrSales!AZ42)</f>
        <v>319</v>
      </c>
      <c r="AV102" s="1395"/>
      <c r="AW102" s="1395">
        <f>+AU102*(1+yrSales!BB42)</f>
        <v>319</v>
      </c>
      <c r="AX102" s="1395"/>
      <c r="AY102" s="1395">
        <f>+AW102*(1+yrSales!BD42)</f>
        <v>319</v>
      </c>
      <c r="AZ102" s="1395"/>
      <c r="BA102" s="1395">
        <f>+AY102*(1+yrSales!BF42)</f>
        <v>319</v>
      </c>
      <c r="BB102" s="1395"/>
      <c r="BC102" s="1395">
        <f>+BA102*(1+yrSales!BH42)</f>
        <v>319</v>
      </c>
      <c r="BD102" s="1395"/>
      <c r="BE102" s="1395">
        <f>+BC102*(1+yrSales!BJ42)</f>
        <v>319</v>
      </c>
      <c r="BF102" s="1395"/>
      <c r="BG102" s="1395">
        <f>+BE102*(1+yrSales!BL42)</f>
        <v>319</v>
      </c>
      <c r="BH102" s="1395"/>
      <c r="BI102" s="1395">
        <f>+BG102*(1+yrSales!BN42)</f>
        <v>319</v>
      </c>
      <c r="BJ102" s="1395"/>
    </row>
    <row r="103" spans="1:62" hidden="1" outlineLevel="1">
      <c r="A103" s="1429" t="s">
        <v>560</v>
      </c>
      <c r="B103" s="1275"/>
      <c r="C103" s="1275"/>
      <c r="D103" s="1275"/>
      <c r="E103" s="1275"/>
      <c r="F103" s="1275"/>
      <c r="G103" s="1275"/>
      <c r="H103" s="1275"/>
      <c r="I103" s="1275"/>
      <c r="J103" s="1275"/>
      <c r="K103" s="1275"/>
      <c r="L103" s="1275"/>
      <c r="M103" s="1275"/>
      <c r="N103" s="1275"/>
      <c r="O103" s="1275"/>
      <c r="P103" s="1275"/>
      <c r="Q103" s="1432">
        <f>SUM(Q96:Q102)</f>
        <v>275.20100000000002</v>
      </c>
      <c r="R103" s="1275"/>
      <c r="S103" s="1432">
        <f>SUM(S96:S102)</f>
        <v>306.20499999999998</v>
      </c>
      <c r="T103" s="1275"/>
      <c r="U103" s="1432">
        <f>SUM(U96:U102)</f>
        <v>361.77471981320872</v>
      </c>
      <c r="V103" s="1275"/>
      <c r="W103" s="1432">
        <f>SUM(W96:W102)</f>
        <v>416.93151434289524</v>
      </c>
      <c r="X103" s="1275"/>
      <c r="Y103" s="1432">
        <f>SUM(Y96:Y102)</f>
        <v>511.81977819016515</v>
      </c>
      <c r="Z103" s="1275"/>
      <c r="AA103" s="1432">
        <f>SUM(AA96:AA102)</f>
        <v>618.31877819016506</v>
      </c>
      <c r="AB103" s="1275"/>
      <c r="AC103" s="1432">
        <f>SUM(AC96:AC102)</f>
        <v>764.7257781901651</v>
      </c>
      <c r="AD103" s="1275"/>
      <c r="AE103" s="1432">
        <f>SUM(AE96:AE102)</f>
        <v>807.88900000000012</v>
      </c>
      <c r="AF103" s="1275"/>
      <c r="AG103" s="1432">
        <f>SUM(AG96:AG102)</f>
        <v>824.40699999999993</v>
      </c>
      <c r="AH103" s="1275"/>
      <c r="AI103" s="1432">
        <f>SUM(AI96:AI102)</f>
        <v>858.96100000000001</v>
      </c>
      <c r="AJ103" s="1275"/>
      <c r="AK103" s="1432">
        <f>SUM(AK96:AK102)</f>
        <v>905.346</v>
      </c>
      <c r="AL103" s="1275"/>
      <c r="AM103" s="1432">
        <f>SUM(AM96:AM102)</f>
        <v>1003.9789999999998</v>
      </c>
      <c r="AN103" s="1275"/>
      <c r="AO103" s="1432">
        <f>SUM(AO96:AO102)</f>
        <v>1052.4160000000002</v>
      </c>
      <c r="AP103" s="1275"/>
      <c r="AQ103" s="1432">
        <f>SUM(AQ96:AQ102)</f>
        <v>1125.9090000000001</v>
      </c>
      <c r="AR103" s="1275"/>
      <c r="AS103" s="1432">
        <f>SUM(AS96:AS102)</f>
        <v>1208.232</v>
      </c>
      <c r="AT103" s="1432"/>
      <c r="AU103" s="1432">
        <f>SUM(AU96:AU102)</f>
        <v>1182.1369999999999</v>
      </c>
      <c r="AV103" s="1432"/>
      <c r="AW103" s="1432">
        <f>SUM(AW96:AW102)</f>
        <v>1186.7860000000001</v>
      </c>
      <c r="AX103" s="1432"/>
      <c r="AY103" s="1432">
        <f>SUM(AY96:AY102)</f>
        <v>1132.768</v>
      </c>
      <c r="AZ103" s="1432"/>
      <c r="BA103" s="1432">
        <f>SUM(BA96:BA102)</f>
        <v>1109.778</v>
      </c>
      <c r="BB103" s="1432"/>
      <c r="BC103" s="1432">
        <f>SUM(BC96:BC102)</f>
        <v>1055.1379999999999</v>
      </c>
      <c r="BD103" s="1432"/>
      <c r="BE103" s="1432">
        <f>SUM(BE96:BE102)</f>
        <v>997.85800000000006</v>
      </c>
      <c r="BF103" s="1432"/>
      <c r="BG103" s="1432">
        <f>SUM(BG96:BG102)</f>
        <v>938.59800000000007</v>
      </c>
      <c r="BH103" s="1432"/>
      <c r="BI103" s="1432">
        <f>SUM(BI96:BI102)</f>
        <v>878.01800000000003</v>
      </c>
      <c r="BJ103" s="1432"/>
    </row>
    <row r="104" spans="1:62" hidden="1" outlineLevel="1">
      <c r="A104" s="1431" t="s">
        <v>561</v>
      </c>
      <c r="B104" s="704"/>
      <c r="C104" s="704"/>
      <c r="D104" s="704"/>
      <c r="E104" s="704"/>
      <c r="F104" s="704"/>
      <c r="G104" s="704"/>
      <c r="H104" s="704"/>
      <c r="I104" s="704"/>
      <c r="J104" s="704"/>
      <c r="K104" s="704"/>
      <c r="L104" s="704"/>
      <c r="M104" s="704"/>
      <c r="N104" s="704"/>
      <c r="O104" s="704"/>
      <c r="P104" s="704"/>
      <c r="Q104" s="915">
        <f>+Q27</f>
        <v>5.8419999999999996</v>
      </c>
      <c r="R104" s="704"/>
      <c r="S104" s="915">
        <f>+S27</f>
        <v>7.4480000000000004</v>
      </c>
      <c r="T104" s="704"/>
      <c r="U104" s="915">
        <f>+U27</f>
        <v>8.9250000000000007</v>
      </c>
      <c r="V104" s="704"/>
      <c r="W104" s="915">
        <f>+W27</f>
        <v>9.5259999999999998</v>
      </c>
      <c r="X104" s="704"/>
      <c r="Y104" s="915">
        <f>+Y27</f>
        <v>12.567</v>
      </c>
      <c r="Z104" s="704"/>
      <c r="AA104" s="915">
        <f>+AA27</f>
        <v>19.983000000000001</v>
      </c>
      <c r="AB104" s="704"/>
      <c r="AC104" s="915">
        <f>+AC27</f>
        <v>24.826000000000001</v>
      </c>
      <c r="AD104" s="704"/>
      <c r="AE104" s="915">
        <f>+AE27</f>
        <v>32.04</v>
      </c>
      <c r="AF104" s="704"/>
      <c r="AG104" s="915">
        <f>+AG27</f>
        <v>43.973999999999997</v>
      </c>
      <c r="AH104" s="704"/>
      <c r="AI104" s="915">
        <f>+AI27</f>
        <v>46.473999999999997</v>
      </c>
      <c r="AJ104" s="704"/>
      <c r="AK104" s="915">
        <f>+AK27</f>
        <v>52.01</v>
      </c>
      <c r="AL104" s="704"/>
      <c r="AM104" s="915">
        <f>+AM27</f>
        <v>74.823999999999998</v>
      </c>
      <c r="AN104" s="704"/>
      <c r="AO104" s="915">
        <f>+AO27</f>
        <v>41.926000000000002</v>
      </c>
      <c r="AP104" s="704"/>
      <c r="AQ104" s="915">
        <f>+AQ27</f>
        <v>52.902999999999999</v>
      </c>
      <c r="AR104" s="704"/>
      <c r="AS104" s="915">
        <f>+AS27</f>
        <v>85.944000000000003</v>
      </c>
      <c r="AT104" s="915"/>
      <c r="AU104" s="915">
        <f>+AU27</f>
        <v>99.203000000000003</v>
      </c>
      <c r="AV104" s="915"/>
      <c r="AW104" s="915">
        <f>+AW27</f>
        <v>109.166</v>
      </c>
      <c r="AX104" s="915"/>
      <c r="AY104" s="915">
        <f>+AY27</f>
        <v>101.56699999999999</v>
      </c>
      <c r="AZ104" s="915"/>
      <c r="BA104" s="915">
        <f>+BA27</f>
        <v>101.56699999999999</v>
      </c>
      <c r="BB104" s="915"/>
      <c r="BC104" s="915">
        <f>+BC27</f>
        <v>101.56699999999999</v>
      </c>
      <c r="BD104" s="915"/>
      <c r="BE104" s="915">
        <f>+BE27</f>
        <v>101.56699999999999</v>
      </c>
      <c r="BF104" s="915"/>
      <c r="BG104" s="915">
        <f>+BG27</f>
        <v>101.56699999999999</v>
      </c>
      <c r="BH104" s="915"/>
      <c r="BI104" s="915">
        <f>+BI27</f>
        <v>101.56699999999999</v>
      </c>
      <c r="BJ104" s="915"/>
    </row>
    <row r="105" spans="1:62" hidden="1" outlineLevel="1">
      <c r="A105" s="1429" t="s">
        <v>562</v>
      </c>
      <c r="B105" s="1275"/>
      <c r="C105" s="1275"/>
      <c r="D105" s="1275"/>
      <c r="E105" s="1275"/>
      <c r="F105" s="1275"/>
      <c r="G105" s="1275"/>
      <c r="H105" s="1275"/>
      <c r="I105" s="1275"/>
      <c r="J105" s="1275"/>
      <c r="K105" s="1275"/>
      <c r="L105" s="1275"/>
      <c r="M105" s="1275"/>
      <c r="N105" s="1275"/>
      <c r="O105" s="1275"/>
      <c r="P105" s="1275"/>
      <c r="Q105" s="1430">
        <f>+Q95+Q103+Q104</f>
        <v>312.69799999999998</v>
      </c>
      <c r="R105" s="1275"/>
      <c r="S105" s="1430">
        <f>+S95+S103+S104</f>
        <v>354.97199999999998</v>
      </c>
      <c r="T105" s="1275"/>
      <c r="U105" s="1430">
        <f>+U95+U103+U104</f>
        <v>472.21171981320873</v>
      </c>
      <c r="V105" s="1275"/>
      <c r="W105" s="1430">
        <f>+W95+W103+W104</f>
        <v>544.53051434289512</v>
      </c>
      <c r="X105" s="1275"/>
      <c r="Y105" s="1430">
        <f>+Y95+Y103+Y104</f>
        <v>713.98377819016514</v>
      </c>
      <c r="Z105" s="1275"/>
      <c r="AA105" s="1430">
        <f>+AA95+AA103+AA104</f>
        <v>889.97677819016485</v>
      </c>
      <c r="AB105" s="1275"/>
      <c r="AC105" s="1430">
        <f>+AC95+AC103+AC104</f>
        <v>1020.6387781901652</v>
      </c>
      <c r="AD105" s="1275"/>
      <c r="AE105" s="1430">
        <f>+AE95+AE103+AE104</f>
        <v>1106.1610000000001</v>
      </c>
      <c r="AF105" s="1275"/>
      <c r="AG105" s="1430">
        <f>+AG95+AG103+AG104</f>
        <v>1351.6329999999996</v>
      </c>
      <c r="AH105" s="1275"/>
      <c r="AI105" s="1430">
        <f>+AI95+AI103+AI104</f>
        <v>1523.0989999999997</v>
      </c>
      <c r="AJ105" s="1275"/>
      <c r="AK105" s="1430">
        <f>+AK95+AK103+AK104</f>
        <v>1550.3089999999995</v>
      </c>
      <c r="AL105" s="1275"/>
      <c r="AM105" s="1430">
        <f>+AM95+AM103+AM104</f>
        <v>1442.3290000000002</v>
      </c>
      <c r="AN105" s="1275"/>
      <c r="AO105" s="1430">
        <f>+AO95+AO103+AO104</f>
        <v>1716.4310000000005</v>
      </c>
      <c r="AP105" s="1275"/>
      <c r="AQ105" s="1430">
        <f>+AQ95+AQ103+AQ104</f>
        <v>1841.9624600000004</v>
      </c>
      <c r="AR105" s="1275"/>
      <c r="AS105" s="1430">
        <f>+AS95+AS103+AS104</f>
        <v>1749.5889600000005</v>
      </c>
      <c r="AT105" s="1430"/>
      <c r="AU105" s="1430">
        <f>+AU95+AU103+AU104</f>
        <v>1786.5059600000004</v>
      </c>
      <c r="AV105" s="1430"/>
      <c r="AW105" s="1430">
        <f>+AW95+AW103+AW104</f>
        <v>1824.4569600000002</v>
      </c>
      <c r="AX105" s="1430"/>
      <c r="AY105" s="1430">
        <f>+AY95+AY103+AY104</f>
        <v>2019.0109600000001</v>
      </c>
      <c r="AZ105" s="1430"/>
      <c r="BA105" s="1430">
        <f>+BA95+BA103+BA104</f>
        <v>2172.9860677493252</v>
      </c>
      <c r="BB105" s="1430"/>
      <c r="BC105" s="1430">
        <f>+BC95+BC103+BC104</f>
        <v>2328.1500123212113</v>
      </c>
      <c r="BD105" s="1430"/>
      <c r="BE105" s="1430">
        <f>+BE95+BE103+BE104</f>
        <v>2488.0517026510825</v>
      </c>
      <c r="BF105" s="1430"/>
      <c r="BG105" s="1430">
        <f>+BG95+BG103+BG104</f>
        <v>2652.2687880684539</v>
      </c>
      <c r="BH105" s="1430"/>
      <c r="BI105" s="1430">
        <f>+BI95+BI103+BI104</f>
        <v>2820.7319386808322</v>
      </c>
      <c r="BJ105" s="1430"/>
    </row>
    <row r="106" spans="1:62" hidden="1" outlineLevel="1">
      <c r="A106" s="1429" t="s">
        <v>563</v>
      </c>
      <c r="B106" s="1275"/>
      <c r="C106" s="1275"/>
      <c r="D106" s="1275"/>
      <c r="E106" s="1275"/>
      <c r="F106" s="1275"/>
      <c r="G106" s="1275"/>
      <c r="H106" s="1275"/>
      <c r="I106" s="1275"/>
      <c r="J106" s="1275"/>
      <c r="K106" s="1275"/>
      <c r="L106" s="1275"/>
      <c r="M106" s="1275"/>
      <c r="N106" s="1275"/>
      <c r="O106" s="1275"/>
      <c r="P106" s="1275"/>
      <c r="Q106" s="1275"/>
      <c r="R106" s="1275"/>
      <c r="S106" s="1433">
        <f>+(S105+Q105)/2</f>
        <v>333.83499999999998</v>
      </c>
      <c r="T106" s="1275"/>
      <c r="U106" s="1433">
        <f>+(U105+S105)/2</f>
        <v>413.59185990660433</v>
      </c>
      <c r="V106" s="1275"/>
      <c r="W106" s="1433">
        <f>+(W105+U105)/2</f>
        <v>508.37111707805195</v>
      </c>
      <c r="X106" s="1275"/>
      <c r="Y106" s="1433">
        <f>+(Y105+W105)/2</f>
        <v>629.25714626653007</v>
      </c>
      <c r="Z106" s="1275"/>
      <c r="AA106" s="1433">
        <f>+(AA105+Y105)/2</f>
        <v>801.980278190165</v>
      </c>
      <c r="AB106" s="1275"/>
      <c r="AC106" s="1433">
        <f>+(AC105+AA105)/2</f>
        <v>955.30777819016498</v>
      </c>
      <c r="AD106" s="1275"/>
      <c r="AE106" s="1433">
        <f>+(AE105+AC105)/2</f>
        <v>1063.3998890950827</v>
      </c>
      <c r="AF106" s="1275"/>
      <c r="AG106" s="1433">
        <f>+(AG105+AE105)/2</f>
        <v>1228.8969999999999</v>
      </c>
      <c r="AH106" s="1275"/>
      <c r="AI106" s="1433">
        <f>+(AI105+AG105)/2</f>
        <v>1437.3659999999995</v>
      </c>
      <c r="AJ106" s="1275"/>
      <c r="AK106" s="1433">
        <f>+(AK105+AI105)/2</f>
        <v>1536.7039999999997</v>
      </c>
      <c r="AL106" s="1275"/>
      <c r="AM106" s="1433">
        <f>+(AM105+AK105)/2</f>
        <v>1496.319</v>
      </c>
      <c r="AN106" s="1275"/>
      <c r="AO106" s="1433">
        <f>+(AO105+AM105)/2</f>
        <v>1579.3800000000003</v>
      </c>
      <c r="AP106" s="1275"/>
      <c r="AQ106" s="1433">
        <f>+(AQ105+AO105)/2</f>
        <v>1779.1967300000006</v>
      </c>
      <c r="AR106" s="1275"/>
      <c r="AS106" s="1433">
        <f>+(AS105+AQ105)/2</f>
        <v>1795.7757100000003</v>
      </c>
      <c r="AT106" s="1433"/>
      <c r="AU106" s="1433">
        <f>+(AU105+AS105)/2</f>
        <v>1768.0474600000005</v>
      </c>
      <c r="AV106" s="1433"/>
      <c r="AW106" s="1433">
        <f>+(AW105+AU105)/2</f>
        <v>1805.4814600000004</v>
      </c>
      <c r="AX106" s="1433"/>
      <c r="AY106" s="1433">
        <f>+(AY105+AW105)/2</f>
        <v>1921.73396</v>
      </c>
      <c r="AZ106" s="1433"/>
      <c r="BA106" s="1433">
        <f>+(BA105+AY105)/2</f>
        <v>2095.9985138746624</v>
      </c>
      <c r="BB106" s="1433"/>
      <c r="BC106" s="1433">
        <f>+(BC105+BA105)/2</f>
        <v>2250.5680400352685</v>
      </c>
      <c r="BD106" s="1433"/>
      <c r="BE106" s="1433">
        <f>+(BE105+BC105)/2</f>
        <v>2408.1008574861471</v>
      </c>
      <c r="BF106" s="1433"/>
      <c r="BG106" s="1433">
        <f>+(BG105+BE105)/2</f>
        <v>2570.1602453597679</v>
      </c>
      <c r="BH106" s="1433"/>
      <c r="BI106" s="1433">
        <f>+(BI105+BG105)/2</f>
        <v>2736.5003633746428</v>
      </c>
      <c r="BJ106" s="1433"/>
    </row>
    <row r="107" spans="1:62" hidden="1" outlineLevel="1">
      <c r="A107" s="1431"/>
      <c r="B107" s="704"/>
      <c r="C107" s="704"/>
      <c r="D107" s="704"/>
      <c r="E107" s="704"/>
      <c r="F107" s="704"/>
      <c r="G107" s="704"/>
      <c r="H107" s="704"/>
      <c r="I107" s="704"/>
      <c r="J107" s="704"/>
      <c r="K107" s="704"/>
      <c r="L107" s="704"/>
      <c r="M107" s="704"/>
      <c r="N107" s="704"/>
      <c r="O107" s="704"/>
      <c r="P107" s="704"/>
      <c r="Q107" s="704"/>
      <c r="R107" s="704"/>
      <c r="S107" s="704"/>
      <c r="T107" s="704"/>
      <c r="U107" s="704"/>
      <c r="V107" s="704"/>
      <c r="W107" s="704"/>
      <c r="X107" s="704"/>
      <c r="Y107" s="704"/>
      <c r="Z107" s="704"/>
      <c r="AA107" s="704"/>
      <c r="AB107" s="704"/>
      <c r="AC107" s="704"/>
      <c r="AD107" s="704"/>
      <c r="AE107" s="704"/>
      <c r="AF107" s="704"/>
      <c r="AG107" s="704"/>
      <c r="AH107" s="704"/>
      <c r="AI107" s="704"/>
      <c r="AJ107" s="704"/>
      <c r="AK107" s="704"/>
      <c r="AL107" s="704"/>
      <c r="AM107" s="704"/>
      <c r="AN107" s="704"/>
      <c r="AO107" s="704"/>
      <c r="AP107" s="704"/>
      <c r="AQ107" s="704"/>
      <c r="AR107" s="704"/>
      <c r="AS107" s="704"/>
      <c r="AT107" s="704"/>
      <c r="AU107" s="704"/>
      <c r="AV107" s="704"/>
      <c r="AW107" s="704"/>
      <c r="AX107" s="704"/>
      <c r="AY107" s="704"/>
      <c r="AZ107" s="704"/>
      <c r="BA107" s="704"/>
      <c r="BB107" s="704"/>
      <c r="BC107" s="704"/>
      <c r="BD107" s="704"/>
      <c r="BE107" s="704"/>
      <c r="BF107" s="704"/>
      <c r="BG107" s="704"/>
      <c r="BH107" s="704"/>
      <c r="BI107" s="704"/>
      <c r="BJ107" s="704"/>
    </row>
    <row r="108" spans="1:62" hidden="1" outlineLevel="1">
      <c r="A108" s="1431" t="s">
        <v>564</v>
      </c>
      <c r="B108" s="704"/>
      <c r="C108" s="704"/>
      <c r="D108" s="704"/>
      <c r="E108" s="704"/>
      <c r="F108" s="704"/>
      <c r="G108" s="704"/>
      <c r="H108" s="704"/>
      <c r="I108" s="704"/>
      <c r="J108" s="704"/>
      <c r="K108" s="704"/>
      <c r="L108" s="704"/>
      <c r="M108" s="704"/>
      <c r="N108" s="704"/>
      <c r="O108" s="704"/>
      <c r="P108" s="704"/>
      <c r="Q108" s="704"/>
      <c r="R108" s="704"/>
      <c r="S108" s="1380">
        <f>+S95-Q95</f>
        <v>9.6640000000000015</v>
      </c>
      <c r="T108" s="704"/>
      <c r="U108" s="1380">
        <f>+U95-S95</f>
        <v>60.192999999999969</v>
      </c>
      <c r="V108" s="704"/>
      <c r="W108" s="1380">
        <f>+W95-U95</f>
        <v>16.561000000000007</v>
      </c>
      <c r="X108" s="704"/>
      <c r="Y108" s="1380">
        <f>+Y95-W95</f>
        <v>71.523999999999972</v>
      </c>
      <c r="Z108" s="704"/>
      <c r="AA108" s="1380">
        <f>+AA95-Y95</f>
        <v>62.077999999999946</v>
      </c>
      <c r="AB108" s="704"/>
      <c r="AC108" s="1380">
        <f>+AC95-AA95</f>
        <v>-20.587999999999795</v>
      </c>
      <c r="AD108" s="704"/>
      <c r="AE108" s="1380">
        <f>+AE95-AC95</f>
        <v>35.144999999999982</v>
      </c>
      <c r="AF108" s="704"/>
      <c r="AG108" s="1380">
        <f>+AG95-AE95</f>
        <v>217.01999999999975</v>
      </c>
      <c r="AH108" s="704"/>
      <c r="AI108" s="1380">
        <f>+AI95-AG95</f>
        <v>134.41199999999992</v>
      </c>
      <c r="AJ108" s="704"/>
      <c r="AK108" s="1380">
        <f>+AK95-AI95</f>
        <v>-24.711000000000126</v>
      </c>
      <c r="AL108" s="704"/>
      <c r="AM108" s="1380">
        <f>+AM95-AK95</f>
        <v>-229.42699999999923</v>
      </c>
      <c r="AN108" s="704"/>
      <c r="AO108" s="1380">
        <f>+AO95-AM95</f>
        <v>258.56299999999999</v>
      </c>
      <c r="AP108" s="704"/>
      <c r="AQ108" s="1380">
        <f>+AQ95-AO95</f>
        <v>41.061459999999897</v>
      </c>
      <c r="AR108" s="704"/>
      <c r="AS108" s="1380">
        <f>+AS95-AQ95</f>
        <v>-207.73749999999961</v>
      </c>
      <c r="AT108" s="1380"/>
      <c r="AU108" s="1380">
        <f>+AU95-AS95</f>
        <v>49.752999999999815</v>
      </c>
      <c r="AV108" s="1380"/>
      <c r="AW108" s="1380">
        <f>+AW95-AU95</f>
        <v>23.338999999999601</v>
      </c>
      <c r="AX108" s="1380"/>
      <c r="AY108" s="1380">
        <f>+AY95-AW95</f>
        <v>256.17099999999994</v>
      </c>
      <c r="AZ108" s="1380"/>
      <c r="BA108" s="1380">
        <f>+BA95-AY95</f>
        <v>176.96510774932528</v>
      </c>
      <c r="BB108" s="1380"/>
      <c r="BC108" s="1380">
        <f>+BC95-BA95</f>
        <v>209.80394457188606</v>
      </c>
      <c r="BD108" s="1380"/>
      <c r="BE108" s="1380">
        <f>+BE95-BC95</f>
        <v>217.18169032987089</v>
      </c>
      <c r="BF108" s="1380"/>
      <c r="BG108" s="1380">
        <f>+BG95-BE95</f>
        <v>223.47708541737143</v>
      </c>
      <c r="BH108" s="1380"/>
      <c r="BI108" s="1380">
        <f>+BI95-BG95</f>
        <v>229.04315061237844</v>
      </c>
      <c r="BJ108" s="1380"/>
    </row>
    <row r="109" spans="1:62" hidden="1" outlineLevel="1">
      <c r="A109" s="1431" t="s">
        <v>565</v>
      </c>
      <c r="B109" s="704"/>
      <c r="C109" s="704"/>
      <c r="D109" s="704"/>
      <c r="E109" s="704"/>
      <c r="F109" s="704"/>
      <c r="G109" s="704"/>
      <c r="H109" s="704"/>
      <c r="I109" s="704"/>
      <c r="J109" s="704"/>
      <c r="K109" s="704"/>
      <c r="L109" s="704"/>
      <c r="M109" s="704"/>
      <c r="N109" s="704"/>
      <c r="O109" s="704"/>
      <c r="P109" s="704"/>
      <c r="Q109" s="704"/>
      <c r="R109" s="704"/>
      <c r="S109" s="915">
        <f>+S103-Q103</f>
        <v>31.003999999999962</v>
      </c>
      <c r="T109" s="704"/>
      <c r="U109" s="915">
        <f>+U103-S103</f>
        <v>55.569719813208735</v>
      </c>
      <c r="V109" s="704"/>
      <c r="W109" s="915">
        <f>+W103-U103</f>
        <v>55.156794529686522</v>
      </c>
      <c r="X109" s="704"/>
      <c r="Y109" s="915">
        <f>+Y103-W103</f>
        <v>94.888263847269911</v>
      </c>
      <c r="Z109" s="704"/>
      <c r="AA109" s="915">
        <f>+AA103-Y103</f>
        <v>106.49899999999991</v>
      </c>
      <c r="AB109" s="704"/>
      <c r="AC109" s="915">
        <f>+AC103-AA103</f>
        <v>146.40700000000004</v>
      </c>
      <c r="AD109" s="704"/>
      <c r="AE109" s="915">
        <f>+AE103-AC103</f>
        <v>43.163221809835022</v>
      </c>
      <c r="AF109" s="704"/>
      <c r="AG109" s="915">
        <f>+AG103-AE103</f>
        <v>16.517999999999802</v>
      </c>
      <c r="AH109" s="704"/>
      <c r="AI109" s="915">
        <f>+AI103-AG103</f>
        <v>34.554000000000087</v>
      </c>
      <c r="AJ109" s="704"/>
      <c r="AK109" s="915">
        <f>+AK103-AI103</f>
        <v>46.384999999999991</v>
      </c>
      <c r="AL109" s="704"/>
      <c r="AM109" s="915">
        <f>+AM103-AK103</f>
        <v>98.632999999999811</v>
      </c>
      <c r="AN109" s="704"/>
      <c r="AO109" s="915">
        <f>+AO103-AM103</f>
        <v>48.437000000000353</v>
      </c>
      <c r="AP109" s="704"/>
      <c r="AQ109" s="915">
        <f>+AQ103-AO103</f>
        <v>73.492999999999938</v>
      </c>
      <c r="AR109" s="704"/>
      <c r="AS109" s="915">
        <f>+AS103-AQ103</f>
        <v>82.322999999999865</v>
      </c>
      <c r="AT109" s="915"/>
      <c r="AU109" s="915">
        <f>+AU103-AS103</f>
        <v>-26.095000000000027</v>
      </c>
      <c r="AV109" s="915"/>
      <c r="AW109" s="915">
        <f>+AW103-AU103</f>
        <v>4.6490000000001146</v>
      </c>
      <c r="AX109" s="915"/>
      <c r="AY109" s="915">
        <f>+AY103-AW103</f>
        <v>-54.018000000000029</v>
      </c>
      <c r="AZ109" s="915"/>
      <c r="BA109" s="915">
        <f>+BA103-AY103</f>
        <v>-22.990000000000009</v>
      </c>
      <c r="BB109" s="915"/>
      <c r="BC109" s="915">
        <f>+BC103-BA103</f>
        <v>-54.6400000000001</v>
      </c>
      <c r="BD109" s="915"/>
      <c r="BE109" s="915">
        <f>+BE103-BC103</f>
        <v>-57.279999999999859</v>
      </c>
      <c r="BF109" s="915"/>
      <c r="BG109" s="915">
        <f>+BG103-BE103</f>
        <v>-59.259999999999991</v>
      </c>
      <c r="BH109" s="915"/>
      <c r="BI109" s="915">
        <f>+BI103-BG103</f>
        <v>-60.580000000000041</v>
      </c>
      <c r="BJ109" s="915"/>
    </row>
    <row r="110" spans="1:62" hidden="1" outlineLevel="1">
      <c r="A110" s="1431" t="s">
        <v>566</v>
      </c>
      <c r="B110" s="704"/>
      <c r="C110" s="704"/>
      <c r="D110" s="704"/>
      <c r="E110" s="704"/>
      <c r="F110" s="704"/>
      <c r="G110" s="704"/>
      <c r="H110" s="704"/>
      <c r="I110" s="704"/>
      <c r="J110" s="704"/>
      <c r="K110" s="704"/>
      <c r="L110" s="704"/>
      <c r="M110" s="704"/>
      <c r="N110" s="704"/>
      <c r="O110" s="704"/>
      <c r="P110" s="704"/>
      <c r="Q110" s="704"/>
      <c r="R110" s="704"/>
      <c r="S110" s="915">
        <f>+S104-Q104</f>
        <v>1.6060000000000008</v>
      </c>
      <c r="T110" s="704"/>
      <c r="U110" s="915">
        <f>+U104-S104</f>
        <v>1.4770000000000003</v>
      </c>
      <c r="V110" s="704"/>
      <c r="W110" s="915">
        <f>+W104-U104</f>
        <v>0.60099999999999909</v>
      </c>
      <c r="X110" s="704"/>
      <c r="Y110" s="915">
        <f>+Y104-W104</f>
        <v>3.0410000000000004</v>
      </c>
      <c r="Z110" s="704"/>
      <c r="AA110" s="915">
        <f>+AA104-Y104</f>
        <v>7.4160000000000004</v>
      </c>
      <c r="AB110" s="704"/>
      <c r="AC110" s="915">
        <f>+AC104-AA104</f>
        <v>4.843</v>
      </c>
      <c r="AD110" s="704"/>
      <c r="AE110" s="915">
        <f>+AE104-AC104</f>
        <v>7.2139999999999986</v>
      </c>
      <c r="AF110" s="704"/>
      <c r="AG110" s="915">
        <f>+AG104-AE104</f>
        <v>11.933999999999997</v>
      </c>
      <c r="AH110" s="704"/>
      <c r="AI110" s="915">
        <f>+AI104-AG104</f>
        <v>2.5</v>
      </c>
      <c r="AJ110" s="704"/>
      <c r="AK110" s="915">
        <f>+AK104-AI104</f>
        <v>5.5360000000000014</v>
      </c>
      <c r="AL110" s="704"/>
      <c r="AM110" s="915">
        <f>+AM104-AK104</f>
        <v>22.814</v>
      </c>
      <c r="AN110" s="704"/>
      <c r="AO110" s="915">
        <f>+AO104-AM104</f>
        <v>-32.897999999999996</v>
      </c>
      <c r="AP110" s="704"/>
      <c r="AQ110" s="915">
        <f>+AQ104-AO104</f>
        <v>10.976999999999997</v>
      </c>
      <c r="AR110" s="704"/>
      <c r="AS110" s="915">
        <f>+AS104-AQ104</f>
        <v>33.041000000000004</v>
      </c>
      <c r="AT110" s="915"/>
      <c r="AU110" s="915">
        <f>+AU104-AS104</f>
        <v>13.259</v>
      </c>
      <c r="AV110" s="915"/>
      <c r="AW110" s="915">
        <f>+AW104-AU104</f>
        <v>9.9629999999999939</v>
      </c>
      <c r="AX110" s="915"/>
      <c r="AY110" s="915">
        <f>+AY104-AW104</f>
        <v>-7.5990000000000038</v>
      </c>
      <c r="AZ110" s="915"/>
      <c r="BA110" s="915">
        <f>+BA104-AY104</f>
        <v>0</v>
      </c>
      <c r="BB110" s="915"/>
      <c r="BC110" s="915">
        <f>+BC104-BA104</f>
        <v>0</v>
      </c>
      <c r="BD110" s="915"/>
      <c r="BE110" s="915">
        <f>+BE104-BC104</f>
        <v>0</v>
      </c>
      <c r="BF110" s="915"/>
      <c r="BG110" s="915">
        <f>+BG104-BE104</f>
        <v>0</v>
      </c>
      <c r="BH110" s="915"/>
      <c r="BI110" s="915">
        <f>+BI104-BG104</f>
        <v>0</v>
      </c>
      <c r="BJ110" s="915"/>
    </row>
    <row r="111" spans="1:62" hidden="1" outlineLevel="1">
      <c r="A111" s="1434" t="s">
        <v>567</v>
      </c>
      <c r="B111" s="1275"/>
      <c r="C111" s="1275"/>
      <c r="D111" s="1275"/>
      <c r="E111" s="1275"/>
      <c r="F111" s="1275"/>
      <c r="G111" s="1275"/>
      <c r="H111" s="1275"/>
      <c r="I111" s="1275"/>
      <c r="J111" s="1275"/>
      <c r="K111" s="1275"/>
      <c r="L111" s="1275"/>
      <c r="M111" s="1275"/>
      <c r="N111" s="1275"/>
      <c r="O111" s="1275"/>
      <c r="P111" s="1275"/>
      <c r="Q111" s="1275"/>
      <c r="R111" s="1275"/>
      <c r="S111" s="1430">
        <f>+S105-Q105</f>
        <v>42.274000000000001</v>
      </c>
      <c r="T111" s="1275"/>
      <c r="U111" s="1430">
        <f>+U105-S105</f>
        <v>117.23971981320875</v>
      </c>
      <c r="V111" s="1275"/>
      <c r="W111" s="1430">
        <f>+W105-U105</f>
        <v>72.318794529686386</v>
      </c>
      <c r="X111" s="1275"/>
      <c r="Y111" s="1430">
        <f>+Y105-W105</f>
        <v>169.45326384727002</v>
      </c>
      <c r="Z111" s="1275"/>
      <c r="AA111" s="1430">
        <f>+AA105-Y105</f>
        <v>175.99299999999971</v>
      </c>
      <c r="AB111" s="1275"/>
      <c r="AC111" s="1430">
        <f>+AC105-AA105</f>
        <v>130.66200000000038</v>
      </c>
      <c r="AD111" s="1275"/>
      <c r="AE111" s="1430">
        <f>+AE105-AC105</f>
        <v>85.522221809834832</v>
      </c>
      <c r="AF111" s="1275"/>
      <c r="AG111" s="1430">
        <f>+AG105-AE105</f>
        <v>245.47199999999953</v>
      </c>
      <c r="AH111" s="1275"/>
      <c r="AI111" s="1430">
        <f>+AI105-AG105</f>
        <v>171.46600000000012</v>
      </c>
      <c r="AJ111" s="1275"/>
      <c r="AK111" s="1430">
        <f>+AK105-AI105</f>
        <v>27.209999999999809</v>
      </c>
      <c r="AL111" s="1275"/>
      <c r="AM111" s="1430">
        <f>+AM105-AK105</f>
        <v>-107.97999999999934</v>
      </c>
      <c r="AN111" s="1275"/>
      <c r="AO111" s="1430">
        <f>+AO105-AM105</f>
        <v>274.10200000000032</v>
      </c>
      <c r="AP111" s="1275"/>
      <c r="AQ111" s="1430">
        <f>+AQ105-AO105</f>
        <v>125.53145999999992</v>
      </c>
      <c r="AR111" s="1275"/>
      <c r="AS111" s="1430">
        <f>+AS105-AQ105</f>
        <v>-92.373499999999922</v>
      </c>
      <c r="AT111" s="1430"/>
      <c r="AU111" s="1430">
        <f>+AU105-AS105</f>
        <v>36.916999999999916</v>
      </c>
      <c r="AV111" s="1430"/>
      <c r="AW111" s="1430">
        <f>+AW105-AU105</f>
        <v>37.950999999999794</v>
      </c>
      <c r="AX111" s="1430"/>
      <c r="AY111" s="1430">
        <f>+AY105-AW105</f>
        <v>194.55399999999986</v>
      </c>
      <c r="AZ111" s="1430"/>
      <c r="BA111" s="1430">
        <f>+BA105-AY105</f>
        <v>153.97510774932516</v>
      </c>
      <c r="BB111" s="1430"/>
      <c r="BC111" s="1430">
        <f>+BC105-BA105</f>
        <v>155.16394457188608</v>
      </c>
      <c r="BD111" s="1430"/>
      <c r="BE111" s="1430">
        <f>+BE105-BC105</f>
        <v>159.90169032987114</v>
      </c>
      <c r="BF111" s="1430"/>
      <c r="BG111" s="1430">
        <f>+BG105-BE105</f>
        <v>164.21708541737144</v>
      </c>
      <c r="BH111" s="1430"/>
      <c r="BI111" s="1430">
        <f>+BI105-BG105</f>
        <v>168.46315061237829</v>
      </c>
      <c r="BJ111" s="1430"/>
    </row>
    <row r="112" spans="1:62" hidden="1" outlineLevel="1">
      <c r="A112" s="1431"/>
      <c r="B112" s="704"/>
      <c r="C112" s="704"/>
      <c r="D112" s="704"/>
      <c r="E112" s="704"/>
      <c r="F112" s="704"/>
      <c r="G112" s="704"/>
      <c r="H112" s="704"/>
      <c r="I112" s="704"/>
      <c r="J112" s="704"/>
      <c r="K112" s="704"/>
      <c r="L112" s="704"/>
      <c r="M112" s="704"/>
      <c r="N112" s="704"/>
      <c r="O112" s="704"/>
      <c r="P112" s="704"/>
      <c r="Q112" s="704"/>
      <c r="R112" s="704"/>
      <c r="S112" s="704"/>
      <c r="T112" s="704"/>
      <c r="U112" s="704"/>
      <c r="V112" s="704"/>
      <c r="W112" s="704"/>
      <c r="X112" s="704"/>
      <c r="Y112" s="704"/>
      <c r="Z112" s="704"/>
      <c r="AA112" s="704"/>
      <c r="AB112" s="704"/>
      <c r="AC112" s="704"/>
      <c r="AD112" s="704"/>
      <c r="AE112" s="704"/>
      <c r="AF112" s="704"/>
      <c r="AG112" s="704"/>
      <c r="AH112" s="704"/>
      <c r="AI112" s="704"/>
      <c r="AJ112" s="704"/>
      <c r="AK112" s="704"/>
      <c r="AL112" s="704"/>
      <c r="AM112" s="704"/>
      <c r="AN112" s="704"/>
      <c r="AO112" s="704"/>
      <c r="AP112" s="704"/>
      <c r="AQ112" s="704"/>
      <c r="AR112" s="704"/>
      <c r="AS112" s="704"/>
      <c r="AT112" s="704"/>
      <c r="AU112" s="704"/>
      <c r="AV112" s="704"/>
      <c r="AW112" s="704"/>
      <c r="AX112" s="704"/>
      <c r="AY112" s="704"/>
      <c r="AZ112" s="704"/>
      <c r="BA112" s="704"/>
      <c r="BB112" s="704"/>
      <c r="BC112" s="704"/>
      <c r="BD112" s="704"/>
      <c r="BE112" s="704"/>
      <c r="BF112" s="704"/>
      <c r="BG112" s="704"/>
      <c r="BH112" s="704"/>
      <c r="BI112" s="704"/>
      <c r="BJ112" s="704"/>
    </row>
    <row r="113" spans="1:62" hidden="1" outlineLevel="1">
      <c r="A113" s="1427" t="s">
        <v>33</v>
      </c>
      <c r="B113" s="704"/>
      <c r="C113" s="704"/>
      <c r="D113" s="704"/>
      <c r="E113" s="704"/>
      <c r="F113" s="704"/>
      <c r="G113" s="704"/>
      <c r="H113" s="704"/>
      <c r="I113" s="704"/>
      <c r="J113" s="704"/>
      <c r="K113" s="704"/>
      <c r="L113" s="704"/>
      <c r="M113" s="704"/>
      <c r="N113" s="704"/>
      <c r="O113" s="704"/>
      <c r="P113" s="704"/>
      <c r="Q113" s="704"/>
      <c r="R113" s="704"/>
      <c r="S113" s="704"/>
      <c r="T113" s="704"/>
      <c r="U113" s="704"/>
      <c r="V113" s="704"/>
      <c r="W113" s="704"/>
      <c r="X113" s="704"/>
      <c r="Y113" s="704"/>
      <c r="Z113" s="704"/>
      <c r="AA113" s="704"/>
      <c r="AB113" s="704"/>
      <c r="AC113" s="704"/>
      <c r="AD113" s="704"/>
      <c r="AE113" s="704"/>
      <c r="AF113" s="704"/>
      <c r="AG113" s="704"/>
      <c r="AH113" s="704"/>
      <c r="AI113" s="704"/>
      <c r="AJ113" s="704"/>
      <c r="AK113" s="704"/>
      <c r="AL113" s="704"/>
      <c r="AM113" s="704"/>
      <c r="AN113" s="704"/>
      <c r="AO113" s="704"/>
      <c r="AP113" s="704"/>
      <c r="AQ113" s="704"/>
      <c r="AR113" s="704"/>
      <c r="AS113" s="704"/>
      <c r="AT113" s="704"/>
      <c r="AU113" s="704"/>
      <c r="AV113" s="704"/>
      <c r="AW113" s="704"/>
      <c r="AX113" s="704"/>
      <c r="AY113" s="704"/>
      <c r="AZ113" s="704"/>
      <c r="BA113" s="704"/>
      <c r="BB113" s="704"/>
      <c r="BC113" s="704"/>
      <c r="BD113" s="704"/>
      <c r="BE113" s="704"/>
      <c r="BF113" s="704"/>
      <c r="BG113" s="704"/>
      <c r="BH113" s="704"/>
      <c r="BI113" s="704"/>
      <c r="BJ113" s="704"/>
    </row>
    <row r="114" spans="1:62" hidden="1" outlineLevel="1">
      <c r="A114" s="1428" t="s">
        <v>34</v>
      </c>
      <c r="B114" s="704"/>
      <c r="C114" s="704"/>
      <c r="D114" s="704"/>
      <c r="E114" s="704"/>
      <c r="F114" s="704"/>
      <c r="G114" s="704"/>
      <c r="H114" s="704"/>
      <c r="I114" s="704"/>
      <c r="J114" s="704"/>
      <c r="K114" s="704"/>
      <c r="L114" s="704"/>
      <c r="M114" s="704"/>
      <c r="N114" s="704"/>
      <c r="O114" s="704"/>
      <c r="P114" s="704"/>
      <c r="Q114" s="704"/>
      <c r="R114" s="704"/>
      <c r="S114" s="1435">
        <f>'yrP&amp;L'!$I$7/bal!S95</f>
        <v>8.4454609259662607</v>
      </c>
      <c r="T114" s="704"/>
      <c r="U114" s="1435">
        <f>'yrP&amp;L'!$J$7/bal!U95</f>
        <v>4.1645716762550249</v>
      </c>
      <c r="V114" s="704"/>
      <c r="W114" s="1435">
        <f>'yrP&amp;L'!$K$7/bal!W95</f>
        <v>4.2110982188984796</v>
      </c>
      <c r="X114" s="704"/>
      <c r="Y114" s="1435">
        <f>'yrP&amp;L'!$K$7/bal!Y95</f>
        <v>2.6224940268042225</v>
      </c>
      <c r="Z114" s="704"/>
      <c r="AA114" s="1435">
        <f>'yrP&amp;L'!$K$7/bal!AA95</f>
        <v>1.9756312704877332</v>
      </c>
      <c r="AB114" s="704"/>
      <c r="AC114" s="1435">
        <f>'yrP&amp;L'!$K$7/bal!AC95</f>
        <v>2.1516441859559379</v>
      </c>
      <c r="AD114" s="704"/>
      <c r="AE114" s="1435">
        <f>'yrP&amp;L'!$K$7/bal!AE95</f>
        <v>1.8676079509600645</v>
      </c>
      <c r="AF114" s="704"/>
      <c r="AG114" s="1435">
        <f>'yrP&amp;L'!$K$7/bal!AG95</f>
        <v>1.0288979662784639</v>
      </c>
      <c r="AH114" s="704"/>
      <c r="AI114" s="1435">
        <f>'yrP&amp;L'!$K$7/bal!AI95</f>
        <v>0.8049959201119059</v>
      </c>
      <c r="AJ114" s="704"/>
      <c r="AK114" s="1435">
        <f>'yrP&amp;L'!$K$7/bal!AK95</f>
        <v>0.83854369570606835</v>
      </c>
      <c r="AL114" s="704"/>
      <c r="AM114" s="1435">
        <f>'yrP&amp;L'!$K$7/bal!AM95</f>
        <v>1.3677618657262465</v>
      </c>
      <c r="AN114" s="704"/>
      <c r="AO114" s="1435">
        <f>'yrP&amp;L'!$K$7/bal!AO95</f>
        <v>0.79926987939024763</v>
      </c>
      <c r="AP114" s="704"/>
      <c r="AQ114" s="1435">
        <f>'yrP&amp;L'!$K$7/bal!AQ95</f>
        <v>0.74978007253436851</v>
      </c>
      <c r="AR114" s="704"/>
      <c r="AS114" s="1435">
        <f>'yrP&amp;L'!$K$7/bal!AS95</f>
        <v>1.091793698624649</v>
      </c>
      <c r="AT114" s="1435"/>
      <c r="AU114" s="1435">
        <f>'yrP&amp;L'!$K$7/bal!AU95</f>
        <v>0.98426465631215443</v>
      </c>
      <c r="AV114" s="1435"/>
      <c r="AW114" s="1435">
        <f>'yrP&amp;L'!$K$7/bal!AW95</f>
        <v>0.9407991175711955</v>
      </c>
      <c r="AX114" s="1435"/>
      <c r="AY114" s="1435">
        <f>'yrP&amp;L'!$K$7/bal!AY95</f>
        <v>0.63365902021517262</v>
      </c>
      <c r="AZ114" s="1435"/>
      <c r="BA114" s="1435">
        <f>'yrP&amp;L'!$K$7/bal!BA95</f>
        <v>0.51705050530309871</v>
      </c>
      <c r="BB114" s="1435"/>
      <c r="BC114" s="1435">
        <f>'yrP&amp;L'!$K$7/bal!BC95</f>
        <v>0.42444757950248768</v>
      </c>
      <c r="BD114" s="1435"/>
      <c r="BE114" s="1435">
        <f>'yrP&amp;L'!$K$7/bal!BE95</f>
        <v>0.35806383317470664</v>
      </c>
      <c r="BF114" s="1435"/>
      <c r="BG114" s="1435">
        <f>'yrP&amp;L'!$K$7/bal!BG95</f>
        <v>0.30842741247804017</v>
      </c>
      <c r="BH114" s="1435"/>
      <c r="BI114" s="1435">
        <f>'yrP&amp;L'!$K$7/bal!BI95</f>
        <v>0.2700582933137603</v>
      </c>
      <c r="BJ114" s="1435"/>
    </row>
    <row r="115" spans="1:62" hidden="1" outlineLevel="1">
      <c r="A115" s="1428" t="s">
        <v>35</v>
      </c>
      <c r="B115" s="704"/>
      <c r="C115" s="704"/>
      <c r="D115" s="704"/>
      <c r="E115" s="704"/>
      <c r="F115" s="704"/>
      <c r="G115" s="704"/>
      <c r="H115" s="704"/>
      <c r="I115" s="704"/>
      <c r="J115" s="704"/>
      <c r="K115" s="704"/>
      <c r="L115" s="704"/>
      <c r="M115" s="704"/>
      <c r="N115" s="704"/>
      <c r="O115" s="704"/>
      <c r="P115" s="704"/>
      <c r="Q115" s="704"/>
      <c r="R115" s="704"/>
      <c r="S115" s="1435">
        <f>'yrP&amp;L'!$I$7/bal!S103</f>
        <v>1.1396221485606048</v>
      </c>
      <c r="T115" s="704"/>
      <c r="U115" s="1435">
        <f>'yrP&amp;L'!$J$7/bal!U103</f>
        <v>1.1685559461376296</v>
      </c>
      <c r="V115" s="704"/>
      <c r="W115" s="1435">
        <f>'yrP&amp;L'!$K$7/bal!W103</f>
        <v>1.1925627660543692</v>
      </c>
      <c r="X115" s="704"/>
      <c r="Y115" s="1435">
        <f>'yrP&amp;L'!$K$7/bal!Y103</f>
        <v>0.9714689060243008</v>
      </c>
      <c r="Z115" s="704"/>
      <c r="AA115" s="1435">
        <f>'yrP&amp;L'!$K$7/bal!AA103</f>
        <v>0.8041434572881111</v>
      </c>
      <c r="AB115" s="704"/>
      <c r="AC115" s="1435">
        <f>'yrP&amp;L'!$K$7/bal!AC103</f>
        <v>0.65018992975068324</v>
      </c>
      <c r="AD115" s="704"/>
      <c r="AE115" s="1435">
        <f>'yrP&amp;L'!$K$7/bal!AE103</f>
        <v>0.61545212275448724</v>
      </c>
      <c r="AF115" s="704"/>
      <c r="AG115" s="1435">
        <f>'yrP&amp;L'!$K$7/bal!AG103</f>
        <v>0.60312078863959195</v>
      </c>
      <c r="AH115" s="704"/>
      <c r="AI115" s="1435">
        <f>'yrP&amp;L'!$K$7/bal!AI103</f>
        <v>0.57885864433891643</v>
      </c>
      <c r="AJ115" s="704"/>
      <c r="AK115" s="1435">
        <f>'yrP&amp;L'!$K$7/bal!AK103</f>
        <v>0.54920107892452175</v>
      </c>
      <c r="AL115" s="704"/>
      <c r="AM115" s="1435">
        <f>'yrP&amp;L'!$K$7/bal!AM103</f>
        <v>0.49524641451663842</v>
      </c>
      <c r="AN115" s="704"/>
      <c r="AO115" s="1435">
        <f>'yrP&amp;L'!$K$7/bal!AO103</f>
        <v>0.4724529083556312</v>
      </c>
      <c r="AP115" s="704"/>
      <c r="AQ115" s="1435">
        <f>'yrP&amp;L'!$K$7/bal!AQ103</f>
        <v>0.44161384268177978</v>
      </c>
      <c r="AR115" s="704"/>
      <c r="AS115" s="1435">
        <f>'yrP&amp;L'!$K$7/bal!AS103</f>
        <v>0.41152444232564611</v>
      </c>
      <c r="AT115" s="1435"/>
      <c r="AU115" s="1435">
        <f>'yrP&amp;L'!$K$7/bal!AU103</f>
        <v>0.42060860966199354</v>
      </c>
      <c r="AV115" s="1435"/>
      <c r="AW115" s="1435">
        <f>'yrP&amp;L'!$K$7/bal!AW103</f>
        <v>0.41896095842047348</v>
      </c>
      <c r="AX115" s="1435"/>
      <c r="AY115" s="1435">
        <f>'yrP&amp;L'!$K$7/bal!AY103</f>
        <v>0.43893983587106983</v>
      </c>
      <c r="AZ115" s="1435"/>
      <c r="BA115" s="1435">
        <f>'yrP&amp;L'!$K$7/bal!BA103</f>
        <v>0.4480328498132059</v>
      </c>
      <c r="BB115" s="1435"/>
      <c r="BC115" s="1435">
        <f>'yrP&amp;L'!$K$7/bal!BC103</f>
        <v>0.47123409449759185</v>
      </c>
      <c r="BD115" s="1435"/>
      <c r="BE115" s="1435">
        <f>'yrP&amp;L'!$K$7/bal!BE103</f>
        <v>0.49828432502420184</v>
      </c>
      <c r="BF115" s="1435"/>
      <c r="BG115" s="1435">
        <f>'yrP&amp;L'!$K$7/bal!BG103</f>
        <v>0.52974436340158404</v>
      </c>
      <c r="BH115" s="1435"/>
      <c r="BI115" s="1435">
        <f>'yrP&amp;L'!$K$7/bal!BI103</f>
        <v>0.56629476844438276</v>
      </c>
      <c r="BJ115" s="1435"/>
    </row>
    <row r="116" spans="1:62" hidden="1" outlineLevel="1">
      <c r="A116" s="1428" t="s">
        <v>36</v>
      </c>
      <c r="B116" s="704"/>
      <c r="C116" s="704"/>
      <c r="D116" s="704"/>
      <c r="E116" s="704"/>
      <c r="F116" s="704"/>
      <c r="G116" s="704"/>
      <c r="H116" s="704"/>
      <c r="I116" s="704"/>
      <c r="J116" s="704"/>
      <c r="K116" s="704"/>
      <c r="L116" s="704"/>
      <c r="M116" s="704"/>
      <c r="N116" s="704"/>
      <c r="O116" s="704"/>
      <c r="P116" s="704"/>
      <c r="Q116" s="704"/>
      <c r="R116" s="704"/>
      <c r="S116" s="1435">
        <f>'yrP&amp;L'!$I$7/bal!S104</f>
        <v>46.85257787325456</v>
      </c>
      <c r="T116" s="704"/>
      <c r="U116" s="1435">
        <f>'yrP&amp;L'!$J$7/bal!U104</f>
        <v>47.367394957983187</v>
      </c>
      <c r="V116" s="704"/>
      <c r="W116" s="1435">
        <f>'yrP&amp;L'!$K$7/bal!W104</f>
        <v>52.195779970606765</v>
      </c>
      <c r="X116" s="704"/>
      <c r="Y116" s="1435">
        <f>'yrP&amp;L'!$K$7/bal!Y104</f>
        <v>39.565290045356889</v>
      </c>
      <c r="Z116" s="704"/>
      <c r="AA116" s="1435">
        <f>'yrP&amp;L'!$K$7/bal!AA104</f>
        <v>24.881999699744785</v>
      </c>
      <c r="AB116" s="704"/>
      <c r="AC116" s="1435">
        <f>'yrP&amp;L'!$K$7/bal!AC104</f>
        <v>20.028075404817532</v>
      </c>
      <c r="AD116" s="704"/>
      <c r="AE116" s="1435">
        <f>'yrP&amp;L'!$K$7/bal!AE104</f>
        <v>15.518632958801501</v>
      </c>
      <c r="AF116" s="704"/>
      <c r="AG116" s="1435">
        <f>'yrP&amp;L'!$K$7/bal!AG104</f>
        <v>11.307067812798474</v>
      </c>
      <c r="AH116" s="704"/>
      <c r="AI116" s="1435">
        <f>'yrP&amp;L'!$K$7/bal!AI104</f>
        <v>10.698820846064468</v>
      </c>
      <c r="AJ116" s="704"/>
      <c r="AK116" s="1435">
        <f>'yrP&amp;L'!$K$7/bal!AK104</f>
        <v>9.5600269179004052</v>
      </c>
      <c r="AL116" s="704"/>
      <c r="AM116" s="1435">
        <f>'yrP&amp;L'!$K$7/bal!AM104</f>
        <v>6.6451539612958417</v>
      </c>
      <c r="AN116" s="704"/>
      <c r="AO116" s="1435">
        <f>'yrP&amp;L'!$K$7/bal!AO104</f>
        <v>11.859395124743596</v>
      </c>
      <c r="AP116" s="704"/>
      <c r="AQ116" s="1435">
        <f>'yrP&amp;L'!$K$7/bal!AQ104</f>
        <v>9.3986541405969426</v>
      </c>
      <c r="AR116" s="704"/>
      <c r="AS116" s="1435">
        <f>'yrP&amp;L'!$K$7/bal!AS104</f>
        <v>5.7853602345713488</v>
      </c>
      <c r="AT116" s="1435"/>
      <c r="AU116" s="1435">
        <f>'yrP&amp;L'!$K$7/bal!AU104</f>
        <v>5.0121165690553715</v>
      </c>
      <c r="AV116" s="1435"/>
      <c r="AW116" s="1435">
        <f>'yrP&amp;L'!$K$7/bal!AW104</f>
        <v>4.5546873568693558</v>
      </c>
      <c r="AX116" s="1435"/>
      <c r="AY116" s="1435">
        <f>'yrP&amp;L'!$K$7/bal!AY104</f>
        <v>4.8954581704687552</v>
      </c>
      <c r="AZ116" s="1435"/>
      <c r="BA116" s="1435">
        <f>'yrP&amp;L'!$K$7/bal!BA104</f>
        <v>4.8954581704687552</v>
      </c>
      <c r="BB116" s="1435"/>
      <c r="BC116" s="1435">
        <f>'yrP&amp;L'!$K$7/bal!BC104</f>
        <v>4.8954581704687552</v>
      </c>
      <c r="BD116" s="1435"/>
      <c r="BE116" s="1435">
        <f>'yrP&amp;L'!$K$7/bal!BE104</f>
        <v>4.8954581704687552</v>
      </c>
      <c r="BF116" s="1435"/>
      <c r="BG116" s="1435">
        <f>'yrP&amp;L'!$K$7/bal!BG104</f>
        <v>4.8954581704687552</v>
      </c>
      <c r="BH116" s="1435"/>
      <c r="BI116" s="1435">
        <f>'yrP&amp;L'!$K$7/bal!BI104</f>
        <v>4.8954581704687552</v>
      </c>
      <c r="BJ116" s="1435"/>
    </row>
    <row r="117" spans="1:62" hidden="1" outlineLevel="1">
      <c r="A117" s="1434" t="s">
        <v>37</v>
      </c>
      <c r="B117" s="1275"/>
      <c r="C117" s="1275"/>
      <c r="D117" s="1275"/>
      <c r="E117" s="1275"/>
      <c r="F117" s="1275"/>
      <c r="G117" s="1275"/>
      <c r="H117" s="1275"/>
      <c r="I117" s="1275"/>
      <c r="J117" s="1275"/>
      <c r="K117" s="1275"/>
      <c r="L117" s="1275"/>
      <c r="M117" s="1275"/>
      <c r="N117" s="1275"/>
      <c r="O117" s="1275"/>
      <c r="P117" s="1275"/>
      <c r="Q117" s="1275"/>
      <c r="R117" s="1275"/>
      <c r="S117" s="1436">
        <f>'yrP&amp;L'!$I$7/bal!S105</f>
        <v>0.98305781864485087</v>
      </c>
      <c r="T117" s="1275"/>
      <c r="U117" s="1436">
        <f>'yrP&amp;L'!$J$7/bal!U105</f>
        <v>0.8952636757241591</v>
      </c>
      <c r="V117" s="1275"/>
      <c r="W117" s="1436">
        <f>'yrP&amp;L'!$K$7/bal!W105</f>
        <v>0.91311136273053495</v>
      </c>
      <c r="X117" s="1275"/>
      <c r="Y117" s="1436">
        <f>'yrP&amp;L'!$K$7/bal!Y105</f>
        <v>0.69639817484420408</v>
      </c>
      <c r="Z117" s="1275"/>
      <c r="AA117" s="1436">
        <f>'yrP&amp;L'!$K$7/bal!AA105</f>
        <v>0.55868536369131838</v>
      </c>
      <c r="AB117" s="1275"/>
      <c r="AC117" s="1436">
        <f>'yrP&amp;L'!$K$7/bal!AC105</f>
        <v>0.48716255998197894</v>
      </c>
      <c r="AD117" s="1275"/>
      <c r="AE117" s="1436">
        <f>'yrP&amp;L'!$K$7/bal!AE105</f>
        <v>0.44949785790676045</v>
      </c>
      <c r="AF117" s="1275"/>
      <c r="AG117" s="1436">
        <f>'yrP&amp;L'!$K$7/bal!AG105</f>
        <v>0.36786390980391881</v>
      </c>
      <c r="AH117" s="1275"/>
      <c r="AI117" s="1436">
        <f>'yrP&amp;L'!$K$7/bal!AI105</f>
        <v>0.32645087417167246</v>
      </c>
      <c r="AJ117" s="1275"/>
      <c r="AK117" s="1436">
        <f>'yrP&amp;L'!$K$7/bal!AK105</f>
        <v>0.3207212239624489</v>
      </c>
      <c r="AL117" s="1275"/>
      <c r="AM117" s="1436">
        <f>'yrP&amp;L'!$K$7/bal!AM105</f>
        <v>0.34473202715885209</v>
      </c>
      <c r="AN117" s="1275"/>
      <c r="AO117" s="1436">
        <f>'yrP&amp;L'!$K$7/bal!AO105</f>
        <v>0.28968073869558397</v>
      </c>
      <c r="AP117" s="1275"/>
      <c r="AQ117" s="1436">
        <f>'yrP&amp;L'!$K$7/bal!AQ105</f>
        <v>0.26993872611280034</v>
      </c>
      <c r="AR117" s="1275"/>
      <c r="AS117" s="1436">
        <f>'yrP&amp;L'!$K$7/bal!AS105</f>
        <v>0.28419075072352989</v>
      </c>
      <c r="AT117" s="1436"/>
      <c r="AU117" s="1436">
        <f>'yrP&amp;L'!$K$7/bal!AU105</f>
        <v>0.27831813110771819</v>
      </c>
      <c r="AV117" s="1436"/>
      <c r="AW117" s="1436">
        <f>'yrP&amp;L'!$K$7/bal!AW105</f>
        <v>0.27252876384653107</v>
      </c>
      <c r="AX117" s="1436"/>
      <c r="AY117" s="1436">
        <f>'yrP&amp;L'!$K$7/bal!AY105</f>
        <v>0.24626760817583676</v>
      </c>
      <c r="AZ117" s="1436"/>
      <c r="BA117" s="1436">
        <f>'yrP&amp;L'!$K$7/bal!BA105</f>
        <v>0.22881738975666494</v>
      </c>
      <c r="BB117" s="1436"/>
      <c r="BC117" s="1436">
        <f>'yrP&amp;L'!$K$7/bal!BC105</f>
        <v>0.21356742364907361</v>
      </c>
      <c r="BD117" s="1436"/>
      <c r="BE117" s="1436">
        <f>'yrP&amp;L'!$K$7/bal!BE105</f>
        <v>0.19984190821686007</v>
      </c>
      <c r="BF117" s="1436"/>
      <c r="BG117" s="1436">
        <f>'yrP&amp;L'!$K$7/bal!BG105</f>
        <v>0.18746855606671156</v>
      </c>
      <c r="BH117" s="1436"/>
      <c r="BI117" s="1436">
        <f>'yrP&amp;L'!$K$7/bal!BI105</f>
        <v>0.17627233314220309</v>
      </c>
      <c r="BJ117" s="1436"/>
    </row>
    <row r="118" spans="1:62" hidden="1" outlineLevel="1">
      <c r="A118" s="1434" t="s">
        <v>38</v>
      </c>
      <c r="B118" s="1275"/>
      <c r="C118" s="1275"/>
      <c r="D118" s="1275"/>
      <c r="E118" s="1275"/>
      <c r="F118" s="1275"/>
      <c r="G118" s="1275"/>
      <c r="H118" s="1275"/>
      <c r="I118" s="1275"/>
      <c r="J118" s="1275"/>
      <c r="K118" s="1275"/>
      <c r="L118" s="1275"/>
      <c r="M118" s="1275"/>
      <c r="N118" s="1275"/>
      <c r="O118" s="1275"/>
      <c r="P118" s="1275"/>
      <c r="Q118" s="1275"/>
      <c r="R118" s="1275"/>
      <c r="S118" s="1436">
        <f>'yrP&amp;L'!$I$7/bal!S106</f>
        <v>1.0453008222624949</v>
      </c>
      <c r="T118" s="1275"/>
      <c r="U118" s="1436">
        <f>'yrP&amp;L'!$J$7/bal!U106</f>
        <v>1.0221526122285496</v>
      </c>
      <c r="V118" s="1275"/>
      <c r="W118" s="1436">
        <f>'yrP&amp;L'!$K$7/bal!W106</f>
        <v>0.97805910543824348</v>
      </c>
      <c r="X118" s="1275"/>
      <c r="Y118" s="1436">
        <f>'yrP&amp;L'!$K$7/bal!Y106</f>
        <v>0.79016504294000867</v>
      </c>
      <c r="Z118" s="1275"/>
      <c r="AA118" s="1436">
        <f>'yrP&amp;L'!$K$7/bal!AA106</f>
        <v>0.61998656765235349</v>
      </c>
      <c r="AB118" s="1275"/>
      <c r="AC118" s="1436">
        <f>'yrP&amp;L'!$K$7/bal!AC106</f>
        <v>0.52047833311059177</v>
      </c>
      <c r="AD118" s="1275"/>
      <c r="AE118" s="1436">
        <f>'yrP&amp;L'!$K$7/bal!AE106</f>
        <v>0.46757292820776469</v>
      </c>
      <c r="AF118" s="1275"/>
      <c r="AG118" s="1436">
        <f>'yrP&amp;L'!$K$7/bal!AG106</f>
        <v>0.40460429149066202</v>
      </c>
      <c r="AH118" s="1275"/>
      <c r="AI118" s="1436">
        <f>'yrP&amp;L'!$K$7/bal!AI106</f>
        <v>0.34592233293399188</v>
      </c>
      <c r="AJ118" s="1275"/>
      <c r="AK118" s="1436">
        <f>'yrP&amp;L'!$K$7/bal!AK106</f>
        <v>0.32356068572737506</v>
      </c>
      <c r="AL118" s="1275"/>
      <c r="AM118" s="1436">
        <f>'yrP&amp;L'!$K$7/bal!AM106</f>
        <v>0.33229344812169065</v>
      </c>
      <c r="AN118" s="1275"/>
      <c r="AO118" s="1436">
        <f>'yrP&amp;L'!$K$7/bal!AO106</f>
        <v>0.31481783991186413</v>
      </c>
      <c r="AP118" s="1275"/>
      <c r="AQ118" s="1436">
        <f>'yrP&amp;L'!$K$7/bal!AQ106</f>
        <v>0.27946150732864705</v>
      </c>
      <c r="AR118" s="1275"/>
      <c r="AS118" s="1436">
        <f>'yrP&amp;L'!$K$7/bal!AS106</f>
        <v>0.27688145976760092</v>
      </c>
      <c r="AT118" s="1436"/>
      <c r="AU118" s="1436">
        <f>'yrP&amp;L'!$K$7/bal!AU106</f>
        <v>0.2812237857008657</v>
      </c>
      <c r="AV118" s="1436"/>
      <c r="AW118" s="1436">
        <f>'yrP&amp;L'!$K$7/bal!AW106</f>
        <v>0.27539302452875919</v>
      </c>
      <c r="AX118" s="1436"/>
      <c r="AY118" s="1436">
        <f>'yrP&amp;L'!$K$7/bal!AY106</f>
        <v>0.25873352417626011</v>
      </c>
      <c r="AZ118" s="1436"/>
      <c r="BA118" s="1436">
        <f>'yrP&amp;L'!$K$7/bal!BA106</f>
        <v>0.23722201934239198</v>
      </c>
      <c r="BB118" s="1436"/>
      <c r="BC118" s="1436">
        <f>'yrP&amp;L'!$K$7/bal!BC106</f>
        <v>0.22092955696296487</v>
      </c>
      <c r="BD118" s="1436"/>
      <c r="BE118" s="1436">
        <f>'yrP&amp;L'!$K$7/bal!BE106</f>
        <v>0.20647681697146705</v>
      </c>
      <c r="BF118" s="1436"/>
      <c r="BG118" s="1436">
        <f>'yrP&amp;L'!$K$7/bal!BG106</f>
        <v>0.1934575872837844</v>
      </c>
      <c r="BH118" s="1436"/>
      <c r="BI118" s="1436">
        <f>'yrP&amp;L'!$K$7/bal!BI106</f>
        <v>0.18169813044966446</v>
      </c>
      <c r="BJ118" s="1436"/>
    </row>
    <row r="119" spans="1:62" hidden="1" outlineLevel="1">
      <c r="A119" s="1431"/>
      <c r="B119" s="704"/>
      <c r="C119" s="704"/>
      <c r="D119" s="704"/>
      <c r="E119" s="704"/>
      <c r="F119" s="704"/>
      <c r="G119" s="704"/>
      <c r="H119" s="704"/>
      <c r="I119" s="704"/>
      <c r="J119" s="704"/>
      <c r="K119" s="704"/>
      <c r="L119" s="704"/>
      <c r="M119" s="704"/>
      <c r="N119" s="704"/>
      <c r="O119" s="704"/>
      <c r="P119" s="704"/>
      <c r="Q119" s="704"/>
      <c r="R119" s="704"/>
      <c r="S119" s="704"/>
      <c r="T119" s="704"/>
      <c r="U119" s="704"/>
      <c r="V119" s="704"/>
      <c r="W119" s="704"/>
      <c r="X119" s="704"/>
      <c r="Y119" s="704"/>
      <c r="Z119" s="704"/>
      <c r="AA119" s="704"/>
      <c r="AB119" s="704"/>
      <c r="AC119" s="704"/>
      <c r="AD119" s="704"/>
      <c r="AE119" s="704"/>
      <c r="AF119" s="704"/>
      <c r="AG119" s="704"/>
      <c r="AH119" s="704"/>
      <c r="AI119" s="704"/>
      <c r="AJ119" s="704"/>
      <c r="AK119" s="704"/>
      <c r="AL119" s="704"/>
      <c r="AM119" s="704"/>
      <c r="AN119" s="704"/>
      <c r="AO119" s="704"/>
      <c r="AP119" s="704"/>
      <c r="AQ119" s="704"/>
      <c r="AR119" s="704"/>
      <c r="AS119" s="704"/>
      <c r="AT119" s="704"/>
      <c r="AU119" s="704"/>
      <c r="AV119" s="704"/>
      <c r="AW119" s="704"/>
      <c r="AX119" s="704"/>
      <c r="AY119" s="704"/>
      <c r="AZ119" s="704"/>
      <c r="BA119" s="704"/>
      <c r="BB119" s="704"/>
      <c r="BC119" s="704"/>
      <c r="BD119" s="704"/>
      <c r="BE119" s="704"/>
      <c r="BF119" s="704"/>
      <c r="BG119" s="704"/>
      <c r="BH119" s="704"/>
      <c r="BI119" s="704"/>
      <c r="BJ119" s="704"/>
    </row>
    <row r="120" spans="1:62" hidden="1" outlineLevel="1">
      <c r="A120" s="1427" t="s">
        <v>39</v>
      </c>
      <c r="B120" s="704"/>
      <c r="C120" s="704"/>
      <c r="D120" s="704"/>
      <c r="E120" s="704"/>
      <c r="F120" s="704"/>
      <c r="G120" s="704"/>
      <c r="H120" s="704"/>
      <c r="I120" s="704"/>
      <c r="J120" s="704"/>
      <c r="K120" s="704"/>
      <c r="L120" s="704"/>
      <c r="M120" s="704"/>
      <c r="N120" s="704"/>
      <c r="O120" s="704"/>
      <c r="P120" s="704"/>
      <c r="Q120" s="704"/>
      <c r="R120" s="704"/>
      <c r="S120" s="704"/>
      <c r="T120" s="704"/>
      <c r="U120" s="704"/>
      <c r="V120" s="704"/>
      <c r="W120" s="704"/>
      <c r="X120" s="704"/>
      <c r="Y120" s="704"/>
      <c r="Z120" s="704"/>
      <c r="AA120" s="704"/>
      <c r="AB120" s="704"/>
      <c r="AC120" s="704"/>
      <c r="AD120" s="704"/>
      <c r="AE120" s="704"/>
      <c r="AF120" s="704"/>
      <c r="AG120" s="704"/>
      <c r="AH120" s="704"/>
      <c r="AI120" s="704"/>
      <c r="AJ120" s="704"/>
      <c r="AK120" s="704"/>
      <c r="AL120" s="704"/>
      <c r="AM120" s="704"/>
      <c r="AN120" s="704"/>
      <c r="AO120" s="704"/>
      <c r="AP120" s="704"/>
      <c r="AQ120" s="704"/>
      <c r="AR120" s="704"/>
      <c r="AS120" s="704"/>
      <c r="AT120" s="704"/>
      <c r="AU120" s="704"/>
      <c r="AV120" s="704"/>
      <c r="AW120" s="704"/>
      <c r="AX120" s="704"/>
      <c r="AY120" s="704"/>
      <c r="AZ120" s="704"/>
      <c r="BA120" s="704"/>
      <c r="BB120" s="704"/>
      <c r="BC120" s="704"/>
      <c r="BD120" s="704"/>
      <c r="BE120" s="704"/>
      <c r="BF120" s="704"/>
      <c r="BG120" s="704"/>
      <c r="BH120" s="704"/>
      <c r="BI120" s="704"/>
      <c r="BJ120" s="704"/>
    </row>
    <row r="121" spans="1:62" hidden="1" outlineLevel="1">
      <c r="A121" s="1431" t="s">
        <v>40</v>
      </c>
      <c r="B121" s="704"/>
      <c r="C121" s="704"/>
      <c r="D121" s="704"/>
      <c r="E121" s="704"/>
      <c r="F121" s="704"/>
      <c r="G121" s="704"/>
      <c r="H121" s="704"/>
      <c r="I121" s="704"/>
      <c r="J121" s="704"/>
      <c r="K121" s="704"/>
      <c r="L121" s="704"/>
      <c r="M121" s="704"/>
      <c r="N121" s="704"/>
      <c r="O121" s="704"/>
      <c r="P121" s="704"/>
      <c r="Q121" s="704"/>
      <c r="R121" s="704"/>
      <c r="S121" s="704"/>
      <c r="T121" s="704"/>
      <c r="U121" s="704"/>
      <c r="V121" s="704"/>
      <c r="W121" s="704"/>
      <c r="X121" s="704"/>
      <c r="Y121" s="704"/>
      <c r="Z121" s="704"/>
      <c r="AA121" s="704"/>
      <c r="AB121" s="704"/>
      <c r="AC121" s="704"/>
      <c r="AD121" s="704"/>
      <c r="AE121" s="704"/>
      <c r="AF121" s="704"/>
      <c r="AG121" s="704"/>
      <c r="AH121" s="704"/>
      <c r="AI121" s="704"/>
      <c r="AJ121" s="704"/>
      <c r="AK121" s="704"/>
      <c r="AL121" s="704"/>
      <c r="AM121" s="704"/>
      <c r="AN121" s="704"/>
      <c r="AO121" s="704"/>
      <c r="AP121" s="704"/>
      <c r="AQ121" s="704"/>
      <c r="AR121" s="704"/>
      <c r="AS121" s="704"/>
      <c r="AT121" s="704"/>
      <c r="AU121" s="704"/>
      <c r="AV121" s="704"/>
      <c r="AW121" s="704"/>
      <c r="AX121" s="704"/>
      <c r="AY121" s="704"/>
      <c r="AZ121" s="704"/>
      <c r="BA121" s="704"/>
      <c r="BB121" s="704"/>
      <c r="BC121" s="704"/>
      <c r="BD121" s="704"/>
      <c r="BE121" s="704"/>
      <c r="BF121" s="704"/>
      <c r="BG121" s="704"/>
      <c r="BH121" s="704"/>
      <c r="BI121" s="704"/>
      <c r="BJ121" s="704"/>
    </row>
    <row r="122" spans="1:62" hidden="1" outlineLevel="1">
      <c r="A122" s="1431" t="s">
        <v>42</v>
      </c>
      <c r="B122" s="704"/>
      <c r="C122" s="704"/>
      <c r="D122" s="704"/>
      <c r="E122" s="704"/>
      <c r="F122" s="704"/>
      <c r="G122" s="704"/>
      <c r="H122" s="704"/>
      <c r="I122" s="704"/>
      <c r="J122" s="704"/>
      <c r="K122" s="704"/>
      <c r="L122" s="704"/>
      <c r="M122" s="704"/>
      <c r="N122" s="704"/>
      <c r="O122" s="704"/>
      <c r="P122" s="704"/>
      <c r="Q122" s="704"/>
      <c r="R122" s="704"/>
      <c r="S122" s="1423">
        <f>+S9-('yrP&amp;L'!I7*0.02)</f>
        <v>21.271840000000001</v>
      </c>
      <c r="T122" s="704"/>
      <c r="U122" s="1423">
        <f>+U9-('yrP&amp;L'!J7*0.02)</f>
        <v>24.671919999999982</v>
      </c>
      <c r="V122" s="704"/>
      <c r="W122" s="1423">
        <f>+W9-('yrP&amp;L'!K7*0.02)</f>
        <v>-6.6253400000000404</v>
      </c>
      <c r="X122" s="704"/>
      <c r="Y122" s="1423">
        <f>+Y9-('yrP&amp;L'!M7*0.02)</f>
        <v>7.8888599999999016</v>
      </c>
      <c r="Z122" s="704"/>
      <c r="AA122" s="1423">
        <f>+AA9-('yrP&amp;L'!N7*0.02)</f>
        <v>25.417659999999863</v>
      </c>
      <c r="AB122" s="704"/>
      <c r="AC122" s="1423">
        <f>+AC9-('yrP&amp;L'!O7*0.02)</f>
        <v>-2.8874799999999254</v>
      </c>
      <c r="AD122" s="704"/>
      <c r="AE122" s="1423">
        <f>+AE9-('yrP&amp;L'!P7*0.02)</f>
        <v>68.578640000000036</v>
      </c>
      <c r="AF122" s="704"/>
      <c r="AG122" s="1423">
        <f>+AG9-('yrP&amp;L'!Q7*0.02)</f>
        <v>277.27869999999979</v>
      </c>
      <c r="AH122" s="704"/>
      <c r="AI122" s="1423">
        <f>+AI9-('yrP&amp;L'!R7*0.02)</f>
        <v>113.54195999999972</v>
      </c>
      <c r="AJ122" s="704"/>
      <c r="AK122" s="1423">
        <f>+AK9-('yrP&amp;L'!S7*0.02)</f>
        <v>290.7809799999996</v>
      </c>
      <c r="AL122" s="704"/>
      <c r="AM122" s="1423">
        <f>+AM9-('yrP&amp;L'!T7*0.02)</f>
        <v>89.374500000000324</v>
      </c>
      <c r="AN122" s="704"/>
      <c r="AO122" s="1423">
        <f>+AO9-('yrP&amp;L'!U7*0.02)</f>
        <v>183.59411080000046</v>
      </c>
      <c r="AP122" s="704"/>
      <c r="AQ122" s="1423">
        <f>+AQ9-('yrP&amp;L'!V7*0.02)</f>
        <v>175.59153000000043</v>
      </c>
      <c r="AR122" s="704"/>
      <c r="AS122" s="1423">
        <f>+AS9-('yrP&amp;L'!W7*0.02)</f>
        <v>85.691280000000603</v>
      </c>
      <c r="AT122" s="1423"/>
      <c r="AU122" s="1423">
        <f>+AU9-('yrP&amp;L'!W7*0.02)</f>
        <v>196.40928000000051</v>
      </c>
      <c r="AV122" s="1423"/>
      <c r="AW122" s="1423">
        <f>+AW9-('yrP&amp;L'!X7*0.02)</f>
        <v>177.26008000000013</v>
      </c>
      <c r="AX122" s="1423"/>
      <c r="AY122" s="1423">
        <f>+AY9-('yrP&amp;L'!Y7*0.02)</f>
        <v>376.03267999999991</v>
      </c>
      <c r="AZ122" s="1423"/>
      <c r="BA122" s="1423">
        <f>+BA9-('yrP&amp;L'!Z7*0.02)</f>
        <v>545.48894309444836</v>
      </c>
      <c r="BB122" s="1423"/>
      <c r="BC122" s="1423">
        <f>+BC9-('yrP&amp;L'!AA7*0.02)</f>
        <v>755.54147855985184</v>
      </c>
      <c r="BD122" s="1423"/>
      <c r="BE122" s="1423">
        <f>+BE9-('yrP&amp;L'!AE7*0.02)</f>
        <v>1048.3864290536121</v>
      </c>
      <c r="BF122" s="1423"/>
      <c r="BG122" s="1423">
        <f>+BG9-('yrP&amp;L'!AG7*0.02)</f>
        <v>1271.5297988524005</v>
      </c>
      <c r="BH122" s="1423"/>
      <c r="BI122" s="1423">
        <f>+BI9-('yrP&amp;L'!AI7*0.02)</f>
        <v>1499.937498285839</v>
      </c>
      <c r="BJ122" s="1423"/>
    </row>
    <row r="123" spans="1:62" hidden="1" outlineLevel="1">
      <c r="A123" s="1431" t="s">
        <v>41</v>
      </c>
      <c r="B123" s="704"/>
      <c r="C123" s="704"/>
      <c r="D123" s="704"/>
      <c r="E123" s="704"/>
      <c r="F123" s="704"/>
      <c r="G123" s="704"/>
      <c r="H123" s="704"/>
      <c r="I123" s="704"/>
      <c r="J123" s="704"/>
      <c r="K123" s="704"/>
      <c r="L123" s="704"/>
      <c r="M123" s="704"/>
      <c r="N123" s="704"/>
      <c r="O123" s="704"/>
      <c r="P123" s="704"/>
      <c r="Q123" s="704"/>
      <c r="R123" s="704"/>
      <c r="S123" s="704"/>
      <c r="T123" s="704"/>
      <c r="U123" s="704"/>
      <c r="V123" s="704"/>
      <c r="W123" s="704"/>
      <c r="X123" s="704"/>
      <c r="Y123" s="704"/>
      <c r="Z123" s="704"/>
      <c r="AA123" s="704"/>
      <c r="AB123" s="704"/>
      <c r="AC123" s="704"/>
      <c r="AD123" s="704"/>
      <c r="AE123" s="704"/>
      <c r="AF123" s="704"/>
      <c r="AG123" s="704"/>
      <c r="AH123" s="704"/>
      <c r="AI123" s="704"/>
      <c r="AJ123" s="704"/>
      <c r="AK123" s="704"/>
      <c r="AL123" s="704"/>
      <c r="AM123" s="704"/>
      <c r="AN123" s="704"/>
      <c r="AO123" s="704"/>
      <c r="AP123" s="704"/>
      <c r="AQ123" s="704"/>
      <c r="AR123" s="704"/>
      <c r="AS123" s="704"/>
      <c r="AT123" s="704"/>
      <c r="AU123" s="704"/>
      <c r="AV123" s="704"/>
      <c r="AW123" s="704"/>
      <c r="AX123" s="704"/>
      <c r="AY123" s="704"/>
      <c r="AZ123" s="704"/>
      <c r="BA123" s="704"/>
      <c r="BB123" s="704"/>
      <c r="BC123" s="704"/>
      <c r="BD123" s="704"/>
      <c r="BE123" s="704"/>
      <c r="BF123" s="704"/>
      <c r="BG123" s="704"/>
      <c r="BH123" s="704"/>
      <c r="BI123" s="704"/>
      <c r="BJ123" s="704"/>
    </row>
    <row r="124" spans="1:62" collapsed="1"/>
  </sheetData>
  <phoneticPr fontId="0" type="noConversion"/>
  <dataValidations disablePrompts="1" count="1">
    <dataValidation type="custom" allowBlank="1" showInputMessage="1" showErrorMessage="1" sqref="A90:B123 A80:A86">
      <formula1>-1</formula1>
    </dataValidation>
  </dataValidations>
  <printOptions horizontalCentered="1"/>
  <pageMargins left="0" right="0" top="0" bottom="0" header="0" footer="0"/>
  <pageSetup paperSize="5" scale="82" orientation="landscape" r:id="rId1"/>
  <headerFooter alignWithMargins="0">
    <oddFooter>&amp;R&amp;8&amp;D/&amp;T
&amp;F/&amp;A</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tabColor indexed="59"/>
    <pageSetUpPr fitToPage="1"/>
  </sheetPr>
  <dimension ref="A1:CE67"/>
  <sheetViews>
    <sheetView zoomScale="85" zoomScaleNormal="85" zoomScaleSheetLayoutView="90" workbookViewId="0">
      <pane xSplit="3" ySplit="8" topLeftCell="AH34" activePane="bottomRight" state="frozen"/>
      <selection activeCell="Q7" sqref="Q7"/>
      <selection pane="topRight" activeCell="Q7" sqref="Q7"/>
      <selection pane="bottomLeft" activeCell="Q7" sqref="Q7"/>
      <selection pane="bottomRight" activeCell="AZ93" sqref="AZ93"/>
    </sheetView>
  </sheetViews>
  <sheetFormatPr defaultRowHeight="12.75" outlineLevelRow="1" outlineLevelCol="1"/>
  <cols>
    <col min="1" max="1" width="2.7109375" style="160" customWidth="1"/>
    <col min="2" max="2" width="4.28515625" style="160" customWidth="1"/>
    <col min="3" max="3" width="39.85546875" style="160" customWidth="1"/>
    <col min="4" max="4" width="9.140625" style="160" hidden="1" customWidth="1" outlineLevel="1"/>
    <col min="5" max="5" width="1.7109375" style="160" hidden="1" customWidth="1" outlineLevel="1"/>
    <col min="6" max="6" width="9.140625" style="160" hidden="1" customWidth="1" outlineLevel="1"/>
    <col min="7" max="7" width="1.7109375" style="160" hidden="1" customWidth="1" outlineLevel="1"/>
    <col min="8" max="8" width="9.140625" style="160" hidden="1" customWidth="1" outlineLevel="1"/>
    <col min="9" max="9" width="1.7109375" style="160" hidden="1" customWidth="1" outlineLevel="1"/>
    <col min="10" max="10" width="8.140625" style="160" hidden="1" customWidth="1" outlineLevel="1" collapsed="1"/>
    <col min="11" max="11" width="0.85546875" style="160" hidden="1" customWidth="1" outlineLevel="1"/>
    <col min="12" max="12" width="7.5703125" style="160" hidden="1" customWidth="1" outlineLevel="1"/>
    <col min="13" max="13" width="0.85546875" style="160" hidden="1" customWidth="1" outlineLevel="1"/>
    <col min="14" max="14" width="7.7109375" style="160" hidden="1" customWidth="1" outlineLevel="1"/>
    <col min="15" max="15" width="1" style="160" hidden="1" customWidth="1" outlineLevel="1"/>
    <col min="16" max="16" width="7.7109375" style="160" hidden="1" customWidth="1" outlineLevel="1"/>
    <col min="17" max="17" width="1.140625" style="160" hidden="1" customWidth="1" outlineLevel="1"/>
    <col min="18" max="18" width="7.7109375" style="160" hidden="1" customWidth="1" outlineLevel="1"/>
    <col min="19" max="19" width="1" style="160" hidden="1" customWidth="1" outlineLevel="1"/>
    <col min="20" max="20" width="7.7109375" style="160" hidden="1" customWidth="1" outlineLevel="1"/>
    <col min="21" max="21" width="1" style="160" hidden="1" customWidth="1" outlineLevel="1"/>
    <col min="22" max="22" width="7.7109375" style="160" hidden="1" customWidth="1" outlineLevel="1"/>
    <col min="23" max="23" width="1" style="160" hidden="1" customWidth="1" outlineLevel="1"/>
    <col min="24" max="24" width="8" style="160" hidden="1" customWidth="1" outlineLevel="1"/>
    <col min="25" max="25" width="1" style="160" hidden="1" customWidth="1" outlineLevel="1"/>
    <col min="26" max="26" width="8" style="160" hidden="1" customWidth="1" outlineLevel="1"/>
    <col min="27" max="27" width="1" style="160" hidden="1" customWidth="1" outlineLevel="1"/>
    <col min="28" max="28" width="8" style="160" hidden="1" customWidth="1" outlineLevel="1"/>
    <col min="29" max="29" width="1" style="160" hidden="1" customWidth="1" outlineLevel="1"/>
    <col min="30" max="30" width="8" style="160" hidden="1" customWidth="1" outlineLevel="1"/>
    <col min="31" max="31" width="1" style="160" hidden="1" customWidth="1" outlineLevel="1"/>
    <col min="32" max="32" width="8.42578125" style="160" hidden="1" customWidth="1" outlineLevel="1"/>
    <col min="33" max="33" width="1" style="160" hidden="1" customWidth="1" outlineLevel="1"/>
    <col min="34" max="34" width="8.42578125" style="160" bestFit="1" customWidth="1" collapsed="1"/>
    <col min="35" max="35" width="1" style="160" customWidth="1"/>
    <col min="36" max="36" width="8.42578125" style="160" customWidth="1"/>
    <col min="37" max="37" width="1" style="160" customWidth="1"/>
    <col min="38" max="38" width="8.140625" style="160" customWidth="1"/>
    <col min="39" max="39" width="1" style="160" customWidth="1"/>
    <col min="40" max="40" width="8.42578125" style="160" bestFit="1" customWidth="1"/>
    <col min="41" max="41" width="1" style="160" customWidth="1"/>
    <col min="42" max="42" width="8" style="160" bestFit="1" customWidth="1"/>
    <col min="43" max="43" width="1" style="160" customWidth="1"/>
    <col min="44" max="44" width="8.140625" style="160" customWidth="1"/>
    <col min="45" max="45" width="1" style="160" customWidth="1"/>
    <col min="46" max="46" width="7.85546875" style="160" customWidth="1"/>
    <col min="47" max="47" width="1" style="160" customWidth="1"/>
    <col min="48" max="48" width="9.140625" style="160"/>
    <col min="49" max="49" width="1" style="160" customWidth="1"/>
    <col min="50" max="50" width="9.140625" style="160"/>
    <col min="51" max="51" width="1.140625" style="160" customWidth="1"/>
    <col min="52" max="52" width="9.140625" style="160"/>
    <col min="53" max="53" width="1.140625" style="160" customWidth="1"/>
    <col min="54" max="54" width="9.140625" style="160"/>
    <col min="55" max="55" width="1.140625" style="160" customWidth="1"/>
    <col min="56" max="56" width="9.140625" style="160"/>
    <col min="57" max="57" width="1.140625" style="160" customWidth="1"/>
    <col min="58" max="58" width="9.140625" style="160"/>
    <col min="59" max="62" width="1.140625" style="160" customWidth="1"/>
    <col min="63" max="76" width="9.140625" style="160" hidden="1" customWidth="1" outlineLevel="1"/>
    <col min="77" max="77" width="9.140625" style="160" collapsed="1"/>
    <col min="78" max="78" width="15.140625" customWidth="1" outlineLevel="1"/>
    <col min="79" max="83" width="9.140625" customWidth="1" outlineLevel="1"/>
    <col min="84" max="16384" width="9.140625" style="160"/>
  </cols>
  <sheetData>
    <row r="1" spans="1:77">
      <c r="A1" s="1275" t="str">
        <f>sumry!A1</f>
        <v>Urban Outfitters, Inc.</v>
      </c>
      <c r="B1" s="1275"/>
      <c r="C1" s="1275"/>
      <c r="D1" s="1275"/>
      <c r="E1" s="1366"/>
      <c r="F1" s="1275"/>
      <c r="G1" s="1275"/>
      <c r="H1" s="1275"/>
      <c r="I1" s="1366"/>
      <c r="J1" s="1482"/>
      <c r="K1" s="1482"/>
      <c r="L1" s="1482"/>
      <c r="M1" s="1366"/>
      <c r="N1" s="1482"/>
      <c r="O1" s="1366"/>
      <c r="P1" s="1482"/>
      <c r="Q1" s="1366"/>
      <c r="R1" s="1482"/>
      <c r="S1" s="1366"/>
      <c r="T1" s="1482"/>
      <c r="U1" s="1366"/>
      <c r="V1" s="1482"/>
      <c r="W1" s="1366"/>
      <c r="X1" s="1482"/>
      <c r="Y1" s="1366"/>
      <c r="Z1" s="1482"/>
      <c r="AA1" s="1366"/>
      <c r="AB1" s="1482"/>
      <c r="AC1" s="1366"/>
      <c r="AD1" s="1482"/>
      <c r="AE1" s="1366"/>
      <c r="AF1" s="1482"/>
      <c r="AG1" s="1366"/>
      <c r="AH1" s="1482"/>
      <c r="AI1" s="1366"/>
      <c r="AJ1" s="1482"/>
      <c r="AK1" s="1366"/>
      <c r="AL1" s="1482"/>
      <c r="AM1" s="1366"/>
      <c r="AN1" s="1482"/>
      <c r="AO1" s="1366"/>
      <c r="AP1" s="1482"/>
      <c r="AQ1" s="1482"/>
      <c r="AR1" s="1482"/>
      <c r="AS1" s="1482"/>
      <c r="AT1" s="1482"/>
      <c r="AU1" s="1482"/>
      <c r="AV1" s="1482"/>
      <c r="AW1" s="1482"/>
      <c r="AX1" s="1482"/>
      <c r="AY1" s="1482"/>
      <c r="AZ1" s="1482"/>
      <c r="BA1" s="1482"/>
      <c r="BB1" s="1482"/>
      <c r="BC1" s="1482"/>
      <c r="BD1" s="1482"/>
      <c r="BE1" s="1482"/>
      <c r="BF1" s="1482"/>
      <c r="BG1" s="1482"/>
      <c r="BH1" s="1482"/>
      <c r="BI1" s="1482"/>
      <c r="BJ1" s="1482"/>
      <c r="BK1" s="1482"/>
      <c r="BL1" s="1483"/>
      <c r="BM1" s="1482"/>
      <c r="BN1" s="1483"/>
      <c r="BO1" s="1482"/>
      <c r="BP1" s="1483"/>
      <c r="BQ1" s="1482"/>
      <c r="BR1" s="1483"/>
      <c r="BS1" s="1482"/>
      <c r="BT1" s="1483"/>
      <c r="BU1" s="1482"/>
      <c r="BV1" s="1483"/>
      <c r="BW1" s="1482"/>
      <c r="BX1" s="1483"/>
      <c r="BY1" s="1483"/>
    </row>
    <row r="2" spans="1:77">
      <c r="A2" s="1367" t="s">
        <v>303</v>
      </c>
      <c r="B2" s="1368"/>
      <c r="C2" s="1368"/>
      <c r="D2" s="1368"/>
      <c r="E2" s="1369"/>
      <c r="F2" s="1368"/>
      <c r="G2" s="1368"/>
      <c r="H2" s="1368"/>
      <c r="I2" s="1369"/>
      <c r="J2" s="1368"/>
      <c r="K2" s="1368"/>
      <c r="L2" s="1368"/>
      <c r="M2" s="1369"/>
      <c r="N2" s="1368"/>
      <c r="O2" s="1369"/>
      <c r="P2" s="1368"/>
      <c r="Q2" s="1369"/>
      <c r="R2" s="1368"/>
      <c r="S2" s="1369"/>
      <c r="T2" s="1368"/>
      <c r="U2" s="1369"/>
      <c r="V2" s="1368"/>
      <c r="W2" s="1369"/>
      <c r="X2" s="1368"/>
      <c r="Y2" s="1369"/>
      <c r="Z2" s="1368"/>
      <c r="AA2" s="1369"/>
      <c r="AB2" s="1368"/>
      <c r="AC2" s="1369"/>
      <c r="AD2" s="1368"/>
      <c r="AE2" s="1369"/>
      <c r="AF2" s="1368"/>
      <c r="AG2" s="1369"/>
      <c r="AH2" s="1368"/>
      <c r="AI2" s="1369"/>
      <c r="AJ2" s="1368"/>
      <c r="AK2" s="1369"/>
      <c r="AL2" s="1368"/>
      <c r="AM2" s="1369"/>
      <c r="AN2" s="1368"/>
      <c r="AO2" s="1369"/>
      <c r="AP2" s="1368"/>
      <c r="AQ2" s="1368"/>
      <c r="AR2" s="1368"/>
      <c r="AS2" s="1368"/>
      <c r="AT2" s="1368"/>
      <c r="AU2" s="1368"/>
      <c r="AV2" s="1368"/>
      <c r="AW2" s="1368"/>
      <c r="AX2" s="1368"/>
      <c r="AY2" s="1482"/>
      <c r="AZ2" s="1368"/>
      <c r="BA2" s="1482"/>
      <c r="BB2" s="1368"/>
      <c r="BC2" s="1482"/>
      <c r="BD2" s="1368"/>
      <c r="BE2" s="1482"/>
      <c r="BF2" s="1368"/>
      <c r="BG2" s="1482"/>
      <c r="BH2" s="1482"/>
      <c r="BI2" s="1482"/>
      <c r="BJ2" s="1482"/>
      <c r="BK2" s="1482"/>
      <c r="BL2" s="1483"/>
      <c r="BM2" s="1482"/>
      <c r="BN2" s="1483"/>
      <c r="BO2" s="1482"/>
      <c r="BP2" s="1483"/>
      <c r="BQ2" s="1482"/>
      <c r="BR2" s="1483"/>
      <c r="BS2" s="1482"/>
      <c r="BT2" s="1483"/>
      <c r="BU2" s="1482"/>
      <c r="BV2" s="1483"/>
      <c r="BW2" s="1482"/>
      <c r="BX2" s="1483"/>
      <c r="BY2" s="1483"/>
    </row>
    <row r="3" spans="1:77">
      <c r="A3" s="1371" t="str">
        <f>+'qtrP&amp;L'!A3</f>
        <v>For the fiscal year ending January 31 of the following year</v>
      </c>
      <c r="B3" s="1371"/>
      <c r="C3" s="1372"/>
      <c r="D3" s="1372"/>
      <c r="E3" s="1372"/>
      <c r="F3" s="1372"/>
      <c r="G3" s="1372"/>
      <c r="H3" s="1372"/>
      <c r="I3" s="1372"/>
      <c r="J3" s="1372"/>
      <c r="K3" s="1372"/>
      <c r="L3" s="1372"/>
      <c r="M3" s="1372"/>
      <c r="N3" s="1372"/>
      <c r="O3" s="1372"/>
      <c r="P3" s="1372"/>
      <c r="Q3" s="1372"/>
      <c r="R3" s="1484"/>
      <c r="S3" s="1484"/>
      <c r="T3" s="1484"/>
      <c r="U3" s="1484"/>
      <c r="V3" s="1484"/>
      <c r="W3" s="1484"/>
      <c r="X3" s="1484"/>
      <c r="Y3" s="1484"/>
      <c r="Z3" s="1484"/>
      <c r="AA3" s="1484"/>
      <c r="AB3" s="1484"/>
      <c r="AC3" s="1484"/>
      <c r="AD3" s="1484"/>
      <c r="AE3" s="1484"/>
      <c r="AF3" s="1484"/>
      <c r="AG3" s="1484"/>
      <c r="AH3" s="1484"/>
      <c r="AI3" s="1484"/>
      <c r="AJ3" s="1484"/>
      <c r="AK3" s="1484"/>
      <c r="AL3" s="1484"/>
      <c r="AM3" s="1484"/>
      <c r="AN3" s="1484"/>
      <c r="AO3" s="1484"/>
      <c r="AP3" s="1484"/>
      <c r="AQ3" s="1484"/>
      <c r="AR3" s="1484"/>
      <c r="AS3" s="1484"/>
      <c r="AT3" s="1484"/>
      <c r="AU3" s="1484"/>
      <c r="AV3" s="1372"/>
      <c r="AW3" s="1484"/>
      <c r="AX3" s="1372"/>
      <c r="AY3" s="1372"/>
      <c r="AZ3" s="1372"/>
      <c r="BA3" s="1372"/>
      <c r="BB3" s="1372"/>
      <c r="BC3" s="1372"/>
      <c r="BD3" s="1372"/>
      <c r="BE3" s="1372"/>
      <c r="BF3" s="1372"/>
      <c r="BG3" s="1372"/>
      <c r="BH3" s="1372"/>
      <c r="BI3" s="1372"/>
      <c r="BJ3" s="1372"/>
      <c r="BK3" s="1372"/>
      <c r="BL3" s="1372"/>
      <c r="BM3" s="1372"/>
      <c r="BN3" s="1372"/>
      <c r="BO3" s="1372"/>
      <c r="BP3" s="1372"/>
      <c r="BQ3" s="1372"/>
      <c r="BR3" s="1372"/>
      <c r="BS3" s="1372"/>
      <c r="BT3" s="1372"/>
      <c r="BU3" s="1372"/>
      <c r="BV3" s="1372"/>
      <c r="BW3" s="1372"/>
      <c r="BX3" s="1372"/>
      <c r="BY3" s="1372"/>
    </row>
    <row r="4" spans="1:77">
      <c r="A4" s="1371" t="s">
        <v>260</v>
      </c>
      <c r="B4" s="1371"/>
      <c r="C4" s="1372"/>
      <c r="D4" s="1372"/>
      <c r="E4" s="1372"/>
      <c r="F4" s="1372"/>
      <c r="G4" s="1372"/>
      <c r="H4" s="1372"/>
      <c r="I4" s="1372"/>
      <c r="J4" s="1372"/>
      <c r="K4" s="1372"/>
      <c r="L4" s="1372"/>
      <c r="M4" s="1372"/>
      <c r="N4" s="1372"/>
      <c r="O4" s="1372"/>
      <c r="P4" s="1372"/>
      <c r="Q4" s="1372"/>
      <c r="R4" s="1372"/>
      <c r="S4" s="1372"/>
      <c r="T4" s="1372"/>
      <c r="U4" s="1372"/>
      <c r="V4" s="1372"/>
      <c r="W4" s="1372"/>
      <c r="X4" s="1372"/>
      <c r="Y4" s="1372"/>
      <c r="Z4" s="1372"/>
      <c r="AA4" s="1372"/>
      <c r="AB4" s="1372"/>
      <c r="AC4" s="1372"/>
      <c r="AD4" s="1372"/>
      <c r="AE4" s="1372"/>
      <c r="AF4" s="1372"/>
      <c r="AG4" s="1372"/>
      <c r="AH4" s="1372"/>
      <c r="AI4" s="1372"/>
      <c r="AJ4" s="1372"/>
      <c r="AK4" s="1372"/>
      <c r="AL4" s="1372"/>
      <c r="AM4" s="1372"/>
      <c r="AN4" s="1372"/>
      <c r="AO4" s="1372"/>
      <c r="AP4" s="1372"/>
      <c r="AQ4" s="1372"/>
      <c r="AR4" s="1485"/>
      <c r="AS4" s="1372"/>
      <c r="AT4" s="1372"/>
      <c r="AU4" s="1372"/>
      <c r="AV4" s="1372"/>
      <c r="AW4" s="1372"/>
      <c r="AX4" s="1372"/>
      <c r="AY4" s="1372"/>
      <c r="AZ4" s="1372"/>
      <c r="BA4" s="1372"/>
      <c r="BB4" s="1372"/>
      <c r="BC4" s="1372"/>
      <c r="BD4" s="1372"/>
      <c r="BE4" s="1372"/>
      <c r="BF4" s="1372"/>
      <c r="BG4" s="1372"/>
      <c r="BH4" s="1372"/>
      <c r="BI4" s="1372"/>
      <c r="BJ4" s="1372"/>
      <c r="BK4" s="1372"/>
      <c r="BL4" s="1372"/>
      <c r="BM4" s="1372"/>
      <c r="BN4" s="1372"/>
      <c r="BO4" s="1372"/>
      <c r="BP4" s="1372"/>
      <c r="BQ4" s="1372"/>
      <c r="BR4" s="1372"/>
      <c r="BS4" s="1372"/>
      <c r="BT4" s="1372"/>
      <c r="BU4" s="1372"/>
      <c r="BV4" s="1372"/>
      <c r="BW4" s="1372"/>
      <c r="BX4" s="1372"/>
      <c r="BY4" s="1372"/>
    </row>
    <row r="5" spans="1:77">
      <c r="A5" s="1371"/>
      <c r="B5" s="1371"/>
      <c r="C5" s="1372"/>
      <c r="D5" s="1372"/>
      <c r="E5" s="1372"/>
      <c r="F5" s="1372"/>
      <c r="G5" s="1372"/>
      <c r="H5" s="1372"/>
      <c r="I5" s="1372"/>
      <c r="J5" s="1372"/>
      <c r="K5" s="1372"/>
      <c r="L5" s="1372"/>
      <c r="M5" s="1372"/>
      <c r="N5" s="1372"/>
      <c r="O5" s="1372"/>
      <c r="P5" s="1372"/>
      <c r="Q5" s="1372"/>
      <c r="R5" s="1372"/>
      <c r="S5" s="1372"/>
      <c r="T5" s="1484"/>
      <c r="U5" s="1372"/>
      <c r="V5" s="1372"/>
      <c r="W5" s="1372"/>
      <c r="X5" s="1372"/>
      <c r="Y5" s="1372"/>
      <c r="Z5" s="1372"/>
      <c r="AA5" s="1372"/>
      <c r="AB5" s="1372"/>
      <c r="AC5" s="1372"/>
      <c r="AD5" s="1372"/>
      <c r="AE5" s="1372"/>
      <c r="AF5" s="1372"/>
      <c r="AG5" s="1372"/>
      <c r="AH5" s="1372"/>
      <c r="AI5" s="1372"/>
      <c r="AJ5" s="1372"/>
      <c r="AK5" s="1372"/>
      <c r="AL5" s="1372"/>
      <c r="AM5" s="1372"/>
      <c r="AN5" s="1372"/>
      <c r="AO5" s="1372"/>
      <c r="AP5" s="1372"/>
      <c r="AQ5" s="1372"/>
      <c r="AR5" s="1372"/>
      <c r="AS5" s="1372"/>
      <c r="AT5" s="1372"/>
      <c r="AU5" s="1372"/>
      <c r="AV5" s="1372"/>
      <c r="AW5" s="1372"/>
      <c r="AX5" s="1372"/>
      <c r="AY5" s="1372"/>
      <c r="AZ5" s="1372"/>
      <c r="BA5" s="1372"/>
      <c r="BB5" s="1372"/>
      <c r="BC5" s="1372"/>
      <c r="BD5" s="1372"/>
      <c r="BE5" s="1372"/>
      <c r="BF5" s="1372"/>
      <c r="BG5" s="1372"/>
      <c r="BH5" s="1372"/>
      <c r="BI5" s="1372"/>
      <c r="BJ5" s="1372"/>
      <c r="BK5" s="1372"/>
      <c r="BL5" s="1372"/>
      <c r="BM5" s="1372"/>
      <c r="BN5" s="1372"/>
      <c r="BO5" s="1372"/>
      <c r="BP5" s="1372"/>
      <c r="BQ5" s="1372"/>
      <c r="BR5" s="1372"/>
      <c r="BS5" s="1372"/>
      <c r="BT5" s="1372"/>
      <c r="BU5" s="1372"/>
      <c r="BV5" s="1372"/>
      <c r="BW5" s="1372"/>
      <c r="BX5" s="1372"/>
      <c r="BY5" s="1372"/>
    </row>
    <row r="6" spans="1:77">
      <c r="A6" s="704"/>
      <c r="B6" s="704"/>
      <c r="C6" s="704"/>
      <c r="D6" s="889"/>
      <c r="E6" s="889"/>
      <c r="F6" s="1486"/>
      <c r="G6" s="889"/>
      <c r="H6" s="1487"/>
      <c r="I6" s="1487"/>
      <c r="J6" s="889"/>
      <c r="K6" s="889"/>
      <c r="L6" s="889"/>
      <c r="M6" s="1487"/>
      <c r="N6" s="1487"/>
      <c r="O6" s="1487"/>
      <c r="P6" s="889"/>
      <c r="Q6" s="1487" t="s">
        <v>394</v>
      </c>
      <c r="R6" s="889"/>
      <c r="S6" s="1487"/>
      <c r="T6" s="889"/>
      <c r="U6" s="1487"/>
      <c r="V6" s="889"/>
      <c r="W6" s="1487"/>
      <c r="X6" s="889"/>
      <c r="Y6" s="1487"/>
      <c r="Z6" s="889"/>
      <c r="AA6" s="1487"/>
      <c r="AB6" s="889"/>
      <c r="AC6" s="1487"/>
      <c r="AD6" s="889"/>
      <c r="AE6" s="1487"/>
      <c r="AF6" s="889"/>
      <c r="AG6" s="1487"/>
      <c r="AH6" s="889"/>
      <c r="AI6" s="1487"/>
      <c r="AJ6" s="889"/>
      <c r="AK6" s="1487"/>
      <c r="AL6" s="889"/>
      <c r="AM6" s="1487"/>
      <c r="AN6" s="889"/>
      <c r="AO6" s="1487"/>
      <c r="AP6" s="889"/>
      <c r="AQ6" s="889"/>
      <c r="AR6" s="889"/>
      <c r="AS6" s="889"/>
      <c r="AT6" s="889"/>
      <c r="AU6" s="889"/>
      <c r="AV6" s="889"/>
      <c r="AW6" s="889"/>
      <c r="AX6" s="889"/>
      <c r="AY6" s="1372"/>
      <c r="AZ6" s="889"/>
      <c r="BA6" s="1372"/>
      <c r="BB6" s="889"/>
      <c r="BC6" s="1372"/>
      <c r="BD6" s="889"/>
      <c r="BE6" s="1372"/>
      <c r="BF6" s="889"/>
      <c r="BG6" s="1372"/>
      <c r="BH6" s="1372"/>
      <c r="BI6" s="1372"/>
      <c r="BJ6" s="1372"/>
      <c r="BK6" s="1488" t="s">
        <v>515</v>
      </c>
      <c r="BL6" s="1489" t="s">
        <v>516</v>
      </c>
      <c r="BM6" s="1488" t="s">
        <v>515</v>
      </c>
      <c r="BN6" s="1489" t="s">
        <v>516</v>
      </c>
      <c r="BO6" s="1488" t="s">
        <v>515</v>
      </c>
      <c r="BP6" s="1489" t="s">
        <v>516</v>
      </c>
      <c r="BQ6" s="1488" t="s">
        <v>515</v>
      </c>
      <c r="BR6" s="1489" t="s">
        <v>516</v>
      </c>
      <c r="BS6" s="1488" t="s">
        <v>515</v>
      </c>
      <c r="BT6" s="1489" t="s">
        <v>516</v>
      </c>
      <c r="BU6" s="1488" t="s">
        <v>515</v>
      </c>
      <c r="BV6" s="1489" t="s">
        <v>516</v>
      </c>
      <c r="BW6" s="1488" t="s">
        <v>515</v>
      </c>
      <c r="BX6" s="1489" t="s">
        <v>516</v>
      </c>
      <c r="BY6" s="1372"/>
    </row>
    <row r="7" spans="1:77">
      <c r="A7" s="704"/>
      <c r="B7" s="704"/>
      <c r="C7" s="704"/>
      <c r="D7" s="704"/>
      <c r="E7" s="704"/>
      <c r="F7" s="704"/>
      <c r="G7" s="704"/>
      <c r="H7" s="704"/>
      <c r="I7" s="704"/>
      <c r="J7" s="704"/>
      <c r="K7" s="704"/>
      <c r="L7" s="704"/>
      <c r="M7" s="704"/>
      <c r="N7" s="704"/>
      <c r="O7" s="704"/>
      <c r="P7" s="704"/>
      <c r="Q7" s="704"/>
      <c r="R7" s="704"/>
      <c r="S7" s="704"/>
      <c r="T7" s="704"/>
      <c r="U7" s="704"/>
      <c r="V7" s="704"/>
      <c r="W7" s="704"/>
      <c r="X7" s="704"/>
      <c r="Y7" s="704"/>
      <c r="Z7" s="704"/>
      <c r="AA7" s="704"/>
      <c r="AB7" s="704"/>
      <c r="AC7" s="704"/>
      <c r="AD7" s="704"/>
      <c r="AE7" s="704"/>
      <c r="AF7" s="704"/>
      <c r="AG7" s="704"/>
      <c r="AH7" s="704"/>
      <c r="AI7" s="704"/>
      <c r="AJ7" s="704"/>
      <c r="AK7" s="704"/>
      <c r="AL7" s="704"/>
      <c r="AM7" s="704"/>
      <c r="AN7" s="704"/>
      <c r="AO7" s="704"/>
      <c r="AP7" s="704"/>
      <c r="AQ7" s="704"/>
      <c r="AR7" s="704"/>
      <c r="AS7" s="704"/>
      <c r="AT7" s="704"/>
      <c r="AU7" s="704"/>
      <c r="AV7" s="704"/>
      <c r="AW7" s="704"/>
      <c r="AX7" s="704"/>
      <c r="AY7" s="704"/>
      <c r="AZ7" s="704"/>
      <c r="BA7" s="704"/>
      <c r="BB7" s="704"/>
      <c r="BC7" s="704"/>
      <c r="BD7" s="704"/>
      <c r="BE7" s="704"/>
      <c r="BF7" s="704"/>
      <c r="BG7" s="704"/>
      <c r="BH7" s="704"/>
      <c r="BI7" s="704"/>
      <c r="BJ7" s="704"/>
      <c r="BK7" s="899"/>
      <c r="BL7" s="1490"/>
      <c r="BM7" s="899"/>
      <c r="BN7" s="1490"/>
      <c r="BO7" s="899"/>
      <c r="BP7" s="1490"/>
      <c r="BQ7" s="899"/>
      <c r="BR7" s="1490"/>
      <c r="BS7" s="899"/>
      <c r="BT7" s="1490"/>
      <c r="BU7" s="899"/>
      <c r="BV7" s="1490"/>
      <c r="BW7" s="899"/>
      <c r="BX7" s="1490"/>
      <c r="BY7" s="704"/>
    </row>
    <row r="8" spans="1:77">
      <c r="A8" s="704"/>
      <c r="B8" s="704"/>
      <c r="C8" s="704"/>
      <c r="D8" s="1375">
        <v>1995</v>
      </c>
      <c r="E8" s="1376"/>
      <c r="F8" s="1377">
        <f>D8+1</f>
        <v>1996</v>
      </c>
      <c r="G8" s="1376"/>
      <c r="H8" s="1377">
        <f>F8+1</f>
        <v>1997</v>
      </c>
      <c r="I8" s="1376"/>
      <c r="J8" s="1377">
        <f>H8+1</f>
        <v>1998</v>
      </c>
      <c r="K8" s="1376"/>
      <c r="L8" s="1377">
        <f>J8+1</f>
        <v>1999</v>
      </c>
      <c r="M8" s="1376"/>
      <c r="N8" s="1377">
        <f>L8+1</f>
        <v>2000</v>
      </c>
      <c r="O8" s="1376"/>
      <c r="P8" s="1377">
        <f>N8+1</f>
        <v>2001</v>
      </c>
      <c r="Q8" s="1376"/>
      <c r="R8" s="1377">
        <f>+bal!U6</f>
        <v>2002</v>
      </c>
      <c r="S8" s="1376"/>
      <c r="T8" s="1377">
        <f>+bal!W6</f>
        <v>2003</v>
      </c>
      <c r="U8" s="1376"/>
      <c r="V8" s="1377">
        <f>+bal!Y6</f>
        <v>2004</v>
      </c>
      <c r="W8" s="1376"/>
      <c r="X8" s="1377">
        <f>+bal!AA6</f>
        <v>2005</v>
      </c>
      <c r="Y8" s="1376"/>
      <c r="Z8" s="1377">
        <f>+bal!AC6</f>
        <v>2006</v>
      </c>
      <c r="AA8" s="1376"/>
      <c r="AB8" s="1377">
        <f>+bal!AE6</f>
        <v>2007</v>
      </c>
      <c r="AC8" s="1376"/>
      <c r="AD8" s="1377">
        <f>+bal!AG6</f>
        <v>2008</v>
      </c>
      <c r="AE8" s="1376"/>
      <c r="AF8" s="1377">
        <f>+bal!AI6</f>
        <v>2009</v>
      </c>
      <c r="AG8" s="1376"/>
      <c r="AH8" s="1377">
        <f>+bal!AK6</f>
        <v>2010</v>
      </c>
      <c r="AI8" s="1376"/>
      <c r="AJ8" s="1377">
        <f>+bal!AM6</f>
        <v>2011</v>
      </c>
      <c r="AK8" s="1376"/>
      <c r="AL8" s="1377">
        <f>+bal!AO6</f>
        <v>2012</v>
      </c>
      <c r="AM8" s="1376"/>
      <c r="AN8" s="1377">
        <f>+bal!AQ6</f>
        <v>2013</v>
      </c>
      <c r="AO8" s="1376"/>
      <c r="AP8" s="1377">
        <f>+bal!AS6</f>
        <v>2014</v>
      </c>
      <c r="AQ8" s="1480"/>
      <c r="AR8" s="1377">
        <f>+bal!AU6</f>
        <v>2015</v>
      </c>
      <c r="AS8" s="1480"/>
      <c r="AT8" s="1377">
        <f>+bal!AW6</f>
        <v>2016</v>
      </c>
      <c r="AU8" s="1480"/>
      <c r="AV8" s="1378">
        <f>+bal!AY6</f>
        <v>2017</v>
      </c>
      <c r="AW8" s="1480"/>
      <c r="AX8" s="1378">
        <f>+bal!BA6</f>
        <v>2018</v>
      </c>
      <c r="AY8" s="704"/>
      <c r="AZ8" s="1378">
        <f>+bal!BC6</f>
        <v>2019</v>
      </c>
      <c r="BA8" s="704"/>
      <c r="BB8" s="1378">
        <f>+bal!BE6</f>
        <v>2020</v>
      </c>
      <c r="BC8" s="704"/>
      <c r="BD8" s="1378">
        <f>+bal!BG6</f>
        <v>2021</v>
      </c>
      <c r="BE8" s="704"/>
      <c r="BF8" s="1378">
        <f>+bal!BI6</f>
        <v>2022</v>
      </c>
      <c r="BG8" s="704"/>
      <c r="BH8" s="704"/>
      <c r="BI8" s="704"/>
      <c r="BJ8" s="704"/>
      <c r="BK8" s="1491">
        <v>1995</v>
      </c>
      <c r="BL8" s="1490"/>
      <c r="BM8" s="1491">
        <v>1996</v>
      </c>
      <c r="BN8" s="1490"/>
      <c r="BO8" s="1491">
        <v>1997</v>
      </c>
      <c r="BP8" s="1490"/>
      <c r="BQ8" s="1491">
        <v>1998</v>
      </c>
      <c r="BR8" s="1490"/>
      <c r="BS8" s="1491">
        <v>1999</v>
      </c>
      <c r="BT8" s="1490"/>
      <c r="BU8" s="1491">
        <v>2000</v>
      </c>
      <c r="BV8" s="1490"/>
      <c r="BW8" s="1491">
        <v>2001</v>
      </c>
      <c r="BX8" s="1490"/>
      <c r="BY8" s="704"/>
    </row>
    <row r="9" spans="1:77">
      <c r="A9" s="704"/>
      <c r="B9" s="704"/>
      <c r="C9" s="704"/>
      <c r="D9" s="704"/>
      <c r="E9" s="704"/>
      <c r="F9" s="704"/>
      <c r="G9" s="704"/>
      <c r="H9" s="704"/>
      <c r="I9" s="704"/>
      <c r="J9" s="704"/>
      <c r="K9" s="704"/>
      <c r="L9" s="704"/>
      <c r="M9" s="704"/>
      <c r="N9" s="704"/>
      <c r="O9" s="704"/>
      <c r="P9" s="704"/>
      <c r="Q9" s="704"/>
      <c r="R9" s="704"/>
      <c r="S9" s="704"/>
      <c r="T9" s="704"/>
      <c r="U9" s="704"/>
      <c r="V9" s="704"/>
      <c r="W9" s="704"/>
      <c r="X9" s="704"/>
      <c r="Y9" s="704"/>
      <c r="Z9" s="704"/>
      <c r="AA9" s="704"/>
      <c r="AB9" s="704"/>
      <c r="AC9" s="704"/>
      <c r="AD9" s="704"/>
      <c r="AE9" s="704"/>
      <c r="AF9" s="704"/>
      <c r="AG9" s="704"/>
      <c r="AH9" s="704"/>
      <c r="AI9" s="704"/>
      <c r="AJ9" s="704"/>
      <c r="AK9" s="704"/>
      <c r="AL9" s="704"/>
      <c r="AM9" s="704"/>
      <c r="AN9" s="704"/>
      <c r="AO9" s="704"/>
      <c r="AP9" s="704"/>
      <c r="AQ9" s="704"/>
      <c r="AR9" s="704"/>
      <c r="AS9" s="704"/>
      <c r="AT9" s="704"/>
      <c r="AU9" s="704"/>
      <c r="AV9" s="704"/>
      <c r="AW9" s="704"/>
      <c r="AX9" s="704"/>
      <c r="AY9" s="704"/>
      <c r="AZ9" s="704"/>
      <c r="BA9" s="704"/>
      <c r="BB9" s="704"/>
      <c r="BC9" s="704"/>
      <c r="BD9" s="704"/>
      <c r="BE9" s="704"/>
      <c r="BF9" s="704"/>
      <c r="BG9" s="704"/>
      <c r="BH9" s="704"/>
      <c r="BI9" s="704"/>
      <c r="BJ9" s="704"/>
      <c r="BK9" s="899"/>
      <c r="BL9" s="1490"/>
      <c r="BM9" s="899"/>
      <c r="BN9" s="1490"/>
      <c r="BO9" s="899"/>
      <c r="BP9" s="1490"/>
      <c r="BQ9" s="899"/>
      <c r="BR9" s="1490"/>
      <c r="BS9" s="899"/>
      <c r="BT9" s="1490"/>
      <c r="BU9" s="899"/>
      <c r="BV9" s="1490"/>
      <c r="BW9" s="899"/>
      <c r="BX9" s="1490"/>
      <c r="BY9" s="704"/>
    </row>
    <row r="10" spans="1:77">
      <c r="A10" s="704"/>
      <c r="B10" s="704" t="s">
        <v>358</v>
      </c>
      <c r="C10" s="704"/>
      <c r="D10" s="1390">
        <f>'qtrP&amp;L'!H94</f>
        <v>12.308000000000005</v>
      </c>
      <c r="E10" s="704" t="s">
        <v>375</v>
      </c>
      <c r="F10" s="1390">
        <f>'qtrP&amp;L'!L94</f>
        <v>13.259999999999996</v>
      </c>
      <c r="G10" s="1390"/>
      <c r="H10" s="1390">
        <f>'qtrP&amp;L'!P94</f>
        <v>13.879000000000001</v>
      </c>
      <c r="I10" s="1390"/>
      <c r="J10" s="1390">
        <f>'qtrP&amp;L'!T94</f>
        <v>15.762000000000006</v>
      </c>
      <c r="K10" s="1492"/>
      <c r="L10" s="1390">
        <f>'qtrP&amp;L'!X94</f>
        <v>18.68000000000001</v>
      </c>
      <c r="M10" s="1492"/>
      <c r="N10" s="1390">
        <f>'qtrP&amp;L'!AB94</f>
        <v>10.494999999999978</v>
      </c>
      <c r="O10" s="1390"/>
      <c r="P10" s="1390">
        <f>+'qtrP&amp;L'!AF94</f>
        <v>15.006999999999991</v>
      </c>
      <c r="Q10" s="1390"/>
      <c r="R10" s="1390">
        <f>+'qtrP&amp;L'!AJ94</f>
        <v>27.412999999999993</v>
      </c>
      <c r="S10" s="1390"/>
      <c r="T10" s="1390">
        <f>+'qtrP&amp;L'!AN94</f>
        <v>48.376000000000005</v>
      </c>
      <c r="U10" s="1390"/>
      <c r="V10" s="1390">
        <f>+bal!Y70</f>
        <v>90.488999999999862</v>
      </c>
      <c r="W10" s="1390"/>
      <c r="X10" s="1390">
        <f>+bal!AA70</f>
        <v>130.79599999999996</v>
      </c>
      <c r="Y10" s="1390"/>
      <c r="Z10" s="1390">
        <f>+bal!AC70</f>
        <v>116.20600000000022</v>
      </c>
      <c r="AA10" s="1390"/>
      <c r="AB10" s="1390">
        <f>+bal!AE70+0.001</f>
        <v>160.23099999999997</v>
      </c>
      <c r="AC10" s="1390"/>
      <c r="AD10" s="1390">
        <f>+bal!AG70</f>
        <v>199.36399999999983</v>
      </c>
      <c r="AE10" s="1390"/>
      <c r="AF10" s="1390">
        <f>+bal!AI70</f>
        <v>219.89299999999997</v>
      </c>
      <c r="AG10" s="1390"/>
      <c r="AH10" s="1390">
        <f>+bal!AK70</f>
        <v>272.95799999999986</v>
      </c>
      <c r="AI10" s="1390"/>
      <c r="AJ10" s="1390">
        <f>+bal!AM70</f>
        <v>185.2510000000006</v>
      </c>
      <c r="AK10" s="1390"/>
      <c r="AL10" s="1390">
        <f>+bal!AO70</f>
        <v>237.31400000000016</v>
      </c>
      <c r="AM10" s="1390"/>
      <c r="AN10" s="1390">
        <f>+bal!AQ70</f>
        <v>282.39645999999993</v>
      </c>
      <c r="AO10" s="1390"/>
      <c r="AP10" s="1390">
        <f>+bal!AS70-0.27</f>
        <v>232.42750000000021</v>
      </c>
      <c r="AQ10" s="1390"/>
      <c r="AR10" s="1390">
        <f>+bal!AU70</f>
        <v>224.48899999999995</v>
      </c>
      <c r="AS10" s="1390"/>
      <c r="AT10" s="1390">
        <f>+bal!AW70</f>
        <v>218.11999999999969</v>
      </c>
      <c r="AU10" s="1390"/>
      <c r="AV10" s="1390">
        <f>+bal!AY70</f>
        <v>172.96799999999979</v>
      </c>
      <c r="AW10" s="1390"/>
      <c r="AX10" s="1390">
        <f>+bal!BA70</f>
        <v>227.6251077493252</v>
      </c>
      <c r="AY10" s="1390"/>
      <c r="AZ10" s="1390">
        <f>+bal!BC70</f>
        <v>228.81394457188614</v>
      </c>
      <c r="BA10" s="1390"/>
      <c r="BB10" s="1390">
        <f>+bal!BE70</f>
        <v>233.55169032987078</v>
      </c>
      <c r="BC10" s="1390"/>
      <c r="BD10" s="1390">
        <f>+bal!BG70</f>
        <v>237.8670854173713</v>
      </c>
      <c r="BE10" s="1390"/>
      <c r="BF10" s="1390">
        <f>+bal!BI70</f>
        <v>242.11315061237849</v>
      </c>
      <c r="BG10" s="1390"/>
      <c r="BH10" s="1390"/>
      <c r="BI10" s="1390"/>
      <c r="BJ10" s="1390"/>
      <c r="BK10" s="899"/>
      <c r="BL10" s="1490"/>
      <c r="BM10" s="899"/>
      <c r="BN10" s="1490"/>
      <c r="BO10" s="899"/>
      <c r="BP10" s="1490"/>
      <c r="BQ10" s="899"/>
      <c r="BR10" s="1490"/>
      <c r="BS10" s="899"/>
      <c r="BT10" s="1490"/>
      <c r="BU10" s="899"/>
      <c r="BV10" s="1490"/>
      <c r="BW10" s="899"/>
      <c r="BX10" s="1490"/>
      <c r="BY10" s="704"/>
    </row>
    <row r="11" spans="1:77">
      <c r="A11" s="704"/>
      <c r="B11" s="704" t="s">
        <v>359</v>
      </c>
      <c r="C11" s="704"/>
      <c r="D11" s="1494">
        <v>2.9249999999999998</v>
      </c>
      <c r="E11" s="1494"/>
      <c r="F11" s="1494">
        <v>3.4609999999999999</v>
      </c>
      <c r="G11" s="1494"/>
      <c r="H11" s="1494">
        <v>4.5880000000000001</v>
      </c>
      <c r="I11" s="1494"/>
      <c r="J11" s="1494">
        <v>5.6210000000000004</v>
      </c>
      <c r="K11" s="1401"/>
      <c r="L11" s="1495">
        <v>8.6669999999999998</v>
      </c>
      <c r="M11" s="1495"/>
      <c r="N11" s="1495">
        <v>11.997</v>
      </c>
      <c r="O11" s="1495"/>
      <c r="P11" s="1495">
        <v>15.462</v>
      </c>
      <c r="Q11" s="1495"/>
      <c r="R11" s="1495">
        <v>19.95</v>
      </c>
      <c r="S11" s="1495"/>
      <c r="T11" s="1495">
        <v>25.01</v>
      </c>
      <c r="U11" s="1495"/>
      <c r="V11" s="1495">
        <v>31.858000000000001</v>
      </c>
      <c r="W11" s="1495"/>
      <c r="X11" s="1495">
        <v>39.340000000000003</v>
      </c>
      <c r="Y11" s="1495"/>
      <c r="Z11" s="1495">
        <v>55.713000000000001</v>
      </c>
      <c r="AA11" s="1495"/>
      <c r="AB11" s="1495">
        <v>70.016999999999996</v>
      </c>
      <c r="AC11" s="1495"/>
      <c r="AD11" s="1495">
        <v>81.948999999999998</v>
      </c>
      <c r="AE11" s="1495"/>
      <c r="AF11" s="1495">
        <v>92.35</v>
      </c>
      <c r="AG11" s="1495"/>
      <c r="AH11" s="1495">
        <v>101.105</v>
      </c>
      <c r="AI11" s="1495"/>
      <c r="AJ11" s="1495">
        <v>108.11199999999999</v>
      </c>
      <c r="AK11" s="1495"/>
      <c r="AL11" s="1495">
        <v>118.664</v>
      </c>
      <c r="AM11" s="1495"/>
      <c r="AN11" s="1495">
        <v>132.66399999999999</v>
      </c>
      <c r="AO11" s="1495"/>
      <c r="AP11" s="1495">
        <v>138.11000000000001</v>
      </c>
      <c r="AQ11" s="1495"/>
      <c r="AR11" s="1495">
        <v>142.72200000000001</v>
      </c>
      <c r="AS11" s="1495"/>
      <c r="AT11" s="1495">
        <v>135.33000000000001</v>
      </c>
      <c r="AU11" s="1495"/>
      <c r="AV11" s="1495">
        <f>'yrP&amp;L'!Y18</f>
        <v>131.66999999999999</v>
      </c>
      <c r="AW11" s="1495"/>
      <c r="AX11" s="1495">
        <f>'yrP&amp;L'!Z18</f>
        <v>132.99</v>
      </c>
      <c r="AY11" s="1494"/>
      <c r="AZ11" s="1495">
        <f>'yrP&amp;L'!AA18</f>
        <v>134.64000000000001</v>
      </c>
      <c r="BA11" s="1494"/>
      <c r="BB11" s="1495">
        <f>'yrP&amp;L'!AB18</f>
        <v>137.28</v>
      </c>
      <c r="BC11" s="1494"/>
      <c r="BD11" s="1495">
        <f>'yrP&amp;L'!AC18</f>
        <v>139.26</v>
      </c>
      <c r="BE11" s="1494"/>
      <c r="BF11" s="1495">
        <f>'yrP&amp;L'!AD18</f>
        <v>140.58000000000001</v>
      </c>
      <c r="BG11" s="1494"/>
      <c r="BH11" s="1494"/>
      <c r="BI11" s="1494"/>
      <c r="BJ11" s="1494"/>
      <c r="BK11" s="899"/>
      <c r="BL11" s="1490"/>
      <c r="BM11" s="899"/>
      <c r="BN11" s="1490"/>
      <c r="BO11" s="899"/>
      <c r="BP11" s="1490"/>
      <c r="BQ11" s="899"/>
      <c r="BR11" s="1490"/>
      <c r="BS11" s="899"/>
      <c r="BT11" s="1490"/>
      <c r="BU11" s="899"/>
      <c r="BV11" s="1490"/>
      <c r="BW11" s="899"/>
      <c r="BX11" s="1490"/>
      <c r="BY11" s="704"/>
    </row>
    <row r="12" spans="1:77">
      <c r="A12" s="704"/>
      <c r="B12" s="704" t="s">
        <v>511</v>
      </c>
      <c r="C12" s="704"/>
      <c r="D12" s="1494">
        <v>0</v>
      </c>
      <c r="E12" s="1494"/>
      <c r="F12" s="1494">
        <v>0</v>
      </c>
      <c r="G12" s="1494"/>
      <c r="H12" s="1494">
        <v>0</v>
      </c>
      <c r="I12" s="1401"/>
      <c r="J12" s="1494">
        <v>0</v>
      </c>
      <c r="K12" s="1401"/>
      <c r="L12" s="1495">
        <v>0</v>
      </c>
      <c r="M12" s="1496"/>
      <c r="N12" s="1495">
        <v>0</v>
      </c>
      <c r="O12" s="1496"/>
      <c r="P12" s="1495">
        <v>0.32300000000000001</v>
      </c>
      <c r="Q12" s="1496"/>
      <c r="R12" s="1495">
        <v>2.2480000000000002</v>
      </c>
      <c r="S12" s="1496"/>
      <c r="T12" s="1495">
        <v>7.5810000000000004</v>
      </c>
      <c r="U12" s="1496"/>
      <c r="V12" s="1495">
        <v>13.468</v>
      </c>
      <c r="W12" s="1496"/>
      <c r="X12" s="1495">
        <v>13.398999999999999</v>
      </c>
      <c r="Y12" s="1496"/>
      <c r="Z12" s="1495">
        <f>-5.394+5.394</f>
        <v>0</v>
      </c>
      <c r="AA12" s="1496"/>
      <c r="AB12" s="1495">
        <f>-7.341+7.341</f>
        <v>0</v>
      </c>
      <c r="AC12" s="1496"/>
      <c r="AD12" s="1495">
        <f>-13.434+13.434</f>
        <v>0</v>
      </c>
      <c r="AE12" s="1496"/>
      <c r="AF12" s="1495">
        <f>6.438-6.438</f>
        <v>0</v>
      </c>
      <c r="AG12" s="1496"/>
      <c r="AH12" s="1495">
        <f>10.725-12.847+12.847</f>
        <v>10.725</v>
      </c>
      <c r="AI12" s="1496"/>
      <c r="AJ12" s="1495">
        <f>-8.995+3.068+8.995</f>
        <v>3.0679999999999996</v>
      </c>
      <c r="AK12" s="1496"/>
      <c r="AL12" s="1495">
        <f>-6.713+10.892+6.713</f>
        <v>10.891999999999999</v>
      </c>
      <c r="AM12" s="1496"/>
      <c r="AN12" s="1495">
        <f>9.54-9.54+15.742</f>
        <v>15.742000000000001</v>
      </c>
      <c r="AO12" s="1496"/>
      <c r="AP12" s="1495">
        <f>3.822-3.822+16.736</f>
        <v>16.736000000000001</v>
      </c>
      <c r="AQ12" s="1495"/>
      <c r="AR12" s="1495">
        <f>15.623</f>
        <v>15.622999999999999</v>
      </c>
      <c r="AS12" s="1495"/>
      <c r="AT12" s="1495">
        <v>18.291</v>
      </c>
      <c r="AU12" s="1495"/>
      <c r="AV12" s="1495">
        <f>0.45*3</f>
        <v>1.35</v>
      </c>
      <c r="AW12" s="1495"/>
      <c r="AX12" s="1495">
        <f>0.45*3</f>
        <v>1.35</v>
      </c>
      <c r="AY12" s="1494"/>
      <c r="AZ12" s="1495">
        <f>0.45*3</f>
        <v>1.35</v>
      </c>
      <c r="BA12" s="1494"/>
      <c r="BB12" s="1495">
        <f>0.45*3</f>
        <v>1.35</v>
      </c>
      <c r="BC12" s="1494"/>
      <c r="BD12" s="1495">
        <f>0.45*3</f>
        <v>1.35</v>
      </c>
      <c r="BE12" s="1494"/>
      <c r="BF12" s="1495">
        <f>0.45*3</f>
        <v>1.35</v>
      </c>
      <c r="BG12" s="1494"/>
      <c r="BH12" s="1494"/>
      <c r="BI12" s="1494"/>
      <c r="BJ12" s="1494"/>
      <c r="BK12" s="1497"/>
      <c r="BL12" s="1498"/>
      <c r="BM12" s="1497"/>
      <c r="BN12" s="1498"/>
      <c r="BO12" s="1497"/>
      <c r="BP12" s="1498"/>
      <c r="BQ12" s="1497"/>
      <c r="BR12" s="1498"/>
      <c r="BS12" s="1497"/>
      <c r="BT12" s="1498"/>
      <c r="BU12" s="1497"/>
      <c r="BV12" s="1498"/>
      <c r="BW12" s="1497"/>
      <c r="BX12" s="1498"/>
      <c r="BY12" s="704"/>
    </row>
    <row r="13" spans="1:77">
      <c r="A13" s="704"/>
      <c r="B13" s="704" t="s">
        <v>517</v>
      </c>
      <c r="C13" s="704"/>
      <c r="D13" s="1384">
        <v>-0.34100000000000003</v>
      </c>
      <c r="E13" s="1401"/>
      <c r="F13" s="1384">
        <v>-0.70499999999999996</v>
      </c>
      <c r="G13" s="1401"/>
      <c r="H13" s="1401">
        <f>+bal!I14-bal!K14</f>
        <v>0.53099999999999992</v>
      </c>
      <c r="I13" s="1401"/>
      <c r="J13" s="1384">
        <v>-0.56100000000000005</v>
      </c>
      <c r="K13" s="1499"/>
      <c r="L13" s="1495">
        <v>-3.702</v>
      </c>
      <c r="M13" s="1496"/>
      <c r="N13" s="1495">
        <v>0.19900000000000001</v>
      </c>
      <c r="O13" s="1496"/>
      <c r="P13" s="1495">
        <v>-1.274</v>
      </c>
      <c r="Q13" s="1496"/>
      <c r="R13" s="1495">
        <v>-3.0790000000000002</v>
      </c>
      <c r="S13" s="1496"/>
      <c r="T13" s="1495">
        <v>-1.1319999999999999</v>
      </c>
      <c r="U13" s="1496"/>
      <c r="V13" s="1495">
        <v>-2.8839999999999999</v>
      </c>
      <c r="W13" s="1496"/>
      <c r="X13" s="1495">
        <v>-6.87</v>
      </c>
      <c r="Y13" s="1496"/>
      <c r="Z13" s="1495">
        <v>-4.9589999999999996</v>
      </c>
      <c r="AA13" s="1496"/>
      <c r="AB13" s="1495">
        <v>-2.782</v>
      </c>
      <c r="AC13" s="1496"/>
      <c r="AD13" s="1495">
        <v>-9.3510000000000009</v>
      </c>
      <c r="AE13" s="1496"/>
      <c r="AF13" s="1495">
        <v>2.161</v>
      </c>
      <c r="AG13" s="1496"/>
      <c r="AH13" s="1496">
        <v>-8.7270000000000003</v>
      </c>
      <c r="AI13" s="1496"/>
      <c r="AJ13" s="1496">
        <v>-12.15</v>
      </c>
      <c r="AK13" s="1496"/>
      <c r="AL13" s="1496">
        <v>22.248000000000001</v>
      </c>
      <c r="AM13" s="1496"/>
      <c r="AN13" s="1496">
        <v>-28.504999999999999</v>
      </c>
      <c r="AO13" s="1496"/>
      <c r="AP13" s="1496">
        <v>-2.2210000000000001</v>
      </c>
      <c r="AQ13" s="1496"/>
      <c r="AR13" s="1495">
        <v>13.662000000000001</v>
      </c>
      <c r="AS13" s="1496"/>
      <c r="AT13" s="1496">
        <v>-4.8010000000000002</v>
      </c>
      <c r="AU13" s="1496"/>
      <c r="AV13" s="1496">
        <f>+bal!AW14-bal!AY14+bal!AW27-bal!AY27</f>
        <v>7.5990000000000038</v>
      </c>
      <c r="AW13" s="1496"/>
      <c r="AX13" s="1496">
        <f>+bal!AY14-bal!BA14+bal!AY27-bal!BA27</f>
        <v>0</v>
      </c>
      <c r="AY13" s="1401"/>
      <c r="AZ13" s="1496">
        <f>+bal!BA14-bal!BC14+bal!BA27-bal!BC27</f>
        <v>0</v>
      </c>
      <c r="BA13" s="1401"/>
      <c r="BB13" s="1496">
        <f>+bal!BC14-bal!BE14+bal!BC27-bal!BE27</f>
        <v>0</v>
      </c>
      <c r="BC13" s="1401"/>
      <c r="BD13" s="1496">
        <f>+bal!BE14-bal!BG14+bal!BE27-bal!BG27</f>
        <v>0</v>
      </c>
      <c r="BE13" s="1401"/>
      <c r="BF13" s="1496">
        <f>+bal!BG14-bal!BI14+bal!BG27-bal!BI27</f>
        <v>0</v>
      </c>
      <c r="BG13" s="1401"/>
      <c r="BH13" s="1401"/>
      <c r="BI13" s="1401"/>
      <c r="BJ13" s="1401"/>
      <c r="BK13" s="1497">
        <f>+bal!E14-bal!G14</f>
        <v>0.21599999999999997</v>
      </c>
      <c r="BL13" s="1498">
        <f>+BK13-D13</f>
        <v>0.55699999999999994</v>
      </c>
      <c r="BM13" s="1497">
        <f>+bal!G14-bal!I14</f>
        <v>-0.78099999999999992</v>
      </c>
      <c r="BN13" s="1498">
        <f>+BM13-F13</f>
        <v>-7.5999999999999956E-2</v>
      </c>
      <c r="BO13" s="1497"/>
      <c r="BP13" s="1498"/>
      <c r="BQ13" s="1499">
        <f>+bal!K14-bal!M14</f>
        <v>5.0000000000001155E-3</v>
      </c>
      <c r="BR13" s="1498">
        <f>+BQ13-J13</f>
        <v>0.56600000000000017</v>
      </c>
      <c r="BS13" s="1499">
        <f>+bal!M14-bal!O14</f>
        <v>-1.0230000000000001</v>
      </c>
      <c r="BT13" s="1498">
        <f>+BS13-L13</f>
        <v>2.6789999999999998</v>
      </c>
      <c r="BU13" s="1499">
        <f>+bal!O14-bal!Q14</f>
        <v>0.10599999999999987</v>
      </c>
      <c r="BV13" s="1498">
        <f>+BU13-N13</f>
        <v>-9.3000000000000138E-2</v>
      </c>
      <c r="BW13" s="1499">
        <f>+bal!Q14-bal!S14</f>
        <v>6.0000000000000053E-2</v>
      </c>
      <c r="BX13" s="1498">
        <f>+BW13-P13</f>
        <v>1.3340000000000001</v>
      </c>
      <c r="BY13" s="704"/>
    </row>
    <row r="14" spans="1:77">
      <c r="A14" s="704"/>
      <c r="B14" s="704" t="s">
        <v>512</v>
      </c>
      <c r="C14" s="704"/>
      <c r="D14" s="1494">
        <v>0</v>
      </c>
      <c r="E14" s="1401"/>
      <c r="F14" s="1494">
        <v>0</v>
      </c>
      <c r="G14" s="1401"/>
      <c r="H14" s="1494">
        <v>0</v>
      </c>
      <c r="I14" s="1401"/>
      <c r="J14" s="1494">
        <v>0</v>
      </c>
      <c r="K14" s="1401"/>
      <c r="L14" s="1495">
        <v>4.3540000000000001</v>
      </c>
      <c r="M14" s="1496"/>
      <c r="N14" s="1495">
        <v>0</v>
      </c>
      <c r="O14" s="1496"/>
      <c r="P14" s="1495">
        <v>0</v>
      </c>
      <c r="Q14" s="1496"/>
      <c r="R14" s="1495">
        <v>0</v>
      </c>
      <c r="S14" s="1496"/>
      <c r="T14" s="1495">
        <v>0</v>
      </c>
      <c r="U14" s="1496"/>
      <c r="V14" s="1495">
        <v>0</v>
      </c>
      <c r="W14" s="1496"/>
      <c r="X14" s="1495">
        <v>0</v>
      </c>
      <c r="Y14" s="1496"/>
      <c r="Z14" s="1495">
        <v>0</v>
      </c>
      <c r="AA14" s="1496"/>
      <c r="AB14" s="1495">
        <v>0</v>
      </c>
      <c r="AC14" s="1496"/>
      <c r="AD14" s="1495">
        <v>0</v>
      </c>
      <c r="AE14" s="1496"/>
      <c r="AF14" s="1495">
        <v>0</v>
      </c>
      <c r="AG14" s="1496"/>
      <c r="AH14" s="1495">
        <v>0</v>
      </c>
      <c r="AI14" s="1496"/>
      <c r="AJ14" s="1495">
        <v>0</v>
      </c>
      <c r="AK14" s="1496"/>
      <c r="AL14" s="1495">
        <v>0</v>
      </c>
      <c r="AM14" s="1496"/>
      <c r="AN14" s="1495">
        <v>0</v>
      </c>
      <c r="AO14" s="1496"/>
      <c r="AP14" s="1495">
        <v>0</v>
      </c>
      <c r="AQ14" s="1495"/>
      <c r="AR14" s="1495">
        <v>0</v>
      </c>
      <c r="AS14" s="1495"/>
      <c r="AT14" s="1495">
        <v>0</v>
      </c>
      <c r="AU14" s="1495"/>
      <c r="AV14" s="1495">
        <v>0</v>
      </c>
      <c r="AW14" s="1495"/>
      <c r="AX14" s="1495">
        <v>0</v>
      </c>
      <c r="AY14" s="1494"/>
      <c r="AZ14" s="1495">
        <v>0</v>
      </c>
      <c r="BA14" s="1494"/>
      <c r="BB14" s="1495">
        <v>0</v>
      </c>
      <c r="BC14" s="1494"/>
      <c r="BD14" s="1495">
        <v>0</v>
      </c>
      <c r="BE14" s="1494"/>
      <c r="BF14" s="1495">
        <v>0</v>
      </c>
      <c r="BG14" s="1494"/>
      <c r="BH14" s="1494"/>
      <c r="BI14" s="1494"/>
      <c r="BJ14" s="1494"/>
      <c r="BK14" s="899"/>
      <c r="BL14" s="1490"/>
      <c r="BM14" s="899"/>
      <c r="BN14" s="1490"/>
      <c r="BO14" s="899"/>
      <c r="BP14" s="1490"/>
      <c r="BQ14" s="899"/>
      <c r="BR14" s="1490"/>
      <c r="BS14" s="899"/>
      <c r="BT14" s="1490"/>
      <c r="BU14" s="899"/>
      <c r="BV14" s="1490"/>
      <c r="BW14" s="899"/>
      <c r="BX14" s="1490"/>
      <c r="BY14" s="704"/>
    </row>
    <row r="15" spans="1:77">
      <c r="A15" s="704"/>
      <c r="B15" s="704" t="s">
        <v>360</v>
      </c>
      <c r="C15" s="704"/>
      <c r="D15" s="1388">
        <v>-0.187</v>
      </c>
      <c r="E15" s="1401"/>
      <c r="F15" s="1388">
        <v>0.112</v>
      </c>
      <c r="G15" s="1401"/>
      <c r="H15" s="1388">
        <f>-0.027</f>
        <v>-2.7E-2</v>
      </c>
      <c r="I15" s="704"/>
      <c r="J15" s="1388">
        <f>-0.013-3.754-0.002</f>
        <v>-3.7689999999999997</v>
      </c>
      <c r="K15" s="1401"/>
      <c r="L15" s="1500">
        <f>-0.085+7.55-8.15</f>
        <v>-0.6850000000000005</v>
      </c>
      <c r="M15" s="1496"/>
      <c r="N15" s="1500">
        <v>-1.7999999999999999E-2</v>
      </c>
      <c r="O15" s="1496"/>
      <c r="P15" s="1500">
        <v>0</v>
      </c>
      <c r="Q15" s="1496"/>
      <c r="R15" s="1500">
        <v>0</v>
      </c>
      <c r="S15" s="1496"/>
      <c r="T15" s="1500">
        <v>0</v>
      </c>
      <c r="U15" s="1496"/>
      <c r="V15" s="1500">
        <v>0.70799999999999996</v>
      </c>
      <c r="W15" s="1496"/>
      <c r="X15" s="1500">
        <f>1.153-0.631</f>
        <v>0.52200000000000002</v>
      </c>
      <c r="Y15" s="1496"/>
      <c r="Z15" s="1500">
        <f>3.497+1.393</f>
        <v>4.8899999999999997</v>
      </c>
      <c r="AA15" s="1496"/>
      <c r="AB15" s="1500">
        <f>3.277+0.317</f>
        <v>3.5940000000000003</v>
      </c>
      <c r="AC15" s="1496"/>
      <c r="AD15" s="1500">
        <f>3.637+0.061</f>
        <v>3.698</v>
      </c>
      <c r="AE15" s="1496"/>
      <c r="AF15" s="1500">
        <f>0.339+4.766</f>
        <v>5.1050000000000004</v>
      </c>
      <c r="AG15" s="1496"/>
      <c r="AH15" s="1500">
        <v>0.11899999999999999</v>
      </c>
      <c r="AI15" s="1496"/>
      <c r="AJ15" s="1500">
        <v>0.85699999999999998</v>
      </c>
      <c r="AK15" s="1496"/>
      <c r="AL15" s="1500">
        <v>0.61599999999999999</v>
      </c>
      <c r="AM15" s="1496"/>
      <c r="AN15" s="1500">
        <v>2.3679999999999999</v>
      </c>
      <c r="AO15" s="1496"/>
      <c r="AP15" s="1500">
        <v>3.1890000000000001</v>
      </c>
      <c r="AQ15" s="1501"/>
      <c r="AR15" s="1500">
        <f>8.928+1.4</f>
        <v>10.328000000000001</v>
      </c>
      <c r="AS15" s="1501"/>
      <c r="AT15" s="1500">
        <f>4.341+3.667</f>
        <v>8.0079999999999991</v>
      </c>
      <c r="AU15" s="1501"/>
      <c r="AV15" s="1500">
        <v>0</v>
      </c>
      <c r="AW15" s="1501"/>
      <c r="AX15" s="1500">
        <v>0</v>
      </c>
      <c r="AY15" s="1502"/>
      <c r="AZ15" s="1500">
        <v>0</v>
      </c>
      <c r="BA15" s="1502"/>
      <c r="BB15" s="1500">
        <v>0</v>
      </c>
      <c r="BC15" s="1502"/>
      <c r="BD15" s="1500">
        <v>0</v>
      </c>
      <c r="BE15" s="1502"/>
      <c r="BF15" s="1500">
        <v>0</v>
      </c>
      <c r="BG15" s="1502"/>
      <c r="BH15" s="1502"/>
      <c r="BI15" s="1502"/>
      <c r="BJ15" s="1502"/>
      <c r="BK15" s="899"/>
      <c r="BL15" s="1490"/>
      <c r="BM15" s="899"/>
      <c r="BN15" s="1490"/>
      <c r="BO15" s="899"/>
      <c r="BP15" s="1490"/>
      <c r="BQ15" s="899"/>
      <c r="BR15" s="1490"/>
      <c r="BS15" s="899"/>
      <c r="BT15" s="1490"/>
      <c r="BU15" s="899"/>
      <c r="BV15" s="1490"/>
      <c r="BW15" s="899"/>
      <c r="BX15" s="1490"/>
      <c r="BY15" s="704"/>
    </row>
    <row r="16" spans="1:77">
      <c r="A16" s="704" t="s">
        <v>361</v>
      </c>
      <c r="B16" s="704"/>
      <c r="C16" s="704"/>
      <c r="D16" s="1390">
        <f>SUM(D10:D15)</f>
        <v>14.705000000000005</v>
      </c>
      <c r="E16" s="704"/>
      <c r="F16" s="1390">
        <f>SUM(F10:F15)</f>
        <v>16.127999999999997</v>
      </c>
      <c r="G16" s="1390"/>
      <c r="H16" s="1390">
        <f>SUM(H10:H15)</f>
        <v>18.971</v>
      </c>
      <c r="I16" s="1390"/>
      <c r="J16" s="1390">
        <f>SUM(J10:J15)</f>
        <v>17.053000000000008</v>
      </c>
      <c r="K16" s="1390"/>
      <c r="L16" s="1390">
        <f>SUM(L10:L15)</f>
        <v>27.314000000000007</v>
      </c>
      <c r="M16" s="1390"/>
      <c r="N16" s="1390">
        <f>SUM(N10:N15)</f>
        <v>22.672999999999977</v>
      </c>
      <c r="O16" s="1390"/>
      <c r="P16" s="1390">
        <f>SUM(P10:P15)</f>
        <v>29.51799999999999</v>
      </c>
      <c r="Q16" s="1390"/>
      <c r="R16" s="1390">
        <f>SUM(R10:R15)</f>
        <v>46.531999999999989</v>
      </c>
      <c r="S16" s="1390"/>
      <c r="T16" s="1390">
        <f>SUM(T10:T15)</f>
        <v>79.835000000000008</v>
      </c>
      <c r="U16" s="1390"/>
      <c r="V16" s="1390">
        <f>SUM(V10:V15)</f>
        <v>133.63899999999987</v>
      </c>
      <c r="W16" s="1390"/>
      <c r="X16" s="1390">
        <f>SUM(X10:X15)</f>
        <v>177.18699999999995</v>
      </c>
      <c r="Y16" s="1390"/>
      <c r="Z16" s="1390">
        <f>SUM(Z10:Z15)</f>
        <v>171.85000000000019</v>
      </c>
      <c r="AA16" s="1390"/>
      <c r="AB16" s="1390">
        <f>SUM(AB10:AB15)</f>
        <v>231.05999999999995</v>
      </c>
      <c r="AC16" s="1390"/>
      <c r="AD16" s="1390">
        <f>SUM(AD10:AD15)</f>
        <v>275.6599999999998</v>
      </c>
      <c r="AE16" s="1390"/>
      <c r="AF16" s="1390">
        <f>SUM(AF10:AF15)</f>
        <v>319.50899999999996</v>
      </c>
      <c r="AG16" s="1390"/>
      <c r="AH16" s="1390">
        <f>SUM(AH10:AH15)</f>
        <v>376.17999999999995</v>
      </c>
      <c r="AI16" s="1390"/>
      <c r="AJ16" s="1390">
        <f>SUM(AJ10:AJ15)</f>
        <v>285.13800000000066</v>
      </c>
      <c r="AK16" s="1390"/>
      <c r="AL16" s="1390">
        <f>SUM(AL10:AL15)</f>
        <v>389.73400000000015</v>
      </c>
      <c r="AM16" s="1390"/>
      <c r="AN16" s="1390">
        <f>SUM(AN10:AN15)</f>
        <v>404.66545999999994</v>
      </c>
      <c r="AO16" s="1390"/>
      <c r="AP16" s="1390">
        <f>SUM(AP10:AP15)</f>
        <v>388.24150000000026</v>
      </c>
      <c r="AQ16" s="1390"/>
      <c r="AR16" s="1390">
        <f>SUM(AR10:AR15)</f>
        <v>406.8239999999999</v>
      </c>
      <c r="AS16" s="1390"/>
      <c r="AT16" s="1390">
        <f>SUM(AT10:AT15)</f>
        <v>374.94799999999969</v>
      </c>
      <c r="AU16" s="1390"/>
      <c r="AV16" s="1390">
        <f>SUM(AV10:AV15)</f>
        <v>313.58699999999982</v>
      </c>
      <c r="AW16" s="1390"/>
      <c r="AX16" s="1390">
        <f>SUM(AX10:AX15)</f>
        <v>361.96510774932523</v>
      </c>
      <c r="AY16" s="1390"/>
      <c r="AZ16" s="1390">
        <f>SUM(AZ10:AZ15)</f>
        <v>364.80394457188618</v>
      </c>
      <c r="BA16" s="1390"/>
      <c r="BB16" s="1390">
        <f>SUM(BB10:BB15)</f>
        <v>372.18169032987078</v>
      </c>
      <c r="BC16" s="1390"/>
      <c r="BD16" s="1390">
        <f>SUM(BD10:BD15)</f>
        <v>378.47708541737131</v>
      </c>
      <c r="BE16" s="1390"/>
      <c r="BF16" s="1390">
        <f>SUM(BF10:BF15)</f>
        <v>384.04315061237855</v>
      </c>
      <c r="BG16" s="1390"/>
      <c r="BH16" s="1390"/>
      <c r="BI16" s="1390"/>
      <c r="BJ16" s="1390"/>
      <c r="BK16" s="899"/>
      <c r="BL16" s="1490"/>
      <c r="BM16" s="899"/>
      <c r="BN16" s="1490"/>
      <c r="BO16" s="899"/>
      <c r="BP16" s="1490"/>
      <c r="BQ16" s="899"/>
      <c r="BR16" s="1490"/>
      <c r="BS16" s="899"/>
      <c r="BT16" s="1490"/>
      <c r="BU16" s="899"/>
      <c r="BV16" s="1490"/>
      <c r="BW16" s="899"/>
      <c r="BX16" s="1490"/>
      <c r="BY16" s="704"/>
    </row>
    <row r="17" spans="1:77" hidden="1" outlineLevel="1">
      <c r="A17" s="704"/>
      <c r="B17" s="704"/>
      <c r="C17" s="704"/>
      <c r="D17" s="704"/>
      <c r="E17" s="704"/>
      <c r="F17" s="704"/>
      <c r="G17" s="704"/>
      <c r="H17" s="704"/>
      <c r="I17" s="704"/>
      <c r="J17" s="704"/>
      <c r="K17" s="704"/>
      <c r="L17" s="704"/>
      <c r="M17" s="704"/>
      <c r="N17" s="704"/>
      <c r="O17" s="704"/>
      <c r="P17" s="704"/>
      <c r="Q17" s="704"/>
      <c r="R17" s="704"/>
      <c r="S17" s="704"/>
      <c r="T17" s="704"/>
      <c r="U17" s="704"/>
      <c r="V17" s="704"/>
      <c r="W17" s="704"/>
      <c r="X17" s="704"/>
      <c r="Y17" s="704"/>
      <c r="Z17" s="704"/>
      <c r="AA17" s="704"/>
      <c r="AB17" s="704"/>
      <c r="AC17" s="704"/>
      <c r="AD17" s="704"/>
      <c r="AE17" s="704"/>
      <c r="AF17" s="704"/>
      <c r="AG17" s="704"/>
      <c r="AH17" s="704"/>
      <c r="AI17" s="704"/>
      <c r="AJ17" s="704"/>
      <c r="AK17" s="704"/>
      <c r="AL17" s="704"/>
      <c r="AM17" s="704"/>
      <c r="AN17" s="704"/>
      <c r="AO17" s="704"/>
      <c r="AP17" s="704"/>
      <c r="AQ17" s="704"/>
      <c r="AR17" s="704"/>
      <c r="AS17" s="704"/>
      <c r="AT17" s="704"/>
      <c r="AU17" s="704"/>
      <c r="AV17" s="704"/>
      <c r="AW17" s="704"/>
      <c r="AX17" s="704"/>
      <c r="AY17" s="704"/>
      <c r="AZ17" s="704"/>
      <c r="BA17" s="704"/>
      <c r="BB17" s="704"/>
      <c r="BC17" s="704"/>
      <c r="BD17" s="704"/>
      <c r="BE17" s="704"/>
      <c r="BF17" s="704"/>
      <c r="BG17" s="704"/>
      <c r="BH17" s="704"/>
      <c r="BI17" s="704"/>
      <c r="BJ17" s="704"/>
      <c r="BK17" s="899"/>
      <c r="BL17" s="1490"/>
      <c r="BM17" s="899"/>
      <c r="BN17" s="1490"/>
      <c r="BO17" s="899"/>
      <c r="BP17" s="1490"/>
      <c r="BQ17" s="899"/>
      <c r="BR17" s="1490"/>
      <c r="BS17" s="899"/>
      <c r="BT17" s="1490"/>
      <c r="BU17" s="899"/>
      <c r="BV17" s="1490"/>
      <c r="BW17" s="899"/>
      <c r="BX17" s="1490"/>
      <c r="BY17" s="704"/>
    </row>
    <row r="18" spans="1:77" hidden="1" outlineLevel="1">
      <c r="A18" s="704"/>
      <c r="B18" s="704"/>
      <c r="C18" s="704"/>
      <c r="D18" s="889"/>
      <c r="E18" s="889"/>
      <c r="F18" s="1486"/>
      <c r="G18" s="889"/>
      <c r="H18" s="1487"/>
      <c r="I18" s="1487"/>
      <c r="J18" s="889"/>
      <c r="K18" s="889"/>
      <c r="L18" s="889"/>
      <c r="M18" s="1487"/>
      <c r="N18" s="1487"/>
      <c r="O18" s="1487"/>
      <c r="P18" s="889"/>
      <c r="Q18" s="1487" t="s">
        <v>362</v>
      </c>
      <c r="R18" s="889"/>
      <c r="S18" s="1487"/>
      <c r="T18" s="889"/>
      <c r="U18" s="1487"/>
      <c r="V18" s="889"/>
      <c r="W18" s="1487"/>
      <c r="X18" s="889"/>
      <c r="Y18" s="1487"/>
      <c r="Z18" s="889"/>
      <c r="AA18" s="1487"/>
      <c r="AB18" s="889"/>
      <c r="AC18" s="1487"/>
      <c r="AD18" s="889"/>
      <c r="AE18" s="1487"/>
      <c r="AF18" s="889"/>
      <c r="AG18" s="1487"/>
      <c r="AH18" s="889"/>
      <c r="AI18" s="1487"/>
      <c r="AJ18" s="889"/>
      <c r="AK18" s="1487"/>
      <c r="AL18" s="889"/>
      <c r="AM18" s="1487"/>
      <c r="AN18" s="889"/>
      <c r="AO18" s="1487"/>
      <c r="AP18" s="889"/>
      <c r="AQ18" s="703"/>
      <c r="AR18" s="889"/>
      <c r="AS18" s="703"/>
      <c r="AT18" s="889"/>
      <c r="AU18" s="703"/>
      <c r="AV18" s="889"/>
      <c r="AW18" s="703"/>
      <c r="AX18" s="889"/>
      <c r="AY18" s="704"/>
      <c r="AZ18" s="889"/>
      <c r="BA18" s="704"/>
      <c r="BB18" s="889"/>
      <c r="BC18" s="704"/>
      <c r="BD18" s="889"/>
      <c r="BE18" s="704"/>
      <c r="BF18" s="889"/>
      <c r="BG18" s="704"/>
      <c r="BH18" s="704"/>
      <c r="BI18" s="704"/>
      <c r="BJ18" s="704"/>
      <c r="BK18" s="899"/>
      <c r="BL18" s="1490"/>
      <c r="BM18" s="899"/>
      <c r="BN18" s="1490"/>
      <c r="BO18" s="899"/>
      <c r="BP18" s="1490"/>
      <c r="BQ18" s="899"/>
      <c r="BR18" s="1490"/>
      <c r="BS18" s="899"/>
      <c r="BT18" s="1490"/>
      <c r="BU18" s="899"/>
      <c r="BV18" s="1490"/>
      <c r="BW18" s="899"/>
      <c r="BX18" s="1490"/>
      <c r="BY18" s="704"/>
    </row>
    <row r="19" spans="1:77" collapsed="1">
      <c r="A19" s="704"/>
      <c r="B19" s="704"/>
      <c r="C19" s="704"/>
      <c r="D19" s="704"/>
      <c r="E19" s="704"/>
      <c r="F19" s="704"/>
      <c r="G19" s="704"/>
      <c r="H19" s="704"/>
      <c r="I19" s="704"/>
      <c r="J19" s="704"/>
      <c r="K19" s="704"/>
      <c r="L19" s="704"/>
      <c r="M19" s="704"/>
      <c r="N19" s="704"/>
      <c r="O19" s="704"/>
      <c r="P19" s="704"/>
      <c r="Q19" s="704"/>
      <c r="R19" s="704"/>
      <c r="S19" s="704"/>
      <c r="T19" s="704"/>
      <c r="U19" s="704"/>
      <c r="V19" s="704"/>
      <c r="W19" s="704"/>
      <c r="X19" s="704"/>
      <c r="Y19" s="704"/>
      <c r="Z19" s="704"/>
      <c r="AA19" s="704"/>
      <c r="AB19" s="704"/>
      <c r="AC19" s="704"/>
      <c r="AD19" s="704"/>
      <c r="AE19" s="704"/>
      <c r="AF19" s="704"/>
      <c r="AG19" s="704"/>
      <c r="AH19" s="704"/>
      <c r="AI19" s="704"/>
      <c r="AJ19" s="704"/>
      <c r="AK19" s="704"/>
      <c r="AL19" s="704"/>
      <c r="AM19" s="704"/>
      <c r="AN19" s="704"/>
      <c r="AO19" s="704"/>
      <c r="AP19" s="704"/>
      <c r="AQ19" s="704"/>
      <c r="AR19" s="704"/>
      <c r="AS19" s="704"/>
      <c r="AT19" s="704"/>
      <c r="AU19" s="704"/>
      <c r="AV19" s="704"/>
      <c r="AW19" s="704"/>
      <c r="AX19" s="704"/>
      <c r="AY19" s="703"/>
      <c r="AZ19" s="704"/>
      <c r="BA19" s="703"/>
      <c r="BB19" s="704"/>
      <c r="BC19" s="703"/>
      <c r="BD19" s="704"/>
      <c r="BE19" s="703"/>
      <c r="BF19" s="704"/>
      <c r="BG19" s="703"/>
      <c r="BH19" s="703"/>
      <c r="BI19" s="703"/>
      <c r="BJ19" s="703"/>
      <c r="BK19" s="899"/>
      <c r="BL19" s="1490"/>
      <c r="BM19" s="899"/>
      <c r="BN19" s="1490"/>
      <c r="BO19" s="899"/>
      <c r="BP19" s="1490"/>
      <c r="BQ19" s="899"/>
      <c r="BR19" s="1490"/>
      <c r="BS19" s="899"/>
      <c r="BT19" s="1490"/>
      <c r="BU19" s="899"/>
      <c r="BV19" s="1490"/>
      <c r="BW19" s="899"/>
      <c r="BX19" s="1490"/>
      <c r="BY19" s="704"/>
    </row>
    <row r="20" spans="1:77">
      <c r="A20" s="704"/>
      <c r="B20" s="704" t="s">
        <v>363</v>
      </c>
      <c r="C20" s="704"/>
      <c r="D20" s="1494">
        <v>6.2290000000000001</v>
      </c>
      <c r="E20" s="1494"/>
      <c r="F20" s="1494">
        <v>11.98</v>
      </c>
      <c r="G20" s="1494"/>
      <c r="H20" s="1494">
        <v>6.2720000000000002</v>
      </c>
      <c r="I20" s="1494"/>
      <c r="J20" s="1494">
        <v>21.521000000000001</v>
      </c>
      <c r="K20" s="1494"/>
      <c r="L20" s="1494">
        <v>38.149000000000001</v>
      </c>
      <c r="M20" s="1494"/>
      <c r="N20" s="1494">
        <v>36.877000000000002</v>
      </c>
      <c r="O20" s="1494"/>
      <c r="P20" s="1494">
        <v>22.309000000000001</v>
      </c>
      <c r="Q20" s="1494"/>
      <c r="R20" s="1494">
        <v>28.885999999999999</v>
      </c>
      <c r="S20" s="1494"/>
      <c r="T20" s="1494">
        <v>43.454999999999998</v>
      </c>
      <c r="U20" s="1494"/>
      <c r="V20" s="1494">
        <v>75.141000000000005</v>
      </c>
      <c r="W20" s="1494"/>
      <c r="X20" s="1494">
        <f>127.73-3.769</f>
        <v>123.961</v>
      </c>
      <c r="Y20" s="1494"/>
      <c r="Z20" s="1494">
        <v>212.029</v>
      </c>
      <c r="AA20" s="1494"/>
      <c r="AB20" s="1494">
        <v>115.37</v>
      </c>
      <c r="AC20" s="1494"/>
      <c r="AD20" s="1494">
        <v>112.553</v>
      </c>
      <c r="AE20" s="1494"/>
      <c r="AF20" s="1494">
        <v>109.26</v>
      </c>
      <c r="AG20" s="1494"/>
      <c r="AH20" s="1494">
        <v>143.642</v>
      </c>
      <c r="AI20" s="1494"/>
      <c r="AJ20" s="1494">
        <v>190.01</v>
      </c>
      <c r="AK20" s="1494"/>
      <c r="AL20" s="1494">
        <v>168.875</v>
      </c>
      <c r="AM20" s="1494"/>
      <c r="AN20" s="1494">
        <v>186.101</v>
      </c>
      <c r="AO20" s="1494"/>
      <c r="AP20" s="1494">
        <v>229.804</v>
      </c>
      <c r="AQ20" s="1494"/>
      <c r="AR20" s="1494">
        <v>134.94999999999999</v>
      </c>
      <c r="AS20" s="1494"/>
      <c r="AT20" s="1494">
        <v>143.714</v>
      </c>
      <c r="AU20" s="1494"/>
      <c r="AV20" s="1494">
        <v>90</v>
      </c>
      <c r="AW20" s="1494"/>
      <c r="AX20" s="1494">
        <v>110</v>
      </c>
      <c r="AY20" s="703"/>
      <c r="AZ20" s="1494">
        <v>80</v>
      </c>
      <c r="BA20" s="703"/>
      <c r="BB20" s="1494">
        <v>80</v>
      </c>
      <c r="BC20" s="703"/>
      <c r="BD20" s="1494">
        <v>80</v>
      </c>
      <c r="BE20" s="703"/>
      <c r="BF20" s="1494">
        <v>80</v>
      </c>
      <c r="BG20" s="703"/>
      <c r="BH20" s="703"/>
      <c r="BI20" s="703"/>
      <c r="BJ20" s="703"/>
      <c r="BK20" s="899"/>
      <c r="BL20" s="1490"/>
      <c r="BM20" s="899"/>
      <c r="BN20" s="1490"/>
      <c r="BO20" s="899"/>
      <c r="BP20" s="1490"/>
      <c r="BQ20" s="899"/>
      <c r="BR20" s="1490"/>
      <c r="BS20" s="899"/>
      <c r="BT20" s="1490"/>
      <c r="BU20" s="899"/>
      <c r="BV20" s="1490"/>
      <c r="BW20" s="899"/>
      <c r="BX20" s="1490"/>
      <c r="BY20" s="704"/>
    </row>
    <row r="21" spans="1:77">
      <c r="A21" s="704"/>
      <c r="B21" s="704"/>
      <c r="C21" s="704"/>
      <c r="D21" s="704"/>
      <c r="E21" s="704"/>
      <c r="F21" s="704"/>
      <c r="G21" s="704"/>
      <c r="H21" s="704"/>
      <c r="I21" s="704"/>
      <c r="J21" s="704"/>
      <c r="K21" s="704"/>
      <c r="L21" s="704"/>
      <c r="M21" s="704"/>
      <c r="N21" s="704"/>
      <c r="O21" s="704"/>
      <c r="P21" s="704"/>
      <c r="Q21" s="704"/>
      <c r="R21" s="1401"/>
      <c r="S21" s="704"/>
      <c r="T21" s="1401"/>
      <c r="U21" s="704"/>
      <c r="V21" s="1401"/>
      <c r="W21" s="704"/>
      <c r="X21" s="1401"/>
      <c r="Y21" s="704"/>
      <c r="Z21" s="1401"/>
      <c r="AA21" s="704"/>
      <c r="AB21" s="1401"/>
      <c r="AC21" s="704"/>
      <c r="AD21" s="1401"/>
      <c r="AE21" s="704"/>
      <c r="AF21" s="1401"/>
      <c r="AG21" s="704"/>
      <c r="AH21" s="1499"/>
      <c r="AI21" s="704"/>
      <c r="AJ21" s="1401"/>
      <c r="AK21" s="704"/>
      <c r="AL21" s="1401"/>
      <c r="AM21" s="704"/>
      <c r="AN21" s="1401"/>
      <c r="AO21" s="704"/>
      <c r="AP21" s="1401"/>
      <c r="AQ21" s="1401"/>
      <c r="AR21" s="1401"/>
      <c r="AS21" s="1401"/>
      <c r="AT21" s="1401"/>
      <c r="AU21" s="1401"/>
      <c r="AV21" s="1401"/>
      <c r="AW21" s="1401"/>
      <c r="AX21" s="1401"/>
      <c r="AY21" s="703"/>
      <c r="AZ21" s="1401"/>
      <c r="BA21" s="703"/>
      <c r="BB21" s="1401"/>
      <c r="BC21" s="703"/>
      <c r="BD21" s="1401"/>
      <c r="BE21" s="703"/>
      <c r="BF21" s="1401"/>
      <c r="BG21" s="703"/>
      <c r="BH21" s="703"/>
      <c r="BI21" s="703"/>
      <c r="BJ21" s="703"/>
      <c r="BK21" s="899"/>
      <c r="BL21" s="1490"/>
      <c r="BM21" s="899"/>
      <c r="BN21" s="1490"/>
      <c r="BO21" s="899"/>
      <c r="BP21" s="1490"/>
      <c r="BQ21" s="899"/>
      <c r="BR21" s="1490"/>
      <c r="BS21" s="899"/>
      <c r="BT21" s="1490"/>
      <c r="BU21" s="899"/>
      <c r="BV21" s="1490"/>
      <c r="BW21" s="899"/>
      <c r="BX21" s="1490"/>
      <c r="BY21" s="704"/>
    </row>
    <row r="22" spans="1:77">
      <c r="A22" s="704" t="s">
        <v>364</v>
      </c>
      <c r="B22" s="704"/>
      <c r="C22" s="704"/>
      <c r="D22" s="704"/>
      <c r="E22" s="704"/>
      <c r="F22" s="704"/>
      <c r="G22" s="704"/>
      <c r="H22" s="704"/>
      <c r="I22" s="704"/>
      <c r="J22" s="704"/>
      <c r="K22" s="704"/>
      <c r="L22" s="704"/>
      <c r="M22" s="704"/>
      <c r="N22" s="704"/>
      <c r="O22" s="704"/>
      <c r="P22" s="704"/>
      <c r="Q22" s="704"/>
      <c r="R22" s="704"/>
      <c r="S22" s="704"/>
      <c r="T22" s="704"/>
      <c r="U22" s="704"/>
      <c r="V22" s="704"/>
      <c r="W22" s="704"/>
      <c r="X22" s="704"/>
      <c r="Y22" s="704"/>
      <c r="Z22" s="704"/>
      <c r="AA22" s="704"/>
      <c r="AB22" s="704"/>
      <c r="AC22" s="704"/>
      <c r="AD22" s="1499"/>
      <c r="AE22" s="704"/>
      <c r="AF22" s="1499"/>
      <c r="AG22" s="704"/>
      <c r="AH22" s="704"/>
      <c r="AI22" s="704"/>
      <c r="AJ22" s="704"/>
      <c r="AK22" s="704"/>
      <c r="AL22" s="704"/>
      <c r="AM22" s="704"/>
      <c r="AN22" s="704"/>
      <c r="AO22" s="704"/>
      <c r="AP22" s="704"/>
      <c r="AQ22" s="704"/>
      <c r="AR22" s="704"/>
      <c r="AS22" s="704"/>
      <c r="AT22" s="704"/>
      <c r="AU22" s="704"/>
      <c r="AV22" s="704"/>
      <c r="AW22" s="704"/>
      <c r="AX22" s="704"/>
      <c r="AY22" s="703"/>
      <c r="AZ22" s="704"/>
      <c r="BA22" s="703"/>
      <c r="BB22" s="704"/>
      <c r="BC22" s="703"/>
      <c r="BD22" s="704"/>
      <c r="BE22" s="703"/>
      <c r="BF22" s="704"/>
      <c r="BG22" s="703"/>
      <c r="BH22" s="703"/>
      <c r="BI22" s="703"/>
      <c r="BJ22" s="703"/>
      <c r="BK22" s="899"/>
      <c r="BL22" s="1490"/>
      <c r="BM22" s="899"/>
      <c r="BN22" s="1490"/>
      <c r="BO22" s="899"/>
      <c r="BP22" s="1490"/>
      <c r="BQ22" s="899"/>
      <c r="BR22" s="1490"/>
      <c r="BS22" s="899"/>
      <c r="BT22" s="1490"/>
      <c r="BU22" s="899"/>
      <c r="BV22" s="1490"/>
      <c r="BW22" s="899"/>
      <c r="BX22" s="1490"/>
      <c r="BY22" s="704"/>
    </row>
    <row r="23" spans="1:77">
      <c r="A23" s="704"/>
      <c r="B23" s="704" t="s">
        <v>262</v>
      </c>
      <c r="C23" s="704"/>
      <c r="D23" s="1381">
        <v>0.214</v>
      </c>
      <c r="E23" s="1380"/>
      <c r="F23" s="1381">
        <v>1.3660000000000001</v>
      </c>
      <c r="G23" s="1380"/>
      <c r="H23" s="1381">
        <v>1.643</v>
      </c>
      <c r="I23" s="1401"/>
      <c r="J23" s="1381">
        <v>0.314</v>
      </c>
      <c r="K23" s="1390"/>
      <c r="L23" s="1503">
        <v>-8.4000000000000005E-2</v>
      </c>
      <c r="M23" s="1390"/>
      <c r="N23" s="1503">
        <v>-1.399</v>
      </c>
      <c r="O23" s="1390"/>
      <c r="P23" s="1503">
        <v>0.69099999999999995</v>
      </c>
      <c r="Q23" s="1390"/>
      <c r="R23" s="1503">
        <v>-0.88700000000000001</v>
      </c>
      <c r="S23" s="1390"/>
      <c r="T23" s="1503">
        <v>3.4369999999999998</v>
      </c>
      <c r="U23" s="1390"/>
      <c r="V23" s="1503">
        <f>1.635</f>
        <v>1.635</v>
      </c>
      <c r="W23" s="1390"/>
      <c r="X23" s="1503">
        <v>6.0019999999999998</v>
      </c>
      <c r="Y23" s="1390"/>
      <c r="Z23" s="1503">
        <v>6.3710000000000004</v>
      </c>
      <c r="AA23" s="1390"/>
      <c r="AB23" s="1503">
        <v>5.4619999999999997</v>
      </c>
      <c r="AC23" s="1390"/>
      <c r="AD23" s="1503">
        <v>10.726000000000001</v>
      </c>
      <c r="AE23" s="1390"/>
      <c r="AF23" s="1503">
        <v>1.825</v>
      </c>
      <c r="AG23" s="1390"/>
      <c r="AH23" s="1503">
        <v>-1.835</v>
      </c>
      <c r="AI23" s="1390"/>
      <c r="AJ23" s="1504">
        <v>0.251</v>
      </c>
      <c r="AK23" s="1390"/>
      <c r="AL23" s="1503">
        <v>2.9169999999999998</v>
      </c>
      <c r="AM23" s="1390"/>
      <c r="AN23" s="1503">
        <v>15.368</v>
      </c>
      <c r="AO23" s="1390"/>
      <c r="AP23" s="1503">
        <v>18.393000000000001</v>
      </c>
      <c r="AQ23" s="1390"/>
      <c r="AR23" s="1503">
        <v>13.82</v>
      </c>
      <c r="AS23" s="1390"/>
      <c r="AT23" s="1390">
        <v>-20.934000000000001</v>
      </c>
      <c r="AU23" s="1390"/>
      <c r="AV23" s="1390">
        <f>bal!AY11-bal!AW11</f>
        <v>22.457000000000001</v>
      </c>
      <c r="AW23" s="1390"/>
      <c r="AX23" s="1390">
        <f>bal!BA11-bal!AY11</f>
        <v>3.5086752706438915</v>
      </c>
      <c r="AY23" s="703"/>
      <c r="AZ23" s="1390">
        <f>bal!BC11-bal!BA11</f>
        <v>1.3025730168588012</v>
      </c>
      <c r="BA23" s="703"/>
      <c r="BB23" s="1390">
        <f>bal!BE11-bal!BC11</f>
        <v>1.5885735251684565</v>
      </c>
      <c r="BC23" s="703"/>
      <c r="BD23" s="1390">
        <f>bal!BG11-bal!BE11</f>
        <v>1.4340357132290649</v>
      </c>
      <c r="BE23" s="703"/>
      <c r="BF23" s="1390">
        <f>bal!BI11-bal!BG11</f>
        <v>1.2981471310298076</v>
      </c>
      <c r="BG23" s="703"/>
      <c r="BH23" s="703"/>
      <c r="BI23" s="703"/>
      <c r="BJ23" s="703"/>
      <c r="BK23" s="1497">
        <f>+bal!G11-bal!E11</f>
        <v>0.40100000000000002</v>
      </c>
      <c r="BL23" s="1498">
        <f>+BK23-D23</f>
        <v>0.18700000000000003</v>
      </c>
      <c r="BM23" s="1499">
        <f>bal!I11-bal!G11</f>
        <v>1.254</v>
      </c>
      <c r="BN23" s="1498">
        <f>+BM23-F23</f>
        <v>-0.1120000000000001</v>
      </c>
      <c r="BO23" s="1499"/>
      <c r="BP23" s="1498"/>
      <c r="BQ23" s="1492">
        <f>bal!M11-bal!K11</f>
        <v>0.32699999999999996</v>
      </c>
      <c r="BR23" s="1498">
        <f>+BQ23-J23</f>
        <v>1.2999999999999956E-2</v>
      </c>
      <c r="BS23" s="1492">
        <f>bal!O11-bal!M11</f>
        <v>1.000000000000334E-3</v>
      </c>
      <c r="BT23" s="1498">
        <f>+BS23-L23</f>
        <v>8.5000000000000339E-2</v>
      </c>
      <c r="BU23" s="1492">
        <f>bal!Q11-bal!O11</f>
        <v>-1.3810000000000002</v>
      </c>
      <c r="BV23" s="1498">
        <f>+BU23-N23</f>
        <v>1.7999999999999794E-2</v>
      </c>
      <c r="BW23" s="1492">
        <f>bal!S11-bal!Q11</f>
        <v>0.68499999999999961</v>
      </c>
      <c r="BX23" s="1498">
        <f>+BW23-P23</f>
        <v>-6.0000000000003384E-3</v>
      </c>
      <c r="BY23" s="704"/>
    </row>
    <row r="24" spans="1:77">
      <c r="A24" s="704"/>
      <c r="B24" s="704" t="s">
        <v>365</v>
      </c>
      <c r="C24" s="704"/>
      <c r="D24" s="1401">
        <f>bal!G12-bal!E12</f>
        <v>9.6000000000000085E-2</v>
      </c>
      <c r="E24" s="1401"/>
      <c r="F24" s="1401">
        <f>bal!I12-bal!G12</f>
        <v>6.4879999999999995</v>
      </c>
      <c r="G24" s="1401"/>
      <c r="H24" s="1401">
        <f>bal!K12-bal!I12</f>
        <v>0.16300000000000026</v>
      </c>
      <c r="I24" s="1390"/>
      <c r="J24" s="1401">
        <f>+bal!M12-bal!K12</f>
        <v>4.7530000000000001</v>
      </c>
      <c r="K24" s="1401"/>
      <c r="L24" s="1496">
        <f>bal!O12-bal!M12</f>
        <v>4.9869999999999983</v>
      </c>
      <c r="M24" s="1496"/>
      <c r="N24" s="1496">
        <f>bal!Q12-bal!O12</f>
        <v>7.9180000000000028</v>
      </c>
      <c r="O24" s="1496"/>
      <c r="P24" s="1495">
        <v>6.3479999999999999</v>
      </c>
      <c r="Q24" s="1496"/>
      <c r="R24" s="1495">
        <v>8.7349999999999994</v>
      </c>
      <c r="S24" s="1496"/>
      <c r="T24" s="1495">
        <v>13.125</v>
      </c>
      <c r="U24" s="1496"/>
      <c r="V24" s="1495">
        <v>35.651000000000003</v>
      </c>
      <c r="W24" s="1496"/>
      <c r="X24" s="1495">
        <v>41.597000000000001</v>
      </c>
      <c r="Y24" s="1496"/>
      <c r="Z24" s="1495">
        <v>13.416</v>
      </c>
      <c r="AA24" s="1496"/>
      <c r="AB24" s="1495">
        <v>17.43</v>
      </c>
      <c r="AC24" s="1496"/>
      <c r="AD24" s="1495">
        <v>0.27200000000000002</v>
      </c>
      <c r="AE24" s="1496"/>
      <c r="AF24" s="1495">
        <v>15.544</v>
      </c>
      <c r="AG24" s="1496"/>
      <c r="AH24" s="1495">
        <v>43.372</v>
      </c>
      <c r="AI24" s="1496"/>
      <c r="AJ24" s="1504">
        <v>20.817</v>
      </c>
      <c r="AK24" s="1496"/>
      <c r="AL24" s="1495">
        <v>32.237000000000002</v>
      </c>
      <c r="AM24" s="1496"/>
      <c r="AN24" s="1495">
        <v>27.713000000000001</v>
      </c>
      <c r="AO24" s="1496"/>
      <c r="AP24" s="1495">
        <v>68.992000000000004</v>
      </c>
      <c r="AQ24" s="1496"/>
      <c r="AR24" s="1495">
        <v>-26.739000000000001</v>
      </c>
      <c r="AS24" s="1496"/>
      <c r="AT24" s="1495">
        <v>9.9629999999999992</v>
      </c>
      <c r="AU24" s="1496"/>
      <c r="AV24" s="1496">
        <f>bal!AY12-bal!AW12</f>
        <v>12.805000000000007</v>
      </c>
      <c r="AW24" s="1496"/>
      <c r="AX24" s="1496">
        <f>bal!BA12-bal!AY12</f>
        <v>16.019996189390952</v>
      </c>
      <c r="AY24" s="703"/>
      <c r="AZ24" s="1496">
        <f>bal!BC12-bal!BA12</f>
        <v>5.9473200444258509</v>
      </c>
      <c r="BA24" s="703"/>
      <c r="BB24" s="1496">
        <f>bal!BE12-bal!BC12</f>
        <v>7.2531482273923302</v>
      </c>
      <c r="BC24" s="703"/>
      <c r="BD24" s="1496">
        <f>bal!BG12-bal!BE12</f>
        <v>6.5475556696827653</v>
      </c>
      <c r="BE24" s="703"/>
      <c r="BF24" s="1496">
        <f>bal!BI12-bal!BG12</f>
        <v>5.9271122256207036</v>
      </c>
      <c r="BG24" s="703"/>
      <c r="BH24" s="703"/>
      <c r="BI24" s="703"/>
      <c r="BJ24" s="703"/>
      <c r="BK24" s="1505"/>
      <c r="BL24" s="704"/>
      <c r="BM24" s="1505"/>
      <c r="BN24" s="1490"/>
      <c r="BO24" s="1505"/>
      <c r="BP24" s="1490"/>
      <c r="BQ24" s="1505"/>
      <c r="BR24" s="1490"/>
      <c r="BS24" s="1505"/>
      <c r="BT24" s="1490"/>
      <c r="BU24" s="1505"/>
      <c r="BV24" s="1490"/>
      <c r="BW24" s="1492">
        <f>bal!S12-bal!Q12</f>
        <v>6.2999999999999972</v>
      </c>
      <c r="BX24" s="1498">
        <f>+BW24-P24</f>
        <v>-4.8000000000002707E-2</v>
      </c>
      <c r="BY24" s="704"/>
    </row>
    <row r="25" spans="1:77">
      <c r="A25" s="704"/>
      <c r="B25" s="704" t="s">
        <v>513</v>
      </c>
      <c r="C25" s="704"/>
      <c r="D25" s="1384">
        <v>0.56399999999999995</v>
      </c>
      <c r="E25" s="1401"/>
      <c r="F25" s="1384">
        <v>1.5489999999999999</v>
      </c>
      <c r="G25" s="1401"/>
      <c r="H25" s="1384">
        <v>1.0760000000000001</v>
      </c>
      <c r="I25" s="1401"/>
      <c r="J25" s="1384">
        <v>-0.47399999999999998</v>
      </c>
      <c r="K25" s="1401"/>
      <c r="L25" s="1495">
        <v>3.266</v>
      </c>
      <c r="M25" s="1496"/>
      <c r="N25" s="1495">
        <v>-0.20699999999999999</v>
      </c>
      <c r="O25" s="1496"/>
      <c r="P25" s="1495">
        <v>-1.1200000000000001</v>
      </c>
      <c r="Q25" s="1496"/>
      <c r="R25" s="1495">
        <v>2.718</v>
      </c>
      <c r="S25" s="1496"/>
      <c r="T25" s="1495">
        <v>5.1479999999999997</v>
      </c>
      <c r="U25" s="1496"/>
      <c r="V25" s="1495">
        <v>6.2309999999999999</v>
      </c>
      <c r="W25" s="1496"/>
      <c r="X25" s="1495">
        <v>14.201000000000001</v>
      </c>
      <c r="Y25" s="1496"/>
      <c r="Z25" s="1495">
        <v>-6.8479999999999999</v>
      </c>
      <c r="AA25" s="1496"/>
      <c r="AB25" s="1495">
        <v>22.440999999999999</v>
      </c>
      <c r="AC25" s="1496"/>
      <c r="AD25" s="1495">
        <v>-9.2100000000000009</v>
      </c>
      <c r="AE25" s="1496"/>
      <c r="AF25" s="1495">
        <v>25.619</v>
      </c>
      <c r="AG25" s="1496"/>
      <c r="AH25" s="1495">
        <v>-14.824999999999999</v>
      </c>
      <c r="AI25" s="1496"/>
      <c r="AJ25" s="1504">
        <v>-6.3170000000000002</v>
      </c>
      <c r="AK25" s="1496"/>
      <c r="AL25" s="1495">
        <v>-16.056999999999999</v>
      </c>
      <c r="AM25" s="1496"/>
      <c r="AN25" s="1495">
        <v>-2.9849999999999999</v>
      </c>
      <c r="AO25" s="1496"/>
      <c r="AP25" s="1495">
        <v>23.257000000000001</v>
      </c>
      <c r="AQ25" s="1496"/>
      <c r="AR25" s="1495">
        <v>-3.8109999999999999</v>
      </c>
      <c r="AS25" s="1496"/>
      <c r="AT25" s="1495">
        <v>10.359</v>
      </c>
      <c r="AU25" s="1496"/>
      <c r="AV25" s="1496">
        <f>bal!AY13-bal!AW13</f>
        <v>-26.039999999999992</v>
      </c>
      <c r="AW25" s="1496"/>
      <c r="AX25" s="1496">
        <f>bal!BA13-bal!AY13</f>
        <v>0</v>
      </c>
      <c r="AY25" s="704"/>
      <c r="AZ25" s="1496">
        <f>bal!BC13-bal!BA13</f>
        <v>0</v>
      </c>
      <c r="BA25" s="704"/>
      <c r="BB25" s="1496">
        <f>bal!BE13-bal!BC13</f>
        <v>0</v>
      </c>
      <c r="BC25" s="704"/>
      <c r="BD25" s="1496">
        <f>bal!BG13-bal!BE13</f>
        <v>0</v>
      </c>
      <c r="BE25" s="704"/>
      <c r="BF25" s="1496">
        <f>bal!BI13-bal!BG13</f>
        <v>0</v>
      </c>
      <c r="BG25" s="704"/>
      <c r="BH25" s="704"/>
      <c r="BI25" s="704"/>
      <c r="BJ25" s="704"/>
      <c r="BK25" s="1497">
        <f>bal!G13-bal!E13</f>
        <v>0.46600000000000019</v>
      </c>
      <c r="BL25" s="1498">
        <f>+BK25-D25</f>
        <v>-9.7999999999999754E-2</v>
      </c>
      <c r="BM25" s="1499">
        <f>bal!I13-bal!G13</f>
        <v>1.5399999999999996</v>
      </c>
      <c r="BN25" s="1498">
        <f>+BM25-F25</f>
        <v>-9.0000000000003411E-3</v>
      </c>
      <c r="BO25" s="1499"/>
      <c r="BP25" s="1498"/>
      <c r="BQ25" s="1492">
        <f>bal!M13-bal!K13</f>
        <v>6.7000000000000171E-2</v>
      </c>
      <c r="BR25" s="1498">
        <f>+BQ25-J25</f>
        <v>0.54100000000000015</v>
      </c>
      <c r="BS25" s="1492">
        <f>bal!O13-bal!M13</f>
        <v>2.7569999999999997</v>
      </c>
      <c r="BT25" s="1498">
        <f>+BS25-L25</f>
        <v>-0.50900000000000034</v>
      </c>
      <c r="BU25" s="1492">
        <f>bal!Q13-bal!O13</f>
        <v>-0.18400000000000016</v>
      </c>
      <c r="BV25" s="1498">
        <f>+BU25-N25</f>
        <v>2.2999999999999826E-2</v>
      </c>
      <c r="BW25" s="1492">
        <f>bal!S13-bal!Q13</f>
        <v>-1.4319999999999995</v>
      </c>
      <c r="BX25" s="1498">
        <f>+BW25-P25</f>
        <v>-0.31199999999999939</v>
      </c>
      <c r="BY25" s="704"/>
    </row>
    <row r="26" spans="1:77">
      <c r="A26" s="704"/>
      <c r="B26" s="704" t="s">
        <v>366</v>
      </c>
      <c r="C26" s="704"/>
      <c r="D26" s="1506"/>
      <c r="E26" s="1506"/>
      <c r="F26" s="707"/>
      <c r="G26" s="704"/>
      <c r="H26" s="1506"/>
      <c r="I26" s="704"/>
      <c r="J26" s="1506"/>
      <c r="K26" s="1506"/>
      <c r="L26" s="1496"/>
      <c r="M26" s="1496"/>
      <c r="N26" s="1496"/>
      <c r="O26" s="1496"/>
      <c r="P26" s="1496"/>
      <c r="Q26" s="1496"/>
      <c r="R26" s="1496"/>
      <c r="S26" s="1496"/>
      <c r="T26" s="1496"/>
      <c r="U26" s="1496"/>
      <c r="V26" s="1496"/>
      <c r="W26" s="1496"/>
      <c r="X26" s="1496"/>
      <c r="Y26" s="1496"/>
      <c r="Z26" s="1496"/>
      <c r="AA26" s="1496"/>
      <c r="AB26" s="1496"/>
      <c r="AC26" s="1496"/>
      <c r="AD26" s="1496"/>
      <c r="AE26" s="1496"/>
      <c r="AF26" s="1496"/>
      <c r="AG26" s="1496"/>
      <c r="AH26" s="1496"/>
      <c r="AI26" s="1496"/>
      <c r="AJ26" s="1504"/>
      <c r="AK26" s="1496"/>
      <c r="AL26" s="1496"/>
      <c r="AM26" s="1496"/>
      <c r="AN26" s="1496"/>
      <c r="AO26" s="1496"/>
      <c r="AP26" s="1496"/>
      <c r="AQ26" s="1496"/>
      <c r="AR26" s="1496"/>
      <c r="AS26" s="1496"/>
      <c r="AT26" s="1496"/>
      <c r="AU26" s="1496"/>
      <c r="AV26" s="1496"/>
      <c r="AW26" s="1496"/>
      <c r="AX26" s="1496"/>
      <c r="AY26" s="704"/>
      <c r="AZ26" s="1496"/>
      <c r="BA26" s="704"/>
      <c r="BB26" s="1496"/>
      <c r="BC26" s="704"/>
      <c r="BD26" s="1496"/>
      <c r="BE26" s="704"/>
      <c r="BF26" s="1496"/>
      <c r="BG26" s="704"/>
      <c r="BH26" s="704"/>
      <c r="BI26" s="704"/>
      <c r="BJ26" s="704"/>
      <c r="BK26" s="899"/>
      <c r="BL26" s="1490"/>
      <c r="BM26" s="899"/>
      <c r="BN26" s="1490"/>
      <c r="BO26" s="899"/>
      <c r="BP26" s="1490"/>
      <c r="BQ26" s="899"/>
      <c r="BR26" s="1490"/>
      <c r="BS26" s="899"/>
      <c r="BT26" s="1490"/>
      <c r="BU26" s="899"/>
      <c r="BV26" s="1490"/>
      <c r="BW26" s="899"/>
      <c r="BX26" s="1490"/>
      <c r="BY26" s="704"/>
    </row>
    <row r="27" spans="1:77">
      <c r="A27" s="704"/>
      <c r="B27" s="704" t="s">
        <v>66</v>
      </c>
      <c r="C27" s="704"/>
      <c r="D27" s="1384">
        <v>-1.82</v>
      </c>
      <c r="E27" s="1401"/>
      <c r="F27" s="1384">
        <v>-2.3180000000000001</v>
      </c>
      <c r="G27" s="1401"/>
      <c r="H27" s="1384">
        <v>-2.7829999999999999</v>
      </c>
      <c r="I27" s="1401"/>
      <c r="J27" s="1384">
        <v>-11.03</v>
      </c>
      <c r="K27" s="1401"/>
      <c r="L27" s="1495">
        <v>-4.516</v>
      </c>
      <c r="M27" s="1496"/>
      <c r="N27" s="1495">
        <v>-6.5190000000000001</v>
      </c>
      <c r="O27" s="1496"/>
      <c r="P27" s="1495">
        <v>-9.141</v>
      </c>
      <c r="Q27" s="1496"/>
      <c r="R27" s="1495">
        <v>-12.464</v>
      </c>
      <c r="S27" s="1496"/>
      <c r="T27" s="1495">
        <v>-22.027999999999999</v>
      </c>
      <c r="U27" s="1496"/>
      <c r="V27" s="1495">
        <v>-59.872999999999998</v>
      </c>
      <c r="W27" s="1496"/>
      <c r="X27" s="1495">
        <v>-33.804000000000002</v>
      </c>
      <c r="Y27" s="1496"/>
      <c r="Z27" s="1496">
        <v>-33.6</v>
      </c>
      <c r="AA27" s="1496"/>
      <c r="AB27" s="1495">
        <v>-75.966999999999999</v>
      </c>
      <c r="AC27" s="1496"/>
      <c r="AD27" s="1495">
        <v>8.8680000000000003</v>
      </c>
      <c r="AE27" s="1496"/>
      <c r="AF27" s="1495">
        <v>-55.311</v>
      </c>
      <c r="AG27" s="1496"/>
      <c r="AH27" s="1495">
        <v>-48.491999999999997</v>
      </c>
      <c r="AI27" s="1496"/>
      <c r="AJ27" s="1504">
        <v>-21.31</v>
      </c>
      <c r="AK27" s="1496"/>
      <c r="AL27" s="1495">
        <v>-31.756</v>
      </c>
      <c r="AM27" s="1496"/>
      <c r="AN27" s="1495">
        <v>-68.162000000000006</v>
      </c>
      <c r="AO27" s="1496"/>
      <c r="AP27" s="1496">
        <v>-48.542999999999999</v>
      </c>
      <c r="AQ27" s="1496"/>
      <c r="AR27" s="1495">
        <v>3.94</v>
      </c>
      <c r="AS27" s="1496"/>
      <c r="AT27" s="1496">
        <v>-39.692</v>
      </c>
      <c r="AU27" s="1496"/>
      <c r="AV27" s="1496">
        <f>bal!AW38-bal!AY38+bal!AW40-bal!AY40</f>
        <v>-62.324000000000012</v>
      </c>
      <c r="AW27" s="1496"/>
      <c r="AX27" s="1496">
        <f>bal!AY38-bal!BA38+bal!AY40-bal!BA40</f>
        <v>-15.316887406520266</v>
      </c>
      <c r="AY27" s="704"/>
      <c r="AZ27" s="1496">
        <f>bal!BA38-bal!BC38+bal!BA40-bal!BC40</f>
        <v>-8.7224963934037305</v>
      </c>
      <c r="BA27" s="704"/>
      <c r="BB27" s="1496">
        <f>bal!BC38-bal!BE38+bal!BC40-bal!BE40</f>
        <v>-7.6636288764862002</v>
      </c>
      <c r="BC27" s="704"/>
      <c r="BD27" s="1496">
        <f>bal!BE38-bal!BG38+bal!BE40-bal!BG40</f>
        <v>-7.7536023709749315</v>
      </c>
      <c r="BE27" s="704"/>
      <c r="BF27" s="1496">
        <f>bal!BG38-bal!BI38+bal!BG40-bal!BI40</f>
        <v>-6.5294394522080665</v>
      </c>
      <c r="BG27" s="704"/>
      <c r="BH27" s="704"/>
      <c r="BI27" s="704"/>
      <c r="BJ27" s="704"/>
      <c r="BK27" s="1497">
        <f>bal!E38-bal!G38</f>
        <v>-1.3409999999999993</v>
      </c>
      <c r="BL27" s="1498">
        <f>+BK27-D27</f>
        <v>0.47900000000000076</v>
      </c>
      <c r="BM27" s="1499">
        <f>bal!G38-bal!I38</f>
        <v>-1.5530000000000008</v>
      </c>
      <c r="BN27" s="1498">
        <f>+BM27-F27</f>
        <v>0.76499999999999924</v>
      </c>
      <c r="BO27" s="1499"/>
      <c r="BP27" s="1498"/>
      <c r="BQ27" s="1499">
        <f>bal!K34-bal!M34</f>
        <v>-4.3770000000000007</v>
      </c>
      <c r="BR27" s="1498">
        <f>+BQ27-J27</f>
        <v>6.6529999999999987</v>
      </c>
      <c r="BS27" s="1499">
        <f>bal!M34-bal!O34</f>
        <v>-1.9970000000000017</v>
      </c>
      <c r="BT27" s="1498">
        <f>+BS27-L27</f>
        <v>2.5189999999999984</v>
      </c>
      <c r="BU27" s="1499">
        <f>bal!O34-bal!Q34</f>
        <v>-2.6269999999999989</v>
      </c>
      <c r="BV27" s="1498">
        <f>+BU27-N27</f>
        <v>3.8920000000000012</v>
      </c>
      <c r="BW27" s="1492">
        <f>bal!Q34-bal!S34</f>
        <v>-1.4510000000000005</v>
      </c>
      <c r="BX27" s="1498">
        <f>+BW27-P27</f>
        <v>7.6899999999999995</v>
      </c>
      <c r="BY27" s="704"/>
    </row>
    <row r="28" spans="1:77">
      <c r="A28" s="704"/>
      <c r="B28" s="704"/>
      <c r="C28" s="704"/>
      <c r="D28" s="704"/>
      <c r="E28" s="704"/>
      <c r="F28" s="704"/>
      <c r="G28" s="704"/>
      <c r="H28" s="704"/>
      <c r="I28" s="704"/>
      <c r="J28" s="704"/>
      <c r="K28" s="704"/>
      <c r="L28" s="704"/>
      <c r="M28" s="704"/>
      <c r="N28" s="704"/>
      <c r="O28" s="704"/>
      <c r="P28" s="1492"/>
      <c r="Q28" s="704"/>
      <c r="R28" s="704"/>
      <c r="S28" s="704"/>
      <c r="T28" s="704"/>
      <c r="U28" s="704"/>
      <c r="V28" s="704"/>
      <c r="W28" s="704"/>
      <c r="X28" s="704"/>
      <c r="Y28" s="704"/>
      <c r="Z28" s="704"/>
      <c r="AA28" s="704"/>
      <c r="AB28" s="704"/>
      <c r="AC28" s="704"/>
      <c r="AD28" s="704"/>
      <c r="AE28" s="704"/>
      <c r="AF28" s="704"/>
      <c r="AG28" s="704"/>
      <c r="AH28" s="704"/>
      <c r="AI28" s="704"/>
      <c r="AJ28" s="704"/>
      <c r="AK28" s="704"/>
      <c r="AL28" s="704"/>
      <c r="AM28" s="704"/>
      <c r="AN28" s="704"/>
      <c r="AO28" s="704"/>
      <c r="AP28" s="704"/>
      <c r="AQ28" s="704"/>
      <c r="AR28" s="704"/>
      <c r="AS28" s="704"/>
      <c r="AT28" s="704"/>
      <c r="AU28" s="704"/>
      <c r="AV28" s="704"/>
      <c r="AW28" s="704"/>
      <c r="AX28" s="704"/>
      <c r="AY28" s="703"/>
      <c r="AZ28" s="704"/>
      <c r="BA28" s="703"/>
      <c r="BB28" s="704"/>
      <c r="BC28" s="703"/>
      <c r="BD28" s="704"/>
      <c r="BE28" s="703"/>
      <c r="BF28" s="704"/>
      <c r="BG28" s="703"/>
      <c r="BH28" s="703"/>
      <c r="BI28" s="703"/>
      <c r="BJ28" s="703"/>
      <c r="BK28" s="1497"/>
      <c r="BL28" s="1498"/>
      <c r="BM28" s="1497"/>
      <c r="BN28" s="1498"/>
      <c r="BO28" s="1497"/>
      <c r="BP28" s="1498"/>
      <c r="BQ28" s="1497"/>
      <c r="BR28" s="1498"/>
      <c r="BS28" s="1497"/>
      <c r="BT28" s="1498"/>
      <c r="BU28" s="1497"/>
      <c r="BV28" s="1498"/>
      <c r="BW28" s="1497"/>
      <c r="BX28" s="1498"/>
      <c r="BY28" s="704"/>
    </row>
    <row r="29" spans="1:77">
      <c r="A29" s="704" t="s">
        <v>367</v>
      </c>
      <c r="B29" s="704"/>
      <c r="C29" s="704"/>
      <c r="D29" s="1390">
        <f>SUM(D23:D27)</f>
        <v>-0.94600000000000006</v>
      </c>
      <c r="E29" s="704"/>
      <c r="F29" s="1390">
        <f>SUM(F23:F27)</f>
        <v>7.0849999999999991</v>
      </c>
      <c r="G29" s="1390"/>
      <c r="H29" s="1390">
        <f>SUM(H23:H27)</f>
        <v>9.9000000000000643E-2</v>
      </c>
      <c r="I29" s="1390"/>
      <c r="J29" s="1390">
        <f>SUM(J23:J27)</f>
        <v>-6.4369999999999994</v>
      </c>
      <c r="K29" s="1390"/>
      <c r="L29" s="1390">
        <f>SUM(L23:L27)</f>
        <v>3.6529999999999987</v>
      </c>
      <c r="M29" s="1390"/>
      <c r="N29" s="1390">
        <f>SUM(N23:N27)</f>
        <v>-0.20699999999999719</v>
      </c>
      <c r="O29" s="1390"/>
      <c r="P29" s="1390">
        <f>SUM(P23:P27)</f>
        <v>-3.2220000000000004</v>
      </c>
      <c r="Q29" s="1390"/>
      <c r="R29" s="1390">
        <f>SUM(R23:R27)</f>
        <v>-1.8980000000000015</v>
      </c>
      <c r="S29" s="1390"/>
      <c r="T29" s="1390">
        <f>SUM(T23:T27)</f>
        <v>-0.31799999999999784</v>
      </c>
      <c r="U29" s="1390"/>
      <c r="V29" s="1390">
        <f>SUM(V23:V27)</f>
        <v>-16.355999999999995</v>
      </c>
      <c r="W29" s="1390"/>
      <c r="X29" s="1390">
        <f>SUM(X23:X27)</f>
        <v>27.996000000000002</v>
      </c>
      <c r="Y29" s="1390"/>
      <c r="Z29" s="1390">
        <f>SUM(Z23:Z27)</f>
        <v>-20.661000000000001</v>
      </c>
      <c r="AA29" s="1390"/>
      <c r="AB29" s="1390">
        <f>SUM(AB23:AB27)</f>
        <v>-30.634</v>
      </c>
      <c r="AC29" s="1390"/>
      <c r="AD29" s="1390">
        <f>SUM(AD23:AD27)</f>
        <v>10.656000000000001</v>
      </c>
      <c r="AE29" s="1390"/>
      <c r="AF29" s="1390">
        <f>SUM(AF23:AF27)</f>
        <v>-12.323</v>
      </c>
      <c r="AG29" s="1390"/>
      <c r="AH29" s="1390">
        <f>SUM(AH23:AH27)</f>
        <v>-21.779999999999998</v>
      </c>
      <c r="AI29" s="1390"/>
      <c r="AJ29" s="1390">
        <f>SUM(AJ23:AJ27)</f>
        <v>-6.5589999999999975</v>
      </c>
      <c r="AK29" s="1390"/>
      <c r="AL29" s="1390">
        <f>SUM(AL23:AL27)</f>
        <v>-12.658999999999995</v>
      </c>
      <c r="AM29" s="1390"/>
      <c r="AN29" s="1390">
        <f>SUM(AN23:AN27)</f>
        <v>-28.066000000000003</v>
      </c>
      <c r="AO29" s="1390"/>
      <c r="AP29" s="1390">
        <f>SUM(AP23:AP27)</f>
        <v>62.099000000000011</v>
      </c>
      <c r="AQ29" s="1390"/>
      <c r="AR29" s="1390">
        <f>SUM(AR23:AR27)</f>
        <v>-12.790000000000001</v>
      </c>
      <c r="AS29" s="1390"/>
      <c r="AT29" s="1390">
        <f>SUM(AT23:AT27)</f>
        <v>-40.304000000000002</v>
      </c>
      <c r="AU29" s="1390"/>
      <c r="AV29" s="1390">
        <f>SUM(AV23:AV27)</f>
        <v>-53.101999999999997</v>
      </c>
      <c r="AW29" s="1390"/>
      <c r="AX29" s="1390">
        <f>SUM(AX23:AX27)</f>
        <v>4.2117840535145774</v>
      </c>
      <c r="AY29" s="703"/>
      <c r="AZ29" s="1390">
        <f>SUM(AZ23:AZ27)</f>
        <v>-1.4726033321190783</v>
      </c>
      <c r="BA29" s="703"/>
      <c r="BB29" s="1390">
        <f>SUM(BB23:BB27)</f>
        <v>1.1780928760745866</v>
      </c>
      <c r="BC29" s="703"/>
      <c r="BD29" s="1390">
        <f>SUM(BD23:BD27)</f>
        <v>0.22798901193689858</v>
      </c>
      <c r="BE29" s="703"/>
      <c r="BF29" s="1390">
        <f>SUM(BF23:BF27)</f>
        <v>0.69581990444244468</v>
      </c>
      <c r="BG29" s="703"/>
      <c r="BH29" s="703"/>
      <c r="BI29" s="703"/>
      <c r="BJ29" s="703"/>
      <c r="BK29" s="899"/>
      <c r="BL29" s="1490"/>
      <c r="BM29" s="899"/>
      <c r="BN29" s="1490"/>
      <c r="BO29" s="899"/>
      <c r="BP29" s="1490"/>
      <c r="BQ29" s="899"/>
      <c r="BR29" s="1490"/>
      <c r="BS29" s="899"/>
      <c r="BT29" s="1490"/>
      <c r="BU29" s="899"/>
      <c r="BV29" s="1490"/>
      <c r="BW29" s="899"/>
      <c r="BX29" s="1490"/>
      <c r="BY29" s="704"/>
    </row>
    <row r="30" spans="1:77">
      <c r="A30" s="704"/>
      <c r="B30" s="704"/>
      <c r="C30" s="704"/>
      <c r="D30" s="704"/>
      <c r="E30" s="704"/>
      <c r="F30" s="704"/>
      <c r="G30" s="704"/>
      <c r="H30" s="704"/>
      <c r="I30" s="704"/>
      <c r="J30" s="704"/>
      <c r="K30" s="704"/>
      <c r="L30" s="1390"/>
      <c r="M30" s="1390"/>
      <c r="N30" s="1390"/>
      <c r="O30" s="1390"/>
      <c r="P30" s="1390"/>
      <c r="Q30" s="1390"/>
      <c r="R30" s="1390"/>
      <c r="S30" s="1390"/>
      <c r="T30" s="1390"/>
      <c r="U30" s="1390"/>
      <c r="V30" s="1390"/>
      <c r="W30" s="1390"/>
      <c r="X30" s="1390"/>
      <c r="Y30" s="1390"/>
      <c r="Z30" s="1390"/>
      <c r="AA30" s="1390"/>
      <c r="AB30" s="1390"/>
      <c r="AC30" s="1390"/>
      <c r="AD30" s="1390"/>
      <c r="AE30" s="1390"/>
      <c r="AF30" s="1492"/>
      <c r="AG30" s="1390"/>
      <c r="AH30" s="1492"/>
      <c r="AI30" s="1390"/>
      <c r="AJ30" s="1390"/>
      <c r="AK30" s="1390"/>
      <c r="AL30" s="1492"/>
      <c r="AM30" s="1390"/>
      <c r="AN30" s="1492"/>
      <c r="AO30" s="1390"/>
      <c r="AP30" s="1390"/>
      <c r="AQ30" s="1390"/>
      <c r="AR30" s="1390"/>
      <c r="AS30" s="1390"/>
      <c r="AT30" s="1390"/>
      <c r="AU30" s="1390"/>
      <c r="AV30" s="1390"/>
      <c r="AW30" s="1390"/>
      <c r="AX30" s="1390"/>
      <c r="AY30" s="704"/>
      <c r="AZ30" s="1390"/>
      <c r="BA30" s="704"/>
      <c r="BB30" s="1390"/>
      <c r="BC30" s="704"/>
      <c r="BD30" s="1390"/>
      <c r="BE30" s="704"/>
      <c r="BF30" s="1390"/>
      <c r="BG30" s="704"/>
      <c r="BH30" s="704"/>
      <c r="BI30" s="704"/>
      <c r="BJ30" s="704"/>
      <c r="BK30" s="899"/>
      <c r="BL30" s="1490"/>
      <c r="BM30" s="899"/>
      <c r="BN30" s="1490"/>
      <c r="BO30" s="899"/>
      <c r="BP30" s="1490"/>
      <c r="BQ30" s="899"/>
      <c r="BR30" s="1490"/>
      <c r="BS30" s="899"/>
      <c r="BT30" s="1490"/>
      <c r="BU30" s="899"/>
      <c r="BV30" s="1490"/>
      <c r="BW30" s="899"/>
      <c r="BX30" s="1490"/>
      <c r="BY30" s="704"/>
    </row>
    <row r="31" spans="1:77">
      <c r="A31" s="704" t="s">
        <v>369</v>
      </c>
      <c r="B31" s="704"/>
      <c r="C31" s="704"/>
      <c r="D31" s="1390">
        <f>D29+D20</f>
        <v>5.2830000000000004</v>
      </c>
      <c r="E31" s="704"/>
      <c r="F31" s="1390">
        <f>F29+F20</f>
        <v>19.064999999999998</v>
      </c>
      <c r="G31" s="1390"/>
      <c r="H31" s="1390">
        <f>H29+H20</f>
        <v>6.3710000000000004</v>
      </c>
      <c r="I31" s="1390"/>
      <c r="J31" s="1390">
        <f>J29+J20</f>
        <v>15.084000000000001</v>
      </c>
      <c r="K31" s="1390"/>
      <c r="L31" s="1390">
        <f>L29+L20</f>
        <v>41.802</v>
      </c>
      <c r="M31" s="1390"/>
      <c r="N31" s="1390">
        <f>N29+N20</f>
        <v>36.67</v>
      </c>
      <c r="O31" s="1390"/>
      <c r="P31" s="1390">
        <f>P29+P20</f>
        <v>19.087</v>
      </c>
      <c r="Q31" s="1390"/>
      <c r="R31" s="1390">
        <f>R29+R20</f>
        <v>26.988</v>
      </c>
      <c r="S31" s="1390"/>
      <c r="T31" s="1390">
        <f>T29+T20</f>
        <v>43.137</v>
      </c>
      <c r="U31" s="1390"/>
      <c r="V31" s="1390">
        <f>V29+V20</f>
        <v>58.785000000000011</v>
      </c>
      <c r="W31" s="1390"/>
      <c r="X31" s="1390">
        <f>X29+X20</f>
        <v>151.95699999999999</v>
      </c>
      <c r="Y31" s="1390"/>
      <c r="Z31" s="1390">
        <f>Z29+Z20</f>
        <v>191.36799999999999</v>
      </c>
      <c r="AA31" s="1390"/>
      <c r="AB31" s="1390">
        <f>AB29+AB20</f>
        <v>84.736000000000004</v>
      </c>
      <c r="AC31" s="1390"/>
      <c r="AD31" s="1390">
        <f>AD29+AD20</f>
        <v>123.209</v>
      </c>
      <c r="AE31" s="1390"/>
      <c r="AF31" s="1390">
        <f>AF29+AF20</f>
        <v>96.937000000000012</v>
      </c>
      <c r="AG31" s="1390"/>
      <c r="AH31" s="1390">
        <f>AH29+AH20</f>
        <v>121.86199999999999</v>
      </c>
      <c r="AI31" s="1390"/>
      <c r="AJ31" s="1390">
        <f>AJ29+AJ20</f>
        <v>183.45099999999999</v>
      </c>
      <c r="AK31" s="1390"/>
      <c r="AL31" s="1390">
        <f>AL29+AL20</f>
        <v>156.21600000000001</v>
      </c>
      <c r="AM31" s="1390"/>
      <c r="AN31" s="1390">
        <f>AN29+AN20</f>
        <v>158.035</v>
      </c>
      <c r="AO31" s="1390"/>
      <c r="AP31" s="1390">
        <f>AP29+AP20</f>
        <v>291.90300000000002</v>
      </c>
      <c r="AQ31" s="1390"/>
      <c r="AR31" s="1390">
        <f>AR29+AR20</f>
        <v>122.15999999999998</v>
      </c>
      <c r="AS31" s="1390"/>
      <c r="AT31" s="1390">
        <f>AT29+AT20</f>
        <v>103.41</v>
      </c>
      <c r="AU31" s="1390"/>
      <c r="AV31" s="1390">
        <f>AV29+AV20</f>
        <v>36.898000000000003</v>
      </c>
      <c r="AW31" s="1390"/>
      <c r="AX31" s="1390">
        <f>AX29+AX20</f>
        <v>114.21178405351458</v>
      </c>
      <c r="AY31" s="704"/>
      <c r="AZ31" s="1390">
        <f>AZ29+AZ20</f>
        <v>78.527396667880922</v>
      </c>
      <c r="BA31" s="704"/>
      <c r="BB31" s="1390">
        <f>BB29+BB20</f>
        <v>81.178092876074587</v>
      </c>
      <c r="BC31" s="704"/>
      <c r="BD31" s="1390">
        <f>BD29+BD20</f>
        <v>80.227989011936899</v>
      </c>
      <c r="BE31" s="704"/>
      <c r="BF31" s="1390">
        <f>BF29+BF20</f>
        <v>80.695819904442445</v>
      </c>
      <c r="BG31" s="704"/>
      <c r="BH31" s="704"/>
      <c r="BI31" s="704"/>
      <c r="BJ31" s="704"/>
      <c r="BK31" s="899"/>
      <c r="BL31" s="1490"/>
      <c r="BM31" s="899"/>
      <c r="BN31" s="1490"/>
      <c r="BO31" s="899"/>
      <c r="BP31" s="1490"/>
      <c r="BQ31" s="899"/>
      <c r="BR31" s="1490"/>
      <c r="BS31" s="899"/>
      <c r="BT31" s="1490"/>
      <c r="BU31" s="899"/>
      <c r="BV31" s="1490"/>
      <c r="BW31" s="899"/>
      <c r="BX31" s="1490"/>
      <c r="BY31" s="704"/>
    </row>
    <row r="32" spans="1:77">
      <c r="A32" s="704"/>
      <c r="B32" s="704"/>
      <c r="C32" s="704"/>
      <c r="D32" s="704"/>
      <c r="E32" s="704"/>
      <c r="F32" s="704"/>
      <c r="G32" s="704"/>
      <c r="H32" s="704"/>
      <c r="I32" s="704"/>
      <c r="J32" s="704"/>
      <c r="K32" s="704"/>
      <c r="L32" s="1390"/>
      <c r="M32" s="1390"/>
      <c r="N32" s="1390"/>
      <c r="O32" s="1390"/>
      <c r="P32" s="1390"/>
      <c r="Q32" s="1390"/>
      <c r="R32" s="1390"/>
      <c r="S32" s="1390"/>
      <c r="T32" s="1390"/>
      <c r="U32" s="1390"/>
      <c r="V32" s="1390"/>
      <c r="W32" s="1390"/>
      <c r="X32" s="1390"/>
      <c r="Y32" s="1390"/>
      <c r="Z32" s="1390"/>
      <c r="AA32" s="1390"/>
      <c r="AB32" s="1390"/>
      <c r="AC32" s="1390"/>
      <c r="AD32" s="1390"/>
      <c r="AE32" s="1390"/>
      <c r="AF32" s="1390"/>
      <c r="AG32" s="1390"/>
      <c r="AH32" s="1390"/>
      <c r="AI32" s="1390"/>
      <c r="AJ32" s="1390"/>
      <c r="AK32" s="1390"/>
      <c r="AL32" s="1390"/>
      <c r="AM32" s="1390"/>
      <c r="AN32" s="1390"/>
      <c r="AO32" s="1390"/>
      <c r="AP32" s="1390"/>
      <c r="AQ32" s="1390"/>
      <c r="AR32" s="1390"/>
      <c r="AS32" s="1390"/>
      <c r="AT32" s="1390"/>
      <c r="AU32" s="1390"/>
      <c r="AV32" s="1390"/>
      <c r="AW32" s="1390"/>
      <c r="AX32" s="1390"/>
      <c r="AY32" s="704"/>
      <c r="AZ32" s="1390"/>
      <c r="BA32" s="704"/>
      <c r="BB32" s="1390"/>
      <c r="BC32" s="704"/>
      <c r="BD32" s="1390"/>
      <c r="BE32" s="704"/>
      <c r="BF32" s="1390"/>
      <c r="BG32" s="704"/>
      <c r="BH32" s="704"/>
      <c r="BI32" s="704"/>
      <c r="BJ32" s="704"/>
      <c r="BK32" s="899"/>
      <c r="BL32" s="1490"/>
      <c r="BM32" s="899"/>
      <c r="BN32" s="1490"/>
      <c r="BO32" s="899"/>
      <c r="BP32" s="1490"/>
      <c r="BQ32" s="899"/>
      <c r="BR32" s="1490"/>
      <c r="BS32" s="899"/>
      <c r="BT32" s="1490"/>
      <c r="BU32" s="899"/>
      <c r="BV32" s="1490"/>
      <c r="BW32" s="899"/>
      <c r="BX32" s="1490"/>
      <c r="BY32" s="704"/>
    </row>
    <row r="33" spans="1:77">
      <c r="A33" s="1539" t="s">
        <v>368</v>
      </c>
      <c r="B33" s="1535"/>
      <c r="C33" s="1535"/>
      <c r="D33" s="1536">
        <f>D16-D31</f>
        <v>9.4220000000000041</v>
      </c>
      <c r="E33" s="1535"/>
      <c r="F33" s="1536">
        <f>F16-F31</f>
        <v>-2.9370000000000012</v>
      </c>
      <c r="G33" s="1536"/>
      <c r="H33" s="1536">
        <f>H16-H31</f>
        <v>12.6</v>
      </c>
      <c r="I33" s="1536"/>
      <c r="J33" s="1536">
        <f>J16-J31</f>
        <v>1.9690000000000065</v>
      </c>
      <c r="K33" s="1536"/>
      <c r="L33" s="1536">
        <f>L16-L31</f>
        <v>-14.487999999999992</v>
      </c>
      <c r="M33" s="1536"/>
      <c r="N33" s="1536">
        <f>N16-N31</f>
        <v>-13.997000000000025</v>
      </c>
      <c r="O33" s="1536"/>
      <c r="P33" s="1536">
        <f>P16-P31</f>
        <v>10.43099999999999</v>
      </c>
      <c r="Q33" s="1536"/>
      <c r="R33" s="1536">
        <f>R16-R31</f>
        <v>19.54399999999999</v>
      </c>
      <c r="S33" s="1536"/>
      <c r="T33" s="1536">
        <f>T16-T31</f>
        <v>36.698000000000008</v>
      </c>
      <c r="U33" s="1536"/>
      <c r="V33" s="1536">
        <f>V16-V31</f>
        <v>74.853999999999857</v>
      </c>
      <c r="W33" s="1536"/>
      <c r="X33" s="1536">
        <f>X16-X31</f>
        <v>25.229999999999961</v>
      </c>
      <c r="Y33" s="1536"/>
      <c r="Z33" s="1536">
        <f>Z16-Z31</f>
        <v>-19.517999999999802</v>
      </c>
      <c r="AA33" s="1536"/>
      <c r="AB33" s="1536">
        <f>AB16-AB31</f>
        <v>146.32399999999996</v>
      </c>
      <c r="AC33" s="1536"/>
      <c r="AD33" s="1536">
        <f>AD16-AD31</f>
        <v>152.45099999999979</v>
      </c>
      <c r="AE33" s="1536"/>
      <c r="AF33" s="1536">
        <f>AF16-AF31</f>
        <v>222.57199999999995</v>
      </c>
      <c r="AG33" s="1536"/>
      <c r="AH33" s="1536">
        <f>AH16-AH31</f>
        <v>254.31799999999996</v>
      </c>
      <c r="AI33" s="1536"/>
      <c r="AJ33" s="1536">
        <f>AJ16-AJ31</f>
        <v>101.68700000000067</v>
      </c>
      <c r="AK33" s="1536"/>
      <c r="AL33" s="1536">
        <f>AL16-AL31</f>
        <v>233.51800000000014</v>
      </c>
      <c r="AM33" s="1536"/>
      <c r="AN33" s="1536">
        <f>AN16-AN31</f>
        <v>246.63045999999994</v>
      </c>
      <c r="AO33" s="1536"/>
      <c r="AP33" s="1536">
        <f>AP16-AP31</f>
        <v>96.338500000000238</v>
      </c>
      <c r="AQ33" s="1537"/>
      <c r="AR33" s="1536">
        <f>AR16-AR31</f>
        <v>284.66399999999993</v>
      </c>
      <c r="AS33" s="1537"/>
      <c r="AT33" s="1536">
        <f>AT16-AT31</f>
        <v>271.53799999999967</v>
      </c>
      <c r="AU33" s="1537"/>
      <c r="AV33" s="1536">
        <f>AV16-AV31</f>
        <v>276.68899999999979</v>
      </c>
      <c r="AW33" s="1537"/>
      <c r="AX33" s="1536">
        <f>AX16-AX31</f>
        <v>247.75332369581065</v>
      </c>
      <c r="AY33" s="1538"/>
      <c r="AZ33" s="1536">
        <f>AZ16-AZ31</f>
        <v>286.27654790400527</v>
      </c>
      <c r="BA33" s="1538"/>
      <c r="BB33" s="1536">
        <f>BB16-BB31</f>
        <v>291.0035974537962</v>
      </c>
      <c r="BC33" s="1538"/>
      <c r="BD33" s="1536">
        <f>BD16-BD31</f>
        <v>298.24909640543444</v>
      </c>
      <c r="BE33" s="1538"/>
      <c r="BF33" s="1536">
        <f>BF16-BF31</f>
        <v>303.34733070793612</v>
      </c>
      <c r="BG33" s="704"/>
      <c r="BH33" s="704"/>
      <c r="BI33" s="704"/>
      <c r="BJ33" s="704"/>
      <c r="BK33" s="899"/>
      <c r="BL33" s="1490"/>
      <c r="BM33" s="899"/>
      <c r="BN33" s="1490"/>
      <c r="BO33" s="899"/>
      <c r="BP33" s="1490"/>
      <c r="BQ33" s="899"/>
      <c r="BR33" s="1490"/>
      <c r="BS33" s="899"/>
      <c r="BT33" s="1490"/>
      <c r="BU33" s="899"/>
      <c r="BV33" s="1490"/>
      <c r="BW33" s="899"/>
      <c r="BX33" s="1490"/>
      <c r="BY33" s="704"/>
    </row>
    <row r="34" spans="1:77">
      <c r="A34" s="704"/>
      <c r="B34" s="704"/>
      <c r="C34" s="704"/>
      <c r="D34" s="704"/>
      <c r="E34" s="704"/>
      <c r="F34" s="704"/>
      <c r="G34" s="704"/>
      <c r="H34" s="704"/>
      <c r="I34" s="704"/>
      <c r="J34" s="704"/>
      <c r="K34" s="704"/>
      <c r="L34" s="704"/>
      <c r="M34" s="704"/>
      <c r="N34" s="704"/>
      <c r="O34" s="704"/>
      <c r="P34" s="704"/>
      <c r="Q34" s="704"/>
      <c r="R34" s="704"/>
      <c r="S34" s="704"/>
      <c r="T34" s="704"/>
      <c r="U34" s="704"/>
      <c r="V34" s="704"/>
      <c r="W34" s="704"/>
      <c r="X34" s="1390"/>
      <c r="Y34" s="704"/>
      <c r="Z34" s="704"/>
      <c r="AA34" s="704"/>
      <c r="AB34" s="704"/>
      <c r="AC34" s="704"/>
      <c r="AD34" s="704"/>
      <c r="AE34" s="704"/>
      <c r="AF34" s="704"/>
      <c r="AG34" s="704"/>
      <c r="AH34" s="704"/>
      <c r="AI34" s="704"/>
      <c r="AJ34" s="704"/>
      <c r="AK34" s="704"/>
      <c r="AL34" s="704"/>
      <c r="AM34" s="704"/>
      <c r="AN34" s="704"/>
      <c r="AO34" s="704"/>
      <c r="AP34" s="704"/>
      <c r="AQ34" s="704"/>
      <c r="AR34" s="704"/>
      <c r="AS34" s="704"/>
      <c r="AT34" s="704"/>
      <c r="AU34" s="704"/>
      <c r="AV34" s="704"/>
      <c r="AW34" s="704"/>
      <c r="AX34" s="704"/>
      <c r="AY34" s="704"/>
      <c r="AZ34" s="704"/>
      <c r="BA34" s="704"/>
      <c r="BB34" s="704"/>
      <c r="BC34" s="704"/>
      <c r="BD34" s="704"/>
      <c r="BE34" s="704"/>
      <c r="BF34" s="704"/>
      <c r="BG34" s="704"/>
      <c r="BH34" s="704"/>
      <c r="BI34" s="704"/>
      <c r="BJ34" s="704"/>
      <c r="BK34" s="899"/>
      <c r="BL34" s="1490"/>
      <c r="BM34" s="899"/>
      <c r="BN34" s="1490"/>
      <c r="BO34" s="899"/>
      <c r="BP34" s="1490"/>
      <c r="BQ34" s="899"/>
      <c r="BR34" s="1490"/>
      <c r="BS34" s="899"/>
      <c r="BT34" s="1490"/>
      <c r="BU34" s="899"/>
      <c r="BV34" s="1490"/>
      <c r="BW34" s="899"/>
      <c r="BX34" s="1490"/>
      <c r="BY34" s="704"/>
    </row>
    <row r="35" spans="1:77">
      <c r="A35" s="704"/>
      <c r="B35" s="704"/>
      <c r="C35" s="704"/>
      <c r="D35" s="1507"/>
      <c r="E35" s="1507"/>
      <c r="F35" s="1486"/>
      <c r="G35" s="1507"/>
      <c r="H35" s="1487"/>
      <c r="I35" s="1487"/>
      <c r="J35" s="1507"/>
      <c r="K35" s="1507"/>
      <c r="L35" s="1507"/>
      <c r="M35" s="1487"/>
      <c r="N35" s="1487"/>
      <c r="O35" s="1487"/>
      <c r="P35" s="1507"/>
      <c r="Q35" s="1487" t="s">
        <v>370</v>
      </c>
      <c r="R35" s="1507"/>
      <c r="S35" s="1487"/>
      <c r="T35" s="1507"/>
      <c r="U35" s="1487"/>
      <c r="V35" s="1507"/>
      <c r="W35" s="1487"/>
      <c r="X35" s="1507"/>
      <c r="Y35" s="1487"/>
      <c r="Z35" s="1507"/>
      <c r="AA35" s="1487"/>
      <c r="AB35" s="1507"/>
      <c r="AC35" s="1487"/>
      <c r="AD35" s="1507"/>
      <c r="AE35" s="1487"/>
      <c r="AF35" s="1507"/>
      <c r="AG35" s="1487"/>
      <c r="AH35" s="1507"/>
      <c r="AI35" s="1487"/>
      <c r="AJ35" s="1507"/>
      <c r="AK35" s="1487"/>
      <c r="AL35" s="1507"/>
      <c r="AM35" s="1487"/>
      <c r="AN35" s="1507"/>
      <c r="AO35" s="1487"/>
      <c r="AP35" s="1507"/>
      <c r="AQ35" s="1508"/>
      <c r="AR35" s="1507"/>
      <c r="AS35" s="1508"/>
      <c r="AT35" s="1507"/>
      <c r="AU35" s="1508"/>
      <c r="AV35" s="1507"/>
      <c r="AW35" s="1508"/>
      <c r="AX35" s="1507"/>
      <c r="AY35" s="704"/>
      <c r="AZ35" s="1507"/>
      <c r="BA35" s="704"/>
      <c r="BB35" s="1507"/>
      <c r="BC35" s="704"/>
      <c r="BD35" s="1507"/>
      <c r="BE35" s="704"/>
      <c r="BF35" s="1507"/>
      <c r="BG35" s="704"/>
      <c r="BH35" s="704"/>
      <c r="BI35" s="704"/>
      <c r="BJ35" s="704"/>
      <c r="BK35" s="899"/>
      <c r="BL35" s="1490"/>
      <c r="BM35" s="899"/>
      <c r="BN35" s="1490"/>
      <c r="BO35" s="899"/>
      <c r="BP35" s="1490"/>
      <c r="BQ35" s="899"/>
      <c r="BR35" s="1490"/>
      <c r="BS35" s="899"/>
      <c r="BT35" s="1490"/>
      <c r="BU35" s="899"/>
      <c r="BV35" s="1490"/>
      <c r="BW35" s="899"/>
      <c r="BX35" s="1490"/>
      <c r="BY35" s="704"/>
    </row>
    <row r="36" spans="1:77">
      <c r="A36" s="704"/>
      <c r="B36" s="704"/>
      <c r="C36" s="704"/>
      <c r="D36" s="704"/>
      <c r="E36" s="704"/>
      <c r="F36" s="704"/>
      <c r="G36" s="704"/>
      <c r="H36" s="704"/>
      <c r="I36" s="704"/>
      <c r="J36" s="704"/>
      <c r="K36" s="704"/>
      <c r="L36" s="704"/>
      <c r="M36" s="704"/>
      <c r="N36" s="704"/>
      <c r="O36" s="704"/>
      <c r="P36" s="704"/>
      <c r="Q36" s="704"/>
      <c r="R36" s="704"/>
      <c r="S36" s="704"/>
      <c r="T36" s="704"/>
      <c r="U36" s="704"/>
      <c r="V36" s="704"/>
      <c r="W36" s="704"/>
      <c r="X36" s="704"/>
      <c r="Y36" s="704"/>
      <c r="Z36" s="704"/>
      <c r="AA36" s="704"/>
      <c r="AB36" s="704"/>
      <c r="AC36" s="704"/>
      <c r="AD36" s="704"/>
      <c r="AE36" s="704"/>
      <c r="AF36" s="704"/>
      <c r="AG36" s="704"/>
      <c r="AH36" s="704"/>
      <c r="AI36" s="704"/>
      <c r="AJ36" s="704"/>
      <c r="AK36" s="704"/>
      <c r="AL36" s="704"/>
      <c r="AM36" s="704"/>
      <c r="AN36" s="704"/>
      <c r="AO36" s="704"/>
      <c r="AP36" s="704"/>
      <c r="AQ36" s="704"/>
      <c r="AR36" s="704"/>
      <c r="AS36" s="704"/>
      <c r="AT36" s="704"/>
      <c r="AU36" s="704"/>
      <c r="AV36" s="704"/>
      <c r="AW36" s="704"/>
      <c r="AX36" s="704"/>
      <c r="AY36" s="704"/>
      <c r="AZ36" s="704"/>
      <c r="BA36" s="704"/>
      <c r="BB36" s="704"/>
      <c r="BC36" s="704"/>
      <c r="BD36" s="704"/>
      <c r="BE36" s="704"/>
      <c r="BF36" s="704"/>
      <c r="BG36" s="704"/>
      <c r="BH36" s="704"/>
      <c r="BI36" s="704"/>
      <c r="BJ36" s="704"/>
      <c r="BK36" s="899"/>
      <c r="BL36" s="1490"/>
      <c r="BM36" s="899"/>
      <c r="BN36" s="1490"/>
      <c r="BO36" s="899"/>
      <c r="BP36" s="1490"/>
      <c r="BQ36" s="899"/>
      <c r="BR36" s="1490"/>
      <c r="BS36" s="899"/>
      <c r="BT36" s="1490"/>
      <c r="BU36" s="899"/>
      <c r="BV36" s="1490"/>
      <c r="BW36" s="899"/>
      <c r="BX36" s="1490"/>
      <c r="BY36" s="704"/>
    </row>
    <row r="37" spans="1:77">
      <c r="A37" s="704"/>
      <c r="B37" s="704" t="s">
        <v>371</v>
      </c>
      <c r="C37" s="704"/>
      <c r="D37" s="1384">
        <v>0</v>
      </c>
      <c r="E37" s="1401"/>
      <c r="F37" s="1384">
        <v>0</v>
      </c>
      <c r="G37" s="1401"/>
      <c r="H37" s="1384">
        <v>0</v>
      </c>
      <c r="I37" s="1401"/>
      <c r="J37" s="1384">
        <v>0</v>
      </c>
      <c r="K37" s="1401"/>
      <c r="L37" s="1495">
        <v>0</v>
      </c>
      <c r="M37" s="1496"/>
      <c r="N37" s="1495">
        <v>0</v>
      </c>
      <c r="O37" s="1496"/>
      <c r="P37" s="1495">
        <v>0</v>
      </c>
      <c r="Q37" s="1496"/>
      <c r="R37" s="1495">
        <v>0</v>
      </c>
      <c r="S37" s="1496"/>
      <c r="T37" s="1495">
        <v>0</v>
      </c>
      <c r="U37" s="1496"/>
      <c r="V37" s="1495">
        <v>0</v>
      </c>
      <c r="W37" s="1496"/>
      <c r="X37" s="1495">
        <v>0</v>
      </c>
      <c r="Y37" s="1496"/>
      <c r="Z37" s="1495">
        <v>0</v>
      </c>
      <c r="AA37" s="1496"/>
      <c r="AB37" s="1495">
        <v>0</v>
      </c>
      <c r="AC37" s="1496"/>
      <c r="AD37" s="1495">
        <v>0</v>
      </c>
      <c r="AE37" s="1496"/>
      <c r="AF37" s="1495">
        <v>0</v>
      </c>
      <c r="AG37" s="1496"/>
      <c r="AH37" s="1495">
        <v>0</v>
      </c>
      <c r="AI37" s="1496"/>
      <c r="AJ37" s="1495">
        <v>0</v>
      </c>
      <c r="AK37" s="1496"/>
      <c r="AL37" s="1495">
        <v>0</v>
      </c>
      <c r="AM37" s="1496"/>
      <c r="AN37" s="1495">
        <v>0</v>
      </c>
      <c r="AO37" s="1496"/>
      <c r="AP37" s="1495">
        <v>0</v>
      </c>
      <c r="AQ37" s="1495"/>
      <c r="AR37" s="1495">
        <f>291.612-141.612</f>
        <v>150.00000000000003</v>
      </c>
      <c r="AS37" s="1495"/>
      <c r="AT37" s="1495">
        <v>-150</v>
      </c>
      <c r="AU37" s="1495"/>
      <c r="AV37" s="1495">
        <v>0</v>
      </c>
      <c r="AW37" s="1495"/>
      <c r="AX37" s="1495">
        <v>0</v>
      </c>
      <c r="AY37" s="704"/>
      <c r="AZ37" s="1495">
        <v>0</v>
      </c>
      <c r="BA37" s="704"/>
      <c r="BB37" s="1495">
        <v>0</v>
      </c>
      <c r="BC37" s="704"/>
      <c r="BD37" s="1495">
        <v>0</v>
      </c>
      <c r="BE37" s="704"/>
      <c r="BF37" s="1495">
        <v>0</v>
      </c>
      <c r="BG37" s="704"/>
      <c r="BH37" s="704"/>
      <c r="BI37" s="704"/>
      <c r="BJ37" s="704"/>
      <c r="BK37" s="899"/>
      <c r="BL37" s="1490"/>
      <c r="BM37" s="899"/>
      <c r="BN37" s="1490"/>
      <c r="BO37" s="899"/>
      <c r="BP37" s="1490"/>
      <c r="BQ37" s="899"/>
      <c r="BR37" s="1490"/>
      <c r="BS37" s="899"/>
      <c r="BT37" s="1490"/>
      <c r="BU37" s="899"/>
      <c r="BV37" s="1490"/>
      <c r="BW37" s="899"/>
      <c r="BX37" s="1490"/>
      <c r="BY37" s="704"/>
    </row>
    <row r="38" spans="1:77">
      <c r="A38" s="704"/>
      <c r="B38" s="704" t="s">
        <v>547</v>
      </c>
      <c r="C38" s="704"/>
      <c r="D38" s="1401">
        <f>(bal!G46-bal!E46)+(bal!G47-bal!E47)</f>
        <v>0.39300000000000068</v>
      </c>
      <c r="E38" s="1401"/>
      <c r="F38" s="1401">
        <f>(bal!I46-bal!G46)+(bal!I47-bal!G47)</f>
        <v>2.9799999999999991</v>
      </c>
      <c r="G38" s="1401"/>
      <c r="H38" s="1401">
        <f>(bal!K46-bal!I46)+(bal!K47-bal!I47)</f>
        <v>1.0859999999999985</v>
      </c>
      <c r="I38" s="1401"/>
      <c r="J38" s="1401">
        <f>(bal!M46-bal!K46)+(bal!M47-bal!K47)</f>
        <v>-0.65700000000000003</v>
      </c>
      <c r="K38" s="1401"/>
      <c r="L38" s="1496">
        <f>(bal!O46-bal!M46)+(bal!O47-bal!M47)</f>
        <v>-3.1449999999999996</v>
      </c>
      <c r="M38" s="1496"/>
      <c r="N38" s="1496">
        <f>(bal!Q46-bal!O46)+(bal!Q47-bal!O47)</f>
        <v>-1.411999999999999</v>
      </c>
      <c r="O38" s="1496"/>
      <c r="P38" s="1495">
        <v>1.2809999999999999</v>
      </c>
      <c r="Q38" s="1496"/>
      <c r="R38" s="1495">
        <f>41.546+5.496</f>
        <v>47.042000000000002</v>
      </c>
      <c r="S38" s="1496"/>
      <c r="T38" s="1495">
        <v>8.5419999999999998</v>
      </c>
      <c r="U38" s="1496"/>
      <c r="V38" s="1495">
        <v>6.9169999999999998</v>
      </c>
      <c r="W38" s="1496"/>
      <c r="X38" s="1495">
        <v>15.23</v>
      </c>
      <c r="Y38" s="1496"/>
      <c r="Z38" s="1495">
        <f>6.351-20.801</f>
        <v>-14.45</v>
      </c>
      <c r="AA38" s="1496"/>
      <c r="AB38" s="1495">
        <v>5</v>
      </c>
      <c r="AC38" s="1496"/>
      <c r="AD38" s="1495">
        <v>8.891</v>
      </c>
      <c r="AE38" s="1496"/>
      <c r="AF38" s="1495">
        <v>3.25</v>
      </c>
      <c r="AG38" s="1496"/>
      <c r="AH38" s="1495">
        <f>-204.718+24.129</f>
        <v>-180.589</v>
      </c>
      <c r="AI38" s="1496"/>
      <c r="AJ38" s="1495">
        <f>+-545.478+4.136</f>
        <v>-541.34199999999998</v>
      </c>
      <c r="AK38" s="1496"/>
      <c r="AL38" s="1495">
        <v>30.670999999999999</v>
      </c>
      <c r="AM38" s="1496"/>
      <c r="AN38" s="1495">
        <f>35.218-10.695-0.397</f>
        <v>24.126000000000005</v>
      </c>
      <c r="AO38" s="1496"/>
      <c r="AP38" s="1495">
        <f>10.693-611.475-3.947</f>
        <v>-604.72900000000004</v>
      </c>
      <c r="AQ38" s="1495"/>
      <c r="AR38" s="1495">
        <f>46.4+6.194-6.194-465.304+-10.12</f>
        <v>-429.024</v>
      </c>
      <c r="AS38" s="1495"/>
      <c r="AT38" s="1495">
        <f>4.096+0.35-45.787-2.052-0.35</f>
        <v>-43.743000000000002</v>
      </c>
      <c r="AU38" s="1495"/>
      <c r="AV38" s="1495">
        <v>-100</v>
      </c>
      <c r="AW38" s="1495"/>
      <c r="AX38" s="1495">
        <v>-75</v>
      </c>
      <c r="AY38" s="704"/>
      <c r="AZ38" s="1495">
        <v>-75</v>
      </c>
      <c r="BA38" s="704"/>
      <c r="BB38" s="1495">
        <v>-75</v>
      </c>
      <c r="BC38" s="704"/>
      <c r="BD38" s="1495">
        <v>-75</v>
      </c>
      <c r="BE38" s="704"/>
      <c r="BF38" s="1495">
        <v>-75</v>
      </c>
      <c r="BG38" s="704"/>
      <c r="BH38" s="704"/>
      <c r="BI38" s="704"/>
      <c r="BJ38" s="704"/>
      <c r="BK38" s="1497">
        <f>(bal!G46-bal!E46)+(bal!G47-bal!E47)</f>
        <v>0.39300000000000068</v>
      </c>
      <c r="BL38" s="1498">
        <f>+BK38-D38</f>
        <v>0</v>
      </c>
      <c r="BM38" s="1499">
        <f>(bal!I46-bal!G46)+(bal!I47-bal!G47)</f>
        <v>2.9799999999999991</v>
      </c>
      <c r="BN38" s="1498">
        <f>+BM38-F38</f>
        <v>0</v>
      </c>
      <c r="BO38" s="899"/>
      <c r="BP38" s="1490"/>
      <c r="BQ38" s="899"/>
      <c r="BR38" s="1490"/>
      <c r="BS38" s="899"/>
      <c r="BT38" s="1490"/>
      <c r="BU38" s="899"/>
      <c r="BV38" s="1490"/>
      <c r="BW38" s="1499">
        <f>(bal!S46-bal!Q46)+(bal!S47-bal!Q47)</f>
        <v>1.6039999999999992</v>
      </c>
      <c r="BX38" s="1498">
        <f>+BW38-P38</f>
        <v>0.32299999999999929</v>
      </c>
      <c r="BY38" s="704"/>
    </row>
    <row r="39" spans="1:77">
      <c r="A39" s="704"/>
      <c r="B39" s="704" t="s">
        <v>514</v>
      </c>
      <c r="C39" s="704"/>
      <c r="D39" s="915">
        <f>+bal!G49-bal!E49</f>
        <v>0</v>
      </c>
      <c r="E39" s="1401"/>
      <c r="F39" s="915">
        <f>+bal!I49-bal!G49</f>
        <v>0</v>
      </c>
      <c r="G39" s="1401"/>
      <c r="H39" s="915">
        <f>+bal!K49-bal!I49</f>
        <v>0</v>
      </c>
      <c r="I39" s="704"/>
      <c r="J39" s="915">
        <f>+bal!M49-bal!K49</f>
        <v>-0.46700000000000003</v>
      </c>
      <c r="K39" s="915"/>
      <c r="L39" s="1496">
        <f>+bal!O49-bal!M49</f>
        <v>8.7000000000000022E-2</v>
      </c>
      <c r="M39" s="1496"/>
      <c r="N39" s="1495">
        <v>-0.36199999999999999</v>
      </c>
      <c r="O39" s="1496"/>
      <c r="P39" s="1495">
        <v>-5.3999999999999999E-2</v>
      </c>
      <c r="Q39" s="1496"/>
      <c r="R39" s="1495">
        <v>0.64500000000000002</v>
      </c>
      <c r="S39" s="1496"/>
      <c r="T39" s="1495">
        <v>0.39800000000000002</v>
      </c>
      <c r="U39" s="1496"/>
      <c r="V39" s="1495">
        <v>0.433</v>
      </c>
      <c r="W39" s="1496"/>
      <c r="X39" s="1495">
        <v>-0.56499999999999995</v>
      </c>
      <c r="Y39" s="1496"/>
      <c r="Z39" s="1495">
        <v>0.70199999999999996</v>
      </c>
      <c r="AA39" s="1496"/>
      <c r="AB39" s="1495">
        <v>0.21199999999999999</v>
      </c>
      <c r="AC39" s="1496"/>
      <c r="AD39" s="1495">
        <v>-6.2240000000000002</v>
      </c>
      <c r="AE39" s="1496"/>
      <c r="AF39" s="1495">
        <v>2.673</v>
      </c>
      <c r="AG39" s="1496"/>
      <c r="AH39" s="1495">
        <v>-0.60299999999999998</v>
      </c>
      <c r="AI39" s="1496"/>
      <c r="AJ39" s="1496">
        <v>-0.63100000000000001</v>
      </c>
      <c r="AK39" s="1496"/>
      <c r="AL39" s="1495">
        <v>0.97799999999999998</v>
      </c>
      <c r="AM39" s="1496"/>
      <c r="AN39" s="1495">
        <v>2.1320000000000001</v>
      </c>
      <c r="AO39" s="1496"/>
      <c r="AP39" s="1496">
        <v>-3.7480000000000002</v>
      </c>
      <c r="AQ39" s="1496"/>
      <c r="AR39" s="1496">
        <v>-3.1070000000000002</v>
      </c>
      <c r="AS39" s="1496"/>
      <c r="AT39" s="1496">
        <v>-4.0229999999999997</v>
      </c>
      <c r="AU39" s="1496"/>
      <c r="AV39" s="1496">
        <f>+bal!AY49-bal!AW49</f>
        <v>23.488000000000003</v>
      </c>
      <c r="AW39" s="1496"/>
      <c r="AX39" s="1496">
        <f>+bal!BA49-bal!AY49</f>
        <v>0</v>
      </c>
      <c r="AY39" s="704"/>
      <c r="AZ39" s="1496">
        <f>+bal!BC49-bal!BA49</f>
        <v>0</v>
      </c>
      <c r="BA39" s="704"/>
      <c r="BB39" s="1496">
        <f>+bal!BE49-bal!BC49</f>
        <v>0</v>
      </c>
      <c r="BC39" s="704"/>
      <c r="BD39" s="1496">
        <f>+bal!BG49-bal!BE49</f>
        <v>0</v>
      </c>
      <c r="BE39" s="704"/>
      <c r="BF39" s="1496">
        <f>+bal!BI49-bal!BG49</f>
        <v>0</v>
      </c>
      <c r="BG39" s="704"/>
      <c r="BH39" s="704"/>
      <c r="BI39" s="704"/>
      <c r="BJ39" s="704"/>
      <c r="BK39" s="899"/>
      <c r="BL39" s="1498"/>
      <c r="BM39" s="899"/>
      <c r="BN39" s="1490"/>
      <c r="BO39" s="899"/>
      <c r="BP39" s="1490"/>
      <c r="BQ39" s="899"/>
      <c r="BR39" s="1490"/>
      <c r="BS39" s="899"/>
      <c r="BT39" s="1490"/>
      <c r="BU39" s="1408">
        <f>+bal!Q49-bal!O49</f>
        <v>-0.38700000000000001</v>
      </c>
      <c r="BV39" s="1498">
        <f>+BU39-N39</f>
        <v>-2.5000000000000022E-2</v>
      </c>
      <c r="BW39" s="915">
        <f>+bal!S49-bal!Q49</f>
        <v>-0.33500000000000008</v>
      </c>
      <c r="BX39" s="1498">
        <f>+BW39-P39</f>
        <v>-0.28100000000000008</v>
      </c>
      <c r="BY39" s="704"/>
    </row>
    <row r="40" spans="1:77">
      <c r="A40" s="704"/>
      <c r="B40" s="704" t="s">
        <v>518</v>
      </c>
      <c r="C40" s="704"/>
      <c r="D40" s="1384">
        <f>9.545-2.911-5.463</f>
        <v>1.1710000000000003</v>
      </c>
      <c r="E40" s="1401"/>
      <c r="F40" s="1384">
        <f>12.356+5.035-2.425-20.522</f>
        <v>-5.5560000000000009</v>
      </c>
      <c r="G40" s="1401"/>
      <c r="H40" s="1384">
        <f>9.752+6.1-8.075-9.333</f>
        <v>-1.5559999999999992</v>
      </c>
      <c r="I40" s="704"/>
      <c r="J40" s="1384">
        <f>1.9+9.886-3.11-11.068</f>
        <v>-2.3919999999999995</v>
      </c>
      <c r="K40" s="704"/>
      <c r="L40" s="1495">
        <f>5.411+11.856-5.287-6.872</f>
        <v>5.1080000000000005</v>
      </c>
      <c r="M40" s="1496"/>
      <c r="N40" s="1495">
        <f>19.93-0.6</f>
        <v>19.329999999999998</v>
      </c>
      <c r="O40" s="1496"/>
      <c r="P40" s="1495">
        <v>0.307</v>
      </c>
      <c r="Q40" s="1496"/>
      <c r="R40" s="1495">
        <f>-119.065+56.71</f>
        <v>-62.354999999999997</v>
      </c>
      <c r="S40" s="1496"/>
      <c r="T40" s="1495">
        <f>-406.098+330.652</f>
        <v>-75.446000000000026</v>
      </c>
      <c r="U40" s="1496"/>
      <c r="V40" s="1495">
        <f>-586.093+530.301</f>
        <v>-55.791999999999916</v>
      </c>
      <c r="W40" s="1496"/>
      <c r="X40" s="1495">
        <f>-416.018+396.304</f>
        <v>-19.713999999999999</v>
      </c>
      <c r="Y40" s="1496"/>
      <c r="Z40" s="1495">
        <f>-182.653+193.274</f>
        <v>10.621000000000009</v>
      </c>
      <c r="AA40" s="1496"/>
      <c r="AB40" s="1495">
        <f>-293.633+220.101</f>
        <v>-73.531999999999982</v>
      </c>
      <c r="AC40" s="1496"/>
      <c r="AD40" s="1495">
        <f>-809.039+864.685</f>
        <v>55.645999999999958</v>
      </c>
      <c r="AE40" s="1496"/>
      <c r="AF40" s="1495">
        <f>421.04-806.546</f>
        <v>-385.50600000000003</v>
      </c>
      <c r="AG40" s="1496"/>
      <c r="AH40" s="1495">
        <f>571.236-463.129</f>
        <v>108.10699999999997</v>
      </c>
      <c r="AI40" s="1496"/>
      <c r="AJ40" s="1495">
        <f>414.769-169.467</f>
        <v>245.30199999999999</v>
      </c>
      <c r="AK40" s="1496"/>
      <c r="AL40" s="1495">
        <f>207.576-372.689</f>
        <v>-165.11300000000003</v>
      </c>
      <c r="AM40" s="1496"/>
      <c r="AN40" s="1495">
        <f>451.866-727.987</f>
        <v>-276.12099999999998</v>
      </c>
      <c r="AO40" s="1496"/>
      <c r="AP40" s="1495">
        <f>830.297-405.659</f>
        <v>424.63800000000003</v>
      </c>
      <c r="AQ40" s="1495"/>
      <c r="AR40" s="1495">
        <f>374.057-265.872</f>
        <v>108.185</v>
      </c>
      <c r="AS40" s="1495"/>
      <c r="AT40" s="1495">
        <f>243.159-318.742-15.325</f>
        <v>-90.90800000000003</v>
      </c>
      <c r="AU40" s="1495"/>
      <c r="AV40" s="1495">
        <v>0</v>
      </c>
      <c r="AW40" s="1495"/>
      <c r="AX40" s="1495">
        <v>0</v>
      </c>
      <c r="AY40" s="704"/>
      <c r="AZ40" s="1495">
        <v>0</v>
      </c>
      <c r="BA40" s="704"/>
      <c r="BB40" s="1495">
        <v>0</v>
      </c>
      <c r="BC40" s="704"/>
      <c r="BD40" s="1495">
        <v>0</v>
      </c>
      <c r="BE40" s="704"/>
      <c r="BF40" s="1495">
        <v>0</v>
      </c>
      <c r="BG40" s="704"/>
      <c r="BH40" s="704"/>
      <c r="BI40" s="704"/>
      <c r="BJ40" s="704"/>
      <c r="BK40" s="899"/>
      <c r="BL40" s="1490"/>
      <c r="BM40" s="899"/>
      <c r="BN40" s="1490"/>
      <c r="BO40" s="899"/>
      <c r="BP40" s="1490"/>
      <c r="BQ40" s="899"/>
      <c r="BR40" s="1490"/>
      <c r="BS40" s="899"/>
      <c r="BT40" s="1490"/>
      <c r="BU40" s="899"/>
      <c r="BV40" s="1490"/>
      <c r="BW40" s="899"/>
      <c r="BX40" s="1490"/>
      <c r="BY40" s="704"/>
    </row>
    <row r="41" spans="1:77">
      <c r="A41" s="704"/>
      <c r="B41" s="704"/>
      <c r="C41" s="704"/>
      <c r="D41" s="704"/>
      <c r="E41" s="704"/>
      <c r="F41" s="704"/>
      <c r="G41" s="704"/>
      <c r="H41" s="704"/>
      <c r="I41" s="704"/>
      <c r="J41" s="704"/>
      <c r="K41" s="704"/>
      <c r="L41" s="704"/>
      <c r="M41" s="704"/>
      <c r="N41" s="704"/>
      <c r="O41" s="704"/>
      <c r="P41" s="704"/>
      <c r="Q41" s="704"/>
      <c r="R41" s="704"/>
      <c r="S41" s="704"/>
      <c r="T41" s="915"/>
      <c r="U41" s="704"/>
      <c r="V41" s="704"/>
      <c r="W41" s="704"/>
      <c r="X41" s="704"/>
      <c r="Y41" s="704"/>
      <c r="Z41" s="704"/>
      <c r="AA41" s="704"/>
      <c r="AB41" s="704"/>
      <c r="AC41" s="704"/>
      <c r="AD41" s="704"/>
      <c r="AE41" s="704"/>
      <c r="AF41" s="704"/>
      <c r="AG41" s="704"/>
      <c r="AH41" s="704"/>
      <c r="AI41" s="704"/>
      <c r="AJ41" s="704"/>
      <c r="AK41" s="704"/>
      <c r="AL41" s="704"/>
      <c r="AM41" s="704"/>
      <c r="AN41" s="704"/>
      <c r="AO41" s="704"/>
      <c r="AP41" s="704"/>
      <c r="AQ41" s="704"/>
      <c r="AR41" s="704"/>
      <c r="AS41" s="704"/>
      <c r="AT41" s="704"/>
      <c r="AU41" s="704"/>
      <c r="AV41" s="704"/>
      <c r="AW41" s="704"/>
      <c r="AX41" s="704"/>
      <c r="AY41" s="704"/>
      <c r="AZ41" s="704"/>
      <c r="BA41" s="704"/>
      <c r="BB41" s="704"/>
      <c r="BC41" s="704"/>
      <c r="BD41" s="704"/>
      <c r="BE41" s="704"/>
      <c r="BF41" s="704"/>
      <c r="BG41" s="704"/>
      <c r="BH41" s="704"/>
      <c r="BI41" s="704"/>
      <c r="BJ41" s="704"/>
      <c r="BK41" s="1497"/>
      <c r="BL41" s="1509"/>
      <c r="BM41" s="1497"/>
      <c r="BN41" s="1509"/>
      <c r="BO41" s="1497"/>
      <c r="BP41" s="1509"/>
      <c r="BQ41" s="1497"/>
      <c r="BR41" s="1509"/>
      <c r="BS41" s="1497"/>
      <c r="BT41" s="1509"/>
      <c r="BU41" s="1497"/>
      <c r="BV41" s="1509"/>
      <c r="BW41" s="1497"/>
      <c r="BX41" s="1509"/>
      <c r="BY41" s="704"/>
    </row>
    <row r="42" spans="1:77">
      <c r="A42" s="704" t="s">
        <v>381</v>
      </c>
      <c r="B42" s="704"/>
      <c r="C42" s="704"/>
      <c r="D42" s="1403">
        <f>SUM(D37:D40)</f>
        <v>1.5640000000000009</v>
      </c>
      <c r="E42" s="1412"/>
      <c r="F42" s="1403">
        <f>SUM(F37:F40)</f>
        <v>-2.5760000000000018</v>
      </c>
      <c r="G42" s="1403"/>
      <c r="H42" s="1403">
        <f>SUM(H37:H40)</f>
        <v>-0.47000000000000064</v>
      </c>
      <c r="I42" s="1403"/>
      <c r="J42" s="1403">
        <f>SUM(J37:J40)</f>
        <v>-3.5159999999999996</v>
      </c>
      <c r="K42" s="1403"/>
      <c r="L42" s="1403">
        <f>SUM(L37:L40)</f>
        <v>2.0500000000000012</v>
      </c>
      <c r="M42" s="1403"/>
      <c r="N42" s="1403">
        <f>SUM(N37:N40)</f>
        <v>17.555999999999997</v>
      </c>
      <c r="O42" s="1403"/>
      <c r="P42" s="1403">
        <f>SUM(P37:P40)</f>
        <v>1.5339999999999998</v>
      </c>
      <c r="Q42" s="1403"/>
      <c r="R42" s="1403">
        <f>SUM(R37:R40)</f>
        <v>-14.667999999999992</v>
      </c>
      <c r="S42" s="1403"/>
      <c r="T42" s="1403">
        <f>SUM(T37:T40)</f>
        <v>-66.506000000000029</v>
      </c>
      <c r="U42" s="1403"/>
      <c r="V42" s="1403">
        <f>SUM(V37:V40)</f>
        <v>-48.441999999999915</v>
      </c>
      <c r="W42" s="1403"/>
      <c r="X42" s="1403">
        <f>SUM(X37:X40)</f>
        <v>-5.0489999999999977</v>
      </c>
      <c r="Y42" s="1403"/>
      <c r="Z42" s="1403">
        <f>SUM(Z37:Z40)</f>
        <v>-3.12699999999999</v>
      </c>
      <c r="AA42" s="1403"/>
      <c r="AB42" s="1403">
        <f>SUM(AB37:AB40)</f>
        <v>-68.319999999999979</v>
      </c>
      <c r="AC42" s="1403"/>
      <c r="AD42" s="1403">
        <f>SUM(AD37:AD40)</f>
        <v>58.31299999999996</v>
      </c>
      <c r="AE42" s="1403"/>
      <c r="AF42" s="1403">
        <f>SUM(AF37:AF40)</f>
        <v>-379.58300000000003</v>
      </c>
      <c r="AG42" s="1403"/>
      <c r="AH42" s="1403">
        <f>SUM(AH37:AH40)</f>
        <v>-73.085000000000036</v>
      </c>
      <c r="AI42" s="1403"/>
      <c r="AJ42" s="1403">
        <f>SUM(AJ37:AJ40)</f>
        <v>-296.67099999999994</v>
      </c>
      <c r="AK42" s="1403"/>
      <c r="AL42" s="1403">
        <f>SUM(AL37:AL40)</f>
        <v>-133.46400000000003</v>
      </c>
      <c r="AM42" s="1403"/>
      <c r="AN42" s="1403">
        <f>SUM(AN37:AN40)</f>
        <v>-249.86299999999997</v>
      </c>
      <c r="AO42" s="1403"/>
      <c r="AP42" s="1403">
        <f>SUM(AP37:AP40)</f>
        <v>-183.83900000000006</v>
      </c>
      <c r="AQ42" s="1403"/>
      <c r="AR42" s="1403">
        <f>SUM(AR37:AR40)</f>
        <v>-173.94600000000003</v>
      </c>
      <c r="AS42" s="1403"/>
      <c r="AT42" s="1403">
        <f>SUM(AT37:AT40)</f>
        <v>-288.67400000000004</v>
      </c>
      <c r="AU42" s="1403"/>
      <c r="AV42" s="1403">
        <f>SUM(AV37:AV40)</f>
        <v>-76.512</v>
      </c>
      <c r="AW42" s="1403"/>
      <c r="AX42" s="1403">
        <f>SUM(AX37:AX40)</f>
        <v>-75</v>
      </c>
      <c r="AY42" s="704"/>
      <c r="AZ42" s="1403">
        <f>SUM(AZ37:AZ40)</f>
        <v>-75</v>
      </c>
      <c r="BA42" s="704"/>
      <c r="BB42" s="1403">
        <f>SUM(BB37:BB40)</f>
        <v>-75</v>
      </c>
      <c r="BC42" s="704"/>
      <c r="BD42" s="1403">
        <f>SUM(BD37:BD40)</f>
        <v>-75</v>
      </c>
      <c r="BE42" s="704"/>
      <c r="BF42" s="1403">
        <f>SUM(BF37:BF40)</f>
        <v>-75</v>
      </c>
      <c r="BG42" s="704"/>
      <c r="BH42" s="704"/>
      <c r="BI42" s="704"/>
      <c r="BJ42" s="704"/>
      <c r="BK42" s="1510"/>
      <c r="BL42" s="1490"/>
      <c r="BM42" s="1510"/>
      <c r="BN42" s="1490"/>
      <c r="BO42" s="1510"/>
      <c r="BP42" s="1490"/>
      <c r="BQ42" s="1510"/>
      <c r="BR42" s="1490"/>
      <c r="BS42" s="1510"/>
      <c r="BT42" s="1490"/>
      <c r="BU42" s="1510"/>
      <c r="BV42" s="1490"/>
      <c r="BW42" s="1510"/>
      <c r="BX42" s="1490"/>
      <c r="BY42" s="704"/>
    </row>
    <row r="43" spans="1:77">
      <c r="A43" s="704"/>
      <c r="B43" s="704"/>
      <c r="C43" s="704"/>
      <c r="D43" s="704"/>
      <c r="E43" s="704"/>
      <c r="F43" s="704"/>
      <c r="G43" s="704"/>
      <c r="H43" s="704"/>
      <c r="I43" s="704"/>
      <c r="J43" s="704"/>
      <c r="K43" s="704"/>
      <c r="L43" s="704"/>
      <c r="M43" s="704"/>
      <c r="N43" s="704"/>
      <c r="O43" s="704"/>
      <c r="P43" s="704"/>
      <c r="Q43" s="704"/>
      <c r="R43" s="704"/>
      <c r="S43" s="704"/>
      <c r="T43" s="704"/>
      <c r="U43" s="704"/>
      <c r="V43" s="704"/>
      <c r="W43" s="704"/>
      <c r="X43" s="704"/>
      <c r="Y43" s="704"/>
      <c r="Z43" s="704"/>
      <c r="AA43" s="704"/>
      <c r="AB43" s="704"/>
      <c r="AC43" s="704"/>
      <c r="AD43" s="704"/>
      <c r="AE43" s="704"/>
      <c r="AF43" s="704"/>
      <c r="AG43" s="704"/>
      <c r="AH43" s="704"/>
      <c r="AI43" s="704"/>
      <c r="AJ43" s="704"/>
      <c r="AK43" s="704"/>
      <c r="AL43" s="704"/>
      <c r="AM43" s="704"/>
      <c r="AN43" s="704"/>
      <c r="AO43" s="704"/>
      <c r="AP43" s="704"/>
      <c r="AQ43" s="704"/>
      <c r="AR43" s="704"/>
      <c r="AS43" s="704"/>
      <c r="AT43" s="704"/>
      <c r="AU43" s="704"/>
      <c r="AV43" s="704"/>
      <c r="AW43" s="704"/>
      <c r="AX43" s="704"/>
      <c r="AY43" s="704"/>
      <c r="AZ43" s="704"/>
      <c r="BA43" s="704"/>
      <c r="BB43" s="704"/>
      <c r="BC43" s="704"/>
      <c r="BD43" s="704"/>
      <c r="BE43" s="704"/>
      <c r="BF43" s="704"/>
      <c r="BG43" s="704"/>
      <c r="BH43" s="704"/>
      <c r="BI43" s="704"/>
      <c r="BJ43" s="704"/>
      <c r="BK43" s="899"/>
      <c r="BL43" s="1490"/>
      <c r="BM43" s="899"/>
      <c r="BN43" s="1490"/>
      <c r="BO43" s="899"/>
      <c r="BP43" s="1490"/>
      <c r="BQ43" s="899"/>
      <c r="BR43" s="1490"/>
      <c r="BS43" s="899"/>
      <c r="BT43" s="1490"/>
      <c r="BU43" s="899"/>
      <c r="BV43" s="1490"/>
      <c r="BW43" s="899"/>
      <c r="BX43" s="1490"/>
      <c r="BY43" s="704"/>
    </row>
    <row r="44" spans="1:77">
      <c r="A44" s="704" t="s">
        <v>372</v>
      </c>
      <c r="B44" s="704"/>
      <c r="C44" s="704"/>
      <c r="D44" s="1401">
        <f>+bal!E9</f>
        <v>9.109</v>
      </c>
      <c r="E44" s="1499"/>
      <c r="F44" s="1401">
        <f>+D46</f>
        <v>20.095000000000006</v>
      </c>
      <c r="G44" s="1499"/>
      <c r="H44" s="1401">
        <f>+F46</f>
        <v>14.582000000000003</v>
      </c>
      <c r="I44" s="1401"/>
      <c r="J44" s="1401">
        <f>+H46</f>
        <v>26.712000000000003</v>
      </c>
      <c r="K44" s="1401"/>
      <c r="L44" s="1401">
        <f>+J46</f>
        <v>25.16500000000001</v>
      </c>
      <c r="M44" s="1401"/>
      <c r="N44" s="1401">
        <f>+L46</f>
        <v>12.727000000000018</v>
      </c>
      <c r="O44" s="1401"/>
      <c r="P44" s="1401">
        <f>+N46</f>
        <v>16.285999999999991</v>
      </c>
      <c r="Q44" s="1401"/>
      <c r="R44" s="1401">
        <f>+P46</f>
        <v>28.25099999999998</v>
      </c>
      <c r="S44" s="1401"/>
      <c r="T44" s="1401">
        <f>+R46</f>
        <v>33.126999999999981</v>
      </c>
      <c r="U44" s="1401"/>
      <c r="V44" s="1401">
        <f>+T46</f>
        <v>3.31899999999996</v>
      </c>
      <c r="W44" s="1401"/>
      <c r="X44" s="1401">
        <f>+V46</f>
        <v>29.730999999999902</v>
      </c>
      <c r="Y44" s="1401"/>
      <c r="Z44" s="1401">
        <f>+X46</f>
        <v>49.911999999999864</v>
      </c>
      <c r="AA44" s="1401"/>
      <c r="AB44" s="1401">
        <f>+Z46</f>
        <v>27.267000000000074</v>
      </c>
      <c r="AC44" s="1401"/>
      <c r="AD44" s="1401">
        <f>+AB46</f>
        <v>105.27100000000004</v>
      </c>
      <c r="AE44" s="1401"/>
      <c r="AF44" s="1401">
        <f>+AD46</f>
        <v>316.0349999999998</v>
      </c>
      <c r="AG44" s="1401"/>
      <c r="AH44" s="1401">
        <f>+AF46</f>
        <v>159.02399999999972</v>
      </c>
      <c r="AI44" s="1401"/>
      <c r="AJ44" s="1401">
        <f>+AH46</f>
        <v>340.25699999999961</v>
      </c>
      <c r="AK44" s="1401"/>
      <c r="AL44" s="1401">
        <f>+AJ46</f>
        <v>145.27300000000034</v>
      </c>
      <c r="AM44" s="1401"/>
      <c r="AN44" s="1401">
        <f>+AL46</f>
        <v>245.32700000000045</v>
      </c>
      <c r="AO44" s="1401"/>
      <c r="AP44" s="1401">
        <f>+AN46</f>
        <v>242.09446000000042</v>
      </c>
      <c r="AQ44" s="1401"/>
      <c r="AR44" s="1401">
        <f>+AP46</f>
        <v>154.59396000000061</v>
      </c>
      <c r="AS44" s="1401"/>
      <c r="AT44" s="1401">
        <f>+AR46</f>
        <v>265.31196000000051</v>
      </c>
      <c r="AU44" s="1401"/>
      <c r="AV44" s="1401">
        <f>+AT46</f>
        <v>248.17596000000015</v>
      </c>
      <c r="AW44" s="1401"/>
      <c r="AX44" s="1401">
        <f>+AV46</f>
        <v>448.35295999999994</v>
      </c>
      <c r="AY44" s="704"/>
      <c r="AZ44" s="1401">
        <f>+AX46</f>
        <v>621.10628369581059</v>
      </c>
      <c r="BA44" s="704"/>
      <c r="BB44" s="1401">
        <f>+AZ46</f>
        <v>832.38283159981586</v>
      </c>
      <c r="BC44" s="704"/>
      <c r="BD44" s="1401">
        <f>+BB46</f>
        <v>1048.3864290536121</v>
      </c>
      <c r="BE44" s="704"/>
      <c r="BF44" s="1401">
        <f>+BD46</f>
        <v>1271.6355254590467</v>
      </c>
      <c r="BG44" s="704"/>
      <c r="BH44" s="704"/>
      <c r="BI44" s="704"/>
      <c r="BJ44" s="704"/>
      <c r="BK44" s="899"/>
      <c r="BL44" s="1490"/>
      <c r="BM44" s="899"/>
      <c r="BN44" s="1490"/>
      <c r="BO44" s="899"/>
      <c r="BP44" s="1490"/>
      <c r="BQ44" s="899"/>
      <c r="BR44" s="1490"/>
      <c r="BS44" s="899"/>
      <c r="BT44" s="1490"/>
      <c r="BU44" s="899"/>
      <c r="BV44" s="1490"/>
      <c r="BW44" s="899"/>
      <c r="BX44" s="1490"/>
      <c r="BY44" s="704"/>
    </row>
    <row r="45" spans="1:77">
      <c r="A45" s="704"/>
      <c r="B45" s="704" t="s">
        <v>374</v>
      </c>
      <c r="C45" s="704"/>
      <c r="D45" s="1401">
        <f>D42+D33</f>
        <v>10.986000000000004</v>
      </c>
      <c r="E45" s="1499"/>
      <c r="F45" s="1401">
        <f>F42+F33</f>
        <v>-5.5130000000000035</v>
      </c>
      <c r="G45" s="1499"/>
      <c r="H45" s="1401">
        <f>H42+H33</f>
        <v>12.129999999999999</v>
      </c>
      <c r="I45" s="1401"/>
      <c r="J45" s="1401">
        <f>J42+J33</f>
        <v>-1.546999999999993</v>
      </c>
      <c r="K45" s="1401"/>
      <c r="L45" s="1401">
        <f>L42+L33</f>
        <v>-12.437999999999992</v>
      </c>
      <c r="M45" s="1401"/>
      <c r="N45" s="1401">
        <f>N42+N33</f>
        <v>3.5589999999999726</v>
      </c>
      <c r="O45" s="1401"/>
      <c r="P45" s="1401">
        <f>P42+P33</f>
        <v>11.964999999999989</v>
      </c>
      <c r="Q45" s="1401"/>
      <c r="R45" s="1401">
        <f>R42+R33</f>
        <v>4.8759999999999977</v>
      </c>
      <c r="S45" s="1401"/>
      <c r="T45" s="1401">
        <f>T42+T33</f>
        <v>-29.808000000000021</v>
      </c>
      <c r="U45" s="1401"/>
      <c r="V45" s="1401">
        <f>V42+V33</f>
        <v>26.411999999999942</v>
      </c>
      <c r="W45" s="1401"/>
      <c r="X45" s="1401">
        <f>X42+X33</f>
        <v>20.180999999999962</v>
      </c>
      <c r="Y45" s="1401"/>
      <c r="Z45" s="1401">
        <f>Z42+Z33</f>
        <v>-22.64499999999979</v>
      </c>
      <c r="AA45" s="1401"/>
      <c r="AB45" s="1401">
        <f>AB42+AB33</f>
        <v>78.003999999999976</v>
      </c>
      <c r="AC45" s="1401"/>
      <c r="AD45" s="1401">
        <f>AD42+AD33</f>
        <v>210.76399999999975</v>
      </c>
      <c r="AE45" s="1401"/>
      <c r="AF45" s="1401">
        <f>AF42+AF33</f>
        <v>-157.01100000000008</v>
      </c>
      <c r="AG45" s="1401"/>
      <c r="AH45" s="1401">
        <f>AH42+AH33</f>
        <v>181.23299999999992</v>
      </c>
      <c r="AI45" s="1401"/>
      <c r="AJ45" s="1401">
        <f>AJ42+AJ33</f>
        <v>-194.98399999999927</v>
      </c>
      <c r="AK45" s="1401"/>
      <c r="AL45" s="1401">
        <f>AL42+AL33</f>
        <v>100.05400000000012</v>
      </c>
      <c r="AM45" s="1401"/>
      <c r="AN45" s="1401">
        <f>AN42+AN33</f>
        <v>-3.2325400000000286</v>
      </c>
      <c r="AO45" s="1401"/>
      <c r="AP45" s="1401">
        <f>AP42+AP33</f>
        <v>-87.500499999999818</v>
      </c>
      <c r="AQ45" s="1401"/>
      <c r="AR45" s="1401">
        <f>AR42+AR33</f>
        <v>110.7179999999999</v>
      </c>
      <c r="AS45" s="1401"/>
      <c r="AT45" s="1401">
        <f>AT42+AT33</f>
        <v>-17.136000000000365</v>
      </c>
      <c r="AU45" s="1401"/>
      <c r="AV45" s="1401">
        <f>AV42+AV33</f>
        <v>200.17699999999979</v>
      </c>
      <c r="AW45" s="1401"/>
      <c r="AX45" s="1401">
        <f>AX42+AX33</f>
        <v>172.75332369581065</v>
      </c>
      <c r="AY45" s="704"/>
      <c r="AZ45" s="1401">
        <f>AZ42+AZ33</f>
        <v>211.27654790400527</v>
      </c>
      <c r="BA45" s="704"/>
      <c r="BB45" s="1401">
        <f>BB42+BB33</f>
        <v>216.0035974537962</v>
      </c>
      <c r="BC45" s="704"/>
      <c r="BD45" s="1401">
        <f>BD42+BD33</f>
        <v>223.24909640543444</v>
      </c>
      <c r="BE45" s="704"/>
      <c r="BF45" s="1401">
        <f>BF42+BF33</f>
        <v>228.34733070793612</v>
      </c>
      <c r="BG45" s="704"/>
      <c r="BH45" s="704"/>
      <c r="BI45" s="704"/>
      <c r="BJ45" s="704"/>
      <c r="BK45" s="899"/>
      <c r="BL45" s="1490"/>
      <c r="BM45" s="899"/>
      <c r="BN45" s="1490"/>
      <c r="BO45" s="899"/>
      <c r="BP45" s="1490"/>
      <c r="BQ45" s="899"/>
      <c r="BR45" s="1490"/>
      <c r="BS45" s="899"/>
      <c r="BT45" s="1490"/>
      <c r="BU45" s="899"/>
      <c r="BV45" s="1490"/>
      <c r="BW45" s="899"/>
      <c r="BX45" s="1490"/>
      <c r="BY45" s="704"/>
    </row>
    <row r="46" spans="1:77">
      <c r="A46" s="704" t="s">
        <v>373</v>
      </c>
      <c r="B46" s="704"/>
      <c r="C46" s="704"/>
      <c r="D46" s="1401">
        <f>D44+D45</f>
        <v>20.095000000000006</v>
      </c>
      <c r="E46" s="1499"/>
      <c r="F46" s="1401">
        <f>F44+F45</f>
        <v>14.582000000000003</v>
      </c>
      <c r="G46" s="1499"/>
      <c r="H46" s="1401">
        <f>H44+H45</f>
        <v>26.712000000000003</v>
      </c>
      <c r="I46" s="1401"/>
      <c r="J46" s="1401">
        <f>J44+J45</f>
        <v>25.16500000000001</v>
      </c>
      <c r="K46" s="1401"/>
      <c r="L46" s="1401">
        <f>L44+L45</f>
        <v>12.727000000000018</v>
      </c>
      <c r="M46" s="1401"/>
      <c r="N46" s="1401">
        <f>N44+N45</f>
        <v>16.285999999999991</v>
      </c>
      <c r="O46" s="1401"/>
      <c r="P46" s="1401">
        <f>P44+P45</f>
        <v>28.25099999999998</v>
      </c>
      <c r="Q46" s="1401"/>
      <c r="R46" s="1401">
        <f>R44+R45</f>
        <v>33.126999999999981</v>
      </c>
      <c r="S46" s="1401"/>
      <c r="T46" s="1401">
        <f>T44+T45</f>
        <v>3.31899999999996</v>
      </c>
      <c r="U46" s="1401"/>
      <c r="V46" s="1401">
        <f>V44+V45</f>
        <v>29.730999999999902</v>
      </c>
      <c r="W46" s="1401"/>
      <c r="X46" s="1401">
        <f>X44+X45</f>
        <v>49.911999999999864</v>
      </c>
      <c r="Y46" s="1401"/>
      <c r="Z46" s="1401">
        <f>Z44+Z45</f>
        <v>27.267000000000074</v>
      </c>
      <c r="AA46" s="1401"/>
      <c r="AB46" s="1401">
        <f>AB44+AB45</f>
        <v>105.27100000000004</v>
      </c>
      <c r="AC46" s="1401"/>
      <c r="AD46" s="1401">
        <f>AD44+AD45</f>
        <v>316.0349999999998</v>
      </c>
      <c r="AE46" s="1401"/>
      <c r="AF46" s="1401">
        <f>AF44+AF45</f>
        <v>159.02399999999972</v>
      </c>
      <c r="AG46" s="1401"/>
      <c r="AH46" s="1401">
        <f>AH44+AH45</f>
        <v>340.25699999999961</v>
      </c>
      <c r="AI46" s="1401"/>
      <c r="AJ46" s="1401">
        <f>AJ44+AJ45</f>
        <v>145.27300000000034</v>
      </c>
      <c r="AK46" s="1401"/>
      <c r="AL46" s="1401">
        <f>AL44+AL45</f>
        <v>245.32700000000045</v>
      </c>
      <c r="AM46" s="1401"/>
      <c r="AN46" s="1401">
        <f>AN44+AN45</f>
        <v>242.09446000000042</v>
      </c>
      <c r="AO46" s="1401"/>
      <c r="AP46" s="1401">
        <f>AP44+AP45</f>
        <v>154.59396000000061</v>
      </c>
      <c r="AQ46" s="1401"/>
      <c r="AR46" s="1401">
        <f>AR44+AR45</f>
        <v>265.31196000000051</v>
      </c>
      <c r="AS46" s="1401"/>
      <c r="AT46" s="1401">
        <f>AT44+AT45</f>
        <v>248.17596000000015</v>
      </c>
      <c r="AU46" s="1401"/>
      <c r="AV46" s="1401">
        <f>AV44+AV45</f>
        <v>448.35295999999994</v>
      </c>
      <c r="AW46" s="1401"/>
      <c r="AX46" s="1401">
        <f>AX44+AX45</f>
        <v>621.10628369581059</v>
      </c>
      <c r="AY46" s="704"/>
      <c r="AZ46" s="1401">
        <f>AZ44+AZ45</f>
        <v>832.38283159981586</v>
      </c>
      <c r="BA46" s="704"/>
      <c r="BB46" s="1401">
        <f>BB44+BB45</f>
        <v>1048.3864290536121</v>
      </c>
      <c r="BC46" s="704"/>
      <c r="BD46" s="1401">
        <f>BD44+BD45</f>
        <v>1271.6355254590467</v>
      </c>
      <c r="BE46" s="704"/>
      <c r="BF46" s="1401">
        <f>BF44+BF45</f>
        <v>1499.9828561669829</v>
      </c>
      <c r="BG46" s="704"/>
      <c r="BH46" s="704"/>
      <c r="BI46" s="704"/>
      <c r="BJ46" s="704"/>
      <c r="BK46" s="899"/>
      <c r="BL46" s="1490"/>
      <c r="BM46" s="899"/>
      <c r="BN46" s="1490"/>
      <c r="BO46" s="899"/>
      <c r="BP46" s="1490"/>
      <c r="BQ46" s="899"/>
      <c r="BR46" s="1490"/>
      <c r="BS46" s="899"/>
      <c r="BT46" s="1490"/>
      <c r="BU46" s="899"/>
      <c r="BV46" s="1490"/>
      <c r="BW46" s="899"/>
      <c r="BX46" s="1490"/>
      <c r="BY46" s="704"/>
    </row>
    <row r="47" spans="1:77" hidden="1" outlineLevel="1">
      <c r="A47" s="704"/>
      <c r="B47" s="778" t="s">
        <v>184</v>
      </c>
      <c r="C47" s="778"/>
      <c r="D47" s="778"/>
      <c r="E47" s="1511"/>
      <c r="F47" s="778"/>
      <c r="G47" s="1511"/>
      <c r="H47" s="778"/>
      <c r="I47" s="778"/>
      <c r="J47" s="778"/>
      <c r="K47" s="778"/>
      <c r="L47" s="1512">
        <f>L46+bal!O10</f>
        <v>23.952000000000019</v>
      </c>
      <c r="M47" s="778"/>
      <c r="N47" s="1512">
        <f>N46+bal!Q10</f>
        <v>16.599999999999991</v>
      </c>
      <c r="O47" s="778"/>
      <c r="P47" s="1512">
        <f>P46+bal!S10</f>
        <v>28.28299999999998</v>
      </c>
      <c r="Q47" s="778"/>
      <c r="R47" s="1512">
        <f>R46+bal!U10</f>
        <v>79.505999999999972</v>
      </c>
      <c r="S47" s="778"/>
      <c r="T47" s="1512">
        <f>T46+bal!W10</f>
        <v>87.172999999999959</v>
      </c>
      <c r="U47" s="778"/>
      <c r="V47" s="1512">
        <f>V46+bal!Y10</f>
        <v>155.68399999999991</v>
      </c>
      <c r="W47" s="778"/>
      <c r="X47" s="1512">
        <f>X46+bal!AA10</f>
        <v>191.79499999999987</v>
      </c>
      <c r="Y47" s="778"/>
      <c r="Z47" s="1512">
        <f>Z46+bal!AC10</f>
        <v>159.27800000000008</v>
      </c>
      <c r="AA47" s="778"/>
      <c r="AB47" s="1512">
        <f>AB46+bal!AE10</f>
        <v>185.39800000000002</v>
      </c>
      <c r="AC47" s="778"/>
      <c r="AD47" s="1512">
        <f>AD46+bal!AG10</f>
        <v>365.98299999999978</v>
      </c>
      <c r="AE47" s="778"/>
      <c r="AF47" s="1512">
        <f>AF46+bal!AI10</f>
        <v>501.53599999999972</v>
      </c>
      <c r="AG47" s="778"/>
      <c r="AH47" s="704"/>
      <c r="AI47" s="778"/>
      <c r="AJ47" s="704"/>
      <c r="AK47" s="778"/>
      <c r="AL47" s="704"/>
      <c r="AM47" s="778"/>
      <c r="AN47" s="704"/>
      <c r="AO47" s="778"/>
      <c r="AP47" s="704"/>
      <c r="AQ47" s="704"/>
      <c r="AR47" s="704"/>
      <c r="AS47" s="704"/>
      <c r="AT47" s="704"/>
      <c r="AU47" s="704"/>
      <c r="AV47" s="704"/>
      <c r="AW47" s="704"/>
      <c r="AX47" s="704"/>
      <c r="AY47" s="704"/>
      <c r="AZ47" s="704"/>
      <c r="BA47" s="704"/>
      <c r="BB47" s="704"/>
      <c r="BC47" s="704"/>
      <c r="BD47" s="704"/>
      <c r="BE47" s="704"/>
      <c r="BF47" s="704"/>
      <c r="BG47" s="704"/>
      <c r="BH47" s="704"/>
      <c r="BI47" s="704"/>
      <c r="BJ47" s="704"/>
      <c r="BK47" s="899"/>
      <c r="BL47" s="1490"/>
      <c r="BM47" s="899"/>
      <c r="BN47" s="1490"/>
      <c r="BO47" s="899"/>
      <c r="BP47" s="1490"/>
      <c r="BQ47" s="899"/>
      <c r="BR47" s="1490"/>
      <c r="BS47" s="899"/>
      <c r="BT47" s="1490"/>
      <c r="BU47" s="899"/>
      <c r="BV47" s="1490"/>
      <c r="BW47" s="899"/>
      <c r="BX47" s="1490"/>
      <c r="BY47" s="704"/>
    </row>
    <row r="48" spans="1:77" hidden="1" outlineLevel="1">
      <c r="A48" s="704"/>
      <c r="B48" s="778"/>
      <c r="C48" s="778"/>
      <c r="D48" s="778"/>
      <c r="E48" s="1511"/>
      <c r="F48" s="778"/>
      <c r="G48" s="1511"/>
      <c r="H48" s="778"/>
      <c r="I48" s="778"/>
      <c r="J48" s="778"/>
      <c r="K48" s="778"/>
      <c r="L48" s="1512"/>
      <c r="M48" s="778"/>
      <c r="N48" s="1512"/>
      <c r="O48" s="778"/>
      <c r="P48" s="1512"/>
      <c r="Q48" s="778"/>
      <c r="R48" s="1512"/>
      <c r="S48" s="778"/>
      <c r="T48" s="1512"/>
      <c r="U48" s="778"/>
      <c r="V48" s="1512"/>
      <c r="W48" s="778"/>
      <c r="X48" s="1512"/>
      <c r="Y48" s="778"/>
      <c r="Z48" s="1512"/>
      <c r="AA48" s="778"/>
      <c r="AB48" s="1512"/>
      <c r="AC48" s="778"/>
      <c r="AD48" s="1512"/>
      <c r="AE48" s="778"/>
      <c r="AF48" s="1512"/>
      <c r="AG48" s="778"/>
      <c r="AH48" s="704"/>
      <c r="AI48" s="778"/>
      <c r="AJ48" s="704"/>
      <c r="AK48" s="778"/>
      <c r="AL48" s="704"/>
      <c r="AM48" s="778"/>
      <c r="AN48" s="704"/>
      <c r="AO48" s="778"/>
      <c r="AP48" s="704"/>
      <c r="AQ48" s="704"/>
      <c r="AR48" s="704"/>
      <c r="AS48" s="704"/>
      <c r="AT48" s="704"/>
      <c r="AU48" s="704"/>
      <c r="AV48" s="704"/>
      <c r="AW48" s="704"/>
      <c r="AX48" s="704"/>
      <c r="AY48" s="704"/>
      <c r="AZ48" s="704"/>
      <c r="BA48" s="704"/>
      <c r="BB48" s="704"/>
      <c r="BC48" s="704"/>
      <c r="BD48" s="704"/>
      <c r="BE48" s="704"/>
      <c r="BF48" s="704"/>
      <c r="BG48" s="704"/>
      <c r="BH48" s="704"/>
      <c r="BI48" s="704"/>
      <c r="BJ48" s="704"/>
      <c r="BK48" s="899"/>
      <c r="BL48" s="1490"/>
      <c r="BM48" s="899"/>
      <c r="BN48" s="1490"/>
      <c r="BO48" s="899"/>
      <c r="BP48" s="1490"/>
      <c r="BQ48" s="899"/>
      <c r="BR48" s="1490"/>
      <c r="BS48" s="899"/>
      <c r="BT48" s="1490"/>
      <c r="BU48" s="899"/>
      <c r="BV48" s="1490"/>
      <c r="BW48" s="899"/>
      <c r="BX48" s="1490"/>
      <c r="BY48" s="704"/>
    </row>
    <row r="49" spans="1:77" collapsed="1">
      <c r="A49" s="704" t="s">
        <v>382</v>
      </c>
      <c r="B49" s="704"/>
      <c r="C49" s="704"/>
      <c r="D49" s="1390">
        <f>-D42+D45</f>
        <v>9.4220000000000041</v>
      </c>
      <c r="E49" s="1499"/>
      <c r="F49" s="1390">
        <f>-F42+F45</f>
        <v>-2.9370000000000016</v>
      </c>
      <c r="G49" s="1499"/>
      <c r="H49" s="1390">
        <f>-H42+H45</f>
        <v>12.6</v>
      </c>
      <c r="I49" s="704"/>
      <c r="J49" s="1390">
        <f>-J42+J45</f>
        <v>1.9690000000000065</v>
      </c>
      <c r="K49" s="704"/>
      <c r="L49" s="1390">
        <f>-L42+L45</f>
        <v>-14.487999999999992</v>
      </c>
      <c r="M49" s="1390"/>
      <c r="N49" s="1390">
        <f>-N42+N45</f>
        <v>-13.997000000000025</v>
      </c>
      <c r="O49" s="1390"/>
      <c r="P49" s="1390">
        <f>-P42+P45</f>
        <v>10.43099999999999</v>
      </c>
      <c r="Q49" s="1390"/>
      <c r="R49" s="1390">
        <f>-R42+R45</f>
        <v>19.54399999999999</v>
      </c>
      <c r="S49" s="1390"/>
      <c r="T49" s="1390">
        <f>-T42+T45</f>
        <v>36.698000000000008</v>
      </c>
      <c r="U49" s="1390"/>
      <c r="V49" s="1390">
        <f>-V42+V45</f>
        <v>74.853999999999857</v>
      </c>
      <c r="W49" s="1390"/>
      <c r="X49" s="1390">
        <f>-X42+X45</f>
        <v>25.229999999999961</v>
      </c>
      <c r="Y49" s="1390"/>
      <c r="Z49" s="1390">
        <f>-Z42+Z45</f>
        <v>-19.517999999999802</v>
      </c>
      <c r="AA49" s="1390"/>
      <c r="AB49" s="1390">
        <f>-AB42+AB45</f>
        <v>146.32399999999996</v>
      </c>
      <c r="AC49" s="1390"/>
      <c r="AD49" s="1390">
        <f>-AD42+AD45</f>
        <v>152.45099999999979</v>
      </c>
      <c r="AE49" s="1390"/>
      <c r="AF49" s="1390">
        <f>-AF42+AF45</f>
        <v>222.57199999999995</v>
      </c>
      <c r="AG49" s="1390"/>
      <c r="AH49" s="1390">
        <f>-AH42+AH45</f>
        <v>254.31799999999996</v>
      </c>
      <c r="AI49" s="1390"/>
      <c r="AJ49" s="1390">
        <f>-AJ42+AJ45</f>
        <v>101.68700000000067</v>
      </c>
      <c r="AK49" s="1390"/>
      <c r="AL49" s="1390">
        <f>-AL42+AL45</f>
        <v>233.51800000000014</v>
      </c>
      <c r="AM49" s="1390"/>
      <c r="AN49" s="1390">
        <f>-AN42+AN45</f>
        <v>246.63045999999994</v>
      </c>
      <c r="AO49" s="1390"/>
      <c r="AP49" s="1390">
        <f>-AP42+AP45</f>
        <v>96.338500000000238</v>
      </c>
      <c r="AQ49" s="1390"/>
      <c r="AR49" s="1390">
        <f>-AR42+AR45</f>
        <v>284.66399999999993</v>
      </c>
      <c r="AS49" s="1390"/>
      <c r="AT49" s="1390">
        <f>-AT42+AT45</f>
        <v>271.53799999999967</v>
      </c>
      <c r="AU49" s="1390"/>
      <c r="AV49" s="1390">
        <f>-AV42+AV45</f>
        <v>276.68899999999979</v>
      </c>
      <c r="AW49" s="1390"/>
      <c r="AX49" s="1390">
        <f>-AX42+AX45</f>
        <v>247.75332369581065</v>
      </c>
      <c r="AY49" s="704"/>
      <c r="AZ49" s="1390">
        <f>-AZ42+AZ45</f>
        <v>286.27654790400527</v>
      </c>
      <c r="BA49" s="704"/>
      <c r="BB49" s="1390">
        <f>-BB42+BB45</f>
        <v>291.0035974537962</v>
      </c>
      <c r="BC49" s="704"/>
      <c r="BD49" s="1390">
        <f>-BD42+BD45</f>
        <v>298.24909640543444</v>
      </c>
      <c r="BE49" s="704"/>
      <c r="BF49" s="1390">
        <f>-BF42+BF45</f>
        <v>303.34733070793612</v>
      </c>
      <c r="BG49" s="704"/>
      <c r="BH49" s="704"/>
      <c r="BI49" s="704"/>
      <c r="BJ49" s="704"/>
      <c r="BK49" s="899"/>
      <c r="BL49" s="1490"/>
      <c r="BM49" s="899"/>
      <c r="BN49" s="1490"/>
      <c r="BO49" s="899"/>
      <c r="BP49" s="1490"/>
      <c r="BQ49" s="899"/>
      <c r="BR49" s="1490"/>
      <c r="BS49" s="899"/>
      <c r="BT49" s="1490"/>
      <c r="BU49" s="899"/>
      <c r="BV49" s="1490"/>
      <c r="BW49" s="899"/>
      <c r="BX49" s="1490"/>
      <c r="BY49" s="704"/>
    </row>
    <row r="50" spans="1:77">
      <c r="A50" s="704"/>
      <c r="B50" s="704"/>
      <c r="C50" s="704"/>
      <c r="D50" s="704"/>
      <c r="E50" s="704"/>
      <c r="F50" s="1391"/>
      <c r="G50" s="704"/>
      <c r="H50" s="704"/>
      <c r="I50" s="704"/>
      <c r="J50" s="704"/>
      <c r="K50" s="704"/>
      <c r="L50" s="704"/>
      <c r="M50" s="704"/>
      <c r="N50" s="704"/>
      <c r="O50" s="704"/>
      <c r="P50" s="1407"/>
      <c r="Q50" s="1407"/>
      <c r="R50" s="1407"/>
      <c r="S50" s="1407"/>
      <c r="T50" s="1407"/>
      <c r="U50" s="1407"/>
      <c r="V50" s="1407"/>
      <c r="W50" s="1407"/>
      <c r="X50" s="1407"/>
      <c r="Y50" s="1407"/>
      <c r="Z50" s="1407"/>
      <c r="AA50" s="1407"/>
      <c r="AB50" s="1407"/>
      <c r="AC50" s="1407"/>
      <c r="AD50" s="1407"/>
      <c r="AE50" s="1407"/>
      <c r="AF50" s="1407"/>
      <c r="AG50" s="1407"/>
      <c r="AH50" s="1407"/>
      <c r="AI50" s="1407"/>
      <c r="AJ50" s="1407"/>
      <c r="AK50" s="1407"/>
      <c r="AL50" s="1493"/>
      <c r="AM50" s="1407"/>
      <c r="AN50" s="1493"/>
      <c r="AO50" s="1407"/>
      <c r="AP50" s="704"/>
      <c r="AQ50" s="704"/>
      <c r="AR50" s="704"/>
      <c r="AS50" s="704"/>
      <c r="AT50" s="704"/>
      <c r="AU50" s="704"/>
      <c r="AV50" s="704"/>
      <c r="AW50" s="704"/>
      <c r="AX50" s="704"/>
      <c r="AY50" s="704"/>
      <c r="AZ50" s="704"/>
      <c r="BA50" s="704"/>
      <c r="BB50" s="704"/>
      <c r="BC50" s="704"/>
      <c r="BD50" s="704"/>
      <c r="BE50" s="704"/>
      <c r="BF50" s="704"/>
      <c r="BG50" s="704"/>
      <c r="BH50" s="704"/>
      <c r="BI50" s="704"/>
      <c r="BJ50" s="704"/>
      <c r="BK50" s="703"/>
      <c r="BL50" s="703"/>
      <c r="BM50" s="703"/>
      <c r="BN50" s="703"/>
      <c r="BO50" s="703"/>
      <c r="BP50" s="703"/>
      <c r="BQ50" s="703"/>
      <c r="BR50" s="703"/>
      <c r="BS50" s="703"/>
      <c r="BT50" s="703"/>
      <c r="BU50" s="703"/>
      <c r="BV50" s="703"/>
      <c r="BW50" s="703"/>
      <c r="BX50" s="703"/>
      <c r="BY50" s="704"/>
    </row>
    <row r="51" spans="1:77">
      <c r="A51" s="704"/>
      <c r="B51" s="704"/>
      <c r="C51" s="704"/>
      <c r="D51" s="704"/>
      <c r="E51" s="704"/>
      <c r="F51" s="1513"/>
      <c r="G51" s="704"/>
      <c r="H51" s="704"/>
      <c r="I51" s="704"/>
      <c r="J51" s="704"/>
      <c r="K51" s="704"/>
      <c r="L51" s="704"/>
      <c r="M51" s="704"/>
      <c r="N51" s="704"/>
      <c r="O51" s="704"/>
      <c r="P51" s="1514"/>
      <c r="Q51" s="704"/>
      <c r="R51" s="704"/>
      <c r="S51" s="704"/>
      <c r="T51" s="704"/>
      <c r="U51" s="704"/>
      <c r="V51" s="704"/>
      <c r="W51" s="704"/>
      <c r="X51" s="704"/>
      <c r="Y51" s="704"/>
      <c r="Z51" s="704"/>
      <c r="AA51" s="704"/>
      <c r="AB51" s="704"/>
      <c r="AC51" s="704"/>
      <c r="AD51" s="704"/>
      <c r="AE51" s="704"/>
      <c r="AF51" s="704"/>
      <c r="AG51" s="704"/>
      <c r="AH51" s="704"/>
      <c r="AI51" s="704"/>
      <c r="AJ51" s="704"/>
      <c r="AK51" s="704"/>
      <c r="AL51" s="1401"/>
      <c r="AM51" s="704"/>
      <c r="AN51" s="704"/>
      <c r="AO51" s="704"/>
      <c r="AP51" s="704"/>
      <c r="AQ51" s="704"/>
      <c r="AR51" s="704"/>
      <c r="AS51" s="704"/>
      <c r="AT51" s="704"/>
      <c r="AU51" s="704"/>
      <c r="AV51" s="704"/>
      <c r="AW51" s="704"/>
      <c r="AX51" s="704"/>
      <c r="AY51" s="704"/>
      <c r="AZ51" s="704"/>
      <c r="BA51" s="704"/>
      <c r="BB51" s="704"/>
      <c r="BC51" s="704"/>
      <c r="BD51" s="704"/>
      <c r="BE51" s="704"/>
      <c r="BF51" s="704"/>
      <c r="BG51" s="704"/>
      <c r="BH51" s="704"/>
      <c r="BI51" s="704"/>
      <c r="BJ51" s="704"/>
      <c r="BK51" s="703"/>
      <c r="BL51" s="703"/>
      <c r="BM51" s="704"/>
      <c r="BN51" s="704"/>
      <c r="BO51" s="704"/>
      <c r="BP51" s="704"/>
      <c r="BQ51" s="704"/>
      <c r="BR51" s="704"/>
      <c r="BS51" s="704"/>
      <c r="BT51" s="704"/>
      <c r="BU51" s="704"/>
      <c r="BV51" s="704"/>
      <c r="BW51" s="704"/>
      <c r="BX51" s="704"/>
      <c r="BY51" s="704"/>
    </row>
    <row r="52" spans="1:77">
      <c r="A52" s="1515" t="s">
        <v>161</v>
      </c>
      <c r="B52" s="1372"/>
      <c r="C52" s="1372"/>
      <c r="D52" s="1372"/>
      <c r="E52" s="1372"/>
      <c r="F52" s="1372"/>
      <c r="G52" s="1372"/>
      <c r="H52" s="1372"/>
      <c r="I52" s="1372"/>
      <c r="J52" s="1372"/>
      <c r="K52" s="1372"/>
      <c r="L52" s="1372"/>
      <c r="M52" s="1372"/>
      <c r="N52" s="1372"/>
      <c r="O52" s="1372"/>
      <c r="P52" s="1372"/>
      <c r="Q52" s="1372"/>
      <c r="R52" s="1372"/>
      <c r="S52" s="1372"/>
      <c r="T52" s="1372"/>
      <c r="U52" s="1372"/>
      <c r="V52" s="1372"/>
      <c r="W52" s="1372"/>
      <c r="X52" s="1372"/>
      <c r="Y52" s="1372"/>
      <c r="Z52" s="1372"/>
      <c r="AA52" s="1372"/>
      <c r="AB52" s="1372"/>
      <c r="AC52" s="1372"/>
      <c r="AD52" s="1372"/>
      <c r="AE52" s="1372"/>
      <c r="AF52" s="1372"/>
      <c r="AG52" s="1372"/>
      <c r="AH52" s="1372"/>
      <c r="AI52" s="1372"/>
      <c r="AJ52" s="1372"/>
      <c r="AK52" s="1372"/>
      <c r="AL52" s="1372"/>
      <c r="AM52" s="1372"/>
      <c r="AN52" s="1372"/>
      <c r="AO52" s="1372"/>
      <c r="AP52" s="1372"/>
      <c r="AQ52" s="1372"/>
      <c r="AR52" s="1372"/>
      <c r="AS52" s="1372"/>
      <c r="AT52" s="1372"/>
      <c r="AU52" s="1372"/>
      <c r="AV52" s="1372"/>
      <c r="AW52" s="1372"/>
      <c r="AX52" s="1372"/>
      <c r="AY52" s="1372"/>
      <c r="AZ52" s="1372"/>
      <c r="BA52" s="1372"/>
      <c r="BB52" s="1372"/>
      <c r="BC52" s="1372"/>
      <c r="BD52" s="1372"/>
      <c r="BE52" s="1372"/>
      <c r="BF52" s="1372"/>
      <c r="BG52" s="1372"/>
      <c r="BH52" s="1372"/>
      <c r="BI52" s="1372"/>
      <c r="BJ52" s="1372"/>
      <c r="BK52" s="1516"/>
      <c r="BL52" s="1516"/>
      <c r="BM52" s="1372"/>
      <c r="BN52" s="1372"/>
      <c r="BO52" s="1372"/>
      <c r="BP52" s="1372"/>
      <c r="BQ52" s="1372"/>
      <c r="BR52" s="1372"/>
      <c r="BS52" s="1372"/>
      <c r="BT52" s="1372"/>
      <c r="BU52" s="1372"/>
      <c r="BV52" s="1372"/>
      <c r="BW52" s="1372"/>
      <c r="BX52" s="1372"/>
      <c r="BY52" s="1372"/>
    </row>
    <row r="53" spans="1:77">
      <c r="A53" s="704"/>
      <c r="B53" s="704"/>
      <c r="C53" s="704"/>
      <c r="D53" s="704"/>
      <c r="E53" s="704"/>
      <c r="F53" s="704"/>
      <c r="G53" s="704"/>
      <c r="H53" s="704"/>
      <c r="I53" s="704"/>
      <c r="J53" s="704"/>
      <c r="K53" s="704"/>
      <c r="L53" s="704"/>
      <c r="M53" s="704"/>
      <c r="N53" s="704"/>
      <c r="O53" s="704"/>
      <c r="P53" s="704"/>
      <c r="Q53" s="704"/>
      <c r="R53" s="704"/>
      <c r="S53" s="704"/>
      <c r="T53" s="704"/>
      <c r="U53" s="704"/>
      <c r="V53" s="704"/>
      <c r="W53" s="704"/>
      <c r="X53" s="704"/>
      <c r="Y53" s="704"/>
      <c r="Z53" s="704"/>
      <c r="AA53" s="704"/>
      <c r="AB53" s="704"/>
      <c r="AC53" s="704"/>
      <c r="AD53" s="704"/>
      <c r="AE53" s="704"/>
      <c r="AF53" s="704"/>
      <c r="AG53" s="704"/>
      <c r="AH53" s="704"/>
      <c r="AI53" s="704"/>
      <c r="AJ53" s="704"/>
      <c r="AK53" s="704"/>
      <c r="AL53" s="704"/>
      <c r="AM53" s="704"/>
      <c r="AN53" s="704"/>
      <c r="AO53" s="704"/>
      <c r="AP53" s="704"/>
      <c r="AQ53" s="704"/>
      <c r="AR53" s="704"/>
      <c r="AS53" s="704"/>
      <c r="AT53" s="704"/>
      <c r="AU53" s="704"/>
      <c r="AV53" s="704"/>
      <c r="AW53" s="704"/>
      <c r="AX53" s="704"/>
      <c r="AY53" s="704"/>
      <c r="AZ53" s="704"/>
      <c r="BA53" s="704"/>
      <c r="BB53" s="704"/>
      <c r="BC53" s="704"/>
      <c r="BD53" s="704"/>
      <c r="BE53" s="704"/>
      <c r="BF53" s="704"/>
      <c r="BG53" s="704"/>
      <c r="BH53" s="704"/>
      <c r="BI53" s="704"/>
      <c r="BJ53" s="704"/>
      <c r="BK53" s="704"/>
      <c r="BL53" s="704"/>
      <c r="BM53" s="704"/>
      <c r="BN53" s="704"/>
      <c r="BO53" s="704"/>
      <c r="BP53" s="704"/>
      <c r="BQ53" s="704"/>
      <c r="BR53" s="704"/>
      <c r="BS53" s="704"/>
      <c r="BT53" s="704"/>
      <c r="BU53" s="704"/>
      <c r="BV53" s="704"/>
      <c r="BW53" s="704"/>
      <c r="BX53" s="704"/>
      <c r="BY53" s="704"/>
    </row>
    <row r="54" spans="1:77">
      <c r="A54" s="704"/>
      <c r="B54" s="704"/>
      <c r="C54" s="1482"/>
      <c r="D54" s="703"/>
      <c r="E54" s="703"/>
      <c r="F54" s="703"/>
      <c r="G54" s="703"/>
      <c r="H54" s="703"/>
      <c r="I54" s="703"/>
      <c r="J54" s="703"/>
      <c r="K54" s="703"/>
      <c r="L54" s="703"/>
      <c r="M54" s="703"/>
      <c r="N54" s="703"/>
      <c r="O54" s="703"/>
      <c r="P54" s="703"/>
      <c r="Q54" s="703"/>
      <c r="R54" s="703"/>
      <c r="S54" s="703"/>
      <c r="T54" s="703"/>
      <c r="U54" s="703"/>
      <c r="V54" s="703"/>
      <c r="W54" s="703"/>
      <c r="X54" s="703"/>
      <c r="Y54" s="703"/>
      <c r="Z54" s="703"/>
      <c r="AA54" s="703"/>
      <c r="AB54" s="703"/>
      <c r="AC54" s="703"/>
      <c r="AD54" s="703"/>
      <c r="AE54" s="703"/>
      <c r="AF54" s="703"/>
      <c r="AG54" s="703"/>
      <c r="AH54" s="703"/>
      <c r="AI54" s="703"/>
      <c r="AJ54" s="703"/>
      <c r="AK54" s="703"/>
      <c r="AL54" s="703"/>
      <c r="AM54" s="703"/>
      <c r="AN54" s="703"/>
      <c r="AO54" s="703"/>
      <c r="AP54" s="703"/>
      <c r="AQ54" s="703"/>
      <c r="AR54" s="703"/>
      <c r="AS54" s="703"/>
      <c r="AT54" s="703"/>
      <c r="AU54" s="703"/>
      <c r="AV54" s="703"/>
      <c r="AW54" s="703"/>
      <c r="AX54" s="703"/>
      <c r="AY54" s="704"/>
      <c r="AZ54" s="703"/>
      <c r="BA54" s="704"/>
      <c r="BB54" s="703"/>
      <c r="BC54" s="704"/>
      <c r="BD54" s="703"/>
      <c r="BE54" s="704"/>
      <c r="BF54" s="703"/>
      <c r="BG54" s="704"/>
      <c r="BH54" s="704"/>
      <c r="BI54" s="704"/>
      <c r="BJ54" s="704"/>
      <c r="BK54" s="1517"/>
      <c r="BL54" s="1517"/>
      <c r="BM54" s="704"/>
      <c r="BN54" s="704"/>
      <c r="BO54" s="704"/>
      <c r="BP54" s="704"/>
      <c r="BQ54" s="704"/>
      <c r="BR54" s="704"/>
      <c r="BS54" s="704"/>
      <c r="BT54" s="704"/>
      <c r="BU54" s="704"/>
      <c r="BV54" s="704"/>
      <c r="BW54" s="704"/>
      <c r="BX54" s="704"/>
      <c r="BY54" s="704"/>
    </row>
    <row r="55" spans="1:77" hidden="1" outlineLevel="1">
      <c r="A55" s="1518"/>
      <c r="B55" s="1518"/>
      <c r="C55" s="1518"/>
      <c r="D55" s="1518"/>
      <c r="E55" s="1518"/>
      <c r="F55" s="1518"/>
      <c r="G55" s="1518"/>
      <c r="H55" s="1518"/>
      <c r="I55" s="1518"/>
      <c r="J55" s="1518"/>
      <c r="K55" s="1518"/>
      <c r="L55" s="1518"/>
      <c r="M55" s="1518"/>
      <c r="N55" s="1518"/>
      <c r="O55" s="1518"/>
      <c r="P55" s="1518"/>
      <c r="Q55" s="1518"/>
      <c r="R55" s="1518"/>
      <c r="S55" s="1518"/>
      <c r="T55" s="1518"/>
      <c r="U55" s="1518"/>
      <c r="V55" s="1518"/>
      <c r="W55" s="1518"/>
      <c r="X55" s="1518"/>
      <c r="Y55" s="1518"/>
      <c r="Z55" s="1518"/>
      <c r="AA55" s="1518"/>
      <c r="AB55" s="1518"/>
      <c r="AC55" s="1518"/>
      <c r="AD55" s="1518"/>
      <c r="AE55" s="1518"/>
      <c r="AF55" s="1518"/>
      <c r="AG55" s="1518"/>
      <c r="AH55" s="1518"/>
      <c r="AI55" s="1518"/>
      <c r="AJ55" s="1518"/>
      <c r="AK55" s="1518"/>
      <c r="AL55" s="1518"/>
      <c r="AM55" s="1518"/>
      <c r="AN55" s="1518"/>
      <c r="AO55" s="1518"/>
      <c r="AP55" s="1518"/>
      <c r="AQ55" s="1519"/>
      <c r="AR55" s="1519"/>
      <c r="AS55" s="1519"/>
      <c r="AT55" s="1519"/>
      <c r="AU55" s="1519"/>
      <c r="AV55" s="1520"/>
      <c r="AW55" s="1519"/>
      <c r="AX55" s="1520"/>
      <c r="AY55" s="1521"/>
      <c r="AZ55" s="1520"/>
      <c r="BA55" s="1521"/>
      <c r="BB55" s="1520"/>
      <c r="BC55" s="1521"/>
      <c r="BD55" s="1520"/>
      <c r="BE55" s="1521"/>
      <c r="BF55" s="1520"/>
      <c r="BG55" s="1521"/>
      <c r="BH55" s="1521"/>
      <c r="BI55" s="1521"/>
      <c r="BJ55" s="1521"/>
      <c r="BK55" s="1521"/>
      <c r="BL55" s="1521"/>
      <c r="BM55" s="1521"/>
      <c r="BN55" s="1521"/>
      <c r="BO55" s="1521"/>
      <c r="BP55" s="1521"/>
      <c r="BQ55" s="1521"/>
      <c r="BR55" s="1521"/>
      <c r="BS55" s="1521"/>
      <c r="BT55" s="1521"/>
      <c r="BU55" s="1521"/>
      <c r="BV55" s="1521"/>
      <c r="BW55" s="1521"/>
      <c r="BX55" s="1521"/>
      <c r="BY55" s="1521"/>
    </row>
    <row r="56" spans="1:77" hidden="1" outlineLevel="1">
      <c r="A56" s="1520" t="s">
        <v>162</v>
      </c>
      <c r="B56" s="1521"/>
      <c r="C56" s="1521"/>
      <c r="D56" s="1520"/>
      <c r="E56" s="1520"/>
      <c r="F56" s="1520"/>
      <c r="G56" s="1520"/>
      <c r="H56" s="1520"/>
      <c r="I56" s="1520"/>
      <c r="J56" s="1522">
        <v>5.5940000000000003</v>
      </c>
      <c r="K56" s="1520"/>
      <c r="L56" s="1522">
        <v>8.0969999999999995</v>
      </c>
      <c r="M56" s="1520"/>
      <c r="N56" s="1522">
        <v>11.795</v>
      </c>
      <c r="O56" s="1520"/>
      <c r="P56" s="1522">
        <v>15.433999999999999</v>
      </c>
      <c r="Q56" s="1520"/>
      <c r="R56" s="1522">
        <v>19.626999999999999</v>
      </c>
      <c r="S56" s="1522"/>
      <c r="T56" s="1522">
        <v>23.629000000000001</v>
      </c>
      <c r="U56" s="1520"/>
      <c r="V56" s="1522">
        <v>29.777000000000001</v>
      </c>
      <c r="W56" s="1520"/>
      <c r="X56" s="1523">
        <f>X58*X59</f>
        <v>36.770267436750586</v>
      </c>
      <c r="Y56" s="1522"/>
      <c r="Z56" s="1523">
        <f>Z58*Z59</f>
        <v>52.073764862828803</v>
      </c>
      <c r="AA56" s="1522"/>
      <c r="AB56" s="1523">
        <f>AB58*AB59</f>
        <v>65.443411670538012</v>
      </c>
      <c r="AC56" s="1522"/>
      <c r="AD56" s="1523">
        <f>AD58*AD59</f>
        <v>76.596000156946445</v>
      </c>
      <c r="AE56" s="1522"/>
      <c r="AF56" s="1523">
        <f>AF58*AF59</f>
        <v>86.317595266495061</v>
      </c>
      <c r="AG56" s="1522"/>
      <c r="AH56" s="1523">
        <f>AH58*AH59</f>
        <v>94.500708927114076</v>
      </c>
      <c r="AI56" s="1522"/>
      <c r="AJ56" s="1523">
        <f>AJ58*AJ59</f>
        <v>101.05000389227196</v>
      </c>
      <c r="AK56" s="1522"/>
      <c r="AL56" s="1523">
        <f>AL58*AL59</f>
        <v>110.91273551384268</v>
      </c>
      <c r="AM56" s="1522"/>
      <c r="AN56" s="1523">
        <f>AN58*AN59</f>
        <v>123.99823993973256</v>
      </c>
      <c r="AO56" s="1522"/>
      <c r="AP56" s="1523">
        <f>AP58*AP59</f>
        <v>129.08850116140374</v>
      </c>
      <c r="AQ56" s="1523"/>
      <c r="AR56" s="1523"/>
      <c r="AS56" s="1523"/>
      <c r="AT56" s="1523"/>
      <c r="AU56" s="1523"/>
      <c r="AV56" s="1520"/>
      <c r="AW56" s="1523"/>
      <c r="AX56" s="1520"/>
      <c r="AY56" s="1521"/>
      <c r="AZ56" s="1520"/>
      <c r="BA56" s="1521"/>
      <c r="BB56" s="1520"/>
      <c r="BC56" s="1521"/>
      <c r="BD56" s="1520"/>
      <c r="BE56" s="1521"/>
      <c r="BF56" s="1520"/>
      <c r="BG56" s="1521"/>
      <c r="BH56" s="1521"/>
      <c r="BI56" s="1521"/>
      <c r="BJ56" s="1521"/>
      <c r="BK56" s="1521"/>
      <c r="BL56" s="1521"/>
      <c r="BM56" s="1521"/>
      <c r="BN56" s="1521"/>
      <c r="BO56" s="1521"/>
      <c r="BP56" s="1521"/>
      <c r="BQ56" s="1521"/>
      <c r="BR56" s="1521"/>
      <c r="BS56" s="1521"/>
      <c r="BT56" s="1521"/>
      <c r="BU56" s="1521"/>
      <c r="BV56" s="1521"/>
      <c r="BW56" s="1521"/>
      <c r="BX56" s="1521"/>
      <c r="BY56" s="1521"/>
    </row>
    <row r="57" spans="1:77" hidden="1" outlineLevel="1">
      <c r="A57" s="1520" t="s">
        <v>269</v>
      </c>
      <c r="B57" s="1521"/>
      <c r="C57" s="1521"/>
      <c r="D57" s="1520"/>
      <c r="E57" s="1520"/>
      <c r="F57" s="1520"/>
      <c r="G57" s="1520"/>
      <c r="H57" s="1520"/>
      <c r="I57" s="1520"/>
      <c r="J57" s="1524">
        <f>J58-J56</f>
        <v>2.7000000000000135E-2</v>
      </c>
      <c r="K57" s="1525"/>
      <c r="L57" s="1524">
        <f>L58-L56</f>
        <v>0.57000000000000028</v>
      </c>
      <c r="M57" s="1525"/>
      <c r="N57" s="1524">
        <f>N58-N56</f>
        <v>0.20199999999999996</v>
      </c>
      <c r="O57" s="1525"/>
      <c r="P57" s="1524">
        <f>P58-P56</f>
        <v>2.8000000000000469E-2</v>
      </c>
      <c r="Q57" s="1525"/>
      <c r="R57" s="1524">
        <f>R58-R56</f>
        <v>0.3230000000000004</v>
      </c>
      <c r="S57" s="1525"/>
      <c r="T57" s="1524">
        <f>T58-T56</f>
        <v>1.3810000000000002</v>
      </c>
      <c r="U57" s="1525"/>
      <c r="V57" s="1524">
        <f>V58-V56</f>
        <v>2.0809999999999995</v>
      </c>
      <c r="W57" s="1525"/>
      <c r="X57" s="1524">
        <f>X58-X56</f>
        <v>2.569732563249417</v>
      </c>
      <c r="Y57" s="1525"/>
      <c r="Z57" s="1524">
        <f>Z58-Z56</f>
        <v>3.6392351371711982</v>
      </c>
      <c r="AA57" s="1525"/>
      <c r="AB57" s="1524">
        <f>AB58-AB56</f>
        <v>4.5735883294619839</v>
      </c>
      <c r="AC57" s="1525"/>
      <c r="AD57" s="1524">
        <f>AD58-AD56</f>
        <v>5.3529998430535528</v>
      </c>
      <c r="AE57" s="1525"/>
      <c r="AF57" s="1524">
        <f>AF58-AF56</f>
        <v>6.0324047335049329</v>
      </c>
      <c r="AG57" s="1525"/>
      <c r="AH57" s="1524">
        <f>AH58-AH56</f>
        <v>6.6042910728859283</v>
      </c>
      <c r="AI57" s="1525"/>
      <c r="AJ57" s="1524">
        <f>AJ58-AJ56</f>
        <v>7.0619961077280351</v>
      </c>
      <c r="AK57" s="1525"/>
      <c r="AL57" s="1524">
        <f>AL58-AL56</f>
        <v>7.751264486157325</v>
      </c>
      <c r="AM57" s="1525"/>
      <c r="AN57" s="1524">
        <f>AN58-AN56</f>
        <v>8.6657600602674307</v>
      </c>
      <c r="AO57" s="1525"/>
      <c r="AP57" s="1524">
        <f>AP58-AP56</f>
        <v>9.0214988385962727</v>
      </c>
      <c r="AQ57" s="1524"/>
      <c r="AR57" s="1524"/>
      <c r="AS57" s="1524"/>
      <c r="AT57" s="1524"/>
      <c r="AU57" s="1524"/>
      <c r="AV57" s="1520"/>
      <c r="AW57" s="1524"/>
      <c r="AX57" s="1520"/>
      <c r="AY57" s="1521"/>
      <c r="AZ57" s="1520"/>
      <c r="BA57" s="1521"/>
      <c r="BB57" s="1520"/>
      <c r="BC57" s="1521"/>
      <c r="BD57" s="1520"/>
      <c r="BE57" s="1521"/>
      <c r="BF57" s="1520"/>
      <c r="BG57" s="1521"/>
      <c r="BH57" s="1521"/>
      <c r="BI57" s="1521"/>
      <c r="BJ57" s="1521"/>
      <c r="BK57" s="1521"/>
      <c r="BL57" s="1521"/>
      <c r="BM57" s="1521"/>
      <c r="BN57" s="1521"/>
      <c r="BO57" s="1521"/>
      <c r="BP57" s="1521"/>
      <c r="BQ57" s="1521"/>
      <c r="BR57" s="1521"/>
      <c r="BS57" s="1521"/>
      <c r="BT57" s="1521"/>
      <c r="BU57" s="1521"/>
      <c r="BV57" s="1521"/>
      <c r="BW57" s="1521"/>
      <c r="BX57" s="1521"/>
      <c r="BY57" s="1521"/>
    </row>
    <row r="58" spans="1:77" hidden="1" outlineLevel="1">
      <c r="A58" s="1520" t="s">
        <v>270</v>
      </c>
      <c r="B58" s="1521"/>
      <c r="C58" s="1521"/>
      <c r="D58" s="1520"/>
      <c r="E58" s="1520"/>
      <c r="F58" s="1520"/>
      <c r="G58" s="1520"/>
      <c r="H58" s="1520"/>
      <c r="I58" s="1520"/>
      <c r="J58" s="1526">
        <f>J11</f>
        <v>5.6210000000000004</v>
      </c>
      <c r="K58" s="1372"/>
      <c r="L58" s="1526">
        <f>L11</f>
        <v>8.6669999999999998</v>
      </c>
      <c r="M58" s="1372"/>
      <c r="N58" s="1526">
        <f>N11</f>
        <v>11.997</v>
      </c>
      <c r="O58" s="1372"/>
      <c r="P58" s="1526">
        <f>P11</f>
        <v>15.462</v>
      </c>
      <c r="Q58" s="1372"/>
      <c r="R58" s="1526">
        <f>R11</f>
        <v>19.95</v>
      </c>
      <c r="S58" s="1372"/>
      <c r="T58" s="1526">
        <f>T11</f>
        <v>25.01</v>
      </c>
      <c r="U58" s="1372"/>
      <c r="V58" s="1526">
        <f>V11</f>
        <v>31.858000000000001</v>
      </c>
      <c r="W58" s="1372"/>
      <c r="X58" s="1526">
        <f>X11</f>
        <v>39.340000000000003</v>
      </c>
      <c r="Y58" s="1372"/>
      <c r="Z58" s="1526">
        <f>Z11</f>
        <v>55.713000000000001</v>
      </c>
      <c r="AA58" s="1372"/>
      <c r="AB58" s="1526">
        <f>AB11</f>
        <v>70.016999999999996</v>
      </c>
      <c r="AC58" s="1372"/>
      <c r="AD58" s="1526">
        <f>AD11</f>
        <v>81.948999999999998</v>
      </c>
      <c r="AE58" s="1372"/>
      <c r="AF58" s="1526">
        <f>AF11</f>
        <v>92.35</v>
      </c>
      <c r="AG58" s="1372"/>
      <c r="AH58" s="1526">
        <f>AH11</f>
        <v>101.105</v>
      </c>
      <c r="AI58" s="1372"/>
      <c r="AJ58" s="1526">
        <f>AJ11</f>
        <v>108.11199999999999</v>
      </c>
      <c r="AK58" s="1372"/>
      <c r="AL58" s="1526">
        <f>AL11</f>
        <v>118.664</v>
      </c>
      <c r="AM58" s="1372"/>
      <c r="AN58" s="1526">
        <f>AN11</f>
        <v>132.66399999999999</v>
      </c>
      <c r="AO58" s="1372"/>
      <c r="AP58" s="1526">
        <f>AP11</f>
        <v>138.11000000000001</v>
      </c>
      <c r="AQ58" s="1526"/>
      <c r="AR58" s="1526"/>
      <c r="AS58" s="1526"/>
      <c r="AT58" s="1526"/>
      <c r="AU58" s="1526"/>
      <c r="AV58" s="1527"/>
      <c r="AW58" s="1526"/>
      <c r="AX58" s="1527"/>
      <c r="AY58" s="1527"/>
      <c r="AZ58" s="1527"/>
      <c r="BA58" s="1527"/>
      <c r="BB58" s="1527"/>
      <c r="BC58" s="1527"/>
      <c r="BD58" s="1527"/>
      <c r="BE58" s="1527"/>
      <c r="BF58" s="1527"/>
      <c r="BG58" s="1527"/>
      <c r="BH58" s="1527"/>
      <c r="BI58" s="1527"/>
      <c r="BJ58" s="1527"/>
      <c r="BK58" s="1521"/>
      <c r="BL58" s="1521"/>
      <c r="BM58" s="1521"/>
      <c r="BN58" s="1521"/>
      <c r="BO58" s="1521"/>
      <c r="BP58" s="1521"/>
      <c r="BQ58" s="1521"/>
      <c r="BR58" s="1521"/>
      <c r="BS58" s="1521"/>
      <c r="BT58" s="1521"/>
      <c r="BU58" s="1521"/>
      <c r="BV58" s="1521"/>
      <c r="BW58" s="1521"/>
      <c r="BX58" s="1521"/>
      <c r="BY58" s="1521"/>
    </row>
    <row r="59" spans="1:77" hidden="1" outlineLevel="1">
      <c r="A59" s="1520" t="s">
        <v>271</v>
      </c>
      <c r="B59" s="1521"/>
      <c r="C59" s="1521"/>
      <c r="D59" s="1520"/>
      <c r="E59" s="1520"/>
      <c r="F59" s="1520"/>
      <c r="G59" s="1520"/>
      <c r="H59" s="1520"/>
      <c r="I59" s="1520"/>
      <c r="J59" s="1528">
        <f>J56/J58</f>
        <v>0.99519658423768009</v>
      </c>
      <c r="K59" s="1529"/>
      <c r="L59" s="1528">
        <f>L56/L58</f>
        <v>0.93423329871927996</v>
      </c>
      <c r="M59" s="1529"/>
      <c r="N59" s="1528">
        <f>N56/N58</f>
        <v>0.98316245728098695</v>
      </c>
      <c r="O59" s="1521"/>
      <c r="P59" s="1528">
        <f>P56/P58</f>
        <v>0.99818910878282241</v>
      </c>
      <c r="Q59" s="1521"/>
      <c r="R59" s="1528">
        <f>R56/R58</f>
        <v>0.9838095238095238</v>
      </c>
      <c r="S59" s="1521"/>
      <c r="T59" s="1528">
        <f>T56/T58</f>
        <v>0.9447820871651339</v>
      </c>
      <c r="U59" s="1521"/>
      <c r="V59" s="1528">
        <f>V56/V58</f>
        <v>0.93467888756356332</v>
      </c>
      <c r="W59" s="1521"/>
      <c r="X59" s="1530">
        <f>V59</f>
        <v>0.93467888756356332</v>
      </c>
      <c r="Y59" s="1372"/>
      <c r="Z59" s="1530">
        <f>X59</f>
        <v>0.93467888756356332</v>
      </c>
      <c r="AA59" s="1372"/>
      <c r="AB59" s="1530">
        <f>Z59</f>
        <v>0.93467888756356332</v>
      </c>
      <c r="AC59" s="1372"/>
      <c r="AD59" s="1530">
        <f>AB59</f>
        <v>0.93467888756356332</v>
      </c>
      <c r="AE59" s="1372"/>
      <c r="AF59" s="1530">
        <f>AD59</f>
        <v>0.93467888756356332</v>
      </c>
      <c r="AG59" s="1372"/>
      <c r="AH59" s="1530">
        <f>AF59</f>
        <v>0.93467888756356332</v>
      </c>
      <c r="AI59" s="1372"/>
      <c r="AJ59" s="1530">
        <f>AH59</f>
        <v>0.93467888756356332</v>
      </c>
      <c r="AK59" s="1372"/>
      <c r="AL59" s="1530">
        <f>AJ59</f>
        <v>0.93467888756356332</v>
      </c>
      <c r="AM59" s="1372"/>
      <c r="AN59" s="1530">
        <f>AL59</f>
        <v>0.93467888756356332</v>
      </c>
      <c r="AO59" s="1372"/>
      <c r="AP59" s="1530">
        <f>AN59</f>
        <v>0.93467888756356332</v>
      </c>
      <c r="AQ59" s="1530"/>
      <c r="AR59" s="1530"/>
      <c r="AS59" s="1530"/>
      <c r="AT59" s="1530"/>
      <c r="AU59" s="1530"/>
      <c r="AV59" s="1529"/>
      <c r="AW59" s="1530"/>
      <c r="AX59" s="1529"/>
      <c r="AY59" s="1529"/>
      <c r="AZ59" s="1529"/>
      <c r="BA59" s="1529"/>
      <c r="BB59" s="1529"/>
      <c r="BC59" s="1529"/>
      <c r="BD59" s="1529"/>
      <c r="BE59" s="1529"/>
      <c r="BF59" s="1529"/>
      <c r="BG59" s="1529"/>
      <c r="BH59" s="1529"/>
      <c r="BI59" s="1529"/>
      <c r="BJ59" s="1529"/>
      <c r="BK59" s="1521"/>
      <c r="BL59" s="1521"/>
      <c r="BM59" s="1521"/>
      <c r="BN59" s="1521"/>
      <c r="BO59" s="1521"/>
      <c r="BP59" s="1521"/>
      <c r="BQ59" s="1521"/>
      <c r="BR59" s="1521"/>
      <c r="BS59" s="1521"/>
      <c r="BT59" s="1521"/>
      <c r="BU59" s="1521"/>
      <c r="BV59" s="1521"/>
      <c r="BW59" s="1521"/>
      <c r="BX59" s="1521"/>
      <c r="BY59" s="1521"/>
    </row>
    <row r="60" spans="1:77" hidden="1" outlineLevel="1">
      <c r="A60" s="1520"/>
      <c r="B60" s="1521"/>
      <c r="C60" s="1521"/>
      <c r="D60" s="1520"/>
      <c r="E60" s="1520"/>
      <c r="F60" s="1520"/>
      <c r="G60" s="1520"/>
      <c r="H60" s="1520"/>
      <c r="I60" s="1520"/>
      <c r="J60" s="1529"/>
      <c r="K60" s="1529"/>
      <c r="L60" s="1529"/>
      <c r="M60" s="1529"/>
      <c r="N60" s="1529"/>
      <c r="O60" s="1521"/>
      <c r="P60" s="1529"/>
      <c r="Q60" s="1521"/>
      <c r="R60" s="1529"/>
      <c r="S60" s="1521"/>
      <c r="T60" s="1529"/>
      <c r="U60" s="1521"/>
      <c r="V60" s="1529"/>
      <c r="W60" s="1521"/>
      <c r="X60" s="1529"/>
      <c r="Y60" s="1521"/>
      <c r="Z60" s="1529"/>
      <c r="AA60" s="1521"/>
      <c r="AB60" s="1529"/>
      <c r="AC60" s="1521"/>
      <c r="AD60" s="1529"/>
      <c r="AE60" s="1521"/>
      <c r="AF60" s="1529"/>
      <c r="AG60" s="1521"/>
      <c r="AH60" s="1529"/>
      <c r="AI60" s="1521"/>
      <c r="AJ60" s="1529"/>
      <c r="AK60" s="1521"/>
      <c r="AL60" s="1529"/>
      <c r="AM60" s="1521"/>
      <c r="AN60" s="1529"/>
      <c r="AO60" s="1521"/>
      <c r="AP60" s="1529"/>
      <c r="AQ60" s="1529"/>
      <c r="AR60" s="1529"/>
      <c r="AS60" s="1529"/>
      <c r="AT60" s="1529"/>
      <c r="AU60" s="1529"/>
      <c r="AV60" s="1529"/>
      <c r="AW60" s="1529"/>
      <c r="AX60" s="1529"/>
      <c r="AY60" s="1529"/>
      <c r="AZ60" s="1529"/>
      <c r="BA60" s="1529"/>
      <c r="BB60" s="1529"/>
      <c r="BC60" s="1529"/>
      <c r="BD60" s="1529"/>
      <c r="BE60" s="1529"/>
      <c r="BF60" s="1529"/>
      <c r="BG60" s="1529"/>
      <c r="BH60" s="1529"/>
      <c r="BI60" s="1529"/>
      <c r="BJ60" s="1529"/>
      <c r="BK60" s="1521"/>
      <c r="BL60" s="1521"/>
      <c r="BM60" s="1521"/>
      <c r="BN60" s="1521"/>
      <c r="BO60" s="1521"/>
      <c r="BP60" s="1521"/>
      <c r="BQ60" s="1521"/>
      <c r="BR60" s="1521"/>
      <c r="BS60" s="1521"/>
      <c r="BT60" s="1521"/>
      <c r="BU60" s="1521"/>
      <c r="BV60" s="1521"/>
      <c r="BW60" s="1521"/>
      <c r="BX60" s="1521"/>
      <c r="BY60" s="1521"/>
    </row>
    <row r="61" spans="1:77" hidden="1" outlineLevel="1">
      <c r="A61" s="1531" t="s">
        <v>272</v>
      </c>
      <c r="B61" s="1521"/>
      <c r="C61" s="1521"/>
      <c r="D61" s="1520"/>
      <c r="E61" s="1520"/>
      <c r="F61" s="1520"/>
      <c r="G61" s="1520"/>
      <c r="H61" s="1520"/>
      <c r="I61" s="1520"/>
      <c r="J61" s="1526">
        <f>J63*0.9</f>
        <v>19.3689</v>
      </c>
      <c r="K61" s="1526"/>
      <c r="L61" s="1526">
        <f>L63*0.9</f>
        <v>34.334099999999999</v>
      </c>
      <c r="M61" s="1526"/>
      <c r="N61" s="1526">
        <f>N63*0.9</f>
        <v>33.189300000000003</v>
      </c>
      <c r="O61" s="1372"/>
      <c r="P61" s="1526">
        <f>P63*0.9</f>
        <v>20.078100000000003</v>
      </c>
      <c r="Q61" s="1372"/>
      <c r="R61" s="1526">
        <f>R63*0.9</f>
        <v>25.997399999999999</v>
      </c>
      <c r="S61" s="1372"/>
      <c r="T61" s="1526">
        <f>T63*0.9</f>
        <v>39.109499999999997</v>
      </c>
      <c r="U61" s="1372"/>
      <c r="V61" s="1526">
        <f>V63*0.9</f>
        <v>67.626900000000006</v>
      </c>
      <c r="W61" s="1372"/>
      <c r="X61" s="1526">
        <f>X63*0.9</f>
        <v>111.56489999999999</v>
      </c>
      <c r="Y61" s="1372"/>
      <c r="Z61" s="1526">
        <f>Z63*0.9</f>
        <v>190.8261</v>
      </c>
      <c r="AA61" s="1372"/>
      <c r="AB61" s="1526">
        <f>AB63*0.9</f>
        <v>103.83300000000001</v>
      </c>
      <c r="AC61" s="1372"/>
      <c r="AD61" s="1526">
        <f>AD63*0.9</f>
        <v>101.29770000000001</v>
      </c>
      <c r="AE61" s="1372"/>
      <c r="AF61" s="1526">
        <f>AF63*0.9</f>
        <v>98.334000000000003</v>
      </c>
      <c r="AG61" s="1372"/>
      <c r="AH61" s="1526">
        <f>AH63*0.9</f>
        <v>129.27780000000001</v>
      </c>
      <c r="AI61" s="1372"/>
      <c r="AJ61" s="1526">
        <f>AJ63*0.9</f>
        <v>171.00899999999999</v>
      </c>
      <c r="AK61" s="1372"/>
      <c r="AL61" s="1526">
        <f>AL63*0.9</f>
        <v>151.98750000000001</v>
      </c>
      <c r="AM61" s="1372"/>
      <c r="AN61" s="1526">
        <f>AN63*0.9</f>
        <v>167.49090000000001</v>
      </c>
      <c r="AO61" s="1372"/>
      <c r="AP61" s="1526">
        <f>AP63*0.9</f>
        <v>206.8236</v>
      </c>
      <c r="AQ61" s="1526"/>
      <c r="AR61" s="1526"/>
      <c r="AS61" s="1526"/>
      <c r="AT61" s="1526"/>
      <c r="AU61" s="1526"/>
      <c r="AV61" s="1529"/>
      <c r="AW61" s="1526"/>
      <c r="AX61" s="1529"/>
      <c r="AY61" s="1529"/>
      <c r="AZ61" s="1529"/>
      <c r="BA61" s="1529"/>
      <c r="BB61" s="1529"/>
      <c r="BC61" s="1529"/>
      <c r="BD61" s="1529"/>
      <c r="BE61" s="1529"/>
      <c r="BF61" s="1529"/>
      <c r="BG61" s="1529"/>
      <c r="BH61" s="1529"/>
      <c r="BI61" s="1529"/>
      <c r="BJ61" s="1529"/>
      <c r="BK61" s="1521"/>
      <c r="BL61" s="1521"/>
      <c r="BM61" s="1521"/>
      <c r="BN61" s="1521"/>
      <c r="BO61" s="1521"/>
      <c r="BP61" s="1521"/>
      <c r="BQ61" s="1521"/>
      <c r="BR61" s="1521"/>
      <c r="BS61" s="1521"/>
      <c r="BT61" s="1521"/>
      <c r="BU61" s="1521"/>
      <c r="BV61" s="1521"/>
      <c r="BW61" s="1521"/>
      <c r="BX61" s="1521"/>
      <c r="BY61" s="1521"/>
    </row>
    <row r="62" spans="1:77" hidden="1" outlineLevel="1">
      <c r="A62" s="1531" t="s">
        <v>273</v>
      </c>
      <c r="B62" s="1521"/>
      <c r="C62" s="1521"/>
      <c r="D62" s="1520"/>
      <c r="E62" s="1520"/>
      <c r="F62" s="1520"/>
      <c r="G62" s="1520"/>
      <c r="H62" s="1520"/>
      <c r="I62" s="1520"/>
      <c r="J62" s="1532">
        <f>J63-J61</f>
        <v>2.1521000000000008</v>
      </c>
      <c r="K62" s="1533"/>
      <c r="L62" s="1532">
        <f>L63-L61</f>
        <v>3.8149000000000015</v>
      </c>
      <c r="M62" s="1533"/>
      <c r="N62" s="1532">
        <f>N63-N61</f>
        <v>3.6876999999999995</v>
      </c>
      <c r="O62" s="1533"/>
      <c r="P62" s="1532">
        <f>P63-P61</f>
        <v>2.2308999999999983</v>
      </c>
      <c r="Q62" s="1533"/>
      <c r="R62" s="1532">
        <f>R63-R61</f>
        <v>2.8886000000000003</v>
      </c>
      <c r="S62" s="1533"/>
      <c r="T62" s="1532">
        <f>T63-T61</f>
        <v>4.3455000000000013</v>
      </c>
      <c r="U62" s="1533"/>
      <c r="V62" s="1532">
        <f>V63-V61</f>
        <v>7.5140999999999991</v>
      </c>
      <c r="W62" s="1533"/>
      <c r="X62" s="1532">
        <f>X63-X61</f>
        <v>12.396100000000004</v>
      </c>
      <c r="Y62" s="1533"/>
      <c r="Z62" s="1532">
        <f>Z63-Z61</f>
        <v>21.2029</v>
      </c>
      <c r="AA62" s="1533"/>
      <c r="AB62" s="1532">
        <f>AB63-AB61</f>
        <v>11.536999999999992</v>
      </c>
      <c r="AC62" s="1533"/>
      <c r="AD62" s="1532">
        <f>AD63-AD61</f>
        <v>11.255299999999991</v>
      </c>
      <c r="AE62" s="1533"/>
      <c r="AF62" s="1532">
        <f>AF63-AF61</f>
        <v>10.926000000000002</v>
      </c>
      <c r="AG62" s="1533"/>
      <c r="AH62" s="1532">
        <f>AH63-AH61</f>
        <v>14.364199999999983</v>
      </c>
      <c r="AI62" s="1533"/>
      <c r="AJ62" s="1532">
        <f>AJ63-AJ61</f>
        <v>19.001000000000005</v>
      </c>
      <c r="AK62" s="1533"/>
      <c r="AL62" s="1532">
        <f>AL63-AL61</f>
        <v>16.887499999999989</v>
      </c>
      <c r="AM62" s="1533"/>
      <c r="AN62" s="1532">
        <f>AN63-AN61</f>
        <v>18.610099999999989</v>
      </c>
      <c r="AO62" s="1533"/>
      <c r="AP62" s="1532">
        <f>AP63-AP61</f>
        <v>22.980400000000003</v>
      </c>
      <c r="AQ62" s="1532"/>
      <c r="AR62" s="1532"/>
      <c r="AS62" s="1532"/>
      <c r="AT62" s="1532"/>
      <c r="AU62" s="1532"/>
      <c r="AV62" s="1521"/>
      <c r="AW62" s="1532"/>
      <c r="AX62" s="1521"/>
      <c r="AY62" s="1521"/>
      <c r="AZ62" s="1521"/>
      <c r="BA62" s="1521"/>
      <c r="BB62" s="1521"/>
      <c r="BC62" s="1521"/>
      <c r="BD62" s="1521"/>
      <c r="BE62" s="1521"/>
      <c r="BF62" s="1521"/>
      <c r="BG62" s="1521"/>
      <c r="BH62" s="1521"/>
      <c r="BI62" s="1521"/>
      <c r="BJ62" s="1521"/>
      <c r="BK62" s="1521"/>
      <c r="BL62" s="1521"/>
      <c r="BM62" s="1521"/>
      <c r="BN62" s="1521"/>
      <c r="BO62" s="1521"/>
      <c r="BP62" s="1521"/>
      <c r="BQ62" s="1521"/>
      <c r="BR62" s="1521"/>
      <c r="BS62" s="1521"/>
      <c r="BT62" s="1521"/>
      <c r="BU62" s="1521"/>
      <c r="BV62" s="1521"/>
      <c r="BW62" s="1521"/>
      <c r="BX62" s="1521"/>
      <c r="BY62" s="1521"/>
    </row>
    <row r="63" spans="1:77" hidden="1" outlineLevel="1">
      <c r="A63" s="1531" t="s">
        <v>275</v>
      </c>
      <c r="B63" s="1521"/>
      <c r="C63" s="1521"/>
      <c r="D63" s="1520"/>
      <c r="E63" s="1520"/>
      <c r="F63" s="1520"/>
      <c r="G63" s="1520"/>
      <c r="H63" s="1520"/>
      <c r="I63" s="1520"/>
      <c r="J63" s="1484">
        <f>J20</f>
        <v>21.521000000000001</v>
      </c>
      <c r="K63" s="1372"/>
      <c r="L63" s="1484">
        <f>L20</f>
        <v>38.149000000000001</v>
      </c>
      <c r="M63" s="1372"/>
      <c r="N63" s="1484">
        <f>N20</f>
        <v>36.877000000000002</v>
      </c>
      <c r="O63" s="1372"/>
      <c r="P63" s="1484">
        <f>P20</f>
        <v>22.309000000000001</v>
      </c>
      <c r="Q63" s="1372"/>
      <c r="R63" s="1484">
        <f>R20</f>
        <v>28.885999999999999</v>
      </c>
      <c r="S63" s="1372"/>
      <c r="T63" s="1484">
        <f>T20</f>
        <v>43.454999999999998</v>
      </c>
      <c r="U63" s="1372"/>
      <c r="V63" s="1484">
        <f>V20</f>
        <v>75.141000000000005</v>
      </c>
      <c r="W63" s="1372"/>
      <c r="X63" s="1484">
        <f>X20</f>
        <v>123.961</v>
      </c>
      <c r="Y63" s="1372"/>
      <c r="Z63" s="1484">
        <f>Z20</f>
        <v>212.029</v>
      </c>
      <c r="AA63" s="1372"/>
      <c r="AB63" s="1484">
        <f>AB20</f>
        <v>115.37</v>
      </c>
      <c r="AC63" s="1372"/>
      <c r="AD63" s="1484">
        <f>AD20</f>
        <v>112.553</v>
      </c>
      <c r="AE63" s="1372"/>
      <c r="AF63" s="1484">
        <f>AF20</f>
        <v>109.26</v>
      </c>
      <c r="AG63" s="1372"/>
      <c r="AH63" s="1484">
        <f>AH20</f>
        <v>143.642</v>
      </c>
      <c r="AI63" s="1372"/>
      <c r="AJ63" s="1484">
        <f>AJ20</f>
        <v>190.01</v>
      </c>
      <c r="AK63" s="1372"/>
      <c r="AL63" s="1484">
        <f>AL20</f>
        <v>168.875</v>
      </c>
      <c r="AM63" s="1372"/>
      <c r="AN63" s="1484">
        <f>AN20</f>
        <v>186.101</v>
      </c>
      <c r="AO63" s="1372"/>
      <c r="AP63" s="1484">
        <f>AP20</f>
        <v>229.804</v>
      </c>
      <c r="AQ63" s="1484"/>
      <c r="AR63" s="1484"/>
      <c r="AS63" s="1484"/>
      <c r="AT63" s="1484"/>
      <c r="AU63" s="1484"/>
      <c r="AV63" s="1521"/>
      <c r="AW63" s="1484"/>
      <c r="AX63" s="1521"/>
      <c r="AY63" s="1521"/>
      <c r="AZ63" s="1521"/>
      <c r="BA63" s="1521"/>
      <c r="BB63" s="1521"/>
      <c r="BC63" s="1521"/>
      <c r="BD63" s="1521"/>
      <c r="BE63" s="1521"/>
      <c r="BF63" s="1521"/>
      <c r="BG63" s="1521"/>
      <c r="BH63" s="1521"/>
      <c r="BI63" s="1521"/>
      <c r="BJ63" s="1521"/>
      <c r="BK63" s="1521"/>
      <c r="BL63" s="1521"/>
      <c r="BM63" s="1521"/>
      <c r="BN63" s="1521"/>
      <c r="BO63" s="1521"/>
      <c r="BP63" s="1521"/>
      <c r="BQ63" s="1521"/>
      <c r="BR63" s="1521"/>
      <c r="BS63" s="1521"/>
      <c r="BT63" s="1521"/>
      <c r="BU63" s="1521"/>
      <c r="BV63" s="1521"/>
      <c r="BW63" s="1521"/>
      <c r="BX63" s="1521"/>
      <c r="BY63" s="1521"/>
    </row>
    <row r="64" spans="1:77" collapsed="1">
      <c r="A64" s="1372"/>
      <c r="B64" s="1372"/>
      <c r="C64" s="1531"/>
      <c r="D64" s="1517"/>
      <c r="E64" s="1517"/>
      <c r="F64" s="1517"/>
      <c r="G64" s="1517"/>
      <c r="H64" s="1517"/>
      <c r="I64" s="1517"/>
      <c r="J64" s="1372"/>
      <c r="K64" s="1372"/>
      <c r="L64" s="1372"/>
      <c r="M64" s="1372"/>
      <c r="N64" s="1372"/>
      <c r="O64" s="1372"/>
      <c r="P64" s="1372"/>
      <c r="Q64" s="1372"/>
      <c r="R64" s="1372"/>
      <c r="S64" s="1372"/>
      <c r="T64" s="1372"/>
      <c r="U64" s="1372"/>
      <c r="V64" s="1372"/>
      <c r="W64" s="1372"/>
      <c r="X64" s="1372"/>
      <c r="Y64" s="1372"/>
      <c r="Z64" s="1372"/>
      <c r="AA64" s="1372"/>
      <c r="AB64" s="1372"/>
      <c r="AC64" s="1372"/>
      <c r="AD64" s="1372"/>
      <c r="AE64" s="1372"/>
      <c r="AF64" s="1372"/>
      <c r="AG64" s="1372"/>
      <c r="AH64" s="1372"/>
      <c r="AI64" s="1372"/>
      <c r="AJ64" s="1372"/>
      <c r="AK64" s="1372"/>
      <c r="AL64" s="1372"/>
      <c r="AM64" s="1372"/>
      <c r="AN64" s="1372"/>
      <c r="AO64" s="1372"/>
      <c r="AP64" s="1372"/>
      <c r="AQ64" s="1372"/>
      <c r="AR64" s="1372"/>
      <c r="AS64" s="1372"/>
      <c r="AT64" s="1372"/>
      <c r="AU64" s="1372"/>
      <c r="AV64" s="1372"/>
      <c r="AW64" s="1372"/>
      <c r="AX64" s="1372"/>
      <c r="AY64" s="1372"/>
      <c r="AZ64" s="1372"/>
      <c r="BA64" s="1372"/>
      <c r="BB64" s="1372"/>
      <c r="BC64" s="1372"/>
      <c r="BD64" s="1372"/>
      <c r="BE64" s="1372"/>
      <c r="BF64" s="1372"/>
      <c r="BG64" s="1372"/>
      <c r="BH64" s="1372"/>
      <c r="BI64" s="1372"/>
      <c r="BJ64" s="1372"/>
      <c r="BK64" s="1372"/>
      <c r="BL64" s="1372"/>
      <c r="BM64" s="1372"/>
      <c r="BN64" s="1372"/>
      <c r="BO64" s="1372"/>
      <c r="BP64" s="1372"/>
      <c r="BQ64" s="1372"/>
      <c r="BR64" s="1372"/>
      <c r="BS64" s="1372"/>
      <c r="BT64" s="1372"/>
      <c r="BU64" s="1372"/>
      <c r="BV64" s="1372"/>
      <c r="BW64" s="1372"/>
      <c r="BX64" s="1372"/>
      <c r="BY64" s="1372"/>
    </row>
    <row r="65" spans="1:77">
      <c r="A65" s="1372" t="s">
        <v>274</v>
      </c>
      <c r="B65" s="1372"/>
      <c r="C65" s="1372"/>
      <c r="D65" s="1372"/>
      <c r="E65" s="1372"/>
      <c r="F65" s="1372"/>
      <c r="G65" s="1372"/>
      <c r="H65" s="1372"/>
      <c r="I65" s="1372"/>
      <c r="J65" s="1534">
        <f>J45/'yrP&amp;L'!F54</f>
        <v>-1.078553317959075E-2</v>
      </c>
      <c r="K65" s="1534"/>
      <c r="L65" s="1534">
        <f>L45/'yrP&amp;L'!G54</f>
        <v>-8.7128389503101089E-2</v>
      </c>
      <c r="M65" s="1534"/>
      <c r="N65" s="1534">
        <f>N45/'yrP&amp;L'!H54</f>
        <v>2.5779819623838986E-2</v>
      </c>
      <c r="O65" s="1534"/>
      <c r="P65" s="1534">
        <f>P45/'yrP&amp;L'!I54</f>
        <v>8.576590233872175E-2</v>
      </c>
      <c r="Q65" s="1534"/>
      <c r="R65" s="1534">
        <f>R45/'yrP&amp;L'!J54</f>
        <v>3.1436238437189297E-2</v>
      </c>
      <c r="S65" s="1534"/>
      <c r="T65" s="1534">
        <f>T45/'yrP&amp;L'!K54</f>
        <v>-0.18438438909520255</v>
      </c>
      <c r="U65" s="1534"/>
      <c r="V65" s="1534">
        <f>V45/'yrP&amp;L'!L54</f>
        <v>0.15786949580534346</v>
      </c>
      <c r="W65" s="1534"/>
      <c r="X65" s="1534">
        <f>X45/'yrP&amp;L'!M54</f>
        <v>0.11875644437309189</v>
      </c>
      <c r="Y65" s="1534"/>
      <c r="Z65" s="1534">
        <f>Z45/'yrP&amp;L'!N54</f>
        <v>-0.13427056500158294</v>
      </c>
      <c r="AA65" s="1534"/>
      <c r="AB65" s="1534">
        <f>AB45/'yrP&amp;L'!O54</f>
        <v>0.45983184281277673</v>
      </c>
      <c r="AC65" s="1534"/>
      <c r="AD65" s="1534">
        <f>AD45/'yrP&amp;L'!P54</f>
        <v>1.2336674901950091</v>
      </c>
      <c r="AE65" s="1534"/>
      <c r="AF65" s="1534">
        <f>AF46/'yrP&amp;L'!P54</f>
        <v>0.93081711753796192</v>
      </c>
      <c r="AG65" s="1534"/>
      <c r="AH65" s="1534">
        <f>AH46/'yrP&amp;L'!R54</f>
        <v>1.9965602131659257</v>
      </c>
      <c r="AI65" s="1534"/>
      <c r="AJ65" s="1534">
        <f>AJ45/'yrP&amp;L'!S54</f>
        <v>-1.2483666742772015</v>
      </c>
      <c r="AK65" s="1534"/>
      <c r="AL65" s="1534">
        <f>AL45/'yrP&amp;L'!T54</f>
        <v>0.68221381847872187</v>
      </c>
      <c r="AM65" s="1534"/>
      <c r="AN65" s="1534">
        <f>AN45/'yrP&amp;L'!U54</f>
        <v>-2.1662915270266595E-2</v>
      </c>
      <c r="AO65" s="1534"/>
      <c r="AP65" s="1534">
        <f>AP45/'yrP&amp;L'!W54</f>
        <v>-0.69437448936983659</v>
      </c>
      <c r="AQ65" s="1534"/>
      <c r="AR65" s="1534"/>
      <c r="AS65" s="1534"/>
      <c r="AT65" s="1534"/>
      <c r="AU65" s="1534"/>
      <c r="AV65" s="1372"/>
      <c r="AW65" s="1534"/>
      <c r="AX65" s="1372"/>
      <c r="AY65" s="1372"/>
      <c r="AZ65" s="1372"/>
      <c r="BA65" s="1372"/>
      <c r="BB65" s="1372"/>
      <c r="BC65" s="1372"/>
      <c r="BD65" s="1372"/>
      <c r="BE65" s="1372"/>
      <c r="BF65" s="1372"/>
      <c r="BG65" s="1372"/>
      <c r="BH65" s="1372"/>
      <c r="BI65" s="1372"/>
      <c r="BJ65" s="1372"/>
      <c r="BK65" s="1517"/>
      <c r="BL65" s="1517"/>
      <c r="BM65" s="1372"/>
      <c r="BN65" s="1372"/>
      <c r="BO65" s="1372"/>
      <c r="BP65" s="1372"/>
      <c r="BQ65" s="1372"/>
      <c r="BR65" s="1372"/>
      <c r="BS65" s="1372"/>
      <c r="BT65" s="1372"/>
      <c r="BU65" s="1372"/>
      <c r="BV65" s="1372"/>
      <c r="BW65" s="1372"/>
      <c r="BX65" s="1372"/>
      <c r="BY65" s="1372"/>
    </row>
    <row r="66" spans="1:77">
      <c r="A66" s="704"/>
      <c r="B66" s="704"/>
      <c r="C66" s="704"/>
      <c r="D66" s="703"/>
      <c r="E66" s="703"/>
      <c r="F66" s="703"/>
      <c r="G66" s="703"/>
      <c r="H66" s="703"/>
      <c r="I66" s="703"/>
      <c r="J66" s="825"/>
      <c r="K66" s="704"/>
      <c r="L66" s="825"/>
      <c r="M66" s="704"/>
      <c r="N66" s="825"/>
      <c r="O66" s="704"/>
      <c r="P66" s="825"/>
      <c r="Q66" s="704"/>
      <c r="R66" s="1414"/>
      <c r="S66" s="704"/>
      <c r="T66" s="1414"/>
      <c r="U66" s="704"/>
      <c r="V66" s="1414"/>
      <c r="W66" s="704"/>
      <c r="X66" s="1414"/>
      <c r="Y66" s="704"/>
      <c r="Z66" s="1414"/>
      <c r="AA66" s="704"/>
      <c r="AB66" s="1414"/>
      <c r="AC66" s="704"/>
      <c r="AD66" s="1414"/>
      <c r="AE66" s="704"/>
      <c r="AF66" s="1414"/>
      <c r="AG66" s="704"/>
      <c r="AH66" s="1414"/>
      <c r="AI66" s="704"/>
      <c r="AJ66" s="1414"/>
      <c r="AK66" s="704"/>
      <c r="AL66" s="1414"/>
      <c r="AM66" s="704"/>
      <c r="AN66" s="1414"/>
      <c r="AO66" s="704"/>
      <c r="AP66" s="1414"/>
      <c r="AQ66" s="1414"/>
      <c r="AR66" s="1414"/>
      <c r="AS66" s="1414"/>
      <c r="AT66" s="1414"/>
      <c r="AU66" s="1414"/>
      <c r="AV66" s="1414"/>
      <c r="AW66" s="1414"/>
      <c r="AX66" s="1414"/>
      <c r="AY66" s="1414"/>
      <c r="AZ66" s="1414"/>
      <c r="BA66" s="1414"/>
      <c r="BB66" s="1414"/>
      <c r="BC66" s="1414"/>
      <c r="BD66" s="1414"/>
      <c r="BE66" s="1414"/>
      <c r="BF66" s="1414"/>
      <c r="BG66" s="1414"/>
      <c r="BH66" s="1414"/>
      <c r="BI66" s="1414"/>
      <c r="BJ66" s="1414"/>
      <c r="BK66" s="704"/>
      <c r="BL66" s="704"/>
      <c r="BM66" s="704"/>
      <c r="BN66" s="704"/>
      <c r="BO66" s="704"/>
      <c r="BP66" s="704"/>
      <c r="BQ66" s="704"/>
      <c r="BR66" s="704"/>
      <c r="BS66" s="704"/>
      <c r="BT66" s="704"/>
      <c r="BU66" s="704"/>
      <c r="BV66" s="704"/>
      <c r="BW66" s="704"/>
      <c r="BX66" s="704"/>
      <c r="BY66" s="704"/>
    </row>
    <row r="67" spans="1:77" customFormat="1" outlineLevel="1"/>
  </sheetData>
  <phoneticPr fontId="0" type="noConversion"/>
  <dataValidations disablePrompts="1" count="1">
    <dataValidation type="custom" allowBlank="1" showInputMessage="1" showErrorMessage="1" sqref="A55:A63 C64">
      <formula1>-1</formula1>
    </dataValidation>
  </dataValidations>
  <printOptions horizontalCentered="1"/>
  <pageMargins left="0" right="0" top="0" bottom="0" header="0" footer="0"/>
  <pageSetup paperSize="5" scale="98" orientation="landscape" r:id="rId1"/>
  <headerFooter alignWithMargins="0">
    <oddFooter>&amp;R&amp;8&amp;D/&amp;T
&amp;F/&amp;A</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tabColor indexed="59"/>
    <pageSetUpPr fitToPage="1"/>
  </sheetPr>
  <dimension ref="A1:AI191"/>
  <sheetViews>
    <sheetView zoomScaleNormal="100" workbookViewId="0">
      <pane xSplit="3" ySplit="8" topLeftCell="D152" activePane="bottomRight" state="frozen"/>
      <selection activeCell="AA15" sqref="AA15"/>
      <selection pane="topRight" activeCell="AA15" sqref="AA15"/>
      <selection pane="bottomLeft" activeCell="AA15" sqref="AA15"/>
      <selection pane="bottomRight" activeCell="B171" sqref="B171"/>
    </sheetView>
  </sheetViews>
  <sheetFormatPr defaultRowHeight="12.75" outlineLevelRow="1"/>
  <cols>
    <col min="1" max="1" width="2.85546875" style="160" customWidth="1"/>
    <col min="2" max="2" width="9" style="160" customWidth="1"/>
    <col min="3" max="3" width="1.7109375" style="160" customWidth="1"/>
    <col min="4" max="4" width="8.5703125" style="160" customWidth="1"/>
    <col min="5" max="5" width="1.7109375" style="160" customWidth="1"/>
    <col min="6" max="6" width="8.5703125" style="160" customWidth="1"/>
    <col min="7" max="7" width="1.7109375" style="160" customWidth="1"/>
    <col min="8" max="8" width="7.42578125" style="160" customWidth="1"/>
    <col min="9" max="9" width="1.7109375" style="160" customWidth="1"/>
    <col min="10" max="10" width="7.42578125" style="160" customWidth="1"/>
    <col min="11" max="11" width="1.7109375" style="160" customWidth="1"/>
    <col min="12" max="12" width="7.85546875" style="160" customWidth="1"/>
    <col min="13" max="13" width="1.7109375" style="160" customWidth="1"/>
    <col min="14" max="14" width="7.7109375" style="160" customWidth="1"/>
    <col min="15" max="15" width="1.7109375" style="160" customWidth="1"/>
    <col min="16" max="16" width="7.7109375" style="160" customWidth="1"/>
    <col min="17" max="17" width="1.7109375" style="160" customWidth="1"/>
    <col min="18" max="18" width="8.85546875" style="160" customWidth="1"/>
    <col min="19" max="19" width="1.7109375" style="160" customWidth="1"/>
    <col min="20" max="20" width="8.85546875" style="160" customWidth="1"/>
    <col min="21" max="21" width="1.7109375" style="160" customWidth="1"/>
    <col min="22" max="22" width="8.140625" style="160" customWidth="1"/>
    <col min="23" max="23" width="1.7109375" style="160" customWidth="1"/>
    <col min="24" max="24" width="8.140625" style="160" customWidth="1"/>
    <col min="25" max="25" width="1.7109375" style="160" customWidth="1"/>
    <col min="26" max="26" width="8.140625" style="160" customWidth="1"/>
    <col min="27" max="27" width="1.7109375" style="160" customWidth="1"/>
    <col min="28" max="28" width="8.140625" style="160" customWidth="1"/>
    <col min="29" max="29" width="1.7109375" style="160" customWidth="1"/>
    <col min="30" max="30" width="8.140625" style="160" customWidth="1"/>
    <col min="31" max="31" width="1.7109375" style="160" customWidth="1"/>
    <col min="32" max="32" width="8.140625" style="160" customWidth="1"/>
    <col min="33" max="33" width="1.7109375" style="160" customWidth="1"/>
    <col min="34" max="34" width="12" style="160" customWidth="1"/>
    <col min="35" max="35" width="2" style="160" customWidth="1"/>
    <col min="36" max="16384" width="9.140625" style="160"/>
  </cols>
  <sheetData>
    <row r="1" spans="1:35">
      <c r="A1" s="412" t="str">
        <f>'qtrP&amp;L'!A1</f>
        <v>Urban Outfitters, Inc.</v>
      </c>
      <c r="B1" s="555"/>
      <c r="C1" s="412"/>
      <c r="D1" s="412"/>
      <c r="E1" s="556"/>
      <c r="F1" s="412"/>
      <c r="G1" s="412"/>
      <c r="H1" s="412"/>
      <c r="I1" s="556"/>
      <c r="J1" s="557"/>
      <c r="K1" s="557"/>
      <c r="L1" s="557"/>
      <c r="M1" s="558"/>
      <c r="N1" s="557"/>
      <c r="O1" s="558"/>
      <c r="P1" s="557"/>
      <c r="Q1" s="557"/>
      <c r="R1" s="558"/>
      <c r="S1" s="557"/>
      <c r="T1" s="557"/>
      <c r="U1" s="558"/>
      <c r="V1" s="558"/>
      <c r="W1" s="557"/>
      <c r="X1" s="557"/>
      <c r="Y1" s="557"/>
      <c r="Z1" s="557"/>
      <c r="AA1" s="557"/>
      <c r="AB1" s="558"/>
      <c r="AC1" s="557"/>
      <c r="AD1" s="557"/>
      <c r="AE1" s="557"/>
      <c r="AF1" s="557"/>
      <c r="AG1" s="557"/>
      <c r="AH1" s="557"/>
      <c r="AI1" s="557"/>
    </row>
    <row r="2" spans="1:35">
      <c r="A2" s="414" t="s">
        <v>725</v>
      </c>
      <c r="B2" s="559"/>
      <c r="C2" s="560"/>
      <c r="D2" s="560"/>
      <c r="E2" s="561"/>
      <c r="F2" s="560"/>
      <c r="G2" s="560"/>
      <c r="H2" s="560"/>
      <c r="I2" s="561"/>
      <c r="J2" s="560"/>
      <c r="K2" s="560"/>
      <c r="L2" s="560"/>
      <c r="M2" s="561"/>
      <c r="N2" s="560"/>
      <c r="O2" s="561"/>
      <c r="P2" s="560"/>
      <c r="Q2" s="560"/>
      <c r="R2" s="561"/>
      <c r="S2" s="560"/>
      <c r="T2" s="560"/>
      <c r="U2" s="561"/>
      <c r="V2" s="561"/>
      <c r="W2" s="560"/>
      <c r="X2" s="1540"/>
      <c r="Y2" s="560"/>
      <c r="Z2" s="560"/>
      <c r="AA2" s="560"/>
      <c r="AB2" s="561"/>
      <c r="AC2" s="560"/>
      <c r="AD2" s="560"/>
      <c r="AE2" s="560"/>
      <c r="AF2" s="560"/>
      <c r="AG2" s="560"/>
      <c r="AH2" s="557"/>
      <c r="AI2" s="557"/>
    </row>
    <row r="3" spans="1:35" ht="12.75" customHeight="1">
      <c r="A3" s="1541" t="s">
        <v>404</v>
      </c>
      <c r="B3" s="1542"/>
      <c r="C3" s="1541"/>
      <c r="D3" s="1542"/>
      <c r="E3" s="1541"/>
      <c r="F3" s="1541"/>
      <c r="G3" s="1541"/>
      <c r="H3" s="1541"/>
      <c r="I3" s="1541"/>
      <c r="J3" s="1541"/>
      <c r="K3" s="1541"/>
      <c r="L3" s="1541"/>
      <c r="M3" s="1541"/>
      <c r="N3" s="1541"/>
      <c r="O3" s="1541"/>
      <c r="P3" s="1541"/>
      <c r="Q3" s="1541"/>
      <c r="R3" s="1541"/>
      <c r="S3" s="1541"/>
      <c r="T3" s="1541"/>
      <c r="U3" s="1541"/>
      <c r="V3" s="1541"/>
      <c r="W3" s="1541"/>
      <c r="X3" s="1541"/>
      <c r="Y3" s="1541"/>
      <c r="Z3" s="1541"/>
      <c r="AA3" s="1541"/>
      <c r="AB3" s="1541"/>
      <c r="AC3" s="1541"/>
      <c r="AD3" s="1541"/>
      <c r="AE3" s="1541"/>
      <c r="AF3" s="1541"/>
      <c r="AG3" s="1541"/>
      <c r="AH3" s="1541"/>
      <c r="AI3" s="1541"/>
    </row>
    <row r="4" spans="1:35">
      <c r="A4" s="1543"/>
      <c r="B4" s="1543"/>
      <c r="C4" s="1543"/>
      <c r="D4" s="1543"/>
      <c r="E4" s="1543"/>
      <c r="F4" s="1543"/>
      <c r="G4" s="1543"/>
      <c r="H4" s="1543"/>
      <c r="I4" s="1543"/>
      <c r="J4" s="1543"/>
      <c r="K4" s="1543"/>
      <c r="L4" s="1543"/>
      <c r="M4" s="1543"/>
      <c r="N4" s="1543"/>
      <c r="O4" s="1543"/>
      <c r="P4" s="1543"/>
      <c r="Q4" s="1543"/>
      <c r="R4" s="1543"/>
      <c r="S4" s="1543"/>
      <c r="T4" s="1543"/>
      <c r="U4" s="1543"/>
      <c r="V4" s="1543"/>
      <c r="W4" s="1543"/>
      <c r="X4" s="1543"/>
      <c r="Y4" s="1543"/>
      <c r="Z4" s="1543"/>
      <c r="AA4" s="1543"/>
      <c r="AB4" s="1543"/>
      <c r="AC4" s="1543"/>
      <c r="AD4" s="1543"/>
      <c r="AE4" s="1543"/>
      <c r="AF4" s="1543"/>
      <c r="AG4" s="1543"/>
      <c r="AH4" s="1543"/>
      <c r="AI4" s="1543"/>
    </row>
    <row r="5" spans="1:35">
      <c r="A5" s="1543"/>
      <c r="B5" s="1543"/>
      <c r="C5" s="1543"/>
      <c r="D5" s="1544"/>
      <c r="E5" s="1544"/>
      <c r="F5" s="1544"/>
      <c r="G5" s="1544" t="s">
        <v>307</v>
      </c>
      <c r="H5" s="1544"/>
      <c r="I5" s="1544"/>
      <c r="J5" s="1544"/>
      <c r="K5" s="1543"/>
      <c r="L5" s="1544"/>
      <c r="M5" s="1544"/>
      <c r="N5" s="1544"/>
      <c r="O5" s="1544" t="s">
        <v>308</v>
      </c>
      <c r="P5" s="1544"/>
      <c r="Q5" s="1543"/>
      <c r="R5" s="1543"/>
      <c r="S5" s="1543" t="s">
        <v>309</v>
      </c>
      <c r="T5" s="1543"/>
      <c r="U5" s="1543"/>
      <c r="V5" s="1544"/>
      <c r="W5" s="1544"/>
      <c r="X5" s="1544" t="s">
        <v>310</v>
      </c>
      <c r="Y5" s="1544"/>
      <c r="Z5" s="1544"/>
      <c r="AA5" s="1543"/>
      <c r="AB5" s="1544"/>
      <c r="AC5" s="1544"/>
      <c r="AD5" s="1544" t="s">
        <v>391</v>
      </c>
      <c r="AE5" s="1544"/>
      <c r="AF5" s="1544"/>
      <c r="AG5" s="1543"/>
      <c r="AH5" s="1545"/>
      <c r="AI5" s="1546" t="s">
        <v>180</v>
      </c>
    </row>
    <row r="6" spans="1:35">
      <c r="A6" s="1543"/>
      <c r="B6" s="1543"/>
      <c r="C6" s="1543"/>
      <c r="D6" s="1545"/>
      <c r="E6" s="1545"/>
      <c r="F6" s="1545"/>
      <c r="G6" s="1543"/>
      <c r="H6" s="1544"/>
      <c r="I6" s="1544" t="s">
        <v>311</v>
      </c>
      <c r="J6" s="1544"/>
      <c r="K6" s="1543"/>
      <c r="L6" s="1543" t="s">
        <v>295</v>
      </c>
      <c r="M6" s="1543"/>
      <c r="N6" s="1547"/>
      <c r="O6" s="1547" t="s">
        <v>312</v>
      </c>
      <c r="P6" s="1547"/>
      <c r="Q6" s="1543"/>
      <c r="R6" s="1544"/>
      <c r="S6" s="1544" t="s">
        <v>353</v>
      </c>
      <c r="T6" s="1544"/>
      <c r="U6" s="1543"/>
      <c r="V6" s="1543" t="s">
        <v>313</v>
      </c>
      <c r="W6" s="1543"/>
      <c r="X6" s="1543" t="s">
        <v>311</v>
      </c>
      <c r="Y6" s="1543"/>
      <c r="Z6" s="1543" t="s">
        <v>314</v>
      </c>
      <c r="AA6" s="1543"/>
      <c r="AB6" s="1543" t="s">
        <v>392</v>
      </c>
      <c r="AC6" s="1543"/>
      <c r="AD6" s="1543" t="s">
        <v>311</v>
      </c>
      <c r="AE6" s="1543"/>
      <c r="AF6" s="1543" t="s">
        <v>314</v>
      </c>
      <c r="AG6" s="1543"/>
      <c r="AH6" s="1544"/>
      <c r="AI6" s="1548" t="s">
        <v>181</v>
      </c>
    </row>
    <row r="7" spans="1:35">
      <c r="A7" s="1543"/>
      <c r="B7" s="1543"/>
      <c r="C7" s="1543"/>
      <c r="D7" s="1543"/>
      <c r="E7" s="1543"/>
      <c r="F7" s="1543" t="s">
        <v>315</v>
      </c>
      <c r="G7" s="1543"/>
      <c r="H7" s="1543" t="s">
        <v>316</v>
      </c>
      <c r="I7" s="1543"/>
      <c r="J7" s="1543"/>
      <c r="K7" s="1543"/>
      <c r="L7" s="1543" t="s">
        <v>352</v>
      </c>
      <c r="M7" s="1543"/>
      <c r="N7" s="1543" t="s">
        <v>317</v>
      </c>
      <c r="O7" s="1543"/>
      <c r="P7" s="1543" t="s">
        <v>317</v>
      </c>
      <c r="Q7" s="1543"/>
      <c r="R7" s="1543"/>
      <c r="S7" s="1543"/>
      <c r="T7" s="1543" t="s">
        <v>318</v>
      </c>
      <c r="U7" s="1543"/>
      <c r="V7" s="1543" t="s">
        <v>319</v>
      </c>
      <c r="W7" s="1543"/>
      <c r="X7" s="1543" t="s">
        <v>320</v>
      </c>
      <c r="Y7" s="1543"/>
      <c r="Z7" s="1543" t="s">
        <v>208</v>
      </c>
      <c r="AA7" s="1543"/>
      <c r="AB7" s="1543" t="s">
        <v>316</v>
      </c>
      <c r="AC7" s="1543"/>
      <c r="AD7" s="1543" t="s">
        <v>320</v>
      </c>
      <c r="AE7" s="1543"/>
      <c r="AF7" s="1543" t="s">
        <v>208</v>
      </c>
      <c r="AG7" s="1543"/>
      <c r="AH7" s="1543"/>
      <c r="AI7" s="1549" t="s">
        <v>182</v>
      </c>
    </row>
    <row r="8" spans="1:35">
      <c r="A8" s="1543"/>
      <c r="B8" s="1543"/>
      <c r="C8" s="1543"/>
      <c r="D8" s="1544" t="s">
        <v>295</v>
      </c>
      <c r="E8" s="1543"/>
      <c r="F8" s="1544" t="s">
        <v>321</v>
      </c>
      <c r="G8" s="1543"/>
      <c r="H8" s="1544" t="s">
        <v>322</v>
      </c>
      <c r="I8" s="1543"/>
      <c r="J8" s="1544" t="s">
        <v>323</v>
      </c>
      <c r="K8" s="1543"/>
      <c r="L8" s="1544" t="s">
        <v>324</v>
      </c>
      <c r="M8" s="1543"/>
      <c r="N8" s="1544" t="s">
        <v>251</v>
      </c>
      <c r="O8" s="1543"/>
      <c r="P8" s="1544" t="s">
        <v>322</v>
      </c>
      <c r="Q8" s="1543"/>
      <c r="R8" s="1544" t="s">
        <v>354</v>
      </c>
      <c r="S8" s="1543"/>
      <c r="T8" s="1544" t="s">
        <v>355</v>
      </c>
      <c r="U8" s="1543"/>
      <c r="V8" s="1544" t="s">
        <v>356</v>
      </c>
      <c r="W8" s="1543"/>
      <c r="X8" s="1544" t="s">
        <v>325</v>
      </c>
      <c r="Y8" s="1543"/>
      <c r="Z8" s="1544" t="s">
        <v>326</v>
      </c>
      <c r="AA8" s="1543"/>
      <c r="AB8" s="1544" t="s">
        <v>322</v>
      </c>
      <c r="AC8" s="1543"/>
      <c r="AD8" s="1544" t="s">
        <v>393</v>
      </c>
      <c r="AE8" s="1543"/>
      <c r="AF8" s="1544" t="s">
        <v>326</v>
      </c>
      <c r="AG8" s="1543"/>
      <c r="AH8" s="1544"/>
      <c r="AI8" s="1548" t="s">
        <v>183</v>
      </c>
    </row>
    <row r="9" spans="1:35">
      <c r="A9" s="163"/>
      <c r="B9" s="163"/>
      <c r="C9" s="163"/>
      <c r="D9" s="163"/>
      <c r="E9" s="163"/>
      <c r="F9" s="163"/>
      <c r="G9" s="163"/>
      <c r="H9" s="163"/>
      <c r="I9" s="163"/>
      <c r="J9" s="163"/>
      <c r="K9" s="163"/>
      <c r="L9" s="163"/>
      <c r="M9" s="163"/>
      <c r="N9" s="163"/>
      <c r="O9" s="163"/>
      <c r="P9" s="163"/>
      <c r="Q9" s="163"/>
      <c r="R9" s="163"/>
      <c r="S9" s="163"/>
      <c r="T9" s="163"/>
      <c r="U9" s="163"/>
      <c r="V9" s="163"/>
      <c r="W9" s="163"/>
      <c r="X9" s="163"/>
      <c r="Y9" s="163"/>
      <c r="Z9" s="163"/>
      <c r="AA9" s="163"/>
      <c r="AB9" s="163"/>
      <c r="AC9" s="163"/>
      <c r="AD9" s="163"/>
      <c r="AE9" s="163"/>
      <c r="AF9" s="163"/>
      <c r="AG9" s="163"/>
      <c r="AH9" s="1550"/>
      <c r="AI9" s="1550"/>
    </row>
    <row r="10" spans="1:35" hidden="1" outlineLevel="1">
      <c r="A10" s="163"/>
      <c r="B10" s="1551">
        <v>1994</v>
      </c>
      <c r="C10" s="163"/>
      <c r="D10" s="163"/>
      <c r="E10" s="163"/>
      <c r="F10" s="163"/>
      <c r="G10" s="163"/>
      <c r="H10" s="163"/>
      <c r="I10" s="163"/>
      <c r="J10" s="163"/>
      <c r="K10" s="163"/>
      <c r="L10" s="163"/>
      <c r="M10" s="163"/>
      <c r="N10" s="163"/>
      <c r="O10" s="163"/>
      <c r="P10" s="163"/>
      <c r="Q10" s="163"/>
      <c r="R10" s="163"/>
      <c r="S10" s="163"/>
      <c r="T10" s="163"/>
      <c r="U10" s="163"/>
      <c r="V10" s="163"/>
      <c r="W10" s="163"/>
      <c r="X10" s="163"/>
      <c r="Y10" s="163"/>
      <c r="Z10" s="163"/>
      <c r="AA10" s="163"/>
      <c r="AB10" s="163"/>
      <c r="AC10" s="163"/>
      <c r="AD10" s="163"/>
      <c r="AE10" s="163"/>
      <c r="AF10" s="163"/>
      <c r="AG10" s="163"/>
      <c r="AH10" s="163"/>
      <c r="AI10" s="163"/>
    </row>
    <row r="11" spans="1:35" hidden="1" outlineLevel="1">
      <c r="A11" s="163" t="str">
        <f>'qtrP&amp;L'!A10</f>
        <v>1Q</v>
      </c>
      <c r="B11" s="163" t="str">
        <f>'qtrP&amp;L'!B10</f>
        <v>Apr</v>
      </c>
      <c r="C11" s="163"/>
      <c r="D11" s="1552">
        <f>'qtrP&amp;L'!D10</f>
        <v>23.14</v>
      </c>
      <c r="E11" s="163"/>
      <c r="F11" s="1552">
        <f>'qtrP&amp;L'!D20</f>
        <v>11.734999999999999</v>
      </c>
      <c r="G11" s="163"/>
      <c r="H11" s="1552">
        <f>work!D10</f>
        <v>7.0659999999999998</v>
      </c>
      <c r="I11" s="163"/>
      <c r="J11" s="1552"/>
      <c r="K11" s="163"/>
      <c r="L11" s="163"/>
      <c r="M11" s="163"/>
      <c r="N11" s="163"/>
      <c r="O11" s="163"/>
      <c r="P11" s="163"/>
      <c r="Q11" s="163"/>
      <c r="R11" s="163"/>
      <c r="S11" s="163"/>
      <c r="T11" s="163"/>
      <c r="U11" s="163"/>
      <c r="V11" s="163">
        <f>qtrSales!K12</f>
        <v>17</v>
      </c>
      <c r="W11" s="163"/>
      <c r="X11" s="1553">
        <f>H11/V11</f>
        <v>0.41564705882352943</v>
      </c>
      <c r="Y11" s="163"/>
      <c r="Z11" s="163"/>
      <c r="AA11" s="163"/>
      <c r="AB11" s="1554">
        <f>qtrSales!T12</f>
        <v>0</v>
      </c>
      <c r="AC11" s="163"/>
      <c r="AD11" s="1552"/>
      <c r="AE11" s="163"/>
      <c r="AF11" s="163"/>
      <c r="AG11" s="163"/>
      <c r="AH11" s="163"/>
      <c r="AI11" s="163"/>
    </row>
    <row r="12" spans="1:35" hidden="1" outlineLevel="1">
      <c r="A12" s="163" t="str">
        <f>'qtrP&amp;L'!A11</f>
        <v>2Q</v>
      </c>
      <c r="B12" s="163" t="str">
        <f>'qtrP&amp;L'!B11</f>
        <v>Jul</v>
      </c>
      <c r="C12" s="163"/>
      <c r="D12" s="1555">
        <f>'qtrP&amp;L'!D11</f>
        <v>24.382000000000001</v>
      </c>
      <c r="E12" s="163"/>
      <c r="F12" s="1555">
        <f>'qtrP&amp;L'!D21</f>
        <v>11.738</v>
      </c>
      <c r="G12" s="163"/>
      <c r="H12" s="1555">
        <f>work!D11</f>
        <v>8.5280000000000005</v>
      </c>
      <c r="I12" s="163"/>
      <c r="J12" s="1555">
        <f>AVERAGE(H11:H12)</f>
        <v>7.7970000000000006</v>
      </c>
      <c r="K12" s="163"/>
      <c r="L12" s="163"/>
      <c r="M12" s="163"/>
      <c r="N12" s="163"/>
      <c r="O12" s="163"/>
      <c r="P12" s="163"/>
      <c r="Q12" s="163"/>
      <c r="R12" s="163"/>
      <c r="S12" s="163"/>
      <c r="T12" s="163"/>
      <c r="U12" s="163"/>
      <c r="V12" s="163">
        <f>qtrSales!K13</f>
        <v>17</v>
      </c>
      <c r="W12" s="163"/>
      <c r="X12" s="1556">
        <f>H12/V12</f>
        <v>0.50164705882352945</v>
      </c>
      <c r="Y12" s="163"/>
      <c r="Z12" s="163"/>
      <c r="AA12" s="163"/>
      <c r="AB12" s="1554">
        <f>qtrSales!T13</f>
        <v>0</v>
      </c>
      <c r="AC12" s="163"/>
      <c r="AD12" s="1555"/>
      <c r="AE12" s="163"/>
      <c r="AF12" s="163"/>
      <c r="AG12" s="163"/>
      <c r="AH12" s="163"/>
      <c r="AI12" s="163"/>
    </row>
    <row r="13" spans="1:35" hidden="1" outlineLevel="1">
      <c r="A13" s="163" t="str">
        <f>'qtrP&amp;L'!A12</f>
        <v>3Q</v>
      </c>
      <c r="B13" s="163" t="str">
        <f>'qtrP&amp;L'!B12</f>
        <v>Oct</v>
      </c>
      <c r="C13" s="163"/>
      <c r="D13" s="1555">
        <f>'qtrP&amp;L'!D12</f>
        <v>31.425999999999998</v>
      </c>
      <c r="E13" s="163"/>
      <c r="F13" s="1555">
        <f>'qtrP&amp;L'!D22</f>
        <v>14.723000000000001</v>
      </c>
      <c r="G13" s="163"/>
      <c r="H13" s="1555">
        <f>work!D12</f>
        <v>11.066000000000001</v>
      </c>
      <c r="I13" s="163"/>
      <c r="J13" s="1555">
        <f>AVERAGE(H12:H13)</f>
        <v>9.7970000000000006</v>
      </c>
      <c r="K13" s="163"/>
      <c r="L13" s="163"/>
      <c r="M13" s="163"/>
      <c r="N13" s="163"/>
      <c r="O13" s="163"/>
      <c r="P13" s="163"/>
      <c r="Q13" s="163"/>
      <c r="R13" s="163"/>
      <c r="S13" s="163"/>
      <c r="T13" s="163"/>
      <c r="U13" s="163"/>
      <c r="V13" s="163">
        <f>qtrSales!K14</f>
        <v>19</v>
      </c>
      <c r="W13" s="163"/>
      <c r="X13" s="1556">
        <f>H13/V13</f>
        <v>0.58242105263157895</v>
      </c>
      <c r="Y13" s="163"/>
      <c r="Z13" s="163"/>
      <c r="AA13" s="163"/>
      <c r="AB13" s="1554">
        <f>qtrSales!T14</f>
        <v>0</v>
      </c>
      <c r="AC13" s="163"/>
      <c r="AD13" s="1555"/>
      <c r="AE13" s="163"/>
      <c r="AF13" s="163"/>
      <c r="AG13" s="163"/>
      <c r="AH13" s="163"/>
      <c r="AI13" s="163"/>
    </row>
    <row r="14" spans="1:35" hidden="1" outlineLevel="1">
      <c r="A14" s="163" t="str">
        <f>'qtrP&amp;L'!A13</f>
        <v>4Q</v>
      </c>
      <c r="B14" s="163" t="str">
        <f>'qtrP&amp;L'!B13</f>
        <v>Jan</v>
      </c>
      <c r="C14" s="163"/>
      <c r="D14" s="1557">
        <f>'qtrP&amp;L'!D13</f>
        <v>31.172999999999988</v>
      </c>
      <c r="E14" s="163"/>
      <c r="F14" s="1557">
        <f>'qtrP&amp;L'!D23</f>
        <v>14.599999999999998</v>
      </c>
      <c r="G14" s="163"/>
      <c r="H14" s="1558">
        <f>work!D13</f>
        <v>10.381</v>
      </c>
      <c r="I14" s="163"/>
      <c r="J14" s="1557">
        <f>AVERAGE(H13:H14)</f>
        <v>10.723500000000001</v>
      </c>
      <c r="K14" s="163"/>
      <c r="L14" s="1559"/>
      <c r="M14" s="163"/>
      <c r="N14" s="163"/>
      <c r="O14" s="163"/>
      <c r="P14" s="163"/>
      <c r="Q14" s="163"/>
      <c r="R14" s="163"/>
      <c r="S14" s="163"/>
      <c r="T14" s="163"/>
      <c r="U14" s="163"/>
      <c r="V14" s="163">
        <f>qtrSales!K15</f>
        <v>22</v>
      </c>
      <c r="W14" s="163"/>
      <c r="X14" s="1556">
        <f>H14/V14</f>
        <v>0.47186363636363637</v>
      </c>
      <c r="Y14" s="163"/>
      <c r="Z14" s="163"/>
      <c r="AA14" s="163"/>
      <c r="AB14" s="1554">
        <f>+yrSales!B41</f>
        <v>0.29061733333333334</v>
      </c>
      <c r="AC14" s="163"/>
      <c r="AD14" s="1555">
        <f>H14/AB14</f>
        <v>35.720512197024263</v>
      </c>
      <c r="AE14" s="163"/>
      <c r="AF14" s="163"/>
      <c r="AG14" s="163"/>
      <c r="AH14" s="163"/>
      <c r="AI14" s="163"/>
    </row>
    <row r="15" spans="1:35" hidden="1" outlineLevel="1">
      <c r="A15" s="163"/>
      <c r="B15" s="163" t="str">
        <f>'qtrP&amp;L'!B14</f>
        <v>Year</v>
      </c>
      <c r="C15" s="163"/>
      <c r="D15" s="1552">
        <f>SUM(D11:D14)</f>
        <v>110.121</v>
      </c>
      <c r="E15" s="163"/>
      <c r="F15" s="1552">
        <f>'qtrP&amp;L'!D24</f>
        <v>52.795999999999992</v>
      </c>
      <c r="G15" s="163"/>
      <c r="H15" s="163"/>
      <c r="I15" s="163"/>
      <c r="J15" s="1552">
        <f>AVERAGE(J11:J14)</f>
        <v>9.4391666666666669</v>
      </c>
      <c r="K15" s="163"/>
      <c r="L15" s="163"/>
      <c r="M15" s="163"/>
      <c r="N15" s="163"/>
      <c r="O15" s="163"/>
      <c r="P15" s="163"/>
      <c r="Q15" s="163"/>
      <c r="R15" s="1560"/>
      <c r="S15" s="1561"/>
      <c r="T15" s="163"/>
      <c r="U15" s="163"/>
      <c r="V15" s="163"/>
      <c r="W15" s="163"/>
      <c r="X15" s="163"/>
      <c r="Y15" s="163"/>
      <c r="Z15" s="163"/>
      <c r="AA15" s="163"/>
      <c r="AB15" s="163"/>
      <c r="AC15" s="163"/>
      <c r="AD15" s="163"/>
      <c r="AE15" s="163"/>
      <c r="AF15" s="163"/>
      <c r="AG15" s="163"/>
      <c r="AH15" s="163"/>
      <c r="AI15" s="163"/>
    </row>
    <row r="16" spans="1:35" hidden="1" outlineLevel="1">
      <c r="A16" s="163"/>
      <c r="B16" s="163"/>
      <c r="C16" s="163"/>
      <c r="D16" s="163"/>
      <c r="E16" s="163"/>
      <c r="F16" s="163"/>
      <c r="G16" s="163"/>
      <c r="H16" s="163"/>
      <c r="I16" s="163"/>
      <c r="J16" s="163"/>
      <c r="K16" s="163"/>
      <c r="L16" s="163"/>
      <c r="M16" s="163"/>
      <c r="N16" s="163"/>
      <c r="O16" s="163"/>
      <c r="P16" s="163"/>
      <c r="Q16" s="163"/>
      <c r="R16" s="163"/>
      <c r="S16" s="163"/>
      <c r="T16" s="163"/>
      <c r="U16" s="163"/>
      <c r="V16" s="163"/>
      <c r="W16" s="163"/>
      <c r="X16" s="163"/>
      <c r="Y16" s="163"/>
      <c r="Z16" s="163"/>
      <c r="AA16" s="163"/>
      <c r="AB16" s="163"/>
      <c r="AC16" s="163"/>
      <c r="AD16" s="163"/>
      <c r="AE16" s="163"/>
      <c r="AF16" s="163"/>
      <c r="AG16" s="163"/>
      <c r="AH16" s="163"/>
      <c r="AI16" s="163"/>
    </row>
    <row r="17" spans="1:35" hidden="1" outlineLevel="1">
      <c r="A17" s="163"/>
      <c r="B17" s="1562">
        <f>B10+1</f>
        <v>1995</v>
      </c>
      <c r="C17" s="163"/>
      <c r="D17" s="163"/>
      <c r="E17" s="163"/>
      <c r="F17" s="163"/>
      <c r="G17" s="163"/>
      <c r="H17" s="163"/>
      <c r="I17" s="163"/>
      <c r="J17" s="163"/>
      <c r="K17" s="163"/>
      <c r="L17" s="163"/>
      <c r="M17" s="163"/>
      <c r="N17" s="163"/>
      <c r="O17" s="163"/>
      <c r="P17" s="163"/>
      <c r="Q17" s="163"/>
      <c r="R17" s="163"/>
      <c r="S17" s="163"/>
      <c r="T17" s="163"/>
      <c r="U17" s="163"/>
      <c r="V17" s="163"/>
      <c r="W17" s="163"/>
      <c r="X17" s="163"/>
      <c r="Y17" s="163"/>
      <c r="Z17" s="163"/>
      <c r="AA17" s="163"/>
      <c r="AB17" s="163"/>
      <c r="AC17" s="163"/>
      <c r="AD17" s="163"/>
      <c r="AE17" s="163"/>
      <c r="AF17" s="163"/>
      <c r="AG17" s="163"/>
      <c r="AH17" s="163"/>
      <c r="AI17" s="163"/>
    </row>
    <row r="18" spans="1:35" hidden="1" outlineLevel="1">
      <c r="A18" s="163" t="str">
        <f>$A$11</f>
        <v>1Q</v>
      </c>
      <c r="B18" s="163" t="str">
        <f>$B$11</f>
        <v>Apr</v>
      </c>
      <c r="C18" s="163"/>
      <c r="D18" s="1552">
        <f>'qtrP&amp;L'!H10</f>
        <v>27.919</v>
      </c>
      <c r="E18" s="163"/>
      <c r="F18" s="1552">
        <f>'qtrP&amp;L'!H20</f>
        <v>13.811999999999999</v>
      </c>
      <c r="G18" s="163"/>
      <c r="H18" s="1552">
        <f>work!F10</f>
        <v>11.634</v>
      </c>
      <c r="I18" s="163"/>
      <c r="J18" s="1552">
        <f>AVERAGE(H18,H14)</f>
        <v>11.0075</v>
      </c>
      <c r="K18" s="163"/>
      <c r="L18" s="1563">
        <f>(D18/D11-1)*100</f>
        <v>20.652549697493527</v>
      </c>
      <c r="M18" s="163" t="s">
        <v>208</v>
      </c>
      <c r="N18" s="1563">
        <f>(H18/H11-1)*100</f>
        <v>64.647608264930653</v>
      </c>
      <c r="O18" s="163" t="s">
        <v>208</v>
      </c>
      <c r="P18" s="1563">
        <f>(H18/H14-1)*100</f>
        <v>12.070128118678358</v>
      </c>
      <c r="Q18" s="163" t="s">
        <v>208</v>
      </c>
      <c r="R18" s="1556">
        <f>F18/J18</f>
        <v>1.2547808312514195</v>
      </c>
      <c r="S18" s="163" t="s">
        <v>327</v>
      </c>
      <c r="T18" s="1556">
        <f>F19/H18</f>
        <v>1.2718755372184976</v>
      </c>
      <c r="U18" s="163" t="s">
        <v>327</v>
      </c>
      <c r="V18" s="163">
        <f>qtrSales!K19</f>
        <v>23</v>
      </c>
      <c r="W18" s="163"/>
      <c r="X18" s="1553">
        <f>H18/V18</f>
        <v>0.50582608695652176</v>
      </c>
      <c r="Y18" s="163"/>
      <c r="Z18" s="1564">
        <f>(X18/X11-1)*100</f>
        <v>21.696058282774832</v>
      </c>
      <c r="AA18" s="164" t="s">
        <v>208</v>
      </c>
      <c r="AB18" s="1554">
        <f>+qtrSales!AE19</f>
        <v>0.30547733333333332</v>
      </c>
      <c r="AC18" s="163"/>
      <c r="AD18" s="1565"/>
      <c r="AE18" s="163"/>
      <c r="AF18" s="1565"/>
      <c r="AG18" s="164" t="s">
        <v>208</v>
      </c>
      <c r="AH18" s="163"/>
      <c r="AI18" s="163"/>
    </row>
    <row r="19" spans="1:35" hidden="1" outlineLevel="1">
      <c r="A19" s="163" t="str">
        <f>$A$12</f>
        <v>2Q</v>
      </c>
      <c r="B19" s="163" t="str">
        <f>$B$12</f>
        <v>Jul</v>
      </c>
      <c r="C19" s="163"/>
      <c r="D19" s="1555">
        <f>'qtrP&amp;L'!H11</f>
        <v>29.881</v>
      </c>
      <c r="E19" s="163"/>
      <c r="F19" s="1555">
        <f>'qtrP&amp;L'!H21</f>
        <v>14.797000000000001</v>
      </c>
      <c r="G19" s="163"/>
      <c r="H19" s="1555">
        <f>work!F11</f>
        <v>13.731</v>
      </c>
      <c r="I19" s="163"/>
      <c r="J19" s="1555">
        <f>AVERAGE(H18:H19)</f>
        <v>12.682500000000001</v>
      </c>
      <c r="K19" s="163"/>
      <c r="L19" s="1563">
        <f>(D19/D12-1)*100</f>
        <v>22.553523090804696</v>
      </c>
      <c r="M19" s="163"/>
      <c r="N19" s="1563">
        <f>(H19/H12-1)*100</f>
        <v>61.01078799249531</v>
      </c>
      <c r="O19" s="163"/>
      <c r="P19" s="1563">
        <f>(H19/H18-1)*100</f>
        <v>18.024755028365135</v>
      </c>
      <c r="Q19" s="163"/>
      <c r="R19" s="1556">
        <f>F19/J19</f>
        <v>1.1667258032722254</v>
      </c>
      <c r="S19" s="163"/>
      <c r="T19" s="1556">
        <f>F20/H19</f>
        <v>1.4011361153594057</v>
      </c>
      <c r="U19" s="163"/>
      <c r="V19" s="163">
        <f>qtrSales!K20</f>
        <v>25</v>
      </c>
      <c r="W19" s="163"/>
      <c r="X19" s="1556">
        <f>H19/V19</f>
        <v>0.54923999999999995</v>
      </c>
      <c r="Y19" s="163"/>
      <c r="Z19" s="1564">
        <f>(X19/X12-1)*100</f>
        <v>9.487335834896804</v>
      </c>
      <c r="AA19" s="163"/>
      <c r="AB19" s="1554">
        <f>+qtrSales!AE20</f>
        <v>0.32758666666666664</v>
      </c>
      <c r="AC19" s="163"/>
      <c r="AD19" s="1565"/>
      <c r="AE19" s="163"/>
      <c r="AF19" s="1565"/>
      <c r="AG19" s="163"/>
      <c r="AH19" s="163"/>
      <c r="AI19" s="163"/>
    </row>
    <row r="20" spans="1:35" hidden="1" outlineLevel="1">
      <c r="A20" s="163" t="str">
        <f>$A$13</f>
        <v>3Q</v>
      </c>
      <c r="B20" s="163" t="str">
        <f>$B$13</f>
        <v>Oct</v>
      </c>
      <c r="C20" s="163"/>
      <c r="D20" s="1555">
        <f>'qtrP&amp;L'!H12</f>
        <v>38.841999999999999</v>
      </c>
      <c r="E20" s="163"/>
      <c r="F20" s="1555">
        <f>'qtrP&amp;L'!H22</f>
        <v>19.239000000000001</v>
      </c>
      <c r="G20" s="163"/>
      <c r="H20" s="1555">
        <f>work!F12</f>
        <v>15.093</v>
      </c>
      <c r="I20" s="163"/>
      <c r="J20" s="1555">
        <f>AVERAGE(H19:H20)</f>
        <v>14.411999999999999</v>
      </c>
      <c r="K20" s="163"/>
      <c r="L20" s="1563">
        <f>(D20/D13-1)*100</f>
        <v>23.59829440590595</v>
      </c>
      <c r="M20" s="163"/>
      <c r="N20" s="1563">
        <f>(H20/H13-1)*100</f>
        <v>36.390746430507861</v>
      </c>
      <c r="O20" s="163"/>
      <c r="P20" s="1563">
        <f>(H20/H19-1)*100</f>
        <v>9.9191610225038307</v>
      </c>
      <c r="Q20" s="163"/>
      <c r="R20" s="1556">
        <f>F20/J20</f>
        <v>1.3349292256452958</v>
      </c>
      <c r="S20" s="163"/>
      <c r="T20" s="1556">
        <f>F21/H20</f>
        <v>1.1664347710859337</v>
      </c>
      <c r="U20" s="163"/>
      <c r="V20" s="163">
        <f>qtrSales!K21</f>
        <v>25</v>
      </c>
      <c r="W20" s="163"/>
      <c r="X20" s="1556">
        <f>H20/V20</f>
        <v>0.60372000000000003</v>
      </c>
      <c r="Y20" s="163"/>
      <c r="Z20" s="1564">
        <f>(X20/X13-1)*100</f>
        <v>3.656967287185986</v>
      </c>
      <c r="AA20" s="163"/>
      <c r="AB20" s="1554">
        <f>+qtrSales!AE21</f>
        <v>0.32758666666666664</v>
      </c>
      <c r="AC20" s="163"/>
      <c r="AD20" s="1565"/>
      <c r="AE20" s="163"/>
      <c r="AF20" s="1565"/>
      <c r="AG20" s="163"/>
      <c r="AH20" s="163"/>
      <c r="AI20" s="163"/>
    </row>
    <row r="21" spans="1:35" hidden="1" outlineLevel="1">
      <c r="A21" s="163" t="str">
        <f>$A$14</f>
        <v>4Q</v>
      </c>
      <c r="B21" s="163" t="str">
        <f>$B$14</f>
        <v>Jan</v>
      </c>
      <c r="C21" s="163"/>
      <c r="D21" s="1557">
        <f>'qtrP&amp;L'!H13</f>
        <v>36.394000000000005</v>
      </c>
      <c r="E21" s="163"/>
      <c r="F21" s="1557">
        <f>'qtrP&amp;L'!H23</f>
        <v>17.604999999999997</v>
      </c>
      <c r="G21" s="163"/>
      <c r="H21" s="1558">
        <f>work!F13</f>
        <v>10.477</v>
      </c>
      <c r="I21" s="163"/>
      <c r="J21" s="1557">
        <f>AVERAGE(H20:H21)</f>
        <v>12.785</v>
      </c>
      <c r="K21" s="163"/>
      <c r="L21" s="1566">
        <f>(D21/D14-1)*100</f>
        <v>16.748468225708212</v>
      </c>
      <c r="M21" s="163"/>
      <c r="N21" s="1564">
        <f>(H21/H14-1)*100</f>
        <v>0.92476640015413114</v>
      </c>
      <c r="O21" s="163"/>
      <c r="P21" s="1564">
        <f>(H21/H20-1)*100</f>
        <v>-30.583714304644538</v>
      </c>
      <c r="Q21" s="163"/>
      <c r="R21" s="1556">
        <f>F21/J21</f>
        <v>1.3770043019163078</v>
      </c>
      <c r="S21" s="163"/>
      <c r="T21" s="1556">
        <f>F25/H21</f>
        <v>2.0437148038560653</v>
      </c>
      <c r="U21" s="163"/>
      <c r="V21" s="163">
        <f>qtrSales!K22</f>
        <v>26</v>
      </c>
      <c r="W21" s="163"/>
      <c r="X21" s="1556">
        <f>H21/V21</f>
        <v>0.40296153846153848</v>
      </c>
      <c r="Y21" s="163"/>
      <c r="Z21" s="1564">
        <f>(X21/X14-1)*100</f>
        <v>-14.602120738331115</v>
      </c>
      <c r="AA21" s="163"/>
      <c r="AB21" s="1554">
        <f>yrSales!C41</f>
        <v>0.34075466666666659</v>
      </c>
      <c r="AC21" s="163"/>
      <c r="AD21" s="1555">
        <f>H21/AB21</f>
        <v>30.746460796819616</v>
      </c>
      <c r="AE21" s="163"/>
      <c r="AF21" s="1564">
        <f>(AD21/AD14-1)*100</f>
        <v>-13.924916229557915</v>
      </c>
      <c r="AG21" s="163"/>
      <c r="AH21" s="163"/>
      <c r="AI21" s="163"/>
    </row>
    <row r="22" spans="1:35" hidden="1" outlineLevel="1">
      <c r="A22" s="163"/>
      <c r="B22" s="163" t="str">
        <f>$B$15</f>
        <v>Year</v>
      </c>
      <c r="C22" s="163"/>
      <c r="D22" s="1552">
        <f>SUM(D18:D21)</f>
        <v>133.036</v>
      </c>
      <c r="E22" s="163"/>
      <c r="F22" s="1552">
        <f>SUM(F18:F21)</f>
        <v>65.453000000000003</v>
      </c>
      <c r="G22" s="163"/>
      <c r="H22" s="163"/>
      <c r="I22" s="163"/>
      <c r="J22" s="1552">
        <f>AVERAGE(J18:J21)</f>
        <v>12.72175</v>
      </c>
      <c r="K22" s="163"/>
      <c r="L22" s="1563">
        <f>(D22/D15-1)*100</f>
        <v>20.808928360621515</v>
      </c>
      <c r="M22" s="163"/>
      <c r="N22" s="1564"/>
      <c r="O22" s="163"/>
      <c r="P22" s="163"/>
      <c r="Q22" s="163"/>
      <c r="R22" s="1567">
        <f>F22/J22</f>
        <v>5.1449682630141291</v>
      </c>
      <c r="S22" s="1561" t="s">
        <v>327</v>
      </c>
      <c r="T22" s="163"/>
      <c r="U22" s="163"/>
      <c r="V22" s="163"/>
      <c r="W22" s="163"/>
      <c r="X22" s="163"/>
      <c r="Y22" s="163"/>
      <c r="Z22" s="163"/>
      <c r="AA22" s="163"/>
      <c r="AB22" s="163"/>
      <c r="AC22" s="163"/>
      <c r="AD22" s="163"/>
      <c r="AE22" s="163"/>
      <c r="AF22" s="163"/>
      <c r="AG22" s="163"/>
      <c r="AH22" s="163"/>
      <c r="AI22" s="163"/>
    </row>
    <row r="23" spans="1:35" hidden="1" outlineLevel="1">
      <c r="A23" s="163"/>
      <c r="B23" s="163"/>
      <c r="C23" s="163"/>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163"/>
      <c r="AB23" s="163"/>
      <c r="AC23" s="163"/>
      <c r="AD23" s="163"/>
      <c r="AE23" s="163"/>
      <c r="AF23" s="163"/>
      <c r="AG23" s="163"/>
      <c r="AH23" s="163"/>
      <c r="AI23" s="163"/>
    </row>
    <row r="24" spans="1:35" hidden="1" outlineLevel="1">
      <c r="A24" s="163"/>
      <c r="B24" s="1562">
        <f>B17+1</f>
        <v>1996</v>
      </c>
      <c r="C24" s="163"/>
      <c r="D24" s="163"/>
      <c r="E24" s="163"/>
      <c r="F24" s="163"/>
      <c r="G24" s="163"/>
      <c r="H24" s="163"/>
      <c r="I24" s="163"/>
      <c r="J24" s="163"/>
      <c r="K24" s="163"/>
      <c r="L24" s="163"/>
      <c r="M24" s="163"/>
      <c r="N24" s="163"/>
      <c r="O24" s="163"/>
      <c r="P24" s="163"/>
      <c r="Q24" s="163"/>
      <c r="R24" s="163"/>
      <c r="S24" s="163"/>
      <c r="T24" s="163"/>
      <c r="U24" s="163"/>
      <c r="V24" s="163"/>
      <c r="W24" s="163"/>
      <c r="X24" s="163"/>
      <c r="Y24" s="163"/>
      <c r="Z24" s="163"/>
      <c r="AA24" s="163"/>
      <c r="AB24" s="163"/>
      <c r="AC24" s="163"/>
      <c r="AD24" s="163"/>
      <c r="AE24" s="163"/>
      <c r="AF24" s="163"/>
      <c r="AG24" s="163"/>
      <c r="AH24" s="163"/>
      <c r="AI24" s="163"/>
    </row>
    <row r="25" spans="1:35" hidden="1" outlineLevel="1">
      <c r="A25" s="163" t="str">
        <f>$A$11</f>
        <v>1Q</v>
      </c>
      <c r="B25" s="163" t="str">
        <f>$B$11</f>
        <v>Apr</v>
      </c>
      <c r="C25" s="163"/>
      <c r="D25" s="1552">
        <f>'qtrP&amp;L'!L10</f>
        <v>33.646999999999998</v>
      </c>
      <c r="E25" s="163"/>
      <c r="F25" s="1552">
        <f>'qtrP&amp;L'!L20</f>
        <v>21.411999999999999</v>
      </c>
      <c r="G25" s="163"/>
      <c r="H25" s="1552">
        <f>work!J10</f>
        <v>12.019</v>
      </c>
      <c r="I25" s="163"/>
      <c r="J25" s="1552">
        <f>AVERAGE(H25,H21)</f>
        <v>11.248000000000001</v>
      </c>
      <c r="K25" s="163"/>
      <c r="L25" s="1563">
        <f>(D25/D18-1)*100</f>
        <v>20.516494143773055</v>
      </c>
      <c r="M25" s="163" t="s">
        <v>208</v>
      </c>
      <c r="N25" s="1563">
        <f>(H25/H18-1)*100</f>
        <v>3.3092659446450012</v>
      </c>
      <c r="O25" s="163" t="s">
        <v>208</v>
      </c>
      <c r="P25" s="1563">
        <f>(H25/H21-1)*100</f>
        <v>14.717953612675384</v>
      </c>
      <c r="Q25" s="163" t="s">
        <v>208</v>
      </c>
      <c r="R25" s="1556">
        <f>F25/J25</f>
        <v>1.9036273115220481</v>
      </c>
      <c r="S25" s="163" t="s">
        <v>327</v>
      </c>
      <c r="T25" s="1556">
        <f>F26/H25</f>
        <v>1.8761960229636407</v>
      </c>
      <c r="U25" s="163" t="s">
        <v>327</v>
      </c>
      <c r="V25" s="163">
        <f>qtrSales!K26</f>
        <v>27</v>
      </c>
      <c r="W25" s="163"/>
      <c r="X25" s="1553">
        <f>H25/V25</f>
        <v>0.44514814814814813</v>
      </c>
      <c r="Y25" s="163"/>
      <c r="Z25" s="1564">
        <f>(X25/X18-1)*100</f>
        <v>-11.995810491598702</v>
      </c>
      <c r="AA25" s="164" t="s">
        <v>208</v>
      </c>
      <c r="AB25" s="1554">
        <f>+qtrSales!AE26</f>
        <v>0.35073733333333323</v>
      </c>
      <c r="AC25" s="163"/>
      <c r="AD25" s="1568">
        <f>H25/AB25</f>
        <v>34.267809148726691</v>
      </c>
      <c r="AE25" s="163"/>
      <c r="AF25" s="1565"/>
      <c r="AG25" s="164" t="s">
        <v>208</v>
      </c>
      <c r="AH25" s="163"/>
      <c r="AI25" s="163"/>
    </row>
    <row r="26" spans="1:35" hidden="1" outlineLevel="1">
      <c r="A26" s="163" t="str">
        <f>$A$12</f>
        <v>2Q</v>
      </c>
      <c r="B26" s="163" t="str">
        <f>$B$12</f>
        <v>Jul</v>
      </c>
      <c r="C26" s="163"/>
      <c r="D26" s="1555">
        <f>'qtrP&amp;L'!L11</f>
        <v>35.917999999999999</v>
      </c>
      <c r="E26" s="163"/>
      <c r="F26" s="1555">
        <f>'qtrP&amp;L'!L21</f>
        <v>22.549999999999997</v>
      </c>
      <c r="G26" s="163"/>
      <c r="H26" s="1555">
        <f>work!J11</f>
        <v>16.295000000000002</v>
      </c>
      <c r="I26" s="163"/>
      <c r="J26" s="1555">
        <f>AVERAGE(H25:H26)</f>
        <v>14.157</v>
      </c>
      <c r="K26" s="163"/>
      <c r="L26" s="1563">
        <f>(D26/D19-1)*100</f>
        <v>20.203473779324653</v>
      </c>
      <c r="M26" s="163"/>
      <c r="N26" s="1563">
        <f>(H26/H19-1)*100</f>
        <v>18.673075522540252</v>
      </c>
      <c r="O26" s="163"/>
      <c r="P26" s="1563">
        <f>(H26/H25-1)*100</f>
        <v>35.577003078459121</v>
      </c>
      <c r="Q26" s="163"/>
      <c r="R26" s="1556">
        <f>F26/J26</f>
        <v>1.5928515928515927</v>
      </c>
      <c r="S26" s="163"/>
      <c r="T26" s="1556">
        <f>F27/H26</f>
        <v>1.7244553544031909</v>
      </c>
      <c r="U26" s="163"/>
      <c r="V26" s="163">
        <f>qtrSales!K27</f>
        <v>28</v>
      </c>
      <c r="W26" s="163"/>
      <c r="X26" s="1556">
        <f>H26/V26</f>
        <v>0.58196428571428582</v>
      </c>
      <c r="Y26" s="163"/>
      <c r="Z26" s="1564">
        <f>(X26/X19-1)*100</f>
        <v>5.9581031451252375</v>
      </c>
      <c r="AA26" s="163"/>
      <c r="AB26" s="1554">
        <f>+qtrSales!AE27</f>
        <v>0.36163866666666655</v>
      </c>
      <c r="AC26" s="163"/>
      <c r="AD26" s="1569">
        <f>H26/AB26</f>
        <v>45.058787961464319</v>
      </c>
      <c r="AE26" s="163"/>
      <c r="AF26" s="1565"/>
      <c r="AG26" s="163"/>
      <c r="AH26" s="163"/>
      <c r="AI26" s="163"/>
    </row>
    <row r="27" spans="1:35" hidden="1" outlineLevel="1">
      <c r="A27" s="163" t="str">
        <f>$A$13</f>
        <v>3Q</v>
      </c>
      <c r="B27" s="163" t="str">
        <f>$B$13</f>
        <v>Oct</v>
      </c>
      <c r="C27" s="163"/>
      <c r="D27" s="1555">
        <f>'qtrP&amp;L'!L12</f>
        <v>44.908999999999999</v>
      </c>
      <c r="E27" s="163"/>
      <c r="F27" s="1555">
        <f>'qtrP&amp;L'!L22</f>
        <v>28.099999999999998</v>
      </c>
      <c r="G27" s="163"/>
      <c r="H27" s="1555">
        <f>work!J12</f>
        <v>18.731999999999999</v>
      </c>
      <c r="I27" s="163"/>
      <c r="J27" s="1555">
        <f>AVERAGE(H26:H27)</f>
        <v>17.513500000000001</v>
      </c>
      <c r="K27" s="163"/>
      <c r="L27" s="1563">
        <f>(D27/D20-1)*100</f>
        <v>15.619690026260225</v>
      </c>
      <c r="M27" s="163"/>
      <c r="N27" s="1563">
        <f>(H27/H20-1)*100</f>
        <v>24.110514808189222</v>
      </c>
      <c r="O27" s="163"/>
      <c r="P27" s="1563">
        <f>(H27/H26-1)*100</f>
        <v>14.955507824486025</v>
      </c>
      <c r="Q27" s="163"/>
      <c r="R27" s="1556">
        <f>F27/J27</f>
        <v>1.6044765466640019</v>
      </c>
      <c r="S27" s="163"/>
      <c r="T27" s="1556">
        <f>F28/H27</f>
        <v>1.4600149476831092</v>
      </c>
      <c r="U27" s="163"/>
      <c r="V27" s="163">
        <f>qtrSales!K28</f>
        <v>30</v>
      </c>
      <c r="W27" s="163"/>
      <c r="X27" s="1556">
        <f>H27/V27</f>
        <v>0.62439999999999996</v>
      </c>
      <c r="Y27" s="163"/>
      <c r="Z27" s="1564">
        <f>(X27/X20-1)*100</f>
        <v>3.4254290068243431</v>
      </c>
      <c r="AA27" s="163"/>
      <c r="AB27" s="1554">
        <f>+qtrSales!AE28</f>
        <v>0.38647333333333322</v>
      </c>
      <c r="AC27" s="163"/>
      <c r="AD27" s="1569">
        <f>H27/AB27</f>
        <v>48.469062117265544</v>
      </c>
      <c r="AE27" s="163"/>
      <c r="AF27" s="1565"/>
      <c r="AG27" s="163"/>
      <c r="AH27" s="163"/>
      <c r="AI27" s="163"/>
    </row>
    <row r="28" spans="1:35" hidden="1" outlineLevel="1">
      <c r="A28" s="163" t="str">
        <f>$A$14</f>
        <v>4Q</v>
      </c>
      <c r="B28" s="163" t="str">
        <f>$B$14</f>
        <v>Jan</v>
      </c>
      <c r="C28" s="163"/>
      <c r="D28" s="1557">
        <f>'qtrP&amp;L'!L13</f>
        <v>42.024000000000001</v>
      </c>
      <c r="E28" s="163"/>
      <c r="F28" s="1557">
        <f>'qtrP&amp;L'!L23</f>
        <v>27.349</v>
      </c>
      <c r="G28" s="163"/>
      <c r="H28" s="1558">
        <f>work!J13</f>
        <v>16.965</v>
      </c>
      <c r="I28" s="163"/>
      <c r="J28" s="1557">
        <f>AVERAGE(H27:H28)</f>
        <v>17.848500000000001</v>
      </c>
      <c r="K28" s="163"/>
      <c r="L28" s="1566">
        <f>(D28/D21-1)*100</f>
        <v>15.469582898279931</v>
      </c>
      <c r="M28" s="163"/>
      <c r="N28" s="1564">
        <f>(H28/H21-1)*100</f>
        <v>61.926123890426645</v>
      </c>
      <c r="O28" s="163"/>
      <c r="P28" s="1564">
        <f>(H28/H27-1)*100</f>
        <v>-9.4330557335041583</v>
      </c>
      <c r="Q28" s="163"/>
      <c r="R28" s="1556">
        <f>F28/J28</f>
        <v>1.5322856262431015</v>
      </c>
      <c r="S28" s="163"/>
      <c r="T28" s="1556">
        <f>F32/H28</f>
        <v>1.4474506336575301</v>
      </c>
      <c r="U28" s="163"/>
      <c r="V28" s="163">
        <f>qtrSales!K29</f>
        <v>33</v>
      </c>
      <c r="W28" s="163"/>
      <c r="X28" s="1556">
        <f>H28/V28</f>
        <v>0.51409090909090904</v>
      </c>
      <c r="Y28" s="163"/>
      <c r="Z28" s="1564">
        <f>(X28/X21-1)*100</f>
        <v>27.578158216699755</v>
      </c>
      <c r="AA28" s="163"/>
      <c r="AB28" s="1554">
        <f>yrSales!D41</f>
        <v>0.423348</v>
      </c>
      <c r="AC28" s="163"/>
      <c r="AD28" s="1569">
        <f>H28/AB28</f>
        <v>40.073414779330477</v>
      </c>
      <c r="AE28" s="163"/>
      <c r="AF28" s="1564">
        <f>(AD28/AD21-1)*100</f>
        <v>30.335049110678881</v>
      </c>
      <c r="AG28" s="163"/>
      <c r="AH28" s="163"/>
      <c r="AI28" s="163"/>
    </row>
    <row r="29" spans="1:35" hidden="1" outlineLevel="1">
      <c r="A29" s="163"/>
      <c r="B29" s="163" t="str">
        <f>$B$15</f>
        <v>Year</v>
      </c>
      <c r="C29" s="163"/>
      <c r="D29" s="1552">
        <f>SUM(D25:D28)</f>
        <v>156.49799999999999</v>
      </c>
      <c r="E29" s="163"/>
      <c r="F29" s="1552">
        <f>SUM(F25:F28)</f>
        <v>99.411000000000001</v>
      </c>
      <c r="G29" s="163"/>
      <c r="H29" s="163"/>
      <c r="I29" s="163"/>
      <c r="J29" s="1552">
        <f>AVERAGE(J25:J28)</f>
        <v>15.191750000000001</v>
      </c>
      <c r="K29" s="163"/>
      <c r="L29" s="1563">
        <f>(D29/D22-1)*100</f>
        <v>17.635827896208546</v>
      </c>
      <c r="M29" s="163"/>
      <c r="N29" s="1564"/>
      <c r="O29" s="163"/>
      <c r="P29" s="163"/>
      <c r="Q29" s="163"/>
      <c r="R29" s="1567">
        <f>F29/J29</f>
        <v>6.5437490743331086</v>
      </c>
      <c r="S29" s="1561" t="s">
        <v>327</v>
      </c>
      <c r="T29" s="163"/>
      <c r="U29" s="163"/>
      <c r="V29" s="163"/>
      <c r="W29" s="163"/>
      <c r="X29" s="163"/>
      <c r="Y29" s="163"/>
      <c r="Z29" s="163"/>
      <c r="AA29" s="163"/>
      <c r="AB29" s="163"/>
      <c r="AC29" s="163"/>
      <c r="AD29" s="163"/>
      <c r="AE29" s="163"/>
      <c r="AF29" s="163"/>
      <c r="AG29" s="163"/>
      <c r="AH29" s="163"/>
      <c r="AI29" s="163"/>
    </row>
    <row r="30" spans="1:35" hidden="1" outlineLevel="1">
      <c r="A30" s="163"/>
      <c r="B30" s="163"/>
      <c r="C30" s="163"/>
      <c r="D30" s="163"/>
      <c r="E30" s="163"/>
      <c r="F30" s="163"/>
      <c r="G30" s="163"/>
      <c r="H30" s="163"/>
      <c r="I30" s="163"/>
      <c r="J30" s="163"/>
      <c r="K30" s="163"/>
      <c r="L30" s="163"/>
      <c r="M30" s="163"/>
      <c r="N30" s="163"/>
      <c r="O30" s="163"/>
      <c r="P30" s="163"/>
      <c r="Q30" s="163"/>
      <c r="R30" s="163"/>
      <c r="S30" s="163"/>
      <c r="T30" s="163"/>
      <c r="U30" s="163"/>
      <c r="V30" s="163"/>
      <c r="W30" s="163"/>
      <c r="X30" s="163"/>
      <c r="Y30" s="163"/>
      <c r="Z30" s="163"/>
      <c r="AA30" s="163"/>
      <c r="AB30" s="163"/>
      <c r="AC30" s="163"/>
      <c r="AD30" s="163"/>
      <c r="AE30" s="163"/>
      <c r="AF30" s="163"/>
      <c r="AG30" s="163"/>
      <c r="AH30" s="163"/>
      <c r="AI30" s="163"/>
    </row>
    <row r="31" spans="1:35" hidden="1" outlineLevel="1" collapsed="1">
      <c r="A31" s="163"/>
      <c r="B31" s="1562">
        <f>B24+1</f>
        <v>1997</v>
      </c>
      <c r="C31" s="163"/>
      <c r="D31" s="163"/>
      <c r="E31" s="163"/>
      <c r="F31" s="163"/>
      <c r="G31" s="163"/>
      <c r="H31" s="163"/>
      <c r="I31" s="163"/>
      <c r="J31" s="163"/>
      <c r="K31" s="163"/>
      <c r="L31" s="163"/>
      <c r="M31" s="163"/>
      <c r="N31" s="163"/>
      <c r="O31" s="163"/>
      <c r="P31" s="163"/>
      <c r="Q31" s="163"/>
      <c r="R31" s="163"/>
      <c r="S31" s="163"/>
      <c r="T31" s="163"/>
      <c r="U31" s="163"/>
      <c r="V31" s="163"/>
      <c r="W31" s="163"/>
      <c r="X31" s="163"/>
      <c r="Y31" s="163"/>
      <c r="Z31" s="163"/>
      <c r="AA31" s="163"/>
      <c r="AB31" s="163"/>
      <c r="AC31" s="163"/>
      <c r="AD31" s="163"/>
      <c r="AE31" s="163"/>
      <c r="AF31" s="163"/>
      <c r="AG31" s="163"/>
      <c r="AH31" s="163"/>
      <c r="AI31" s="163"/>
    </row>
    <row r="32" spans="1:35" hidden="1" outlineLevel="1">
      <c r="A32" s="163" t="str">
        <f>$A$11</f>
        <v>1Q</v>
      </c>
      <c r="B32" s="163" t="str">
        <f>$B$11</f>
        <v>Apr</v>
      </c>
      <c r="C32" s="163"/>
      <c r="D32" s="1552">
        <f>'qtrP&amp;L'!P10</f>
        <v>37.229999999999997</v>
      </c>
      <c r="E32" s="163"/>
      <c r="F32" s="1552">
        <f>'qtrP&amp;L'!P20</f>
        <v>24.555999999999997</v>
      </c>
      <c r="G32" s="163"/>
      <c r="H32" s="1552">
        <f>work!N10</f>
        <v>18.605</v>
      </c>
      <c r="I32" s="163"/>
      <c r="J32" s="1552">
        <f>AVERAGE(H32,H28)</f>
        <v>17.785</v>
      </c>
      <c r="K32" s="163"/>
      <c r="L32" s="1563">
        <f>(D32/D25-1)*100</f>
        <v>10.648794840550412</v>
      </c>
      <c r="M32" s="163" t="s">
        <v>208</v>
      </c>
      <c r="N32" s="1563">
        <f>(H32/H25-1)*100</f>
        <v>54.796572094184206</v>
      </c>
      <c r="O32" s="163" t="s">
        <v>208</v>
      </c>
      <c r="P32" s="1563">
        <f>(H32/H28-1)*100</f>
        <v>9.6669613910993277</v>
      </c>
      <c r="Q32" s="163" t="s">
        <v>208</v>
      </c>
      <c r="R32" s="1556">
        <f>F32/J32</f>
        <v>1.380714084903008</v>
      </c>
      <c r="S32" s="163" t="s">
        <v>327</v>
      </c>
      <c r="T32" s="1556">
        <f>F33/H32</f>
        <v>1.4654662725073906</v>
      </c>
      <c r="U32" s="163" t="s">
        <v>327</v>
      </c>
      <c r="V32" s="163">
        <f>qtrSales!K33</f>
        <v>33</v>
      </c>
      <c r="W32" s="163"/>
      <c r="X32" s="1553">
        <f>H32/V32</f>
        <v>0.56378787878787884</v>
      </c>
      <c r="Y32" s="163"/>
      <c r="Z32" s="1564">
        <f>(X32/X25-1)*100</f>
        <v>26.651740804332547</v>
      </c>
      <c r="AA32" s="164" t="s">
        <v>208</v>
      </c>
      <c r="AB32" s="1554">
        <f>+qtrSales!AE33</f>
        <v>0.423348</v>
      </c>
      <c r="AC32" s="163"/>
      <c r="AD32" s="1568">
        <f>H32/AB32</f>
        <v>43.947296314143451</v>
      </c>
      <c r="AE32" s="163"/>
      <c r="AF32" s="1564">
        <f>(AD32/AD25-1)*100</f>
        <v>28.246588871224709</v>
      </c>
      <c r="AG32" s="164" t="s">
        <v>208</v>
      </c>
      <c r="AH32" s="163"/>
      <c r="AI32" s="163"/>
    </row>
    <row r="33" spans="1:35" hidden="1" outlineLevel="1">
      <c r="A33" s="163" t="str">
        <f>$A$12</f>
        <v>2Q</v>
      </c>
      <c r="B33" s="163" t="str">
        <f>$B$12</f>
        <v>Jul</v>
      </c>
      <c r="C33" s="163"/>
      <c r="D33" s="1555">
        <f>'qtrP&amp;L'!P11</f>
        <v>41.356000000000002</v>
      </c>
      <c r="E33" s="163"/>
      <c r="F33" s="1555">
        <f>'qtrP&amp;L'!P21</f>
        <v>27.265000000000001</v>
      </c>
      <c r="G33" s="163"/>
      <c r="H33" s="1555">
        <f>work!N11</f>
        <v>20.3</v>
      </c>
      <c r="I33" s="163"/>
      <c r="J33" s="1555">
        <f>AVERAGE(H32:H33)</f>
        <v>19.452500000000001</v>
      </c>
      <c r="K33" s="163"/>
      <c r="L33" s="1563">
        <f>(D33/D26-1)*100</f>
        <v>15.140041204966881</v>
      </c>
      <c r="M33" s="163"/>
      <c r="N33" s="1563">
        <f>(H33/H26-1)*100</f>
        <v>24.578091439091732</v>
      </c>
      <c r="O33" s="163"/>
      <c r="P33" s="1563">
        <f>(H33/H32-1)*100</f>
        <v>9.1104541789841509</v>
      </c>
      <c r="Q33" s="163"/>
      <c r="R33" s="1556">
        <f>F33/J33</f>
        <v>1.4016193291350727</v>
      </c>
      <c r="S33" s="163"/>
      <c r="T33" s="1556">
        <f>F34/H33</f>
        <v>1.5189162561576355</v>
      </c>
      <c r="U33" s="163"/>
      <c r="V33" s="163">
        <f>qtrSales!K34</f>
        <v>32</v>
      </c>
      <c r="W33" s="163"/>
      <c r="X33" s="1556">
        <f>H33/V33</f>
        <v>0.63437500000000002</v>
      </c>
      <c r="Y33" s="163"/>
      <c r="Z33" s="1564">
        <f>(X33/X26-1)*100</f>
        <v>9.0058300092052512</v>
      </c>
      <c r="AA33" s="163"/>
      <c r="AB33" s="1554">
        <f>+qtrSales!AE34</f>
        <v>0.41334799999999999</v>
      </c>
      <c r="AC33" s="163"/>
      <c r="AD33" s="1569">
        <f>H33/AB33</f>
        <v>49.111160571721648</v>
      </c>
      <c r="AE33" s="163"/>
      <c r="AF33" s="1564">
        <f>(AD33/AD26-1)*100</f>
        <v>8.993523336053876</v>
      </c>
      <c r="AG33" s="163"/>
      <c r="AH33" s="163"/>
      <c r="AI33" s="163"/>
    </row>
    <row r="34" spans="1:35" hidden="1" outlineLevel="1">
      <c r="A34" s="163" t="str">
        <f>$A$13</f>
        <v>3Q</v>
      </c>
      <c r="B34" s="163" t="str">
        <f>$B$13</f>
        <v>Oct</v>
      </c>
      <c r="C34" s="163"/>
      <c r="D34" s="1555">
        <f>'qtrP&amp;L'!P12</f>
        <v>48.408999999999999</v>
      </c>
      <c r="E34" s="163"/>
      <c r="F34" s="1555">
        <f>'qtrP&amp;L'!P22</f>
        <v>30.834</v>
      </c>
      <c r="G34" s="163"/>
      <c r="H34" s="1555">
        <f>work!N12</f>
        <v>22.44</v>
      </c>
      <c r="I34" s="163"/>
      <c r="J34" s="1555">
        <f>AVERAGE(H33:H34)</f>
        <v>21.37</v>
      </c>
      <c r="K34" s="163"/>
      <c r="L34" s="1563">
        <f>(D34/D27-1)*100</f>
        <v>7.7935380435992796</v>
      </c>
      <c r="M34" s="163"/>
      <c r="N34" s="1563">
        <f>(H34/H27-1)*100</f>
        <v>19.79500320307497</v>
      </c>
      <c r="O34" s="163"/>
      <c r="P34" s="1563">
        <f>(H34/H33-1)*100</f>
        <v>10.541871921182278</v>
      </c>
      <c r="Q34" s="163"/>
      <c r="R34" s="1556">
        <f>F34/J34</f>
        <v>1.4428638277959756</v>
      </c>
      <c r="S34" s="163"/>
      <c r="T34" s="1556">
        <f>F35/H34</f>
        <v>1.3388146167557931</v>
      </c>
      <c r="U34" s="163"/>
      <c r="V34" s="163">
        <f>qtrSales!K35</f>
        <v>33</v>
      </c>
      <c r="W34" s="163"/>
      <c r="X34" s="1556">
        <f>H34/V34</f>
        <v>0.68</v>
      </c>
      <c r="Y34" s="163"/>
      <c r="Z34" s="1564">
        <f>(X34/X27-1)*100</f>
        <v>8.904548366431797</v>
      </c>
      <c r="AA34" s="163"/>
      <c r="AB34" s="1554">
        <f>+qtrSales!AE35</f>
        <v>0.42449066666666668</v>
      </c>
      <c r="AC34" s="163"/>
      <c r="AD34" s="1569">
        <f>H34/AB34</f>
        <v>52.863353100814152</v>
      </c>
      <c r="AE34" s="163"/>
      <c r="AF34" s="1564">
        <f>(AD34/AD27-1)*100</f>
        <v>9.0661770448891907</v>
      </c>
      <c r="AG34" s="163"/>
      <c r="AH34" s="163"/>
      <c r="AI34" s="163"/>
    </row>
    <row r="35" spans="1:35" hidden="1" outlineLevel="1">
      <c r="A35" s="163" t="str">
        <f>$A$14</f>
        <v>4Q</v>
      </c>
      <c r="B35" s="163" t="str">
        <f>$B$14</f>
        <v>Jan</v>
      </c>
      <c r="C35" s="163"/>
      <c r="D35" s="1557">
        <f>'qtrP&amp;L'!P13</f>
        <v>46.265000000000001</v>
      </c>
      <c r="E35" s="163"/>
      <c r="F35" s="1557">
        <f>'qtrP&amp;L'!P23</f>
        <v>30.042999999999999</v>
      </c>
      <c r="G35" s="163"/>
      <c r="H35" s="1558">
        <f>work!N13</f>
        <v>17.128</v>
      </c>
      <c r="I35" s="163"/>
      <c r="J35" s="1557">
        <f>AVERAGE(H34:H35)</f>
        <v>19.783999999999999</v>
      </c>
      <c r="K35" s="163"/>
      <c r="L35" s="1566">
        <f>(D35/D28-1)*100</f>
        <v>10.091852274890535</v>
      </c>
      <c r="M35" s="163"/>
      <c r="N35" s="1564">
        <f>(H35/H28-1)*100</f>
        <v>0.96080165045682175</v>
      </c>
      <c r="O35" s="163"/>
      <c r="P35" s="1564">
        <f>(H35/H34-1)*100</f>
        <v>-23.672014260249561</v>
      </c>
      <c r="Q35" s="163"/>
      <c r="R35" s="1556">
        <f>F35/J35</f>
        <v>1.5185503437120906</v>
      </c>
      <c r="S35" s="163"/>
      <c r="T35" s="1556">
        <f>F39/H35</f>
        <v>1.4889070527790751</v>
      </c>
      <c r="U35" s="163"/>
      <c r="V35" s="163">
        <f>qtrSales!K36</f>
        <v>35</v>
      </c>
      <c r="W35" s="163"/>
      <c r="X35" s="1556">
        <f>H35/V35</f>
        <v>0.48937142857142857</v>
      </c>
      <c r="Y35" s="163"/>
      <c r="Z35" s="1564">
        <f>(X35/X28-1)*100</f>
        <v>-4.8083870152835555</v>
      </c>
      <c r="AA35" s="163"/>
      <c r="AB35" s="1554">
        <f>+qtrSales!AE36</f>
        <v>0.44773066666666667</v>
      </c>
      <c r="AC35" s="163"/>
      <c r="AD35" s="1569">
        <f>H35/AB35</f>
        <v>38.255141483868279</v>
      </c>
      <c r="AE35" s="163"/>
      <c r="AF35" s="1564">
        <f>(AD35/AD28-1)*100</f>
        <v>-4.5373555148089046</v>
      </c>
      <c r="AG35" s="163"/>
      <c r="AH35" s="163"/>
      <c r="AI35" s="163"/>
    </row>
    <row r="36" spans="1:35" hidden="1" outlineLevel="1">
      <c r="A36" s="163"/>
      <c r="B36" s="163" t="str">
        <f>$B$15</f>
        <v>Year</v>
      </c>
      <c r="C36" s="163"/>
      <c r="D36" s="1552">
        <f>SUM(D32:D35)</f>
        <v>173.26</v>
      </c>
      <c r="E36" s="163"/>
      <c r="F36" s="1552">
        <f>SUM(F32:F35)</f>
        <v>112.69800000000001</v>
      </c>
      <c r="G36" s="163"/>
      <c r="H36" s="163"/>
      <c r="I36" s="163"/>
      <c r="J36" s="1552">
        <f>AVERAGE(J32:J35)</f>
        <v>19.597875000000002</v>
      </c>
      <c r="K36" s="163"/>
      <c r="L36" s="1563">
        <f>(D36/D29-1)*100</f>
        <v>10.710680008690199</v>
      </c>
      <c r="M36" s="163"/>
      <c r="N36" s="1564"/>
      <c r="O36" s="163"/>
      <c r="P36" s="163"/>
      <c r="Q36" s="163"/>
      <c r="R36" s="1567">
        <f>F36/J36</f>
        <v>5.7505214213275675</v>
      </c>
      <c r="S36" s="1561" t="s">
        <v>327</v>
      </c>
      <c r="T36" s="1556"/>
      <c r="U36" s="163"/>
      <c r="V36" s="163"/>
      <c r="W36" s="163"/>
      <c r="X36" s="163"/>
      <c r="Y36" s="163"/>
      <c r="Z36" s="163"/>
      <c r="AA36" s="163"/>
      <c r="AB36" s="163"/>
      <c r="AC36" s="163"/>
      <c r="AD36" s="163"/>
      <c r="AE36" s="163"/>
      <c r="AF36" s="163"/>
      <c r="AG36" s="163"/>
      <c r="AH36" s="163"/>
      <c r="AI36" s="163"/>
    </row>
    <row r="37" spans="1:35" hidden="1" outlineLevel="1">
      <c r="A37" s="163"/>
      <c r="B37" s="163"/>
      <c r="C37" s="163"/>
      <c r="D37" s="163"/>
      <c r="E37" s="163"/>
      <c r="F37" s="163"/>
      <c r="G37" s="163"/>
      <c r="H37" s="163"/>
      <c r="I37" s="163"/>
      <c r="J37" s="163"/>
      <c r="K37" s="163"/>
      <c r="L37" s="163"/>
      <c r="M37" s="163"/>
      <c r="N37" s="163"/>
      <c r="O37" s="163"/>
      <c r="P37" s="163"/>
      <c r="Q37" s="163"/>
      <c r="R37" s="163"/>
      <c r="S37" s="163"/>
      <c r="T37" s="1556"/>
      <c r="U37" s="163"/>
      <c r="V37" s="163"/>
      <c r="W37" s="163"/>
      <c r="X37" s="163"/>
      <c r="Y37" s="163"/>
      <c r="Z37" s="163"/>
      <c r="AA37" s="163"/>
      <c r="AB37" s="163"/>
      <c r="AC37" s="163"/>
      <c r="AD37" s="163"/>
      <c r="AE37" s="163"/>
      <c r="AF37" s="163"/>
      <c r="AG37" s="163"/>
      <c r="AH37" s="163"/>
      <c r="AI37" s="163"/>
    </row>
    <row r="38" spans="1:35" hidden="1" outlineLevel="1">
      <c r="A38" s="163"/>
      <c r="B38" s="1562">
        <f>B31+1</f>
        <v>1998</v>
      </c>
      <c r="C38" s="163"/>
      <c r="D38" s="163"/>
      <c r="E38" s="163"/>
      <c r="F38" s="163"/>
      <c r="G38" s="163"/>
      <c r="H38" s="163"/>
      <c r="I38" s="163"/>
      <c r="J38" s="163"/>
      <c r="K38" s="163"/>
      <c r="L38" s="163"/>
      <c r="M38" s="163"/>
      <c r="N38" s="163"/>
      <c r="O38" s="163"/>
      <c r="P38" s="163"/>
      <c r="Q38" s="163"/>
      <c r="R38" s="163"/>
      <c r="S38" s="163"/>
      <c r="T38" s="1556"/>
      <c r="U38" s="163"/>
      <c r="V38" s="163"/>
      <c r="W38" s="163"/>
      <c r="X38" s="163"/>
      <c r="Y38" s="163"/>
      <c r="Z38" s="163"/>
      <c r="AA38" s="163"/>
      <c r="AB38" s="163"/>
      <c r="AC38" s="163"/>
      <c r="AD38" s="163"/>
      <c r="AE38" s="163"/>
      <c r="AF38" s="163"/>
      <c r="AG38" s="163"/>
      <c r="AH38" s="163"/>
      <c r="AI38" s="163"/>
    </row>
    <row r="39" spans="1:35" hidden="1" outlineLevel="1">
      <c r="A39" s="163" t="str">
        <f>$A$11</f>
        <v>1Q</v>
      </c>
      <c r="B39" s="163" t="str">
        <f>$B$11</f>
        <v>Apr</v>
      </c>
      <c r="C39" s="163"/>
      <c r="D39" s="1552">
        <f>'qtrP&amp;L'!T10</f>
        <v>39.475999999999999</v>
      </c>
      <c r="E39" s="163"/>
      <c r="F39" s="1552">
        <f>'qtrP&amp;L'!T20</f>
        <v>25.501999999999999</v>
      </c>
      <c r="G39" s="163"/>
      <c r="H39" s="1552">
        <f>work!R10</f>
        <v>21.143999999999998</v>
      </c>
      <c r="I39" s="163"/>
      <c r="J39" s="1552">
        <f>AVERAGE(H39,H35)</f>
        <v>19.135999999999999</v>
      </c>
      <c r="K39" s="163"/>
      <c r="L39" s="1563">
        <f>(D39/D32-1)*100</f>
        <v>6.0327692720923976</v>
      </c>
      <c r="M39" s="163" t="s">
        <v>208</v>
      </c>
      <c r="N39" s="1563">
        <f>(H39/H32-1)*100</f>
        <v>13.646869121203963</v>
      </c>
      <c r="O39" s="163" t="s">
        <v>208</v>
      </c>
      <c r="P39" s="1563">
        <f>(H39/H35-1)*100</f>
        <v>23.446987389070518</v>
      </c>
      <c r="Q39" s="163" t="s">
        <v>208</v>
      </c>
      <c r="R39" s="1556">
        <f>F39/J39</f>
        <v>1.3326714046822743</v>
      </c>
      <c r="S39" s="163" t="s">
        <v>327</v>
      </c>
      <c r="T39" s="1556">
        <f>F40/H39</f>
        <v>1.4365777525539161</v>
      </c>
      <c r="U39" s="163" t="s">
        <v>327</v>
      </c>
      <c r="V39" s="163">
        <f>qtrSales!K40</f>
        <v>38</v>
      </c>
      <c r="W39" s="163"/>
      <c r="X39" s="1553">
        <f>H39/V39</f>
        <v>0.55642105263157893</v>
      </c>
      <c r="Y39" s="163"/>
      <c r="Z39" s="1564">
        <f>(X39/X32-1)*100</f>
        <v>-1.3066662894807735</v>
      </c>
      <c r="AA39" s="164" t="s">
        <v>208</v>
      </c>
      <c r="AB39" s="1554">
        <f>+qtrSales!AE40</f>
        <v>0.47191066666666664</v>
      </c>
      <c r="AC39" s="163"/>
      <c r="AD39" s="1568">
        <f>H39/AB39</f>
        <v>44.805090228941637</v>
      </c>
      <c r="AE39" s="163"/>
      <c r="AF39" s="1564">
        <f>(AD39/AD32-1)*100</f>
        <v>1.9518695954957366</v>
      </c>
      <c r="AG39" s="164" t="s">
        <v>208</v>
      </c>
      <c r="AH39" s="1570">
        <f>((F39-('yrP&amp;L'!$F$16/4))/J39)</f>
        <v>1.0821632728307322</v>
      </c>
      <c r="AI39" s="1571" t="s">
        <v>327</v>
      </c>
    </row>
    <row r="40" spans="1:35" hidden="1" outlineLevel="1">
      <c r="A40" s="163" t="str">
        <f>$A$12</f>
        <v>2Q</v>
      </c>
      <c r="B40" s="163" t="str">
        <f>$B$12</f>
        <v>Jul</v>
      </c>
      <c r="C40" s="163"/>
      <c r="D40" s="1555">
        <f>'qtrP&amp;L'!T11</f>
        <v>48.133000000000003</v>
      </c>
      <c r="E40" s="163"/>
      <c r="F40" s="1555">
        <f>'qtrP&amp;L'!T21</f>
        <v>30.375</v>
      </c>
      <c r="G40" s="163"/>
      <c r="H40" s="1555">
        <f>work!R11</f>
        <v>27.073</v>
      </c>
      <c r="I40" s="163"/>
      <c r="J40" s="1555">
        <f>AVERAGE(H39:H40)</f>
        <v>24.108499999999999</v>
      </c>
      <c r="K40" s="163"/>
      <c r="L40" s="1563">
        <f>(D40/D33-1)*100</f>
        <v>16.386981332817484</v>
      </c>
      <c r="M40" s="163"/>
      <c r="N40" s="1563">
        <f>(H40/H33-1)*100</f>
        <v>33.364532019704441</v>
      </c>
      <c r="O40" s="163"/>
      <c r="P40" s="1563">
        <f>(H40/H39-1)*100</f>
        <v>28.041051835035958</v>
      </c>
      <c r="Q40" s="163"/>
      <c r="R40" s="1556">
        <f>F40/J40</f>
        <v>1.2599290706597259</v>
      </c>
      <c r="S40" s="163"/>
      <c r="T40" s="1556">
        <f>F41/H40</f>
        <v>1.3979980053928267</v>
      </c>
      <c r="U40" s="163"/>
      <c r="V40" s="163">
        <f>qtrSales!K41</f>
        <v>41</v>
      </c>
      <c r="W40" s="163"/>
      <c r="X40" s="1556">
        <f>H40/V40</f>
        <v>0.66031707317073174</v>
      </c>
      <c r="Y40" s="163"/>
      <c r="Z40" s="1564">
        <f>(X40/X33-1)*100</f>
        <v>4.089390844647367</v>
      </c>
      <c r="AA40" s="163"/>
      <c r="AB40" s="1554">
        <f>+qtrSales!AE41</f>
        <v>0.50334400000000001</v>
      </c>
      <c r="AC40" s="163"/>
      <c r="AD40" s="1569">
        <f>H40/AB40</f>
        <v>53.786277376903271</v>
      </c>
      <c r="AE40" s="163"/>
      <c r="AF40" s="1564">
        <f>(AD40/AD33-1)*100</f>
        <v>9.5194590206316043</v>
      </c>
      <c r="AG40" s="163"/>
      <c r="AH40" s="1570">
        <f>((F40-('yrP&amp;L'!$F$16/4))/J40)</f>
        <v>1.0610895073890489</v>
      </c>
      <c r="AI40" s="1571"/>
    </row>
    <row r="41" spans="1:35" hidden="1" outlineLevel="1">
      <c r="A41" s="163" t="str">
        <f>$A$13</f>
        <v>3Q</v>
      </c>
      <c r="B41" s="163" t="str">
        <f>$B$13</f>
        <v>Oct</v>
      </c>
      <c r="C41" s="163"/>
      <c r="D41" s="1555">
        <f>'qtrP&amp;L'!T12</f>
        <v>60.804000000000002</v>
      </c>
      <c r="E41" s="163"/>
      <c r="F41" s="1555">
        <f>'qtrP&amp;L'!T22</f>
        <v>37.847999999999999</v>
      </c>
      <c r="G41" s="163"/>
      <c r="H41" s="1555">
        <f>work!R12</f>
        <v>26.5</v>
      </c>
      <c r="I41" s="163"/>
      <c r="J41" s="1555">
        <f>AVERAGE(H40:H41)</f>
        <v>26.7865</v>
      </c>
      <c r="K41" s="163"/>
      <c r="L41" s="1563">
        <f>(D41/D34-1)*100</f>
        <v>25.604742919705025</v>
      </c>
      <c r="M41" s="163"/>
      <c r="N41" s="1563">
        <f>(H41/H34-1)*100</f>
        <v>18.092691622103384</v>
      </c>
      <c r="O41" s="163"/>
      <c r="P41" s="1563">
        <f>(H41/H40-1)*100</f>
        <v>-2.1164998337827368</v>
      </c>
      <c r="Q41" s="163"/>
      <c r="R41" s="1556">
        <f>F41/J41</f>
        <v>1.4129505534504321</v>
      </c>
      <c r="S41" s="163"/>
      <c r="T41" s="1556">
        <f>F42/H41</f>
        <v>1.4098113207547169</v>
      </c>
      <c r="U41" s="163"/>
      <c r="V41" s="163">
        <f>qtrSales!K42</f>
        <v>43</v>
      </c>
      <c r="W41" s="163"/>
      <c r="X41" s="1556">
        <f>H41/V41</f>
        <v>0.61627906976744184</v>
      </c>
      <c r="Y41" s="163"/>
      <c r="Z41" s="1564">
        <f>(X41/X34-1)*100</f>
        <v>-9.370725034199733</v>
      </c>
      <c r="AA41" s="163"/>
      <c r="AB41" s="1554">
        <f>+qtrSales!AE42</f>
        <v>0.52267866666666674</v>
      </c>
      <c r="AC41" s="163"/>
      <c r="AD41" s="1569">
        <f>H41/AB41</f>
        <v>50.700366573216428</v>
      </c>
      <c r="AE41" s="163"/>
      <c r="AF41" s="1564">
        <f>(AD41/AD34-1)*100</f>
        <v>-4.0916559406906199</v>
      </c>
      <c r="AG41" s="163"/>
      <c r="AH41" s="1570">
        <f>((F41-('yrP&amp;L'!$F$16/4))/J41)</f>
        <v>1.2339901214749551</v>
      </c>
      <c r="AI41" s="1571"/>
    </row>
    <row r="42" spans="1:35" hidden="1" outlineLevel="1">
      <c r="A42" s="163" t="str">
        <f>$A$14</f>
        <v>4Q</v>
      </c>
      <c r="B42" s="163" t="str">
        <f>$B$14</f>
        <v>Jan</v>
      </c>
      <c r="C42" s="163"/>
      <c r="D42" s="1557">
        <f>'qtrP&amp;L'!T13</f>
        <v>61.451999999999998</v>
      </c>
      <c r="E42" s="163"/>
      <c r="F42" s="1557">
        <f>'qtrP&amp;L'!T23</f>
        <v>37.36</v>
      </c>
      <c r="G42" s="163"/>
      <c r="H42" s="1558">
        <f>work!R13</f>
        <v>21.881</v>
      </c>
      <c r="I42" s="163"/>
      <c r="J42" s="1557">
        <f>AVERAGE(H41:H42)</f>
        <v>24.1905</v>
      </c>
      <c r="K42" s="163"/>
      <c r="L42" s="1566">
        <f>(D42/D35-1)*100</f>
        <v>32.826110450664636</v>
      </c>
      <c r="M42" s="163"/>
      <c r="N42" s="1564">
        <f>(H42/H35-1)*100</f>
        <v>27.749883232134522</v>
      </c>
      <c r="O42" s="163"/>
      <c r="P42" s="1564">
        <f>(H42/H41-1)*100</f>
        <v>-17.430188679245283</v>
      </c>
      <c r="Q42" s="163"/>
      <c r="R42" s="1556">
        <f>F42/J42</f>
        <v>1.5444079287323536</v>
      </c>
      <c r="S42" s="163"/>
      <c r="T42" s="1556">
        <f>F46/H42</f>
        <v>1.6928385357159181</v>
      </c>
      <c r="U42" s="163"/>
      <c r="V42" s="163">
        <f>qtrSales!K43</f>
        <v>46</v>
      </c>
      <c r="W42" s="163"/>
      <c r="X42" s="1556">
        <f>H42/V42</f>
        <v>0.47567391304347828</v>
      </c>
      <c r="Y42" s="163"/>
      <c r="Z42" s="1564">
        <f>(X42/X35-1)*100</f>
        <v>-2.7990018885932999</v>
      </c>
      <c r="AA42" s="163"/>
      <c r="AB42" s="1554">
        <f>+qtrSales!AE43</f>
        <v>0.55796400000000002</v>
      </c>
      <c r="AC42" s="163"/>
      <c r="AD42" s="1569">
        <f>H42/AB42</f>
        <v>39.21579169982293</v>
      </c>
      <c r="AE42" s="163"/>
      <c r="AF42" s="1564">
        <f>(AD42/AD35-1)*100</f>
        <v>2.5111662869153006</v>
      </c>
      <c r="AG42" s="163"/>
      <c r="AH42" s="1570">
        <f>((F42-('yrP&amp;L'!$F$16/4))/J42)</f>
        <v>1.3462423839477848</v>
      </c>
      <c r="AI42" s="1572"/>
    </row>
    <row r="43" spans="1:35" hidden="1" outlineLevel="1">
      <c r="A43" s="163"/>
      <c r="B43" s="163" t="str">
        <f>$B$15</f>
        <v>Year</v>
      </c>
      <c r="C43" s="163"/>
      <c r="D43" s="1552">
        <f>SUM(D39:D42)</f>
        <v>209.86500000000001</v>
      </c>
      <c r="E43" s="163"/>
      <c r="F43" s="1552">
        <f>SUM(F39:F42)</f>
        <v>131.08499999999998</v>
      </c>
      <c r="G43" s="163"/>
      <c r="H43" s="163"/>
      <c r="I43" s="163"/>
      <c r="J43" s="1552">
        <f>AVERAGE(J39:J42)</f>
        <v>23.555375000000002</v>
      </c>
      <c r="K43" s="163"/>
      <c r="L43" s="1563">
        <f>(D43/D36-1)*100</f>
        <v>21.127207664781267</v>
      </c>
      <c r="M43" s="163"/>
      <c r="N43" s="1564"/>
      <c r="O43" s="163"/>
      <c r="P43" s="163"/>
      <c r="Q43" s="163"/>
      <c r="R43" s="1567">
        <f>F43/J43</f>
        <v>5.5649719013176382</v>
      </c>
      <c r="S43" s="1561" t="s">
        <v>327</v>
      </c>
      <c r="T43" s="1556"/>
      <c r="U43" s="163"/>
      <c r="V43" s="163"/>
      <c r="W43" s="163"/>
      <c r="X43" s="163"/>
      <c r="Y43" s="163"/>
      <c r="Z43" s="163"/>
      <c r="AA43" s="163"/>
      <c r="AB43" s="163"/>
      <c r="AC43" s="163"/>
      <c r="AD43" s="163"/>
      <c r="AE43" s="163"/>
      <c r="AF43" s="163"/>
      <c r="AG43" s="163"/>
      <c r="AH43" s="1573">
        <f>(F43-'yrP&amp;L'!$F$16)/J43</f>
        <v>4.7509371239284253</v>
      </c>
      <c r="AI43" s="1574" t="s">
        <v>327</v>
      </c>
    </row>
    <row r="44" spans="1:35" hidden="1" outlineLevel="1" collapsed="1">
      <c r="A44" s="163"/>
      <c r="B44" s="163"/>
      <c r="C44" s="163"/>
      <c r="D44" s="163"/>
      <c r="E44" s="163"/>
      <c r="F44" s="163"/>
      <c r="G44" s="163"/>
      <c r="H44" s="163"/>
      <c r="I44" s="163"/>
      <c r="J44" s="163"/>
      <c r="K44" s="163"/>
      <c r="L44" s="163"/>
      <c r="M44" s="163"/>
      <c r="N44" s="163"/>
      <c r="O44" s="163"/>
      <c r="P44" s="163"/>
      <c r="Q44" s="163"/>
      <c r="R44" s="163"/>
      <c r="S44" s="163"/>
      <c r="T44" s="1556"/>
      <c r="U44" s="163"/>
      <c r="V44" s="163"/>
      <c r="W44" s="163"/>
      <c r="X44" s="163"/>
      <c r="Y44" s="163"/>
      <c r="Z44" s="163"/>
      <c r="AA44" s="163"/>
      <c r="AB44" s="163"/>
      <c r="AC44" s="163"/>
      <c r="AD44" s="163"/>
      <c r="AE44" s="163"/>
      <c r="AF44" s="163"/>
      <c r="AG44" s="163"/>
      <c r="AH44" s="163"/>
      <c r="AI44" s="163"/>
    </row>
    <row r="45" spans="1:35" hidden="1" outlineLevel="1">
      <c r="A45" s="163"/>
      <c r="B45" s="1562">
        <f>B38+1</f>
        <v>1999</v>
      </c>
      <c r="C45" s="163"/>
      <c r="D45" s="163"/>
      <c r="E45" s="163"/>
      <c r="F45" s="163"/>
      <c r="G45" s="163"/>
      <c r="H45" s="163"/>
      <c r="I45" s="163"/>
      <c r="J45" s="163"/>
      <c r="K45" s="163"/>
      <c r="L45" s="163"/>
      <c r="M45" s="163"/>
      <c r="N45" s="163"/>
      <c r="O45" s="163"/>
      <c r="P45" s="163"/>
      <c r="Q45" s="163"/>
      <c r="R45" s="163"/>
      <c r="S45" s="163"/>
      <c r="T45" s="1556"/>
      <c r="U45" s="163"/>
      <c r="V45" s="163"/>
      <c r="W45" s="163"/>
      <c r="X45" s="163"/>
      <c r="Y45" s="163"/>
      <c r="Z45" s="163"/>
      <c r="AA45" s="163"/>
      <c r="AB45" s="1575"/>
      <c r="AC45" s="163"/>
      <c r="AD45" s="163"/>
      <c r="AE45" s="163"/>
      <c r="AF45" s="163"/>
      <c r="AG45" s="163"/>
      <c r="AH45" s="163"/>
      <c r="AI45" s="163"/>
    </row>
    <row r="46" spans="1:35" hidden="1" outlineLevel="1">
      <c r="A46" s="163" t="str">
        <f>$A$11</f>
        <v>1Q</v>
      </c>
      <c r="B46" s="163" t="str">
        <f>$B$11</f>
        <v>Apr</v>
      </c>
      <c r="C46" s="163"/>
      <c r="D46" s="1552">
        <f>'qtrP&amp;L'!X10</f>
        <v>58.523000000000003</v>
      </c>
      <c r="E46" s="163"/>
      <c r="F46" s="1552">
        <f>'qtrP&amp;L'!X20</f>
        <v>37.041000000000004</v>
      </c>
      <c r="G46" s="163"/>
      <c r="H46" s="1552">
        <f>work!V10</f>
        <v>25.292000000000002</v>
      </c>
      <c r="I46" s="163"/>
      <c r="J46" s="1552">
        <f>AVERAGE(H46,H42)</f>
        <v>23.586500000000001</v>
      </c>
      <c r="K46" s="163"/>
      <c r="L46" s="1563">
        <f>(D46/D39-1)*100</f>
        <v>48.249569358597633</v>
      </c>
      <c r="M46" s="163" t="s">
        <v>208</v>
      </c>
      <c r="N46" s="1563">
        <f>(H46/H39-1)*100</f>
        <v>19.617858494135465</v>
      </c>
      <c r="O46" s="163" t="s">
        <v>208</v>
      </c>
      <c r="P46" s="1563">
        <f>(H46/H42-1)*100</f>
        <v>15.588867053608158</v>
      </c>
      <c r="Q46" s="163" t="s">
        <v>208</v>
      </c>
      <c r="R46" s="1556">
        <f>F46/J46</f>
        <v>1.5704322387806586</v>
      </c>
      <c r="S46" s="163" t="s">
        <v>327</v>
      </c>
      <c r="T46" s="1556">
        <f>F47/H46</f>
        <v>1.6570061679582473</v>
      </c>
      <c r="U46" s="163" t="s">
        <v>327</v>
      </c>
      <c r="V46" s="163">
        <f>qtrSales!K47</f>
        <v>49</v>
      </c>
      <c r="W46" s="163"/>
      <c r="X46" s="1553">
        <f>H46/V46</f>
        <v>0.51616326530612244</v>
      </c>
      <c r="Y46" s="163"/>
      <c r="Z46" s="1564">
        <f>(X46/X39-1)*100</f>
        <v>-7.2351301474051555</v>
      </c>
      <c r="AA46" s="164" t="s">
        <v>208</v>
      </c>
      <c r="AB46" s="1554">
        <f>+qtrSales!AE47</f>
        <v>0.5912533333333333</v>
      </c>
      <c r="AC46" s="163"/>
      <c r="AD46" s="1568">
        <f>H46/AB46</f>
        <v>42.776925852426487</v>
      </c>
      <c r="AE46" s="163"/>
      <c r="AF46" s="1564">
        <f>(AD46/AD39-1)*100</f>
        <v>-4.5266383041564939</v>
      </c>
      <c r="AG46" s="164" t="s">
        <v>208</v>
      </c>
      <c r="AH46" s="1570">
        <f>((F46-('yrP&amp;L'!$G$16/4))/J46)</f>
        <v>1.3053872624877227</v>
      </c>
      <c r="AI46" s="1571" t="s">
        <v>327</v>
      </c>
    </row>
    <row r="47" spans="1:35" hidden="1" outlineLevel="1">
      <c r="A47" s="163" t="str">
        <f>$A$12</f>
        <v>2Q</v>
      </c>
      <c r="B47" s="163" t="str">
        <f>$B$12</f>
        <v>Jul</v>
      </c>
      <c r="C47" s="163"/>
      <c r="D47" s="1555">
        <f>'qtrP&amp;L'!X11</f>
        <v>68.260999999999996</v>
      </c>
      <c r="E47" s="163"/>
      <c r="F47" s="1555">
        <f>'qtrP&amp;L'!X21</f>
        <v>41.908999999999992</v>
      </c>
      <c r="G47" s="163"/>
      <c r="H47" s="1555">
        <f>work!V11</f>
        <v>31.082999999999998</v>
      </c>
      <c r="I47" s="163"/>
      <c r="J47" s="1555">
        <f>AVERAGE(H46:H47)</f>
        <v>28.1875</v>
      </c>
      <c r="K47" s="163"/>
      <c r="L47" s="1563">
        <f>(D47/D40-1)*100</f>
        <v>41.817464109862243</v>
      </c>
      <c r="M47" s="163"/>
      <c r="N47" s="1563">
        <f>(H47/H40-1)*100</f>
        <v>14.811805119491739</v>
      </c>
      <c r="O47" s="163"/>
      <c r="P47" s="1563">
        <f>(H47/H46-1)*100</f>
        <v>22.896568084769875</v>
      </c>
      <c r="Q47" s="163"/>
      <c r="R47" s="1556">
        <f>F47/J47</f>
        <v>1.486793791574279</v>
      </c>
      <c r="S47" s="163"/>
      <c r="T47" s="1556">
        <f>F48/H47</f>
        <v>1.5179680211047839</v>
      </c>
      <c r="U47" s="163"/>
      <c r="V47" s="163">
        <f>qtrSales!K48</f>
        <v>49</v>
      </c>
      <c r="W47" s="163"/>
      <c r="X47" s="1556">
        <f>H47/V47</f>
        <v>0.63434693877551018</v>
      </c>
      <c r="Y47" s="163"/>
      <c r="Z47" s="1564">
        <f>(X47/X40-1)*100</f>
        <v>-3.9329793898130405</v>
      </c>
      <c r="AA47" s="163"/>
      <c r="AB47" s="1554">
        <f>+qtrSales!AE48</f>
        <v>0.58469066666666658</v>
      </c>
      <c r="AC47" s="163"/>
      <c r="AD47" s="1569">
        <f>H47/AB47</f>
        <v>53.161443771977439</v>
      </c>
      <c r="AE47" s="163"/>
      <c r="AF47" s="1564">
        <f>(AD47/AD40-1)*100</f>
        <v>-1.1616970636345703</v>
      </c>
      <c r="AG47" s="163"/>
      <c r="AH47" s="1570">
        <f>((F47-('yrP&amp;L'!$G$16/4))/J47)</f>
        <v>1.2650116777531408</v>
      </c>
      <c r="AI47" s="1571"/>
    </row>
    <row r="48" spans="1:35" hidden="1" outlineLevel="1">
      <c r="A48" s="163" t="str">
        <f>$A$13</f>
        <v>3Q</v>
      </c>
      <c r="B48" s="163" t="str">
        <f>$B$13</f>
        <v>Oct</v>
      </c>
      <c r="C48" s="163"/>
      <c r="D48" s="1555">
        <f>'qtrP&amp;L'!X12</f>
        <v>75.91</v>
      </c>
      <c r="E48" s="163"/>
      <c r="F48" s="1555">
        <f>'qtrP&amp;L'!X22</f>
        <v>47.182999999999993</v>
      </c>
      <c r="G48" s="163"/>
      <c r="H48" s="1555">
        <f>work!V12</f>
        <v>32.527000000000001</v>
      </c>
      <c r="I48" s="163"/>
      <c r="J48" s="1555">
        <f>AVERAGE(H47:H48)</f>
        <v>31.805</v>
      </c>
      <c r="K48" s="163"/>
      <c r="L48" s="1563">
        <f>(D48/D41-1)*100</f>
        <v>24.843760278929004</v>
      </c>
      <c r="M48" s="163"/>
      <c r="N48" s="1563">
        <f>(H48/H41-1)*100</f>
        <v>22.743396226415101</v>
      </c>
      <c r="O48" s="163"/>
      <c r="P48" s="1563">
        <f>(H48/H47-1)*100</f>
        <v>4.645626226554711</v>
      </c>
      <c r="Q48" s="163"/>
      <c r="R48" s="1556">
        <f>F48/J48</f>
        <v>1.4835088822512181</v>
      </c>
      <c r="S48" s="163"/>
      <c r="T48" s="1556">
        <f>F49/H48</f>
        <v>1.4549758662034615</v>
      </c>
      <c r="U48" s="163"/>
      <c r="V48" s="163">
        <f>qtrSales!K49</f>
        <v>52</v>
      </c>
      <c r="W48" s="163"/>
      <c r="X48" s="1556">
        <f>H48/V48</f>
        <v>0.62551923076923077</v>
      </c>
      <c r="Y48" s="163"/>
      <c r="Z48" s="1564">
        <f>(X48/X41-1)*100</f>
        <v>1.499346879535568</v>
      </c>
      <c r="AA48" s="163"/>
      <c r="AB48" s="1554">
        <f>+qtrSales!AE49</f>
        <v>0.62298399999999987</v>
      </c>
      <c r="AC48" s="163"/>
      <c r="AD48" s="1569">
        <f>H48/AB48</f>
        <v>52.211613781413341</v>
      </c>
      <c r="AE48" s="163"/>
      <c r="AF48" s="1564">
        <f>(AD48/AD41-1)*100</f>
        <v>2.9807421727701344</v>
      </c>
      <c r="AG48" s="163"/>
      <c r="AH48" s="1570">
        <f>((F48-('yrP&amp;L'!$G$16/4))/J48)</f>
        <v>1.2869522611748674</v>
      </c>
      <c r="AI48" s="1571"/>
    </row>
    <row r="49" spans="1:35" hidden="1" outlineLevel="1">
      <c r="A49" s="163" t="str">
        <f>$A$14</f>
        <v>4Q</v>
      </c>
      <c r="B49" s="163" t="str">
        <f>$B$14</f>
        <v>Jan</v>
      </c>
      <c r="C49" s="163"/>
      <c r="D49" s="1557">
        <f>'qtrP&amp;L'!X13</f>
        <v>75.418999999999997</v>
      </c>
      <c r="E49" s="163"/>
      <c r="F49" s="1557">
        <f>'qtrP&amp;L'!X23</f>
        <v>47.325999999999993</v>
      </c>
      <c r="G49" s="163"/>
      <c r="H49" s="1558">
        <f>work!V13</f>
        <v>26.867999999999999</v>
      </c>
      <c r="I49" s="163"/>
      <c r="J49" s="1557">
        <f>AVERAGE(H48:H49)</f>
        <v>29.697499999999998</v>
      </c>
      <c r="K49" s="163"/>
      <c r="L49" s="1566">
        <f>(D49/D42-1)*100</f>
        <v>22.72830827312373</v>
      </c>
      <c r="M49" s="163"/>
      <c r="N49" s="1564">
        <f>(H49/H42-1)*100</f>
        <v>22.791462913029559</v>
      </c>
      <c r="O49" s="163"/>
      <c r="P49" s="1563">
        <f>(H49/H48-1)*100</f>
        <v>-17.39785409044794</v>
      </c>
      <c r="Q49" s="163"/>
      <c r="R49" s="1556">
        <f>F49/J49</f>
        <v>1.5936021550635575</v>
      </c>
      <c r="S49" s="163"/>
      <c r="T49" s="1556">
        <f>F53/H49</f>
        <v>1.5886556498436801</v>
      </c>
      <c r="U49" s="163"/>
      <c r="V49" s="163">
        <f>qtrSales!K50</f>
        <v>57</v>
      </c>
      <c r="W49" s="163"/>
      <c r="X49" s="1556">
        <f>H49/V49</f>
        <v>0.47136842105263155</v>
      </c>
      <c r="Y49" s="163"/>
      <c r="Z49" s="1564">
        <f>(X49/X42-1)*100</f>
        <v>-0.90513519299368905</v>
      </c>
      <c r="AA49" s="163"/>
      <c r="AB49" s="1554">
        <f>+qtrSales!AE50</f>
        <v>0.69685466666666673</v>
      </c>
      <c r="AC49" s="163"/>
      <c r="AD49" s="1569">
        <f>H49/AB49</f>
        <v>38.556102563710077</v>
      </c>
      <c r="AE49" s="163"/>
      <c r="AF49" s="1564">
        <f>(AD49/AD42-1)*100</f>
        <v>-1.6822027747455448</v>
      </c>
      <c r="AG49" s="163"/>
      <c r="AH49" s="1570">
        <f>((F49-('yrP&amp;L'!$G$16/4))/J49)</f>
        <v>1.3830967814350252</v>
      </c>
      <c r="AI49" s="1572"/>
    </row>
    <row r="50" spans="1:35" hidden="1" outlineLevel="1">
      <c r="A50" s="163"/>
      <c r="B50" s="163" t="str">
        <f>$B$15</f>
        <v>Year</v>
      </c>
      <c r="C50" s="163"/>
      <c r="D50" s="1552">
        <f>SUM(D46:D49)</f>
        <v>278.113</v>
      </c>
      <c r="E50" s="163"/>
      <c r="F50" s="1552">
        <f>SUM(F46:F49)</f>
        <v>173.45899999999997</v>
      </c>
      <c r="G50" s="163"/>
      <c r="H50" s="163"/>
      <c r="I50" s="163"/>
      <c r="J50" s="1552">
        <f>AVERAGE(J46:J49)</f>
        <v>28.319125</v>
      </c>
      <c r="K50" s="163"/>
      <c r="L50" s="1563">
        <f>(D50/D43-1)*100</f>
        <v>32.519953303314033</v>
      </c>
      <c r="M50" s="163"/>
      <c r="N50" s="1564"/>
      <c r="O50" s="163"/>
      <c r="P50" s="1564"/>
      <c r="Q50" s="163"/>
      <c r="R50" s="1567">
        <f>F50/J50</f>
        <v>6.1251539374892401</v>
      </c>
      <c r="S50" s="1561" t="s">
        <v>327</v>
      </c>
      <c r="T50" s="1556"/>
      <c r="U50" s="163"/>
      <c r="V50" s="163"/>
      <c r="W50" s="163"/>
      <c r="X50" s="163"/>
      <c r="Y50" s="163"/>
      <c r="Z50" s="163"/>
      <c r="AA50" s="163"/>
      <c r="AB50" s="163"/>
      <c r="AC50" s="163"/>
      <c r="AD50" s="163"/>
      <c r="AE50" s="163"/>
      <c r="AF50" s="163"/>
      <c r="AG50" s="163"/>
      <c r="AH50" s="1573">
        <f>(F50-'yrP&amp;L'!$G$16)/J50</f>
        <v>5.242148783434045</v>
      </c>
      <c r="AI50" s="1574" t="s">
        <v>327</v>
      </c>
    </row>
    <row r="51" spans="1:35" hidden="1" outlineLevel="1" collapsed="1">
      <c r="A51" s="163"/>
      <c r="B51" s="163"/>
      <c r="C51" s="163"/>
      <c r="D51" s="163"/>
      <c r="E51" s="163"/>
      <c r="F51" s="163"/>
      <c r="G51" s="163"/>
      <c r="H51" s="163"/>
      <c r="I51" s="163"/>
      <c r="J51" s="163"/>
      <c r="K51" s="163"/>
      <c r="L51" s="163"/>
      <c r="M51" s="163"/>
      <c r="N51" s="163"/>
      <c r="O51" s="163"/>
      <c r="P51" s="163"/>
      <c r="Q51" s="163"/>
      <c r="R51" s="163"/>
      <c r="S51" s="163"/>
      <c r="T51" s="1556"/>
      <c r="U51" s="163"/>
      <c r="V51" s="163"/>
      <c r="W51" s="163"/>
      <c r="X51" s="163"/>
      <c r="Y51" s="163"/>
      <c r="Z51" s="163"/>
      <c r="AA51" s="163"/>
      <c r="AB51" s="163"/>
      <c r="AC51" s="163"/>
      <c r="AD51" s="163"/>
      <c r="AE51" s="163"/>
      <c r="AF51" s="163"/>
      <c r="AG51" s="163"/>
      <c r="AH51" s="163"/>
      <c r="AI51" s="163"/>
    </row>
    <row r="52" spans="1:35" hidden="1" outlineLevel="1">
      <c r="A52" s="163"/>
      <c r="B52" s="1562">
        <f>B45+1</f>
        <v>2000</v>
      </c>
      <c r="C52" s="163"/>
      <c r="D52" s="163"/>
      <c r="E52" s="163"/>
      <c r="F52" s="163"/>
      <c r="G52" s="163"/>
      <c r="H52" s="163"/>
      <c r="I52" s="163"/>
      <c r="J52" s="163"/>
      <c r="K52" s="163"/>
      <c r="L52" s="163"/>
      <c r="M52" s="163"/>
      <c r="N52" s="163"/>
      <c r="O52" s="163"/>
      <c r="P52" s="163"/>
      <c r="Q52" s="163"/>
      <c r="R52" s="163"/>
      <c r="S52" s="163"/>
      <c r="T52" s="1556"/>
      <c r="U52" s="163"/>
      <c r="V52" s="163"/>
      <c r="W52" s="163"/>
      <c r="X52" s="163"/>
      <c r="Y52" s="163"/>
      <c r="Z52" s="163"/>
      <c r="AA52" s="163"/>
      <c r="AB52" s="1575"/>
      <c r="AC52" s="163"/>
      <c r="AD52" s="163"/>
      <c r="AE52" s="163"/>
      <c r="AF52" s="163"/>
      <c r="AG52" s="163"/>
      <c r="AH52" s="163"/>
      <c r="AI52" s="163"/>
    </row>
    <row r="53" spans="1:35" hidden="1" outlineLevel="1">
      <c r="A53" s="163" t="str">
        <f>$A$11</f>
        <v>1Q</v>
      </c>
      <c r="B53" s="163" t="str">
        <f>$B$11</f>
        <v>Apr</v>
      </c>
      <c r="C53" s="163"/>
      <c r="D53" s="1552">
        <f>'qtrP&amp;L'!AB10</f>
        <v>65.95</v>
      </c>
      <c r="E53" s="163"/>
      <c r="F53" s="1552">
        <f>'qtrP&amp;L'!AB20</f>
        <v>42.683999999999997</v>
      </c>
      <c r="G53" s="163"/>
      <c r="H53" s="1552">
        <f>work!Z10</f>
        <v>33.023000000000003</v>
      </c>
      <c r="I53" s="163"/>
      <c r="J53" s="1552">
        <f>AVERAGE(H53,H49)</f>
        <v>29.945500000000003</v>
      </c>
      <c r="K53" s="163"/>
      <c r="L53" s="1563">
        <f>(D53/D46-1)*100</f>
        <v>12.690736975206329</v>
      </c>
      <c r="M53" s="163" t="s">
        <v>208</v>
      </c>
      <c r="N53" s="1563">
        <f>(H53/H46-1)*100</f>
        <v>30.566977700458644</v>
      </c>
      <c r="O53" s="163" t="s">
        <v>208</v>
      </c>
      <c r="P53" s="1563">
        <f>(H53/H49-1)*100</f>
        <v>22.908292392437126</v>
      </c>
      <c r="Q53" s="163" t="s">
        <v>208</v>
      </c>
      <c r="R53" s="1556">
        <f>F53/J53</f>
        <v>1.4253894575144845</v>
      </c>
      <c r="S53" s="163" t="s">
        <v>327</v>
      </c>
      <c r="T53" s="1556">
        <f>F54/H53</f>
        <v>1.4196166308330558</v>
      </c>
      <c r="U53" s="163"/>
      <c r="V53" s="163">
        <f>qtrSales!K54</f>
        <v>58</v>
      </c>
      <c r="W53" s="163"/>
      <c r="X53" s="1553">
        <f>H53/V53</f>
        <v>0.56936206896551733</v>
      </c>
      <c r="Y53" s="163"/>
      <c r="Z53" s="1564">
        <f>(X53/X46-1)*100</f>
        <v>10.306584609008173</v>
      </c>
      <c r="AA53" s="164" t="s">
        <v>208</v>
      </c>
      <c r="AB53" s="1554">
        <f>+qtrSales!AE54</f>
        <v>0.70591333333333339</v>
      </c>
      <c r="AC53" s="163"/>
      <c r="AD53" s="1568">
        <f>H53/AB53</f>
        <v>46.780530187841755</v>
      </c>
      <c r="AE53" s="163"/>
      <c r="AF53" s="1564">
        <f>(AD53/AD46-1)*100</f>
        <v>9.3592614607862714</v>
      </c>
      <c r="AG53" s="164" t="s">
        <v>208</v>
      </c>
      <c r="AH53" s="1570">
        <f>((F53-('yrP&amp;L'!$H$16/4))/J53)</f>
        <v>1.1421259732959319</v>
      </c>
      <c r="AI53" s="1571" t="s">
        <v>327</v>
      </c>
    </row>
    <row r="54" spans="1:35" hidden="1" outlineLevel="1">
      <c r="A54" s="163" t="str">
        <f>$A$12</f>
        <v>2Q</v>
      </c>
      <c r="B54" s="163" t="str">
        <f>$B$12</f>
        <v>Jul</v>
      </c>
      <c r="C54" s="163"/>
      <c r="D54" s="1555">
        <f>'qtrP&amp;L'!AB11</f>
        <v>66.727999999999994</v>
      </c>
      <c r="E54" s="163"/>
      <c r="F54" s="1555">
        <f>'qtrP&amp;L'!AB21</f>
        <v>46.88</v>
      </c>
      <c r="G54" s="163"/>
      <c r="H54" s="1555">
        <f>work!Z11</f>
        <v>41.548000000000002</v>
      </c>
      <c r="I54" s="163"/>
      <c r="J54" s="1555">
        <f>AVERAGE(H53:H54)</f>
        <v>37.285499999999999</v>
      </c>
      <c r="K54" s="163"/>
      <c r="L54" s="1563">
        <f>(D54/D47-1)*100</f>
        <v>-2.2457918870218752</v>
      </c>
      <c r="M54" s="163"/>
      <c r="N54" s="1563">
        <f>(H54/H47-1)*100</f>
        <v>33.667921371810962</v>
      </c>
      <c r="O54" s="163"/>
      <c r="P54" s="1563">
        <f>(H54/H53-1)*100</f>
        <v>25.815340823062716</v>
      </c>
      <c r="Q54" s="163"/>
      <c r="R54" s="1556">
        <f>F54/J54</f>
        <v>1.2573252336699254</v>
      </c>
      <c r="S54" s="163"/>
      <c r="T54" s="1556">
        <f>F55/H54</f>
        <v>1.2649706363723885</v>
      </c>
      <c r="U54" s="163"/>
      <c r="V54" s="163">
        <f>qtrSales!K55</f>
        <v>61</v>
      </c>
      <c r="W54" s="163"/>
      <c r="X54" s="1556">
        <f>H54/V54</f>
        <v>0.68111475409836064</v>
      </c>
      <c r="Y54" s="163"/>
      <c r="Z54" s="1564">
        <f>(X54/X47-1)*100</f>
        <v>7.3725925773563405</v>
      </c>
      <c r="AA54" s="163"/>
      <c r="AB54" s="1554">
        <f>+qtrSales!AE55</f>
        <v>0.75182666666666675</v>
      </c>
      <c r="AC54" s="163"/>
      <c r="AD54" s="1569">
        <f>H54/AB54</f>
        <v>55.262737865110751</v>
      </c>
      <c r="AE54" s="163"/>
      <c r="AF54" s="1564">
        <f>(AD54/AD47-1)*100</f>
        <v>3.9526655862588633</v>
      </c>
      <c r="AG54" s="163"/>
      <c r="AH54" s="1570">
        <f>((F54-('yrP&amp;L'!$H$16/4))/J54)</f>
        <v>1.0298248201937303</v>
      </c>
      <c r="AI54" s="1571"/>
    </row>
    <row r="55" spans="1:35" hidden="1" outlineLevel="1">
      <c r="A55" s="163" t="str">
        <f>$A$13</f>
        <v>3Q</v>
      </c>
      <c r="B55" s="163" t="str">
        <f>$B$13</f>
        <v>Oct</v>
      </c>
      <c r="C55" s="163"/>
      <c r="D55" s="1555">
        <f>'qtrP&amp;L'!AB12</f>
        <v>77.090999999999994</v>
      </c>
      <c r="E55" s="163"/>
      <c r="F55" s="1555">
        <f>'qtrP&amp;L'!AB22</f>
        <v>52.557000000000002</v>
      </c>
      <c r="G55" s="163"/>
      <c r="H55" s="1555">
        <f>work!Z12</f>
        <v>44.985999999999997</v>
      </c>
      <c r="I55" s="163"/>
      <c r="J55" s="1555">
        <f>AVERAGE(H54:H55)</f>
        <v>43.266999999999996</v>
      </c>
      <c r="K55" s="163"/>
      <c r="L55" s="1563">
        <f>(D55/D48-1)*100</f>
        <v>1.5557897510209528</v>
      </c>
      <c r="M55" s="163"/>
      <c r="N55" s="1563">
        <f>(H55/H48-1)*100</f>
        <v>38.30356319365449</v>
      </c>
      <c r="O55" s="163"/>
      <c r="P55" s="1563">
        <f>(H55/H54-1)*100</f>
        <v>8.2747665350919384</v>
      </c>
      <c r="Q55" s="163"/>
      <c r="R55" s="1556">
        <f>F55/J55</f>
        <v>1.2147132918852708</v>
      </c>
      <c r="S55" s="163"/>
      <c r="T55" s="1556">
        <f>F56/H55</f>
        <v>1.2866225047792648</v>
      </c>
      <c r="U55" s="163"/>
      <c r="V55" s="163">
        <f>qtrSales!K56</f>
        <v>64</v>
      </c>
      <c r="W55" s="163"/>
      <c r="X55" s="1556">
        <f>H55/V55</f>
        <v>0.70290624999999995</v>
      </c>
      <c r="Y55" s="163"/>
      <c r="Z55" s="1564">
        <f>(X55/X48-1)*100</f>
        <v>12.371645094844276</v>
      </c>
      <c r="AA55" s="163"/>
      <c r="AB55" s="1554">
        <f>+qtrSales!AE56</f>
        <v>0.79478800000000005</v>
      </c>
      <c r="AC55" s="163"/>
      <c r="AD55" s="1569">
        <f>H55/AB55</f>
        <v>56.601257190596733</v>
      </c>
      <c r="AE55" s="163"/>
      <c r="AF55" s="1564">
        <f>(AD55/AD48-1)*100</f>
        <v>8.4074080291041575</v>
      </c>
      <c r="AG55" s="163"/>
      <c r="AH55" s="1570">
        <f>((F55-('yrP&amp;L'!$H$16/4))/J55)</f>
        <v>1.0186639548231524</v>
      </c>
      <c r="AI55" s="1571"/>
    </row>
    <row r="56" spans="1:35" hidden="1" outlineLevel="1">
      <c r="A56" s="163" t="str">
        <f>$A$14</f>
        <v>4Q</v>
      </c>
      <c r="B56" s="163" t="str">
        <f>$B$14</f>
        <v>Jan</v>
      </c>
      <c r="C56" s="163"/>
      <c r="D56" s="1557">
        <f>'qtrP&amp;L'!AB13</f>
        <v>85.563999999999993</v>
      </c>
      <c r="E56" s="163"/>
      <c r="F56" s="1557">
        <f>'qtrP&amp;L'!AB23</f>
        <v>57.88</v>
      </c>
      <c r="G56" s="163"/>
      <c r="H56" s="1558">
        <f>work!Z13</f>
        <v>34.786000000000001</v>
      </c>
      <c r="I56" s="163"/>
      <c r="J56" s="1557">
        <f>AVERAGE(H55:H56)</f>
        <v>39.885999999999996</v>
      </c>
      <c r="K56" s="163"/>
      <c r="L56" s="1566">
        <f>(D56/D49-1)*100</f>
        <v>13.451517522109802</v>
      </c>
      <c r="M56" s="163"/>
      <c r="N56" s="1564">
        <f>(H56/H49-1)*100</f>
        <v>29.470001488759866</v>
      </c>
      <c r="O56" s="163"/>
      <c r="P56" s="1563">
        <f>(H56/H55-1)*100</f>
        <v>-22.673720713110733</v>
      </c>
      <c r="Q56" s="163"/>
      <c r="R56" s="1556">
        <f>F56/J56</f>
        <v>1.4511357368500228</v>
      </c>
      <c r="S56" s="163"/>
      <c r="T56" s="1556">
        <f>F60/H56</f>
        <v>1.4452365894325303</v>
      </c>
      <c r="U56" s="163"/>
      <c r="V56" s="163">
        <f>qtrSales!K57</f>
        <v>68</v>
      </c>
      <c r="W56" s="163"/>
      <c r="X56" s="1556">
        <f>H56/V56</f>
        <v>0.51155882352941173</v>
      </c>
      <c r="Y56" s="163"/>
      <c r="Z56" s="1564">
        <f>(X56/X49-1)*100</f>
        <v>8.5263247773428308</v>
      </c>
      <c r="AA56" s="163"/>
      <c r="AB56" s="1554">
        <f>+qtrSales!AE57</f>
        <v>0.84262133333333333</v>
      </c>
      <c r="AC56" s="163"/>
      <c r="AD56" s="1569">
        <f>H56/AB56</f>
        <v>41.283075355319752</v>
      </c>
      <c r="AE56" s="163"/>
      <c r="AF56" s="1564">
        <f>(AD56/AD49-1)*100</f>
        <v>7.072739748794965</v>
      </c>
      <c r="AG56" s="163"/>
      <c r="AH56" s="1570">
        <f>((F56-('yrP&amp;L'!$H$16/4))/J56)</f>
        <v>1.2384679670393959</v>
      </c>
      <c r="AI56" s="1572"/>
    </row>
    <row r="57" spans="1:35" hidden="1" outlineLevel="1">
      <c r="A57" s="163"/>
      <c r="B57" s="163" t="str">
        <f>$B$15</f>
        <v>Year</v>
      </c>
      <c r="C57" s="163"/>
      <c r="D57" s="1552">
        <f>SUM(D53:D56)</f>
        <v>295.33299999999997</v>
      </c>
      <c r="E57" s="163"/>
      <c r="F57" s="1552">
        <f>SUM(F53:F56)</f>
        <v>200.00099999999998</v>
      </c>
      <c r="G57" s="163"/>
      <c r="H57" s="163"/>
      <c r="I57" s="163"/>
      <c r="J57" s="1552">
        <f>AVERAGE(J53:J56)</f>
        <v>37.595999999999997</v>
      </c>
      <c r="K57" s="163"/>
      <c r="L57" s="1563">
        <f>(D57/D50-1)*100</f>
        <v>6.1917278228633688</v>
      </c>
      <c r="M57" s="163"/>
      <c r="N57" s="1564"/>
      <c r="O57" s="163"/>
      <c r="P57" s="1564"/>
      <c r="Q57" s="163"/>
      <c r="R57" s="1567">
        <f>F57/J57</f>
        <v>5.3197414618576442</v>
      </c>
      <c r="S57" s="1561" t="s">
        <v>327</v>
      </c>
      <c r="T57" s="1556"/>
      <c r="U57" s="163"/>
      <c r="V57" s="163"/>
      <c r="W57" s="163"/>
      <c r="X57" s="163"/>
      <c r="Y57" s="163"/>
      <c r="Z57" s="163"/>
      <c r="AA57" s="163"/>
      <c r="AB57" s="163"/>
      <c r="AC57" s="163"/>
      <c r="AD57" s="163"/>
      <c r="AE57" s="163"/>
      <c r="AF57" s="1563"/>
      <c r="AG57" s="163"/>
      <c r="AH57" s="1573">
        <f>(F57-'yrP&amp;L'!$H$16)/J57</f>
        <v>4.4172553817782028</v>
      </c>
      <c r="AI57" s="1574" t="s">
        <v>327</v>
      </c>
    </row>
    <row r="58" spans="1:35" hidden="1" outlineLevel="1">
      <c r="A58" s="163"/>
      <c r="B58" s="163"/>
      <c r="C58" s="163"/>
      <c r="D58" s="163"/>
      <c r="E58" s="163"/>
      <c r="F58" s="163"/>
      <c r="G58" s="163"/>
      <c r="H58" s="163"/>
      <c r="I58" s="163"/>
      <c r="J58" s="163"/>
      <c r="K58" s="163"/>
      <c r="L58" s="163"/>
      <c r="M58" s="163"/>
      <c r="N58" s="163"/>
      <c r="O58" s="163"/>
      <c r="P58" s="163"/>
      <c r="Q58" s="163"/>
      <c r="R58" s="163"/>
      <c r="S58" s="163"/>
      <c r="T58" s="1556"/>
      <c r="U58" s="163"/>
      <c r="V58" s="163"/>
      <c r="W58" s="163"/>
      <c r="X58" s="163"/>
      <c r="Y58" s="163"/>
      <c r="Z58" s="163"/>
      <c r="AA58" s="163"/>
      <c r="AB58" s="163"/>
      <c r="AC58" s="163"/>
      <c r="AD58" s="163"/>
      <c r="AE58" s="163"/>
      <c r="AF58" s="163"/>
      <c r="AG58" s="163"/>
      <c r="AH58" s="163"/>
      <c r="AI58" s="163"/>
    </row>
    <row r="59" spans="1:35" hidden="1" outlineLevel="1">
      <c r="A59" s="163"/>
      <c r="B59" s="1562">
        <f>B52+1</f>
        <v>2001</v>
      </c>
      <c r="C59" s="163"/>
      <c r="D59" s="163"/>
      <c r="E59" s="163"/>
      <c r="F59" s="163"/>
      <c r="G59" s="163"/>
      <c r="H59" s="163"/>
      <c r="I59" s="163"/>
      <c r="J59" s="163"/>
      <c r="K59" s="163"/>
      <c r="L59" s="163"/>
      <c r="M59" s="163"/>
      <c r="N59" s="163"/>
      <c r="O59" s="163"/>
      <c r="P59" s="163"/>
      <c r="Q59" s="163"/>
      <c r="R59" s="163"/>
      <c r="S59" s="163"/>
      <c r="T59" s="1556"/>
      <c r="U59" s="163"/>
      <c r="V59" s="163"/>
      <c r="W59" s="163"/>
      <c r="X59" s="163"/>
      <c r="Y59" s="163"/>
      <c r="Z59" s="163"/>
      <c r="AA59" s="163"/>
      <c r="AB59" s="1575"/>
      <c r="AC59" s="163"/>
      <c r="AD59" s="163"/>
      <c r="AE59" s="163"/>
      <c r="AF59" s="163"/>
      <c r="AG59" s="163"/>
      <c r="AH59" s="163"/>
      <c r="AI59" s="163"/>
    </row>
    <row r="60" spans="1:35" hidden="1" outlineLevel="1">
      <c r="A60" s="163" t="str">
        <f>$A$11</f>
        <v>1Q</v>
      </c>
      <c r="B60" s="163" t="str">
        <f>$B$11</f>
        <v>Apr</v>
      </c>
      <c r="C60" s="163"/>
      <c r="D60" s="1552">
        <f>+'qtrP&amp;L'!AF10</f>
        <v>71.834000000000003</v>
      </c>
      <c r="E60" s="163"/>
      <c r="F60" s="1552">
        <f>+'qtrP&amp;L'!AF20</f>
        <v>50.274000000000001</v>
      </c>
      <c r="G60" s="163"/>
      <c r="H60" s="1552">
        <f>+work!AD10</f>
        <v>41.902999999999999</v>
      </c>
      <c r="I60" s="163"/>
      <c r="J60" s="1552">
        <f>AVERAGE(H60,H56)</f>
        <v>38.344499999999996</v>
      </c>
      <c r="K60" s="163"/>
      <c r="L60" s="1563">
        <f>(D60/D53-1)*100</f>
        <v>8.9219105382865713</v>
      </c>
      <c r="M60" s="163" t="s">
        <v>208</v>
      </c>
      <c r="N60" s="1563">
        <f>(H60/H53-1)*100</f>
        <v>26.890349150591987</v>
      </c>
      <c r="O60" s="163" t="s">
        <v>208</v>
      </c>
      <c r="P60" s="1563">
        <f>(H60/H56-1)*100</f>
        <v>20.45938021042948</v>
      </c>
      <c r="Q60" s="163" t="s">
        <v>208</v>
      </c>
      <c r="R60" s="1556">
        <f>F60/J60</f>
        <v>1.3111137190470603</v>
      </c>
      <c r="S60" s="163" t="s">
        <v>327</v>
      </c>
      <c r="T60" s="1556">
        <f>F61/H60</f>
        <v>1.2994534997494214</v>
      </c>
      <c r="U60" s="163"/>
      <c r="V60" s="163">
        <f>qtrSales!K61</f>
        <v>72</v>
      </c>
      <c r="W60" s="163"/>
      <c r="X60" s="1553">
        <f>H60/V60</f>
        <v>0.58198611111111109</v>
      </c>
      <c r="Y60" s="163"/>
      <c r="Z60" s="1564">
        <f>(X60/X53-1)*100</f>
        <v>2.2172257046435551</v>
      </c>
      <c r="AA60" s="164" t="s">
        <v>208</v>
      </c>
      <c r="AB60" s="1554">
        <f>+qtrSales!AE61</f>
        <v>0.88893599999999995</v>
      </c>
      <c r="AC60" s="163"/>
      <c r="AD60" s="1568">
        <f>H60/AB60</f>
        <v>47.138376666036699</v>
      </c>
      <c r="AE60" s="163"/>
      <c r="AF60" s="1564">
        <f>(AD60/AD53-1)*100</f>
        <v>0.76494746160005178</v>
      </c>
      <c r="AG60" s="164" t="s">
        <v>208</v>
      </c>
      <c r="AH60" s="1570">
        <f>((F60-('yrP&amp;L'!$I$16/4))/J60)</f>
        <v>1.0291096361784469</v>
      </c>
      <c r="AI60" s="1571" t="s">
        <v>327</v>
      </c>
    </row>
    <row r="61" spans="1:35" hidden="1" outlineLevel="1">
      <c r="A61" s="163" t="str">
        <f>$A$12</f>
        <v>2Q</v>
      </c>
      <c r="B61" s="163" t="str">
        <f>$B$12</f>
        <v>Jul</v>
      </c>
      <c r="C61" s="163"/>
      <c r="D61" s="1555">
        <f>+'qtrP&amp;L'!AF11</f>
        <v>80.394999999999996</v>
      </c>
      <c r="E61" s="163"/>
      <c r="F61" s="1555">
        <f>+'qtrP&amp;L'!AF21</f>
        <v>54.451000000000001</v>
      </c>
      <c r="G61" s="163"/>
      <c r="H61" s="1555">
        <f>+work!AD11</f>
        <v>47.445999999999998</v>
      </c>
      <c r="I61" s="163"/>
      <c r="J61" s="1555">
        <f>AVERAGE(H60:H61)</f>
        <v>44.674499999999995</v>
      </c>
      <c r="K61" s="163"/>
      <c r="L61" s="1563">
        <f>(D61/D54-1)*100</f>
        <v>20.481656875674382</v>
      </c>
      <c r="M61" s="163"/>
      <c r="N61" s="1563">
        <f>(H61/H54-1)*100</f>
        <v>14.195629151824395</v>
      </c>
      <c r="O61" s="163"/>
      <c r="P61" s="1563">
        <f>(H61/H60-1)*100</f>
        <v>13.228169820776547</v>
      </c>
      <c r="Q61" s="163"/>
      <c r="R61" s="1556">
        <f>F61/J61</f>
        <v>1.218838487280216</v>
      </c>
      <c r="S61" s="163"/>
      <c r="T61" s="1556">
        <f>F62/H61</f>
        <v>1.2986342368165915</v>
      </c>
      <c r="U61" s="163"/>
      <c r="V61" s="163">
        <f>qtrSales!K62</f>
        <v>74</v>
      </c>
      <c r="W61" s="163"/>
      <c r="X61" s="1556">
        <f>H61/V61</f>
        <v>0.64116216216216215</v>
      </c>
      <c r="Y61" s="163"/>
      <c r="Z61" s="1564">
        <f>(X61/X54-1)*100</f>
        <v>-5.865765158631242</v>
      </c>
      <c r="AA61" s="163"/>
      <c r="AB61" s="1554">
        <f>+qtrSales!AE62</f>
        <v>0.90756266666666663</v>
      </c>
      <c r="AC61" s="163"/>
      <c r="AD61" s="1569">
        <f>H61/AB61</f>
        <v>52.27848361619106</v>
      </c>
      <c r="AE61" s="163"/>
      <c r="AF61" s="1564">
        <f>(AD61/AD54-1)*100</f>
        <v>-5.4001201609009559</v>
      </c>
      <c r="AG61" s="163"/>
      <c r="AH61" s="1570">
        <f>((F61-('yrP&amp;L'!$I$16/4))/J61)</f>
        <v>0.97679200538214095</v>
      </c>
      <c r="AI61" s="1571"/>
    </row>
    <row r="62" spans="1:35" hidden="1" outlineLevel="1">
      <c r="A62" s="163" t="str">
        <f>$A$13</f>
        <v>3Q</v>
      </c>
      <c r="B62" s="163" t="str">
        <f>$B$13</f>
        <v>Oct</v>
      </c>
      <c r="C62" s="163"/>
      <c r="D62" s="1555">
        <f>+'qtrP&amp;L'!AF12</f>
        <v>92.858999999999995</v>
      </c>
      <c r="E62" s="163"/>
      <c r="F62" s="1555">
        <f>+'qtrP&amp;L'!AF22</f>
        <v>61.615000000000002</v>
      </c>
      <c r="G62" s="163"/>
      <c r="H62" s="1555">
        <f>+work!AD12</f>
        <v>54.258000000000003</v>
      </c>
      <c r="I62" s="163"/>
      <c r="J62" s="1555">
        <f>AVERAGE(H61:H62)</f>
        <v>50.852000000000004</v>
      </c>
      <c r="K62" s="163"/>
      <c r="L62" s="1563">
        <f>(D62/D55-1)*100</f>
        <v>20.45374946491809</v>
      </c>
      <c r="M62" s="163"/>
      <c r="N62" s="1563">
        <f>(H62/H55-1)*100</f>
        <v>20.610856710976755</v>
      </c>
      <c r="O62" s="163"/>
      <c r="P62" s="1563">
        <f>(H62/H61-1)*100</f>
        <v>14.357374699658564</v>
      </c>
      <c r="Q62" s="163"/>
      <c r="R62" s="1556">
        <f>F62/J62</f>
        <v>1.2116534256273106</v>
      </c>
      <c r="S62" s="163"/>
      <c r="T62" s="1556">
        <f>F63/H62</f>
        <v>1.2711673854546794</v>
      </c>
      <c r="U62" s="163"/>
      <c r="V62" s="163">
        <f>qtrSales!K63</f>
        <v>77</v>
      </c>
      <c r="W62" s="163"/>
      <c r="X62" s="1556">
        <f>H62/V62</f>
        <v>0.70464935064935064</v>
      </c>
      <c r="Y62" s="163"/>
      <c r="Z62" s="1564">
        <f>(X62/X55-1)*100</f>
        <v>0.24798479873393564</v>
      </c>
      <c r="AA62" s="163"/>
      <c r="AB62" s="1554">
        <f>+qtrSales!AE63</f>
        <v>0.96467466666666657</v>
      </c>
      <c r="AC62" s="163"/>
      <c r="AD62" s="1569">
        <f>H62/AB62</f>
        <v>56.244868736403021</v>
      </c>
      <c r="AE62" s="163"/>
      <c r="AF62" s="1564">
        <f>(AD62/AD55-1)*100</f>
        <v>-0.62964759421089145</v>
      </c>
      <c r="AG62" s="163"/>
      <c r="AH62" s="1570">
        <f>((F62-('yrP&amp;L'!$I$16/4))/J62)</f>
        <v>0.99901074578078441</v>
      </c>
      <c r="AI62" s="1571"/>
    </row>
    <row r="63" spans="1:35" hidden="1" outlineLevel="1">
      <c r="A63" s="163" t="str">
        <f>$A$14</f>
        <v>4Q</v>
      </c>
      <c r="B63" s="163" t="str">
        <f>$B$14</f>
        <v>Jan</v>
      </c>
      <c r="C63" s="163"/>
      <c r="D63" s="1557">
        <f>+'qtrP&amp;L'!AF13</f>
        <v>103.87</v>
      </c>
      <c r="E63" s="163"/>
      <c r="F63" s="1557">
        <f>+'qtrP&amp;L'!AF23</f>
        <v>68.971000000000004</v>
      </c>
      <c r="G63" s="163"/>
      <c r="H63" s="1558">
        <f>+work!AD13</f>
        <v>41.085999999999999</v>
      </c>
      <c r="I63" s="163"/>
      <c r="J63" s="1557">
        <f>AVERAGE(H62:H63)</f>
        <v>47.671999999999997</v>
      </c>
      <c r="K63" s="163"/>
      <c r="L63" s="1566">
        <f>(D63/D56-1)*100</f>
        <v>21.394511710532484</v>
      </c>
      <c r="M63" s="163"/>
      <c r="N63" s="1564">
        <f>(H63/H56-1)*100</f>
        <v>18.110734203415156</v>
      </c>
      <c r="O63" s="163"/>
      <c r="P63" s="1563">
        <f>(H63/H62-1)*100</f>
        <v>-24.276604371705556</v>
      </c>
      <c r="Q63" s="163"/>
      <c r="R63" s="1556">
        <f>F63/J63</f>
        <v>1.4467821782178218</v>
      </c>
      <c r="S63" s="163"/>
      <c r="T63" s="1556">
        <f>F67/H63</f>
        <v>1.5066932775154556</v>
      </c>
      <c r="U63" s="163"/>
      <c r="V63" s="163">
        <f>qtrSales!K64</f>
        <v>80</v>
      </c>
      <c r="W63" s="163"/>
      <c r="X63" s="1556">
        <f>H63/V63</f>
        <v>0.513575</v>
      </c>
      <c r="Y63" s="163"/>
      <c r="Z63" s="1564">
        <f>(X63/X56-1)*100</f>
        <v>0.39412407290289053</v>
      </c>
      <c r="AA63" s="163"/>
      <c r="AB63" s="1554">
        <f>+qtrSales!AE64</f>
        <v>0.99933333333333341</v>
      </c>
      <c r="AC63" s="163"/>
      <c r="AD63" s="1569">
        <f>H63/AB63</f>
        <v>41.11340893929286</v>
      </c>
      <c r="AE63" s="163"/>
      <c r="AF63" s="1564">
        <f>(AD63/AD56-1)*100</f>
        <v>-0.41098298653040599</v>
      </c>
      <c r="AG63" s="163"/>
      <c r="AH63" s="1570">
        <f>((F63-('yrP&amp;L'!$I$16/4))/J63)</f>
        <v>1.2199549933806941</v>
      </c>
      <c r="AI63" s="1572"/>
    </row>
    <row r="64" spans="1:35" hidden="1" outlineLevel="1">
      <c r="A64" s="163"/>
      <c r="B64" s="163" t="str">
        <f>$B$15</f>
        <v>Year</v>
      </c>
      <c r="C64" s="163"/>
      <c r="D64" s="1552">
        <f>SUM(D60:D63)</f>
        <v>348.95799999999997</v>
      </c>
      <c r="E64" s="163"/>
      <c r="F64" s="1552">
        <f>SUM(F60:F63)</f>
        <v>235.31100000000001</v>
      </c>
      <c r="G64" s="163"/>
      <c r="H64" s="163"/>
      <c r="I64" s="163"/>
      <c r="J64" s="1552">
        <f>AVERAGE(J60:J63)</f>
        <v>45.385749999999994</v>
      </c>
      <c r="K64" s="163"/>
      <c r="L64" s="1563">
        <f>(D64/D57-1)*100</f>
        <v>18.15746970369041</v>
      </c>
      <c r="M64" s="163"/>
      <c r="N64" s="1564"/>
      <c r="O64" s="163"/>
      <c r="P64" s="1564"/>
      <c r="Q64" s="163"/>
      <c r="R64" s="1567">
        <f>F64/J64</f>
        <v>5.1846890268421264</v>
      </c>
      <c r="S64" s="1561" t="s">
        <v>327</v>
      </c>
      <c r="T64" s="1556"/>
      <c r="U64" s="163"/>
      <c r="V64" s="163"/>
      <c r="W64" s="163"/>
      <c r="X64" s="163"/>
      <c r="Y64" s="163"/>
      <c r="Z64" s="163"/>
      <c r="AA64" s="163"/>
      <c r="AB64" s="163"/>
      <c r="AC64" s="163"/>
      <c r="AD64" s="163"/>
      <c r="AE64" s="163"/>
      <c r="AF64" s="163"/>
      <c r="AG64" s="163"/>
      <c r="AH64" s="1573">
        <f>(F64-'yrP&amp;L'!$I$16)/J64</f>
        <v>4.2316757523623121</v>
      </c>
      <c r="AI64" s="1574" t="s">
        <v>327</v>
      </c>
    </row>
    <row r="65" spans="1:35" hidden="1" outlineLevel="1" collapsed="1">
      <c r="A65" s="163"/>
      <c r="B65" s="163"/>
      <c r="C65" s="163"/>
      <c r="D65" s="163"/>
      <c r="E65" s="163"/>
      <c r="F65" s="163"/>
      <c r="G65" s="163"/>
      <c r="H65" s="163"/>
      <c r="I65" s="163"/>
      <c r="J65" s="163"/>
      <c r="K65" s="163"/>
      <c r="L65" s="163"/>
      <c r="M65" s="163"/>
      <c r="N65" s="163"/>
      <c r="O65" s="163"/>
      <c r="P65" s="163"/>
      <c r="Q65" s="163"/>
      <c r="R65" s="163"/>
      <c r="S65" s="163"/>
      <c r="T65" s="1556"/>
      <c r="U65" s="163"/>
      <c r="V65" s="163"/>
      <c r="W65" s="163"/>
      <c r="X65" s="163"/>
      <c r="Y65" s="163"/>
      <c r="Z65" s="163"/>
      <c r="AA65" s="163"/>
      <c r="AB65" s="1575"/>
      <c r="AC65" s="163"/>
      <c r="AD65" s="163"/>
      <c r="AE65" s="163"/>
      <c r="AF65" s="163"/>
      <c r="AG65" s="163"/>
      <c r="AH65" s="163"/>
      <c r="AI65" s="163"/>
    </row>
    <row r="66" spans="1:35" hidden="1" outlineLevel="1">
      <c r="A66" s="163"/>
      <c r="B66" s="1562">
        <f>B59+1</f>
        <v>2002</v>
      </c>
      <c r="C66" s="163"/>
      <c r="D66" s="163"/>
      <c r="E66" s="163"/>
      <c r="F66" s="163"/>
      <c r="G66" s="163"/>
      <c r="H66" s="163"/>
      <c r="I66" s="163"/>
      <c r="J66" s="163"/>
      <c r="K66" s="163"/>
      <c r="L66" s="163"/>
      <c r="M66" s="163"/>
      <c r="N66" s="163"/>
      <c r="O66" s="163"/>
      <c r="P66" s="163"/>
      <c r="Q66" s="163"/>
      <c r="R66" s="163"/>
      <c r="S66" s="163"/>
      <c r="T66" s="1556"/>
      <c r="U66" s="163"/>
      <c r="V66" s="163"/>
      <c r="W66" s="163"/>
      <c r="X66" s="163"/>
      <c r="Y66" s="163"/>
      <c r="Z66" s="163"/>
      <c r="AA66" s="163"/>
      <c r="AB66" s="1575"/>
      <c r="AC66" s="163"/>
      <c r="AD66" s="163"/>
      <c r="AE66" s="163"/>
      <c r="AF66" s="163"/>
      <c r="AG66" s="163"/>
      <c r="AH66" s="163"/>
      <c r="AI66" s="163"/>
    </row>
    <row r="67" spans="1:35" hidden="1" outlineLevel="1">
      <c r="A67" s="163" t="str">
        <f>$A$11</f>
        <v>1Q</v>
      </c>
      <c r="B67" s="163" t="str">
        <f>$B$11</f>
        <v>Apr</v>
      </c>
      <c r="C67" s="163"/>
      <c r="D67" s="1552">
        <f>+'qtrP&amp;L'!AJ10</f>
        <v>94.073999999999998</v>
      </c>
      <c r="E67" s="163"/>
      <c r="F67" s="1552">
        <f>+'qtrP&amp;L'!AJ20</f>
        <v>61.904000000000003</v>
      </c>
      <c r="G67" s="163"/>
      <c r="H67" s="1552">
        <f>work!AH10</f>
        <v>42.143000000000001</v>
      </c>
      <c r="I67" s="163"/>
      <c r="J67" s="1552">
        <f>AVERAGE(H67,H63)</f>
        <v>41.6145</v>
      </c>
      <c r="K67" s="163"/>
      <c r="L67" s="1563">
        <f>(D67/D60-1)*100</f>
        <v>30.960269510259764</v>
      </c>
      <c r="M67" s="163" t="s">
        <v>208</v>
      </c>
      <c r="N67" s="1563">
        <f>(H67/H60-1)*100</f>
        <v>0.5727513543183127</v>
      </c>
      <c r="O67" s="163" t="s">
        <v>208</v>
      </c>
      <c r="P67" s="1563">
        <f>(H67/H63-1)*100</f>
        <v>2.5726524850314014</v>
      </c>
      <c r="Q67" s="163" t="s">
        <v>208</v>
      </c>
      <c r="R67" s="1556">
        <f>F67/J67</f>
        <v>1.4875584231457786</v>
      </c>
      <c r="S67" s="163" t="s">
        <v>327</v>
      </c>
      <c r="T67" s="1556">
        <f>F68/H67</f>
        <v>1.5481574638730038</v>
      </c>
      <c r="U67" s="163"/>
      <c r="V67" s="163">
        <f>qtrSales!K68</f>
        <v>82</v>
      </c>
      <c r="W67" s="163"/>
      <c r="X67" s="1553">
        <f>H67/V67</f>
        <v>0.51393902439024386</v>
      </c>
      <c r="Y67" s="163"/>
      <c r="Z67" s="1564">
        <f>(X67/X60-1)*100</f>
        <v>-11.692218323037585</v>
      </c>
      <c r="AA67" s="164" t="s">
        <v>208</v>
      </c>
      <c r="AB67" s="1554">
        <f>+qtrSales!AE68</f>
        <v>1.0215013333333334</v>
      </c>
      <c r="AC67" s="163"/>
      <c r="AD67" s="1568">
        <f>H67/AB67</f>
        <v>41.255942234045051</v>
      </c>
      <c r="AE67" s="163"/>
      <c r="AF67" s="1564">
        <f>(AD67/AD60-1)*100</f>
        <v>-12.479077236085544</v>
      </c>
      <c r="AG67" s="164" t="s">
        <v>208</v>
      </c>
      <c r="AH67" s="1570">
        <f>((F67-('yrP&amp;L'!$J$16/4))/J67)</f>
        <v>1.1894158820176197</v>
      </c>
      <c r="AI67" s="1571" t="s">
        <v>327</v>
      </c>
    </row>
    <row r="68" spans="1:35" hidden="1" outlineLevel="1">
      <c r="A68" s="163" t="str">
        <f>$A$12</f>
        <v>2Q</v>
      </c>
      <c r="B68" s="163" t="str">
        <f>$B$12</f>
        <v>Jul</v>
      </c>
      <c r="C68" s="163"/>
      <c r="D68" s="1555">
        <f>+'qtrP&amp;L'!AJ11</f>
        <v>101.001</v>
      </c>
      <c r="E68" s="163"/>
      <c r="F68" s="1555">
        <f>+'qtrP&amp;L'!AJ21</f>
        <v>65.244</v>
      </c>
      <c r="G68" s="163"/>
      <c r="H68" s="1555">
        <f>work!AH11</f>
        <v>51.686999999999998</v>
      </c>
      <c r="I68" s="163"/>
      <c r="J68" s="1555">
        <f>AVERAGE(H67:H68)</f>
        <v>46.914999999999999</v>
      </c>
      <c r="K68" s="163"/>
      <c r="L68" s="1563">
        <f>(D68/D61-1)*100</f>
        <v>25.630947198208865</v>
      </c>
      <c r="M68" s="163"/>
      <c r="N68" s="1563">
        <f>(H68/H61-1)*100</f>
        <v>8.9385828099312938</v>
      </c>
      <c r="O68" s="163"/>
      <c r="P68" s="1563">
        <f>(H68/H67-1)*100</f>
        <v>22.646702892532566</v>
      </c>
      <c r="Q68" s="163"/>
      <c r="R68" s="1556">
        <f>F68/J68</f>
        <v>1.3906852818927848</v>
      </c>
      <c r="S68" s="163"/>
      <c r="T68" s="1556">
        <f>F69/H68</f>
        <v>1.372337338208834</v>
      </c>
      <c r="U68" s="163"/>
      <c r="V68" s="163">
        <f>qtrSales!K69</f>
        <v>84</v>
      </c>
      <c r="W68" s="163"/>
      <c r="X68" s="1556">
        <f>H68/V68</f>
        <v>0.61532142857142857</v>
      </c>
      <c r="Y68" s="163"/>
      <c r="Z68" s="1564">
        <f>(X68/X61-1)*100</f>
        <v>-4.0302960960129086</v>
      </c>
      <c r="AA68" s="163"/>
      <c r="AB68" s="1554">
        <f>+qtrSales!AE69</f>
        <v>1.048576</v>
      </c>
      <c r="AC68" s="163"/>
      <c r="AD68" s="1569">
        <f>H68/AB68</f>
        <v>49.292564392089844</v>
      </c>
      <c r="AE68" s="163"/>
      <c r="AF68" s="1576">
        <f>(AD68/AD61-1)*100</f>
        <v>-5.7115643330872263</v>
      </c>
      <c r="AG68" s="163"/>
      <c r="AH68" s="1570">
        <f>((F68-('yrP&amp;L'!$J$16/4))/J68)</f>
        <v>1.1262271602306773</v>
      </c>
      <c r="AI68" s="1571"/>
    </row>
    <row r="69" spans="1:35" hidden="1" outlineLevel="1">
      <c r="A69" s="163" t="str">
        <f>$A$13</f>
        <v>3Q</v>
      </c>
      <c r="B69" s="163" t="str">
        <f>$B$13</f>
        <v>Oct</v>
      </c>
      <c r="C69" s="163"/>
      <c r="D69" s="1555">
        <f>+'qtrP&amp;L'!AJ12</f>
        <v>110.10599999999999</v>
      </c>
      <c r="E69" s="163"/>
      <c r="F69" s="1555">
        <f>+'qtrP&amp;L'!AJ22</f>
        <v>70.932000000000002</v>
      </c>
      <c r="G69" s="163"/>
      <c r="H69" s="1555">
        <f>work!AH12</f>
        <v>56.518000000000001</v>
      </c>
      <c r="I69" s="163"/>
      <c r="J69" s="1555">
        <f>AVERAGE(H68:H69)</f>
        <v>54.102499999999999</v>
      </c>
      <c r="K69" s="163"/>
      <c r="L69" s="1563">
        <f>(D69/D62-1)*100</f>
        <v>18.573320841275475</v>
      </c>
      <c r="M69" s="163"/>
      <c r="N69" s="1563">
        <f>(H69/H62-1)*100</f>
        <v>4.1652843820266128</v>
      </c>
      <c r="O69" s="163"/>
      <c r="P69" s="1563">
        <f>(H69/H68-1)*100</f>
        <v>9.3466442238860914</v>
      </c>
      <c r="Q69" s="163"/>
      <c r="R69" s="1556">
        <f>F69/J69</f>
        <v>1.3110669562404695</v>
      </c>
      <c r="S69" s="163"/>
      <c r="T69" s="1556">
        <f>F70/H69</f>
        <v>1.3072472486641422</v>
      </c>
      <c r="U69" s="163"/>
      <c r="V69" s="163">
        <f>qtrSales!K70</f>
        <v>84</v>
      </c>
      <c r="W69" s="163"/>
      <c r="X69" s="1556">
        <f>H69/V69</f>
        <v>0.67283333333333339</v>
      </c>
      <c r="Y69" s="163"/>
      <c r="Z69" s="1564">
        <f>(X69/X62-1)*100</f>
        <v>-4.515155983142261</v>
      </c>
      <c r="AA69" s="163"/>
      <c r="AB69" s="1554">
        <f>+qtrSales!AE70</f>
        <v>1.048576</v>
      </c>
      <c r="AC69" s="163"/>
      <c r="AD69" s="1569">
        <f>H69/AB69</f>
        <v>53.899765014648438</v>
      </c>
      <c r="AE69" s="163"/>
      <c r="AF69" s="1576">
        <f>(AD69/AD62-1)*100</f>
        <v>-4.1694536309527797</v>
      </c>
      <c r="AG69" s="163"/>
      <c r="AH69" s="1570">
        <f>((F69-('yrP&amp;L'!$J$16/4))/J69)</f>
        <v>1.0817420123325581</v>
      </c>
      <c r="AI69" s="1571"/>
    </row>
    <row r="70" spans="1:35" hidden="1" outlineLevel="1">
      <c r="A70" s="163" t="str">
        <f>$A$14</f>
        <v>4Q</v>
      </c>
      <c r="B70" s="163" t="str">
        <f>$B$14</f>
        <v>Jan</v>
      </c>
      <c r="C70" s="163"/>
      <c r="D70" s="1557">
        <f>+'qtrP&amp;L'!AJ13</f>
        <v>117.57299999999999</v>
      </c>
      <c r="E70" s="163"/>
      <c r="F70" s="1557">
        <f>+'qtrP&amp;L'!AJ23</f>
        <v>73.882999999999996</v>
      </c>
      <c r="G70" s="163"/>
      <c r="H70" s="1558">
        <f>+bal!U12</f>
        <v>48.825000000000003</v>
      </c>
      <c r="I70" s="163"/>
      <c r="J70" s="1557">
        <f>AVERAGE(H69:H70)</f>
        <v>52.671500000000002</v>
      </c>
      <c r="K70" s="163"/>
      <c r="L70" s="1566">
        <f>(D70/D63-1)*100</f>
        <v>13.192452103591013</v>
      </c>
      <c r="M70" s="163"/>
      <c r="N70" s="1564">
        <f>(H70/H63-1)*100</f>
        <v>18.836099888039737</v>
      </c>
      <c r="O70" s="163"/>
      <c r="P70" s="1563">
        <f>(H70/H69-1)*100</f>
        <v>-13.61159276690611</v>
      </c>
      <c r="Q70" s="163"/>
      <c r="R70" s="1556">
        <f>F70/J70</f>
        <v>1.4027130421575233</v>
      </c>
      <c r="S70" s="163"/>
      <c r="T70" s="1556">
        <f>F74/H70</f>
        <v>1.4151561699948796</v>
      </c>
      <c r="U70" s="163"/>
      <c r="V70" s="163">
        <f>qtrSales!K71</f>
        <v>93</v>
      </c>
      <c r="W70" s="163"/>
      <c r="X70" s="1556">
        <f>H70/V70</f>
        <v>0.52500000000000002</v>
      </c>
      <c r="Y70" s="163"/>
      <c r="Z70" s="1564">
        <f>(X70/X63-1)*100</f>
        <v>2.2246020542277201</v>
      </c>
      <c r="AA70" s="163"/>
      <c r="AB70" s="1554">
        <f>+qtrSales!AE71</f>
        <v>1.1349066666666665</v>
      </c>
      <c r="AC70" s="163"/>
      <c r="AD70" s="1569">
        <f>H70/AB70</f>
        <v>43.021158861815373</v>
      </c>
      <c r="AE70" s="163"/>
      <c r="AF70" s="1564">
        <f>(AD70/AD63-1)*100</f>
        <v>4.6402134285178143</v>
      </c>
      <c r="AG70" s="163"/>
      <c r="AH70" s="1570">
        <f>((F70-('yrP&amp;L'!$J$16/4))/J70)</f>
        <v>1.1671577081006277</v>
      </c>
      <c r="AI70" s="1572"/>
    </row>
    <row r="71" spans="1:35" hidden="1" outlineLevel="1">
      <c r="A71" s="163"/>
      <c r="B71" s="163" t="str">
        <f>$B$15</f>
        <v>Year</v>
      </c>
      <c r="C71" s="163"/>
      <c r="D71" s="1552">
        <f>SUM(D67:D70)</f>
        <v>422.75399999999996</v>
      </c>
      <c r="E71" s="163"/>
      <c r="F71" s="1552">
        <f>SUM(F67:F70)</f>
        <v>271.96299999999997</v>
      </c>
      <c r="G71" s="163"/>
      <c r="H71" s="163"/>
      <c r="I71" s="163"/>
      <c r="J71" s="1552">
        <f>AVERAGE(J67:J70)</f>
        <v>48.825875000000003</v>
      </c>
      <c r="K71" s="163"/>
      <c r="L71" s="1563">
        <f>(D71/D64-1)*100</f>
        <v>21.14753064838748</v>
      </c>
      <c r="M71" s="163"/>
      <c r="N71" s="1564"/>
      <c r="O71" s="163"/>
      <c r="P71" s="1564"/>
      <c r="Q71" s="163"/>
      <c r="R71" s="1567">
        <f>F71/J71</f>
        <v>5.5700589083144942</v>
      </c>
      <c r="S71" s="1561" t="s">
        <v>327</v>
      </c>
      <c r="T71" s="1556"/>
      <c r="U71" s="163"/>
      <c r="V71" s="163"/>
      <c r="W71" s="163"/>
      <c r="X71" s="163"/>
      <c r="Y71" s="163"/>
      <c r="Z71" s="163"/>
      <c r="AA71" s="163"/>
      <c r="AB71" s="163"/>
      <c r="AC71" s="163"/>
      <c r="AD71" s="163"/>
      <c r="AE71" s="163"/>
      <c r="AF71" s="163"/>
      <c r="AG71" s="163"/>
      <c r="AH71" s="1573">
        <f>(F71-'yrP&amp;L'!$J$16)/J71</f>
        <v>4.553626307544695</v>
      </c>
      <c r="AI71" s="1574" t="s">
        <v>327</v>
      </c>
    </row>
    <row r="72" spans="1:35" hidden="1" outlineLevel="1">
      <c r="A72" s="163"/>
      <c r="B72" s="163"/>
      <c r="C72" s="163"/>
      <c r="D72" s="163"/>
      <c r="E72" s="163"/>
      <c r="F72" s="163"/>
      <c r="G72" s="163"/>
      <c r="H72" s="163"/>
      <c r="I72" s="163"/>
      <c r="J72" s="163"/>
      <c r="K72" s="163"/>
      <c r="L72" s="163"/>
      <c r="M72" s="163"/>
      <c r="N72" s="163"/>
      <c r="O72" s="163"/>
      <c r="P72" s="163"/>
      <c r="Q72" s="163"/>
      <c r="R72" s="163"/>
      <c r="S72" s="163"/>
      <c r="T72" s="1556"/>
      <c r="U72" s="163"/>
      <c r="V72" s="163"/>
      <c r="W72" s="163"/>
      <c r="X72" s="163"/>
      <c r="Y72" s="163"/>
      <c r="Z72" s="163"/>
      <c r="AA72" s="163"/>
      <c r="AB72" s="1575"/>
      <c r="AC72" s="163"/>
      <c r="AD72" s="163"/>
      <c r="AE72" s="163"/>
      <c r="AF72" s="163"/>
      <c r="AG72" s="163"/>
      <c r="AH72" s="163"/>
      <c r="AI72" s="163"/>
    </row>
    <row r="73" spans="1:35" hidden="1" outlineLevel="1">
      <c r="A73" s="163"/>
      <c r="B73" s="1562">
        <f>B66+1</f>
        <v>2003</v>
      </c>
      <c r="C73" s="163"/>
      <c r="D73" s="163"/>
      <c r="E73" s="163"/>
      <c r="F73" s="163"/>
      <c r="G73" s="163"/>
      <c r="H73" s="163"/>
      <c r="I73" s="163"/>
      <c r="J73" s="163"/>
      <c r="K73" s="163"/>
      <c r="L73" s="163"/>
      <c r="M73" s="163"/>
      <c r="N73" s="163"/>
      <c r="O73" s="163"/>
      <c r="P73" s="163"/>
      <c r="Q73" s="163"/>
      <c r="R73" s="163"/>
      <c r="S73" s="163"/>
      <c r="T73" s="1556"/>
      <c r="U73" s="163"/>
      <c r="V73" s="163"/>
      <c r="W73" s="163"/>
      <c r="X73" s="163"/>
      <c r="Y73" s="163"/>
      <c r="Z73" s="163"/>
      <c r="AA73" s="163"/>
      <c r="AB73" s="1575"/>
      <c r="AC73" s="163"/>
      <c r="AD73" s="163"/>
      <c r="AE73" s="163"/>
      <c r="AF73" s="163"/>
      <c r="AG73" s="163"/>
      <c r="AH73" s="163"/>
      <c r="AI73" s="163"/>
    </row>
    <row r="74" spans="1:35" hidden="1" outlineLevel="1">
      <c r="A74" s="163" t="str">
        <f>$A$11</f>
        <v>1Q</v>
      </c>
      <c r="B74" s="163" t="str">
        <f>$B$11</f>
        <v>Apr</v>
      </c>
      <c r="C74" s="163"/>
      <c r="D74" s="1552">
        <f>+'qtrP&amp;L'!AN10</f>
        <v>107.02800000000001</v>
      </c>
      <c r="E74" s="163"/>
      <c r="F74" s="1552">
        <f>+'qtrP&amp;L'!AN20</f>
        <v>69.094999999999999</v>
      </c>
      <c r="G74" s="163"/>
      <c r="H74" s="1552">
        <f>+work!AL10</f>
        <v>53.738999999999997</v>
      </c>
      <c r="I74" s="163"/>
      <c r="J74" s="1552">
        <f>AVERAGE(H74,H70)</f>
        <v>51.281999999999996</v>
      </c>
      <c r="K74" s="163"/>
      <c r="L74" s="1563">
        <f>(D74/D67-1)*100</f>
        <v>13.770010842528224</v>
      </c>
      <c r="M74" s="163" t="s">
        <v>208</v>
      </c>
      <c r="N74" s="1563">
        <f>(H74/H67-1)*100</f>
        <v>27.51583892935956</v>
      </c>
      <c r="O74" s="163" t="s">
        <v>208</v>
      </c>
      <c r="P74" s="1563">
        <f>(H74/H70-1)*100</f>
        <v>10.064516129032253</v>
      </c>
      <c r="Q74" s="163" t="s">
        <v>208</v>
      </c>
      <c r="R74" s="1556">
        <f>F74/J74</f>
        <v>1.3473538473538473</v>
      </c>
      <c r="S74" s="163" t="s">
        <v>327</v>
      </c>
      <c r="T74" s="1556">
        <f>F75/H74</f>
        <v>1.4371499283574312</v>
      </c>
      <c r="U74" s="163"/>
      <c r="V74" s="163">
        <f>qtrSales!K75</f>
        <v>95</v>
      </c>
      <c r="W74" s="163"/>
      <c r="X74" s="1553">
        <f>H74/V74</f>
        <v>0.56567368421052633</v>
      </c>
      <c r="Y74" s="163"/>
      <c r="Z74" s="1564">
        <f>(X74/X67-1)*100</f>
        <v>10.066303075868266</v>
      </c>
      <c r="AA74" s="164" t="s">
        <v>208</v>
      </c>
      <c r="AB74" s="1554">
        <f>+qtrSales!AE75</f>
        <v>1.153208</v>
      </c>
      <c r="AC74" s="163"/>
      <c r="AD74" s="1568">
        <f>H74/AB74</f>
        <v>46.599572670324868</v>
      </c>
      <c r="AE74" s="163"/>
      <c r="AF74" s="1564">
        <f>(AD74/AD67-1)*100</f>
        <v>12.952389757493332</v>
      </c>
      <c r="AG74" s="164" t="s">
        <v>208</v>
      </c>
      <c r="AH74" s="1570">
        <f>((F74-('yrP&amp;L'!$K$16/4))/J74)</f>
        <v>1.0617068908735576</v>
      </c>
      <c r="AI74" s="1571" t="s">
        <v>327</v>
      </c>
    </row>
    <row r="75" spans="1:35" hidden="1" outlineLevel="1">
      <c r="A75" s="163" t="str">
        <f>$A$12</f>
        <v>2Q</v>
      </c>
      <c r="B75" s="163" t="str">
        <f>$B$12</f>
        <v>Jul</v>
      </c>
      <c r="C75" s="163"/>
      <c r="D75" s="1555">
        <f>+'qtrP&amp;L'!AN11</f>
        <v>122.879</v>
      </c>
      <c r="E75" s="163"/>
      <c r="F75" s="1555">
        <f>+'qtrP&amp;L'!AN21</f>
        <v>77.230999999999995</v>
      </c>
      <c r="G75" s="163"/>
      <c r="H75" s="1555">
        <f>+work!AL11</f>
        <v>61.466999999999999</v>
      </c>
      <c r="I75" s="163"/>
      <c r="J75" s="1555">
        <f>AVERAGE(H74:H75)</f>
        <v>57.602999999999994</v>
      </c>
      <c r="K75" s="163"/>
      <c r="L75" s="1563">
        <f>(D75/D68-1)*100</f>
        <v>21.661171671567601</v>
      </c>
      <c r="M75" s="163"/>
      <c r="N75" s="1563">
        <f>(H75/H68-1)*100</f>
        <v>18.921585698531551</v>
      </c>
      <c r="O75" s="163"/>
      <c r="P75" s="1563">
        <f>(H75/H74-1)*100</f>
        <v>14.380617428683085</v>
      </c>
      <c r="Q75" s="163"/>
      <c r="R75" s="1556">
        <f>F75/J75</f>
        <v>1.340746141694009</v>
      </c>
      <c r="S75" s="163"/>
      <c r="T75" s="1556">
        <f>F76/H75</f>
        <v>1.3913156653163485</v>
      </c>
      <c r="U75" s="163"/>
      <c r="V75" s="163">
        <f>qtrSales!K76</f>
        <v>98</v>
      </c>
      <c r="W75" s="163"/>
      <c r="X75" s="1556">
        <f>H75/V75</f>
        <v>0.62721428571428572</v>
      </c>
      <c r="Y75" s="163"/>
      <c r="Z75" s="1564">
        <f>(X75/X68-1)*100</f>
        <v>1.9327877415984629</v>
      </c>
      <c r="AA75" s="163"/>
      <c r="AB75" s="1554">
        <f>+qtrSales!AE76</f>
        <v>1.1806666666666668</v>
      </c>
      <c r="AC75" s="163"/>
      <c r="AD75" s="1569">
        <f>H75/AB75</f>
        <v>52.061264822134383</v>
      </c>
      <c r="AE75" s="163"/>
      <c r="AF75" s="1564">
        <f>(AD75/AD68-1)*100</f>
        <v>5.6168723704884904</v>
      </c>
      <c r="AG75" s="163"/>
      <c r="AH75" s="1570">
        <f>((F75-('yrP&amp;L'!$K$16/4))/J75)</f>
        <v>1.0864443306386435</v>
      </c>
      <c r="AI75" s="1571"/>
    </row>
    <row r="76" spans="1:35" hidden="1" outlineLevel="1">
      <c r="A76" s="163" t="str">
        <f>$A$13</f>
        <v>3Q</v>
      </c>
      <c r="B76" s="163" t="str">
        <f>$B$13</f>
        <v>Oct</v>
      </c>
      <c r="C76" s="163"/>
      <c r="D76" s="1555">
        <f>+'qtrP&amp;L'!AN12</f>
        <v>142.33099999999999</v>
      </c>
      <c r="E76" s="163"/>
      <c r="F76" s="1555">
        <f>+'qtrP&amp;L'!AN22</f>
        <v>85.52</v>
      </c>
      <c r="G76" s="163"/>
      <c r="H76" s="1555">
        <f>+work!AL12</f>
        <v>72.212999999999994</v>
      </c>
      <c r="I76" s="163"/>
      <c r="J76" s="1555">
        <f>AVERAGE(H75:H76)</f>
        <v>66.84</v>
      </c>
      <c r="K76" s="163"/>
      <c r="L76" s="1563">
        <f>(D76/D69-1)*100</f>
        <v>29.267251557589958</v>
      </c>
      <c r="M76" s="163"/>
      <c r="N76" s="1563">
        <f>(H76/H69-1)*100</f>
        <v>27.769914009696016</v>
      </c>
      <c r="O76" s="163"/>
      <c r="P76" s="1563">
        <f>(H76/H75-1)*100</f>
        <v>17.48255161306065</v>
      </c>
      <c r="Q76" s="163"/>
      <c r="R76" s="1556">
        <f>F76/J76</f>
        <v>1.279473369239976</v>
      </c>
      <c r="S76" s="163"/>
      <c r="T76" s="1556">
        <f>F77/H76</f>
        <v>1.4269175910154683</v>
      </c>
      <c r="U76" s="163"/>
      <c r="V76" s="163">
        <f>qtrSales!K77</f>
        <v>103</v>
      </c>
      <c r="W76" s="163"/>
      <c r="X76" s="1556">
        <f>H76/V76</f>
        <v>0.70109708737864074</v>
      </c>
      <c r="Y76" s="163"/>
      <c r="Z76" s="1564">
        <f>(X76/X69-1)*100</f>
        <v>4.2007065710142122</v>
      </c>
      <c r="AA76" s="163"/>
      <c r="AB76" s="1554">
        <f>+qtrSales!AE77</f>
        <v>1.2328866666666667</v>
      </c>
      <c r="AC76" s="163"/>
      <c r="AD76" s="1569">
        <f>H76/AB76</f>
        <v>58.572293749628237</v>
      </c>
      <c r="AE76" s="163"/>
      <c r="AF76" s="1564">
        <f>(AD76/AD69-1)*100</f>
        <v>8.6689222739838137</v>
      </c>
      <c r="AG76" s="163"/>
      <c r="AH76" s="1570">
        <f>((F76-('yrP&amp;L'!$K$16/4))/J76)</f>
        <v>1.0603149727375489</v>
      </c>
      <c r="AI76" s="1571"/>
    </row>
    <row r="77" spans="1:35" hidden="1" outlineLevel="1">
      <c r="A77" s="163" t="str">
        <f>$A$14</f>
        <v>4Q</v>
      </c>
      <c r="B77" s="163" t="str">
        <f>$B$14</f>
        <v>Jan</v>
      </c>
      <c r="C77" s="163"/>
      <c r="D77" s="1557">
        <f>+'qtrP&amp;L'!AN13</f>
        <v>176.12299999999999</v>
      </c>
      <c r="E77" s="163"/>
      <c r="F77" s="1557">
        <f>+'qtrP&amp;L'!AN23</f>
        <v>103.042</v>
      </c>
      <c r="G77" s="163"/>
      <c r="H77" s="1558">
        <f>+bal!W12</f>
        <v>63.247</v>
      </c>
      <c r="I77" s="163"/>
      <c r="J77" s="1557">
        <f>AVERAGE(H76:H77)</f>
        <v>67.72999999999999</v>
      </c>
      <c r="K77" s="163"/>
      <c r="L77" s="1566">
        <f>(D77/D70-1)*100</f>
        <v>49.798848375052088</v>
      </c>
      <c r="M77" s="163"/>
      <c r="N77" s="1564">
        <f>(H77/H70-1)*100</f>
        <v>29.538146441372248</v>
      </c>
      <c r="O77" s="163"/>
      <c r="P77" s="1563">
        <f>(H77/H76-1)*100</f>
        <v>-12.416046972151818</v>
      </c>
      <c r="Q77" s="163"/>
      <c r="R77" s="1556">
        <f>F77/J77</f>
        <v>1.52136424036616</v>
      </c>
      <c r="S77" s="163"/>
      <c r="T77" s="1556">
        <f>F81/H77</f>
        <v>1.5873638275333217</v>
      </c>
      <c r="U77" s="163"/>
      <c r="V77" s="163">
        <f>qtrSales!K78</f>
        <v>114</v>
      </c>
      <c r="W77" s="163"/>
      <c r="X77" s="1556">
        <f>H77/V77</f>
        <v>0.55479824561403512</v>
      </c>
      <c r="Y77" s="163"/>
      <c r="Z77" s="1564">
        <f>(X77/X70-1)*100</f>
        <v>5.6758563074352564</v>
      </c>
      <c r="AA77" s="163"/>
      <c r="AB77" s="1554">
        <f>+qtrSales!AE78</f>
        <v>1.3449199999999999</v>
      </c>
      <c r="AC77" s="163"/>
      <c r="AD77" s="1569">
        <f>H77/AB77</f>
        <v>47.026588942093213</v>
      </c>
      <c r="AE77" s="163"/>
      <c r="AF77" s="1564">
        <f>(AD77/AD70-1)*100</f>
        <v>9.3103723522263593</v>
      </c>
      <c r="AG77" s="163"/>
      <c r="AH77" s="1570">
        <f>((F77-('yrP&amp;L'!$K$16/4))/J77)</f>
        <v>1.3050856751480555</v>
      </c>
      <c r="AI77" s="1572"/>
    </row>
    <row r="78" spans="1:35" hidden="1" outlineLevel="1">
      <c r="A78" s="163"/>
      <c r="B78" s="163" t="str">
        <f>$B$15</f>
        <v>Year</v>
      </c>
      <c r="C78" s="163"/>
      <c r="D78" s="1552">
        <f>SUM(D74:D77)</f>
        <v>548.36099999999999</v>
      </c>
      <c r="E78" s="163"/>
      <c r="F78" s="1552">
        <f>SUM(F74:F77)</f>
        <v>334.88800000000003</v>
      </c>
      <c r="G78" s="163"/>
      <c r="H78" s="163"/>
      <c r="I78" s="163"/>
      <c r="J78" s="1552">
        <f>AVERAGE(J74:J77)</f>
        <v>60.863749999999996</v>
      </c>
      <c r="K78" s="163"/>
      <c r="L78" s="1563">
        <f>(D78/D71-1)*100</f>
        <v>29.711605330759738</v>
      </c>
      <c r="M78" s="163"/>
      <c r="N78" s="1564"/>
      <c r="O78" s="163"/>
      <c r="P78" s="1564"/>
      <c r="Q78" s="163"/>
      <c r="R78" s="1567">
        <f>F78/J78</f>
        <v>5.5022570906327664</v>
      </c>
      <c r="S78" s="1561" t="s">
        <v>327</v>
      </c>
      <c r="T78" s="1556"/>
      <c r="U78" s="163"/>
      <c r="V78" s="163"/>
      <c r="W78" s="163"/>
      <c r="X78" s="163"/>
      <c r="Y78" s="163"/>
      <c r="Z78" s="163"/>
      <c r="AA78" s="163"/>
      <c r="AB78" s="163"/>
      <c r="AC78" s="163"/>
      <c r="AD78" s="163"/>
      <c r="AE78" s="163"/>
      <c r="AF78" s="163"/>
      <c r="AG78" s="163"/>
      <c r="AH78" s="1573">
        <f>(F78-'yrP&amp;L'!$K$16)/J78</f>
        <v>4.5395462999094072</v>
      </c>
      <c r="AI78" s="1574" t="s">
        <v>327</v>
      </c>
    </row>
    <row r="79" spans="1:35" hidden="1" outlineLevel="1">
      <c r="A79" s="163"/>
      <c r="B79" s="163"/>
      <c r="C79" s="163"/>
      <c r="D79" s="163"/>
      <c r="E79" s="163"/>
      <c r="F79" s="163"/>
      <c r="G79" s="163"/>
      <c r="H79" s="163"/>
      <c r="I79" s="163"/>
      <c r="J79" s="163"/>
      <c r="K79" s="163"/>
      <c r="L79" s="163"/>
      <c r="M79" s="163"/>
      <c r="N79" s="163"/>
      <c r="O79" s="163"/>
      <c r="P79" s="163"/>
      <c r="Q79" s="163"/>
      <c r="R79" s="163"/>
      <c r="S79" s="163"/>
      <c r="T79" s="1556"/>
      <c r="U79" s="163"/>
      <c r="V79" s="163"/>
      <c r="W79" s="163"/>
      <c r="X79" s="163"/>
      <c r="Y79" s="163"/>
      <c r="Z79" s="163"/>
      <c r="AA79" s="163"/>
      <c r="AB79" s="1575"/>
      <c r="AC79" s="163"/>
      <c r="AD79" s="163"/>
      <c r="AE79" s="163"/>
      <c r="AF79" s="163"/>
      <c r="AG79" s="163"/>
      <c r="AH79" s="1577"/>
      <c r="AI79" s="163"/>
    </row>
    <row r="80" spans="1:35" hidden="1" outlineLevel="1">
      <c r="A80" s="163"/>
      <c r="B80" s="1578">
        <f>B73+1</f>
        <v>2004</v>
      </c>
      <c r="C80" s="163"/>
      <c r="D80" s="163"/>
      <c r="E80" s="163"/>
      <c r="F80" s="163"/>
      <c r="G80" s="163"/>
      <c r="H80" s="163"/>
      <c r="I80" s="163"/>
      <c r="J80" s="163"/>
      <c r="K80" s="163"/>
      <c r="L80" s="163"/>
      <c r="M80" s="163"/>
      <c r="N80" s="163"/>
      <c r="O80" s="163"/>
      <c r="P80" s="163"/>
      <c r="Q80" s="163"/>
      <c r="R80" s="163"/>
      <c r="S80" s="163"/>
      <c r="T80" s="1556"/>
      <c r="U80" s="163"/>
      <c r="V80" s="163"/>
      <c r="W80" s="163"/>
      <c r="X80" s="163"/>
      <c r="Y80" s="163"/>
      <c r="Z80" s="163"/>
      <c r="AA80" s="163"/>
      <c r="AB80" s="1575"/>
      <c r="AC80" s="163"/>
      <c r="AD80" s="163"/>
      <c r="AE80" s="163"/>
      <c r="AF80" s="163"/>
      <c r="AG80" s="163"/>
      <c r="AH80" s="163"/>
      <c r="AI80" s="163"/>
    </row>
    <row r="81" spans="1:35" hidden="1" outlineLevel="1">
      <c r="A81" s="163" t="str">
        <f>$A$11</f>
        <v>1Q</v>
      </c>
      <c r="B81" s="163" t="str">
        <f>$B$11</f>
        <v>Apr</v>
      </c>
      <c r="C81" s="163"/>
      <c r="D81" s="1552">
        <f>+'qtrP&amp;L'!AU$10</f>
        <v>170.29</v>
      </c>
      <c r="E81" s="163"/>
      <c r="F81" s="1552">
        <f>+'qtrP&amp;L'!AU$20</f>
        <v>100.396</v>
      </c>
      <c r="G81" s="163"/>
      <c r="H81" s="1552">
        <f>work!AP10</f>
        <v>78.399000000000001</v>
      </c>
      <c r="I81" s="163"/>
      <c r="J81" s="1552">
        <f>AVERAGE(H81,H77)</f>
        <v>70.823000000000008</v>
      </c>
      <c r="K81" s="163"/>
      <c r="L81" s="1563">
        <f>(D81/D74-1)*100</f>
        <v>59.107896998916168</v>
      </c>
      <c r="M81" s="163" t="s">
        <v>208</v>
      </c>
      <c r="N81" s="1563">
        <f>(H81/H74-1)*100</f>
        <v>45.88846089432257</v>
      </c>
      <c r="O81" s="163" t="s">
        <v>208</v>
      </c>
      <c r="P81" s="1563">
        <f>(H81/H77-1)*100</f>
        <v>23.956867519408043</v>
      </c>
      <c r="Q81" s="163" t="s">
        <v>208</v>
      </c>
      <c r="R81" s="1556">
        <f>F81/J81</f>
        <v>1.4175620914109821</v>
      </c>
      <c r="S81" s="163" t="s">
        <v>327</v>
      </c>
      <c r="T81" s="1556">
        <f>F82/H81</f>
        <v>1.4345336037449457</v>
      </c>
      <c r="U81" s="163"/>
      <c r="V81" s="163">
        <f>qtrSales!K82</f>
        <v>115</v>
      </c>
      <c r="W81" s="163"/>
      <c r="X81" s="1553">
        <f>H81/V81</f>
        <v>0.68173043478260875</v>
      </c>
      <c r="Y81" s="163"/>
      <c r="Z81" s="1564">
        <f>(X81/X74-1)*100</f>
        <v>20.516554651831687</v>
      </c>
      <c r="AA81" s="164" t="s">
        <v>208</v>
      </c>
      <c r="AB81" s="1554">
        <f>+qtrSales!AE82</f>
        <v>1.3519533333333333</v>
      </c>
      <c r="AC81" s="163"/>
      <c r="AD81" s="1568">
        <f>H81/AB81</f>
        <v>57.989427642965978</v>
      </c>
      <c r="AE81" s="163"/>
      <c r="AF81" s="1564">
        <f>(AD81/AD74-1)*100</f>
        <v>24.441973005246666</v>
      </c>
      <c r="AG81" s="164" t="s">
        <v>208</v>
      </c>
      <c r="AH81" s="1570">
        <f>((F81-('yrP&amp;L'!$L$16/4))/J81)</f>
        <v>1.1517112202250681</v>
      </c>
      <c r="AI81" s="1571" t="s">
        <v>327</v>
      </c>
    </row>
    <row r="82" spans="1:35" hidden="1" outlineLevel="1">
      <c r="A82" s="163" t="str">
        <f>$A$12</f>
        <v>2Q</v>
      </c>
      <c r="B82" s="163" t="str">
        <f>$B$12</f>
        <v>Jul</v>
      </c>
      <c r="C82" s="163"/>
      <c r="D82" s="1555">
        <f>+'qtrP&amp;L'!AU$11</f>
        <v>189.48400000000001</v>
      </c>
      <c r="E82" s="163"/>
      <c r="F82" s="1555">
        <f>+'qtrP&amp;L'!AU$21</f>
        <v>112.46599999999999</v>
      </c>
      <c r="G82" s="163"/>
      <c r="H82" s="1555">
        <f>work!AP11</f>
        <v>90.93</v>
      </c>
      <c r="I82" s="163"/>
      <c r="J82" s="1555">
        <f>AVERAGE(H81:H82)</f>
        <v>84.664500000000004</v>
      </c>
      <c r="K82" s="163"/>
      <c r="L82" s="1563">
        <f>(D82/D75-1)*100</f>
        <v>54.203728871491478</v>
      </c>
      <c r="M82" s="163"/>
      <c r="N82" s="1563">
        <f>(H82/H75-1)*100</f>
        <v>47.933037239494382</v>
      </c>
      <c r="O82" s="163"/>
      <c r="P82" s="1563">
        <f>(H82/H81-1)*100</f>
        <v>15.983622240079608</v>
      </c>
      <c r="Q82" s="163"/>
      <c r="R82" s="1556">
        <f>F82/J82</f>
        <v>1.3283725764635708</v>
      </c>
      <c r="S82" s="163"/>
      <c r="T82" s="1556">
        <f>F83/H82</f>
        <v>1.3735290883096887</v>
      </c>
      <c r="U82" s="163"/>
      <c r="V82" s="163">
        <f>qtrSales!K83</f>
        <v>127</v>
      </c>
      <c r="W82" s="163"/>
      <c r="X82" s="1556">
        <f>H82/V82</f>
        <v>0.71598425196850402</v>
      </c>
      <c r="Y82" s="163"/>
      <c r="Z82" s="1564">
        <f>(X82/X75-1)*100</f>
        <v>14.153052358035033</v>
      </c>
      <c r="AA82" s="163"/>
      <c r="AB82" s="1554">
        <f>+qtrSales!AE83</f>
        <v>1.4698293333333332</v>
      </c>
      <c r="AC82" s="163"/>
      <c r="AD82" s="1569">
        <f>H82/AB82</f>
        <v>61.864325291280991</v>
      </c>
      <c r="AE82" s="163"/>
      <c r="AF82" s="1564">
        <f>(AD82/AD75-1)*100</f>
        <v>18.829854600418262</v>
      </c>
      <c r="AG82" s="163"/>
      <c r="AH82" s="1570">
        <f>((F82-('yrP&amp;L'!$L$16/4))/J82)</f>
        <v>1.105984725002805</v>
      </c>
      <c r="AI82" s="1571"/>
    </row>
    <row r="83" spans="1:35" hidden="1" outlineLevel="1">
      <c r="A83" s="163" t="str">
        <f>$A$13</f>
        <v>3Q</v>
      </c>
      <c r="B83" s="163" t="str">
        <f>$B$13</f>
        <v>Oct</v>
      </c>
      <c r="C83" s="163"/>
      <c r="D83" s="1555">
        <f>+'qtrP&amp;L'!AU$12</f>
        <v>216.35300000000001</v>
      </c>
      <c r="E83" s="163"/>
      <c r="F83" s="1555">
        <f>+'qtrP&amp;L'!AU$22</f>
        <v>124.895</v>
      </c>
      <c r="G83" s="163"/>
      <c r="H83" s="1555">
        <f>work!AP12</f>
        <v>112.896</v>
      </c>
      <c r="I83" s="163"/>
      <c r="J83" s="1555">
        <f>AVERAGE(H82:H83)</f>
        <v>101.91300000000001</v>
      </c>
      <c r="K83" s="163"/>
      <c r="L83" s="1563">
        <f>(D83/D76-1)*100</f>
        <v>52.006941565786803</v>
      </c>
      <c r="M83" s="163"/>
      <c r="N83" s="1563">
        <f>(H83/H76-1)*100</f>
        <v>56.337501557891258</v>
      </c>
      <c r="O83" s="163"/>
      <c r="P83" s="1563">
        <f>(H83/H82-1)*100</f>
        <v>24.157043879907604</v>
      </c>
      <c r="Q83" s="163"/>
      <c r="R83" s="1556">
        <f>F83/J83</f>
        <v>1.2255060689019064</v>
      </c>
      <c r="S83" s="163"/>
      <c r="T83" s="1556">
        <f>F84/H83</f>
        <v>1.3396665958049896</v>
      </c>
      <c r="U83" s="163"/>
      <c r="V83" s="163">
        <f>qtrSales!K84</f>
        <v>134</v>
      </c>
      <c r="W83" s="163"/>
      <c r="X83" s="1556">
        <f>H83/V83</f>
        <v>0.84250746268656718</v>
      </c>
      <c r="Y83" s="163"/>
      <c r="Z83" s="1564">
        <f>(X83/X76-1)*100</f>
        <v>20.169870600468641</v>
      </c>
      <c r="AA83" s="163"/>
      <c r="AB83" s="1554">
        <f>+qtrSales!AE84</f>
        <v>1.5560666666666667</v>
      </c>
      <c r="AC83" s="163"/>
      <c r="AD83" s="1569">
        <f>H83/AB83</f>
        <v>72.552161432672122</v>
      </c>
      <c r="AE83" s="163"/>
      <c r="AF83" s="1564">
        <f>(AD83/AD76-1)*100</f>
        <v>23.867714217923421</v>
      </c>
      <c r="AG83" s="163"/>
      <c r="AH83" s="1570">
        <f>((F83-('yrP&amp;L'!$L$16/4))/J83)</f>
        <v>1.0407567606684132</v>
      </c>
      <c r="AI83" s="1571"/>
    </row>
    <row r="84" spans="1:35" hidden="1" outlineLevel="1">
      <c r="A84" s="163" t="str">
        <f>$A$14</f>
        <v>4Q</v>
      </c>
      <c r="B84" s="163" t="str">
        <f>$B$14</f>
        <v>Jan</v>
      </c>
      <c r="C84" s="163"/>
      <c r="D84" s="1557">
        <f>+'qtrP&amp;L'!AU$13</f>
        <v>251.62299999999999</v>
      </c>
      <c r="E84" s="163"/>
      <c r="F84" s="1557">
        <f>+'qtrP&amp;L'!AU$23</f>
        <v>151.24300000000011</v>
      </c>
      <c r="G84" s="163"/>
      <c r="H84" s="1558">
        <f>+bal!Y$12</f>
        <v>98.995999999999995</v>
      </c>
      <c r="I84" s="163"/>
      <c r="J84" s="1557">
        <f>AVERAGE(H83:H84)</f>
        <v>105.946</v>
      </c>
      <c r="K84" s="163"/>
      <c r="L84" s="1566">
        <f>(D84/D77-1)*100</f>
        <v>42.867768548116935</v>
      </c>
      <c r="M84" s="163"/>
      <c r="N84" s="1564">
        <f>(H84/H77-1)*100</f>
        <v>56.522839027938062</v>
      </c>
      <c r="O84" s="163"/>
      <c r="P84" s="1563">
        <f>(H84/H83-1)*100</f>
        <v>-12.312216553287991</v>
      </c>
      <c r="Q84" s="163"/>
      <c r="R84" s="1556">
        <f>F84/J84</f>
        <v>1.4275479961489825</v>
      </c>
      <c r="S84" s="163"/>
      <c r="T84" s="1556">
        <f>F88/H84</f>
        <v>1.3506404299163604</v>
      </c>
      <c r="U84" s="163"/>
      <c r="V84" s="163">
        <f>qtrSales!K85</f>
        <v>142</v>
      </c>
      <c r="W84" s="163"/>
      <c r="X84" s="1556">
        <f>H84/V84</f>
        <v>0.69715492957746472</v>
      </c>
      <c r="Y84" s="163"/>
      <c r="Z84" s="1564">
        <f>(X84/X77-1)*100</f>
        <v>25.659180628062938</v>
      </c>
      <c r="AA84" s="163"/>
      <c r="AB84" s="1554">
        <f>+qtrSales!AE85</f>
        <v>1.6447626666666668</v>
      </c>
      <c r="AC84" s="163"/>
      <c r="AD84" s="1569">
        <f>H84/AB84</f>
        <v>60.18862295836805</v>
      </c>
      <c r="AE84" s="163"/>
      <c r="AF84" s="1564">
        <f>(AD84/AD77-1)*100</f>
        <v>27.988493982589446</v>
      </c>
      <c r="AG84" s="163"/>
      <c r="AH84" s="1570">
        <f>((F84-('yrP&amp;L'!$L$16/4))/J84)</f>
        <v>1.2498314589507871</v>
      </c>
      <c r="AI84" s="1572"/>
    </row>
    <row r="85" spans="1:35" hidden="1" outlineLevel="1">
      <c r="A85" s="163"/>
      <c r="B85" s="163" t="str">
        <f>$B$15</f>
        <v>Year</v>
      </c>
      <c r="C85" s="163"/>
      <c r="D85" s="1552">
        <f>SUM(D81:D84)</f>
        <v>827.75</v>
      </c>
      <c r="E85" s="163"/>
      <c r="F85" s="1552">
        <f>SUM(F81:F84)</f>
        <v>489.00000000000011</v>
      </c>
      <c r="G85" s="163"/>
      <c r="H85" s="163"/>
      <c r="I85" s="163"/>
      <c r="J85" s="1552">
        <f>AVERAGE(J81:J84)</f>
        <v>90.836624999999998</v>
      </c>
      <c r="K85" s="163"/>
      <c r="L85" s="1563">
        <f>(D85/D78-1)*100</f>
        <v>50.949830494874739</v>
      </c>
      <c r="M85" s="163"/>
      <c r="N85" s="1564"/>
      <c r="O85" s="163"/>
      <c r="P85" s="1564"/>
      <c r="Q85" s="163"/>
      <c r="R85" s="1567">
        <f>F85/J85</f>
        <v>5.3832911559626977</v>
      </c>
      <c r="S85" s="1561" t="s">
        <v>327</v>
      </c>
      <c r="T85" s="1556"/>
      <c r="U85" s="163"/>
      <c r="V85" s="163"/>
      <c r="W85" s="163"/>
      <c r="X85" s="163"/>
      <c r="Y85" s="163"/>
      <c r="Z85" s="163"/>
      <c r="AA85" s="163"/>
      <c r="AB85" s="163"/>
      <c r="AC85" s="163"/>
      <c r="AD85" s="163"/>
      <c r="AE85" s="163"/>
      <c r="AF85" s="163"/>
      <c r="AG85" s="163"/>
      <c r="AH85" s="1573">
        <f>(F85-'yrP&amp;L'!$L$16)/J85</f>
        <v>4.5541825777873202</v>
      </c>
      <c r="AI85" s="1574" t="s">
        <v>327</v>
      </c>
    </row>
    <row r="86" spans="1:35" hidden="1" outlineLevel="1" collapsed="1">
      <c r="A86" s="163"/>
      <c r="B86" s="163"/>
      <c r="C86" s="163"/>
      <c r="D86" s="163"/>
      <c r="E86" s="163"/>
      <c r="F86" s="163"/>
      <c r="G86" s="163"/>
      <c r="H86" s="163"/>
      <c r="I86" s="163"/>
      <c r="J86" s="163"/>
      <c r="K86" s="163"/>
      <c r="L86" s="163"/>
      <c r="M86" s="163"/>
      <c r="N86" s="163"/>
      <c r="O86" s="163"/>
      <c r="P86" s="163"/>
      <c r="Q86" s="163"/>
      <c r="R86" s="163"/>
      <c r="S86" s="163"/>
      <c r="T86" s="1556"/>
      <c r="U86" s="163"/>
      <c r="V86" s="163"/>
      <c r="W86" s="163"/>
      <c r="X86" s="163"/>
      <c r="Y86" s="163"/>
      <c r="Z86" s="163"/>
      <c r="AA86" s="163"/>
      <c r="AB86" s="1575"/>
      <c r="AC86" s="163"/>
      <c r="AD86" s="163"/>
      <c r="AE86" s="163"/>
      <c r="AF86" s="163"/>
      <c r="AG86" s="163"/>
      <c r="AH86" s="1577"/>
      <c r="AI86" s="163"/>
    </row>
    <row r="87" spans="1:35" hidden="1" outlineLevel="1">
      <c r="A87" s="163"/>
      <c r="B87" s="1578">
        <f>B80+1</f>
        <v>2005</v>
      </c>
      <c r="C87" s="163"/>
      <c r="D87" s="163"/>
      <c r="E87" s="163"/>
      <c r="F87" s="163"/>
      <c r="G87" s="163"/>
      <c r="H87" s="163"/>
      <c r="I87" s="163"/>
      <c r="J87" s="163"/>
      <c r="K87" s="163"/>
      <c r="L87" s="163"/>
      <c r="M87" s="163"/>
      <c r="N87" s="163"/>
      <c r="O87" s="163"/>
      <c r="P87" s="163"/>
      <c r="Q87" s="163"/>
      <c r="R87" s="163"/>
      <c r="S87" s="163"/>
      <c r="T87" s="1556"/>
      <c r="U87" s="163"/>
      <c r="V87" s="163"/>
      <c r="W87" s="163"/>
      <c r="X87" s="163"/>
      <c r="Y87" s="163"/>
      <c r="Z87" s="163"/>
      <c r="AA87" s="163"/>
      <c r="AB87" s="1575"/>
      <c r="AC87" s="163"/>
      <c r="AD87" s="163"/>
      <c r="AE87" s="163"/>
      <c r="AF87" s="163"/>
      <c r="AG87" s="163"/>
      <c r="AH87" s="163"/>
      <c r="AI87" s="163"/>
    </row>
    <row r="88" spans="1:35" hidden="1" outlineLevel="1">
      <c r="A88" s="163" t="str">
        <f>$A$11</f>
        <v>1Q</v>
      </c>
      <c r="B88" s="163" t="str">
        <f>$B$11</f>
        <v>Apr</v>
      </c>
      <c r="C88" s="163"/>
      <c r="D88" s="1552">
        <f>+'qtrP&amp;L'!AY$10</f>
        <v>231.32499999999999</v>
      </c>
      <c r="E88" s="163"/>
      <c r="F88" s="1552">
        <f>+'qtrP&amp;L'!AY$20</f>
        <v>133.708</v>
      </c>
      <c r="G88" s="163"/>
      <c r="H88" s="1552">
        <f>work!AT10</f>
        <v>113.477</v>
      </c>
      <c r="I88" s="163"/>
      <c r="J88" s="1552">
        <f>AVERAGE(H88,H84)</f>
        <v>106.23650000000001</v>
      </c>
      <c r="K88" s="163"/>
      <c r="L88" s="1563">
        <f>(D88/D81-1)*100</f>
        <v>35.841799283575071</v>
      </c>
      <c r="M88" s="163" t="s">
        <v>208</v>
      </c>
      <c r="N88" s="1563">
        <f>(H88/H81-1)*100</f>
        <v>44.742917639255595</v>
      </c>
      <c r="O88" s="163" t="s">
        <v>208</v>
      </c>
      <c r="P88" s="1563">
        <f>(H88/H84-1)*100</f>
        <v>14.627863752070791</v>
      </c>
      <c r="Q88" s="163" t="s">
        <v>208</v>
      </c>
      <c r="R88" s="1556">
        <f>F88/J88</f>
        <v>1.2585881500237677</v>
      </c>
      <c r="S88" s="163" t="s">
        <v>327</v>
      </c>
      <c r="T88" s="1556">
        <f>F89/H88</f>
        <v>1.3091287221199011</v>
      </c>
      <c r="U88" s="163"/>
      <c r="V88" s="163">
        <f>qtrSales!K89</f>
        <v>146</v>
      </c>
      <c r="W88" s="163"/>
      <c r="X88" s="1553">
        <f>H88/V88</f>
        <v>0.77723972602739733</v>
      </c>
      <c r="Y88" s="163"/>
      <c r="Z88" s="1564">
        <f>(X88/X81-1)*100</f>
        <v>14.009832387084886</v>
      </c>
      <c r="AA88" s="164" t="s">
        <v>208</v>
      </c>
      <c r="AB88" s="1554">
        <f>+qtrSales!AE89</f>
        <v>1.6963786666666665</v>
      </c>
      <c r="AC88" s="163"/>
      <c r="AD88" s="1568">
        <f>H88/AB88</f>
        <v>66.89367311072057</v>
      </c>
      <c r="AE88" s="163"/>
      <c r="AF88" s="1564">
        <f>(AD88/AD81-1)*100</f>
        <v>15.354946288790728</v>
      </c>
      <c r="AG88" s="164" t="s">
        <v>208</v>
      </c>
      <c r="AH88" s="1570">
        <f>((F88-('yrP&amp;L'!$M$16/4))/J88)</f>
        <v>1.0359716293364332</v>
      </c>
      <c r="AI88" s="1571" t="s">
        <v>327</v>
      </c>
    </row>
    <row r="89" spans="1:35" hidden="1" outlineLevel="1">
      <c r="A89" s="163" t="str">
        <f>$A$12</f>
        <v>2Q</v>
      </c>
      <c r="B89" s="163" t="str">
        <f>$B$12</f>
        <v>Jul</v>
      </c>
      <c r="C89" s="163"/>
      <c r="D89" s="1555">
        <f>+'qtrP&amp;L'!AY$11</f>
        <v>253.392</v>
      </c>
      <c r="E89" s="163"/>
      <c r="F89" s="1555">
        <f>+'qtrP&amp;L'!AY$21</f>
        <v>148.55600000000001</v>
      </c>
      <c r="G89" s="163"/>
      <c r="H89" s="1555">
        <f>work!AT11</f>
        <v>132.596</v>
      </c>
      <c r="I89" s="163"/>
      <c r="J89" s="1555">
        <f>AVERAGE(H88:H89)</f>
        <v>123.0365</v>
      </c>
      <c r="K89" s="163"/>
      <c r="L89" s="1563">
        <f>(D89/D82-1)*100</f>
        <v>33.727385953431408</v>
      </c>
      <c r="M89" s="163"/>
      <c r="N89" s="1563">
        <f>(H89/H82-1)*100</f>
        <v>45.822060925987017</v>
      </c>
      <c r="O89" s="163"/>
      <c r="P89" s="1563">
        <f>(H89/H88-1)*100</f>
        <v>16.848348123408275</v>
      </c>
      <c r="Q89" s="163"/>
      <c r="R89" s="1556">
        <f>F89/J89</f>
        <v>1.2074140600553496</v>
      </c>
      <c r="S89" s="163"/>
      <c r="T89" s="1556">
        <f>F90/H89</f>
        <v>1.271154484298169</v>
      </c>
      <c r="U89" s="163"/>
      <c r="V89" s="163">
        <f>qtrSales!K90</f>
        <v>151</v>
      </c>
      <c r="W89" s="163"/>
      <c r="X89" s="1556">
        <f>H89/V89</f>
        <v>0.87811920529801324</v>
      </c>
      <c r="Y89" s="163"/>
      <c r="Z89" s="1564">
        <f>(X89/X82-1)*100</f>
        <v>22.645044619869871</v>
      </c>
      <c r="AA89" s="163"/>
      <c r="AB89" s="1554">
        <f>+qtrSales!AE90</f>
        <v>1.7430986666666664</v>
      </c>
      <c r="AC89" s="163"/>
      <c r="AD89" s="1569">
        <f>H89/AB89</f>
        <v>76.069130529233774</v>
      </c>
      <c r="AE89" s="163"/>
      <c r="AF89" s="1564">
        <f>(AD89/AD82-1)*100</f>
        <v>22.961222273210137</v>
      </c>
      <c r="AG89" s="163"/>
      <c r="AH89" s="1570">
        <f>((F89-('yrP&amp;L'!$M$16/4))/J89)</f>
        <v>1.0151946780020564</v>
      </c>
      <c r="AI89" s="1571"/>
    </row>
    <row r="90" spans="1:35" hidden="1" outlineLevel="1">
      <c r="A90" s="163" t="str">
        <f>$A$13</f>
        <v>3Q</v>
      </c>
      <c r="B90" s="163" t="str">
        <f>$B$13</f>
        <v>Oct</v>
      </c>
      <c r="C90" s="163"/>
      <c r="D90" s="1555">
        <f>+'qtrP&amp;L'!AY$12</f>
        <v>288.80099999999999</v>
      </c>
      <c r="E90" s="163"/>
      <c r="F90" s="1555">
        <f>+'qtrP&amp;L'!AY$22</f>
        <v>168.55</v>
      </c>
      <c r="G90" s="163"/>
      <c r="H90" s="1555">
        <f>work!AT12</f>
        <v>170.232</v>
      </c>
      <c r="I90" s="163"/>
      <c r="J90" s="1555">
        <f>AVERAGE(H89:H90)</f>
        <v>151.41399999999999</v>
      </c>
      <c r="K90" s="163"/>
      <c r="L90" s="1563">
        <f>(D90/D83-1)*100</f>
        <v>33.486015909185454</v>
      </c>
      <c r="M90" s="163"/>
      <c r="N90" s="1563">
        <f>(H90/H83-1)*100</f>
        <v>50.786564625850339</v>
      </c>
      <c r="O90" s="163"/>
      <c r="P90" s="1563">
        <f>(H90/H89-1)*100</f>
        <v>28.383963317143813</v>
      </c>
      <c r="Q90" s="163"/>
      <c r="R90" s="1556">
        <f>F90/J90</f>
        <v>1.1131731543978762</v>
      </c>
      <c r="S90" s="163"/>
      <c r="T90" s="1556">
        <f>F91/H90</f>
        <v>1.1319082193712111</v>
      </c>
      <c r="U90" s="163"/>
      <c r="V90" s="163">
        <f>qtrSales!K91</f>
        <v>162</v>
      </c>
      <c r="W90" s="163"/>
      <c r="X90" s="1556">
        <f>H90/V90</f>
        <v>1.0508148148148149</v>
      </c>
      <c r="Y90" s="163"/>
      <c r="Z90" s="1564">
        <f>(X90/X83-1)*100</f>
        <v>24.724689258419417</v>
      </c>
      <c r="AA90" s="163"/>
      <c r="AB90" s="1554">
        <f>+qtrSales!AE91</f>
        <v>1.8383933333333331</v>
      </c>
      <c r="AC90" s="163"/>
      <c r="AD90" s="1569">
        <f>H90/AB90</f>
        <v>92.598247020042876</v>
      </c>
      <c r="AE90" s="163"/>
      <c r="AF90" s="1564">
        <f>(AD90/AD83-1)*100</f>
        <v>27.629894398078502</v>
      </c>
      <c r="AG90" s="163"/>
      <c r="AH90" s="1570">
        <f>((F90-('yrP&amp;L'!$M$16/4))/J90)</f>
        <v>0.95697887909968704</v>
      </c>
      <c r="AI90" s="1571"/>
    </row>
    <row r="91" spans="1:35" hidden="1" outlineLevel="1">
      <c r="A91" s="163" t="str">
        <f>$A$14</f>
        <v>4Q</v>
      </c>
      <c r="B91" s="163" t="str">
        <f>$B$14</f>
        <v>Jan</v>
      </c>
      <c r="C91" s="163"/>
      <c r="D91" s="1557">
        <f>+'qtrP&amp;L'!AY$13</f>
        <v>318.589</v>
      </c>
      <c r="E91" s="163"/>
      <c r="F91" s="1557">
        <f>+'qtrP&amp;L'!AY$23</f>
        <v>192.68700000000001</v>
      </c>
      <c r="G91" s="163"/>
      <c r="H91" s="1558">
        <f>+bal!AA$12</f>
        <v>140.37700000000001</v>
      </c>
      <c r="I91" s="163"/>
      <c r="J91" s="1557">
        <f>AVERAGE(H90:H91)</f>
        <v>155.30450000000002</v>
      </c>
      <c r="K91" s="163"/>
      <c r="L91" s="1566">
        <f>(D91/D84-1)*100</f>
        <v>26.61362435071517</v>
      </c>
      <c r="M91" s="163"/>
      <c r="N91" s="1564">
        <f>(H91/H84-1)*100</f>
        <v>41.800678815305695</v>
      </c>
      <c r="O91" s="163"/>
      <c r="P91" s="1563">
        <f>(H91/H90-1)*100</f>
        <v>-17.537830725128057</v>
      </c>
      <c r="Q91" s="163"/>
      <c r="R91" s="1556">
        <f>F91/J91</f>
        <v>1.2407045513813186</v>
      </c>
      <c r="S91" s="163"/>
      <c r="T91" s="1556">
        <f>F95/H91</f>
        <v>1.234098178476531</v>
      </c>
      <c r="U91" s="163"/>
      <c r="V91" s="163">
        <f>qtrSales!K92</f>
        <v>175</v>
      </c>
      <c r="W91" s="163"/>
      <c r="X91" s="1556">
        <f>H91/V91</f>
        <v>0.80215428571428582</v>
      </c>
      <c r="Y91" s="163"/>
      <c r="Z91" s="1564">
        <f>(X91/X84-1)*100</f>
        <v>15.061122238705194</v>
      </c>
      <c r="AA91" s="163"/>
      <c r="AB91" s="1554">
        <f>+qtrSales!AE92</f>
        <v>1.9426666666666668</v>
      </c>
      <c r="AC91" s="163"/>
      <c r="AD91" s="1569">
        <f>H91/AB91</f>
        <v>72.259951956074133</v>
      </c>
      <c r="AE91" s="163"/>
      <c r="AF91" s="1564">
        <f>(AD91/AD84-1)*100</f>
        <v>20.055831823990577</v>
      </c>
      <c r="AG91" s="163"/>
      <c r="AH91" s="1570">
        <f>((F91-('yrP&amp;L'!$M$16/4))/J91)</f>
        <v>1.0884230656548908</v>
      </c>
      <c r="AI91" s="1572"/>
    </row>
    <row r="92" spans="1:35" hidden="1" outlineLevel="1">
      <c r="A92" s="163"/>
      <c r="B92" s="163" t="str">
        <f>$B$15</f>
        <v>Year</v>
      </c>
      <c r="C92" s="163"/>
      <c r="D92" s="1552">
        <f>SUM(D88:D91)</f>
        <v>1092.107</v>
      </c>
      <c r="E92" s="163"/>
      <c r="F92" s="1552">
        <f>SUM(F88:F91)</f>
        <v>643.50099999999998</v>
      </c>
      <c r="G92" s="163"/>
      <c r="H92" s="163"/>
      <c r="I92" s="163"/>
      <c r="J92" s="1552">
        <f>AVERAGE(J88:J91)</f>
        <v>133.99787500000002</v>
      </c>
      <c r="K92" s="163"/>
      <c r="L92" s="1563">
        <f>(D92/D85-1)*100</f>
        <v>31.936816671700385</v>
      </c>
      <c r="M92" s="163"/>
      <c r="N92" s="1564"/>
      <c r="O92" s="163"/>
      <c r="P92" s="1564"/>
      <c r="Q92" s="163"/>
      <c r="R92" s="1567">
        <f>F92/J92</f>
        <v>4.8023224248891996</v>
      </c>
      <c r="S92" s="1561" t="s">
        <v>327</v>
      </c>
      <c r="T92" s="1556"/>
      <c r="U92" s="163"/>
      <c r="V92" s="163"/>
      <c r="W92" s="163"/>
      <c r="X92" s="163"/>
      <c r="Y92" s="163"/>
      <c r="Z92" s="163"/>
      <c r="AA92" s="163"/>
      <c r="AB92" s="163"/>
      <c r="AC92" s="163"/>
      <c r="AD92" s="163"/>
      <c r="AE92" s="163"/>
      <c r="AF92" s="163"/>
      <c r="AG92" s="163"/>
      <c r="AH92" s="1573">
        <f>(F92-'yrP&amp;L'!$M$16)/J92</f>
        <v>4.0963410800357831</v>
      </c>
      <c r="AI92" s="1574" t="s">
        <v>327</v>
      </c>
    </row>
    <row r="93" spans="1:35" hidden="1" outlineLevel="1">
      <c r="A93" s="163"/>
      <c r="B93" s="163"/>
      <c r="C93" s="163"/>
      <c r="D93" s="163"/>
      <c r="E93" s="163"/>
      <c r="F93" s="163"/>
      <c r="G93" s="163"/>
      <c r="H93" s="163"/>
      <c r="I93" s="163"/>
      <c r="J93" s="163"/>
      <c r="K93" s="163"/>
      <c r="L93" s="163"/>
      <c r="M93" s="163"/>
      <c r="N93" s="163"/>
      <c r="O93" s="163"/>
      <c r="P93" s="163"/>
      <c r="Q93" s="163"/>
      <c r="R93" s="163"/>
      <c r="S93" s="163"/>
      <c r="T93" s="1556"/>
      <c r="U93" s="163"/>
      <c r="V93" s="163"/>
      <c r="W93" s="163"/>
      <c r="X93" s="163"/>
      <c r="Y93" s="163"/>
      <c r="Z93" s="163"/>
      <c r="AA93" s="163"/>
      <c r="AB93" s="1575"/>
      <c r="AC93" s="163"/>
      <c r="AD93" s="163"/>
      <c r="AE93" s="163"/>
      <c r="AF93" s="163"/>
      <c r="AG93" s="163"/>
      <c r="AH93" s="163"/>
      <c r="AI93" s="163"/>
    </row>
    <row r="94" spans="1:35" hidden="1" outlineLevel="1">
      <c r="A94" s="163"/>
      <c r="B94" s="1578">
        <f>B87+1</f>
        <v>2006</v>
      </c>
      <c r="C94" s="163"/>
      <c r="D94" s="163"/>
      <c r="E94" s="163"/>
      <c r="F94" s="163"/>
      <c r="G94" s="163"/>
      <c r="H94" s="163"/>
      <c r="I94" s="163"/>
      <c r="J94" s="163"/>
      <c r="K94" s="163"/>
      <c r="L94" s="163"/>
      <c r="M94" s="163"/>
      <c r="N94" s="163"/>
      <c r="O94" s="163"/>
      <c r="P94" s="163"/>
      <c r="Q94" s="163"/>
      <c r="R94" s="163"/>
      <c r="S94" s="163"/>
      <c r="T94" s="1556"/>
      <c r="U94" s="163"/>
      <c r="V94" s="163"/>
      <c r="W94" s="163"/>
      <c r="X94" s="163"/>
      <c r="Y94" s="163"/>
      <c r="Z94" s="163"/>
      <c r="AA94" s="163"/>
      <c r="AB94" s="1575"/>
      <c r="AC94" s="163"/>
      <c r="AD94" s="163"/>
      <c r="AE94" s="163"/>
      <c r="AF94" s="163"/>
      <c r="AG94" s="163"/>
      <c r="AH94" s="163"/>
      <c r="AI94" s="163"/>
    </row>
    <row r="95" spans="1:35" hidden="1" outlineLevel="1">
      <c r="A95" s="163" t="str">
        <f>$A$11</f>
        <v>1Q</v>
      </c>
      <c r="B95" s="163" t="str">
        <f>$B$11</f>
        <v>Apr</v>
      </c>
      <c r="C95" s="163"/>
      <c r="D95" s="1552">
        <f>'qtrP&amp;L'!BC10</f>
        <v>270.00700000000001</v>
      </c>
      <c r="E95" s="163"/>
      <c r="F95" s="1552">
        <f>+'qtrP&amp;L'!BC$20</f>
        <v>173.239</v>
      </c>
      <c r="G95" s="163"/>
      <c r="H95" s="1552">
        <f>+work!AX10</f>
        <v>140.726</v>
      </c>
      <c r="I95" s="163"/>
      <c r="J95" s="1552">
        <f>AVERAGE(H95,H91)</f>
        <v>140.5515</v>
      </c>
      <c r="K95" s="163"/>
      <c r="L95" s="1563">
        <f>(D95/D88-1)*100</f>
        <v>16.721928023343779</v>
      </c>
      <c r="M95" s="163" t="s">
        <v>208</v>
      </c>
      <c r="N95" s="1563">
        <f>(H95/H88-1)*100</f>
        <v>24.012795544471555</v>
      </c>
      <c r="O95" s="163" t="s">
        <v>208</v>
      </c>
      <c r="P95" s="1563">
        <f>(H95/H91-1)*100</f>
        <v>0.24861622630487634</v>
      </c>
      <c r="Q95" s="163" t="s">
        <v>208</v>
      </c>
      <c r="R95" s="1556">
        <f>F95/J95</f>
        <v>1.2325659989398903</v>
      </c>
      <c r="S95" s="163" t="s">
        <v>327</v>
      </c>
      <c r="T95" s="1556">
        <f>F96/H95</f>
        <v>1.2848158833477821</v>
      </c>
      <c r="U95" s="163"/>
      <c r="V95" s="163">
        <f>qtrSales!K96</f>
        <v>182</v>
      </c>
      <c r="W95" s="163"/>
      <c r="X95" s="1553">
        <f>H95/V95</f>
        <v>0.77321978021978022</v>
      </c>
      <c r="Y95" s="163"/>
      <c r="Z95" s="1579">
        <f>(X95/X88-1)*100</f>
        <v>-0.517207969819522</v>
      </c>
      <c r="AA95" s="164" t="s">
        <v>208</v>
      </c>
      <c r="AB95" s="1554">
        <f>+qtrSales!AE96</f>
        <v>2.0392746666666666</v>
      </c>
      <c r="AC95" s="163"/>
      <c r="AD95" s="1568">
        <f>H95/AB95</f>
        <v>69.007869464698558</v>
      </c>
      <c r="AE95" s="163"/>
      <c r="AF95" s="1579">
        <f>(AD95/AD88-1)*100</f>
        <v>3.1605326119237498</v>
      </c>
      <c r="AG95" s="164" t="s">
        <v>208</v>
      </c>
      <c r="AH95" s="1570">
        <f>((F95-('yrP&amp;L'!$N$16/4))/J95)</f>
        <v>1.0260580641259609</v>
      </c>
      <c r="AI95" s="1571" t="s">
        <v>327</v>
      </c>
    </row>
    <row r="96" spans="1:35" hidden="1" outlineLevel="1">
      <c r="A96" s="163" t="str">
        <f>$A$12</f>
        <v>2Q</v>
      </c>
      <c r="B96" s="163" t="str">
        <f>$B$12</f>
        <v>Jul</v>
      </c>
      <c r="C96" s="163"/>
      <c r="D96" s="1555">
        <f>'qtrP&amp;L'!BC11</f>
        <v>285.55900000000003</v>
      </c>
      <c r="E96" s="163"/>
      <c r="F96" s="1555">
        <f>+'qtrP&amp;L'!BC$21</f>
        <v>180.80699999999999</v>
      </c>
      <c r="G96" s="163"/>
      <c r="H96" s="1555">
        <f>+work!AX11</f>
        <v>148.52799999999999</v>
      </c>
      <c r="I96" s="163"/>
      <c r="J96" s="1555">
        <f>AVERAGE(H95:H96)</f>
        <v>144.62700000000001</v>
      </c>
      <c r="K96" s="163"/>
      <c r="L96" s="1563">
        <f>(D96/D89-1)*100</f>
        <v>12.694560207109951</v>
      </c>
      <c r="M96" s="163"/>
      <c r="N96" s="1563">
        <f>(H96/H89-1)*100</f>
        <v>12.015445413134618</v>
      </c>
      <c r="O96" s="163"/>
      <c r="P96" s="1563">
        <f>(H96/H95-1)*100</f>
        <v>5.5441069880476812</v>
      </c>
      <c r="Q96" s="163"/>
      <c r="R96" s="1556">
        <f>F96/J96</f>
        <v>1.2501607583646206</v>
      </c>
      <c r="S96" s="163"/>
      <c r="T96" s="1556">
        <f>F97/H96</f>
        <v>1.2819603037811054</v>
      </c>
      <c r="U96" s="163"/>
      <c r="V96" s="163">
        <f>qtrSales!K97</f>
        <v>188</v>
      </c>
      <c r="W96" s="163"/>
      <c r="X96" s="1556">
        <f>H96/V96</f>
        <v>0.79004255319148931</v>
      </c>
      <c r="Y96" s="163"/>
      <c r="Z96" s="1579">
        <f>(X96/X89-1)*100</f>
        <v>-10.030147567109948</v>
      </c>
      <c r="AA96" s="163"/>
      <c r="AB96" s="1554">
        <f>+qtrSales!AE97</f>
        <v>2.1165746666666667</v>
      </c>
      <c r="AC96" s="163"/>
      <c r="AD96" s="1569">
        <f>H96/AB96</f>
        <v>70.173758733450455</v>
      </c>
      <c r="AE96" s="163"/>
      <c r="AF96" s="1579">
        <f>(AD96/AD89-1)*100</f>
        <v>-7.7500186406333382</v>
      </c>
      <c r="AG96" s="163"/>
      <c r="AH96" s="1570">
        <f>((F96-('yrP&amp;L'!$N$16/4))/J96)</f>
        <v>1.0494720902736001</v>
      </c>
      <c r="AI96" s="1571"/>
    </row>
    <row r="97" spans="1:35" hidden="1" outlineLevel="1">
      <c r="A97" s="163" t="str">
        <f>$A$13</f>
        <v>3Q</v>
      </c>
      <c r="B97" s="163" t="str">
        <f>$B$13</f>
        <v>Oct</v>
      </c>
      <c r="C97" s="163"/>
      <c r="D97" s="1555">
        <f>'qtrP&amp;L'!BC12</f>
        <v>308.35500000000002</v>
      </c>
      <c r="E97" s="163"/>
      <c r="F97" s="1555">
        <f>+'qtrP&amp;L'!BC$22</f>
        <v>190.40700000000001</v>
      </c>
      <c r="G97" s="163"/>
      <c r="H97" s="1555">
        <f>+work!AX12</f>
        <v>179.59200000000001</v>
      </c>
      <c r="I97" s="163"/>
      <c r="J97" s="1555">
        <f>AVERAGE(H96:H97)</f>
        <v>164.06</v>
      </c>
      <c r="K97" s="163"/>
      <c r="L97" s="1563">
        <f>(D97/D90-1)*100</f>
        <v>6.7707521788359593</v>
      </c>
      <c r="M97" s="163"/>
      <c r="N97" s="1563">
        <f>(H97/H90-1)*100</f>
        <v>5.4983786832088155</v>
      </c>
      <c r="O97" s="163"/>
      <c r="P97" s="1563">
        <f>(H97/H96-1)*100</f>
        <v>20.914575029624061</v>
      </c>
      <c r="Q97" s="163"/>
      <c r="R97" s="1556">
        <f>F97/J97</f>
        <v>1.1605936852371084</v>
      </c>
      <c r="S97" s="163"/>
      <c r="T97" s="1556">
        <f>F98/H97</f>
        <v>1.2714541850416499</v>
      </c>
      <c r="U97" s="163"/>
      <c r="V97" s="163">
        <f>qtrSales!K98</f>
        <v>197</v>
      </c>
      <c r="W97" s="163"/>
      <c r="X97" s="1556">
        <f>H97/V97</f>
        <v>0.91163451776649751</v>
      </c>
      <c r="Y97" s="163"/>
      <c r="Z97" s="1579">
        <f>(X97/X90-1)*100</f>
        <v>-13.244988087919673</v>
      </c>
      <c r="AA97" s="163"/>
      <c r="AB97" s="1554">
        <f>+qtrSales!AE98</f>
        <v>2.2179799999999998</v>
      </c>
      <c r="AC97" s="163"/>
      <c r="AD97" s="1569">
        <f>H97/AB97</f>
        <v>80.970973588580605</v>
      </c>
      <c r="AE97" s="163"/>
      <c r="AF97" s="1579">
        <f>(AD97/AD90-1)*100</f>
        <v>-12.556688496430768</v>
      </c>
      <c r="AG97" s="163"/>
      <c r="AH97" s="1570">
        <f>((F97-('yrP&amp;L'!$N$16/4))/J97)</f>
        <v>0.98367670364500792</v>
      </c>
      <c r="AI97" s="1571"/>
    </row>
    <row r="98" spans="1:35" hidden="1" outlineLevel="1">
      <c r="A98" s="163" t="str">
        <f>$A$14</f>
        <v>4Q</v>
      </c>
      <c r="B98" s="163" t="str">
        <f>$B$14</f>
        <v>Jan</v>
      </c>
      <c r="C98" s="163"/>
      <c r="D98" s="1557">
        <f>'qtrP&amp;L'!BC13</f>
        <v>360.79599999999999</v>
      </c>
      <c r="E98" s="163"/>
      <c r="F98" s="1557">
        <f>+'qtrP&amp;L'!BC$23</f>
        <v>228.34299999999999</v>
      </c>
      <c r="G98" s="163"/>
      <c r="H98" s="1558">
        <f>bal!AC12</f>
        <v>154.387</v>
      </c>
      <c r="I98" s="163"/>
      <c r="J98" s="1557">
        <f>AVERAGE(H97:H98)</f>
        <v>166.98950000000002</v>
      </c>
      <c r="K98" s="163"/>
      <c r="L98" s="1566">
        <f>(D98/D91-1)*100</f>
        <v>13.248103355734187</v>
      </c>
      <c r="M98" s="163"/>
      <c r="N98" s="1564">
        <f>(H98/H91-1)*100</f>
        <v>9.9802674227259303</v>
      </c>
      <c r="O98" s="163"/>
      <c r="P98" s="1563">
        <f>(H98/H97-1)*100</f>
        <v>-14.034589514009543</v>
      </c>
      <c r="Q98" s="163"/>
      <c r="R98" s="1556">
        <f>F98/J98</f>
        <v>1.3674093281314093</v>
      </c>
      <c r="S98" s="163"/>
      <c r="T98" s="1556">
        <f>F102/H98</f>
        <v>1.3079404353993536</v>
      </c>
      <c r="U98" s="163"/>
      <c r="V98" s="163">
        <f>qtrSales!K99</f>
        <v>207</v>
      </c>
      <c r="W98" s="163"/>
      <c r="X98" s="1556">
        <f>H98/V98</f>
        <v>0.74583091787439615</v>
      </c>
      <c r="Y98" s="163"/>
      <c r="Z98" s="1579">
        <f>(X98/X91-1)*100</f>
        <v>-7.0215130484201023</v>
      </c>
      <c r="AA98" s="163"/>
      <c r="AB98" s="1554">
        <f>+qtrSales!AE99</f>
        <v>2.3146666666666662</v>
      </c>
      <c r="AC98" s="163"/>
      <c r="AD98" s="1569">
        <f>H98/AB98</f>
        <v>66.699452764976968</v>
      </c>
      <c r="AE98" s="163"/>
      <c r="AF98" s="1579">
        <f>(AD98/AD91-1)*100</f>
        <v>-7.6951326987835795</v>
      </c>
      <c r="AG98" s="163"/>
      <c r="AH98" s="1570">
        <f>((F98-('yrP&amp;L'!$N$16/4))/J98)</f>
        <v>1.1935960045392073</v>
      </c>
      <c r="AI98" s="1572"/>
    </row>
    <row r="99" spans="1:35" hidden="1" outlineLevel="1">
      <c r="A99" s="163"/>
      <c r="B99" s="163" t="str">
        <f>$B$15</f>
        <v>Year</v>
      </c>
      <c r="C99" s="163"/>
      <c r="D99" s="1552">
        <f>SUM(D95:D98)</f>
        <v>1224.7170000000001</v>
      </c>
      <c r="E99" s="163"/>
      <c r="F99" s="1552">
        <f>SUM(F95:F98)</f>
        <v>772.79599999999994</v>
      </c>
      <c r="G99" s="163"/>
      <c r="H99" s="163"/>
      <c r="I99" s="163"/>
      <c r="J99" s="1552">
        <f>AVERAGE(J95:J98)</f>
        <v>154.05700000000002</v>
      </c>
      <c r="K99" s="163"/>
      <c r="L99" s="1563">
        <f>(D99/D92-1)*100</f>
        <v>12.142583098542548</v>
      </c>
      <c r="M99" s="163"/>
      <c r="N99" s="1564"/>
      <c r="O99" s="163"/>
      <c r="P99" s="1564"/>
      <c r="Q99" s="163"/>
      <c r="R99" s="1567">
        <f>F99/J99</f>
        <v>5.0162991619984805</v>
      </c>
      <c r="S99" s="1561" t="s">
        <v>327</v>
      </c>
      <c r="T99" s="1556"/>
      <c r="U99" s="163"/>
      <c r="V99" s="163"/>
      <c r="W99" s="163"/>
      <c r="X99" s="163"/>
      <c r="Y99" s="163"/>
      <c r="Z99" s="163"/>
      <c r="AA99" s="163"/>
      <c r="AB99" s="163"/>
      <c r="AC99" s="163"/>
      <c r="AD99" s="163"/>
      <c r="AE99" s="163"/>
      <c r="AF99" s="163"/>
      <c r="AG99" s="163"/>
      <c r="AH99" s="1573">
        <f>(F99-'yrP&amp;L'!$N$16)/J99</f>
        <v>4.2626819943267744</v>
      </c>
      <c r="AI99" s="1574" t="s">
        <v>327</v>
      </c>
    </row>
    <row r="100" spans="1:35" hidden="1" outlineLevel="1">
      <c r="A100" s="163"/>
      <c r="B100" s="163"/>
      <c r="C100" s="163"/>
      <c r="D100" s="1552"/>
      <c r="E100" s="163"/>
      <c r="F100" s="1552"/>
      <c r="G100" s="163"/>
      <c r="H100" s="163"/>
      <c r="I100" s="163"/>
      <c r="J100" s="1552"/>
      <c r="K100" s="163"/>
      <c r="L100" s="1563"/>
      <c r="M100" s="163"/>
      <c r="N100" s="1564"/>
      <c r="O100" s="163"/>
      <c r="P100" s="1564"/>
      <c r="Q100" s="163"/>
      <c r="R100" s="1580"/>
      <c r="S100" s="1581"/>
      <c r="T100" s="1556"/>
      <c r="U100" s="163"/>
      <c r="V100" s="163"/>
      <c r="W100" s="163"/>
      <c r="X100" s="163"/>
      <c r="Y100" s="163"/>
      <c r="Z100" s="163"/>
      <c r="AA100" s="163"/>
      <c r="AB100" s="163"/>
      <c r="AC100" s="163"/>
      <c r="AD100" s="163"/>
      <c r="AE100" s="163"/>
      <c r="AF100" s="163"/>
      <c r="AG100" s="163"/>
      <c r="AH100" s="1570"/>
      <c r="AI100" s="1582"/>
    </row>
    <row r="101" spans="1:35" hidden="1" outlineLevel="1">
      <c r="A101" s="163"/>
      <c r="B101" s="1578">
        <f>B94+1</f>
        <v>2007</v>
      </c>
      <c r="C101" s="163"/>
      <c r="D101" s="163"/>
      <c r="E101" s="163"/>
      <c r="F101" s="163"/>
      <c r="G101" s="163"/>
      <c r="H101" s="163"/>
      <c r="I101" s="163"/>
      <c r="J101" s="163"/>
      <c r="K101" s="163"/>
      <c r="L101" s="163"/>
      <c r="M101" s="163"/>
      <c r="N101" s="163"/>
      <c r="O101" s="163"/>
      <c r="P101" s="163"/>
      <c r="Q101" s="163"/>
      <c r="R101" s="163"/>
      <c r="S101" s="163"/>
      <c r="T101" s="1556"/>
      <c r="U101" s="163"/>
      <c r="V101" s="163"/>
      <c r="W101" s="163"/>
      <c r="X101" s="163"/>
      <c r="Y101" s="163"/>
      <c r="Z101" s="163"/>
      <c r="AA101" s="163"/>
      <c r="AB101" s="1575"/>
      <c r="AC101" s="163"/>
      <c r="AD101" s="163"/>
      <c r="AE101" s="163"/>
      <c r="AF101" s="163"/>
      <c r="AG101" s="163"/>
      <c r="AH101" s="163"/>
      <c r="AI101" s="163"/>
    </row>
    <row r="102" spans="1:35" hidden="1" outlineLevel="1">
      <c r="A102" s="163" t="str">
        <f>$A$11</f>
        <v>1Q</v>
      </c>
      <c r="B102" s="163" t="str">
        <f>$B$11</f>
        <v>Apr</v>
      </c>
      <c r="C102" s="163"/>
      <c r="D102" s="1552">
        <f>+'qtrP&amp;L'!BG10</f>
        <v>314.54399999999998</v>
      </c>
      <c r="E102" s="163"/>
      <c r="F102" s="1552">
        <f>+'qtrP&amp;L'!BG20</f>
        <v>201.929</v>
      </c>
      <c r="G102" s="163"/>
      <c r="H102" s="1552">
        <f>work!BB10</f>
        <v>168.131</v>
      </c>
      <c r="I102" s="163"/>
      <c r="J102" s="1552">
        <f>AVERAGE(H102,H98)</f>
        <v>161.25900000000001</v>
      </c>
      <c r="K102" s="163"/>
      <c r="L102" s="1563">
        <f>(D102/D95-1)*100</f>
        <v>16.494757543322947</v>
      </c>
      <c r="M102" s="163" t="s">
        <v>208</v>
      </c>
      <c r="N102" s="1563">
        <f>(H102/H95-1)*100</f>
        <v>19.474013330869909</v>
      </c>
      <c r="O102" s="163" t="s">
        <v>208</v>
      </c>
      <c r="P102" s="1563">
        <f>(H102/H98-1)*100</f>
        <v>8.9023039504621426</v>
      </c>
      <c r="Q102" s="163" t="s">
        <v>208</v>
      </c>
      <c r="R102" s="1556">
        <f>F102/J102</f>
        <v>1.2522029778182922</v>
      </c>
      <c r="S102" s="163" t="s">
        <v>327</v>
      </c>
      <c r="T102" s="1556">
        <f>F103/H102</f>
        <v>1.2991179496939886</v>
      </c>
      <c r="U102" s="163"/>
      <c r="V102" s="163">
        <f>qtrSales!K103</f>
        <v>213</v>
      </c>
      <c r="W102" s="163"/>
      <c r="X102" s="1553">
        <f>H102/V102</f>
        <v>0.78934741784037554</v>
      </c>
      <c r="Y102" s="163"/>
      <c r="Z102" s="1579">
        <f>(X102/X95-1)*100</f>
        <v>2.0857766489123186</v>
      </c>
      <c r="AA102" s="164" t="s">
        <v>208</v>
      </c>
      <c r="AB102" s="1554">
        <f>+qtrSales!AE103</f>
        <v>2.3931973333333332</v>
      </c>
      <c r="AC102" s="163"/>
      <c r="AD102" s="1568">
        <f>H102/AB102</f>
        <v>70.253713581496001</v>
      </c>
      <c r="AE102" s="163"/>
      <c r="AF102" s="1579">
        <f>(AD102/AD95-1)*100</f>
        <v>1.8053652814694843</v>
      </c>
      <c r="AG102" s="164" t="s">
        <v>208</v>
      </c>
      <c r="AH102" s="1570">
        <f>((F102-('yrP&amp;L'!$O$16/4))/J102)</f>
        <v>1.036866159408157</v>
      </c>
      <c r="AI102" s="1571" t="s">
        <v>327</v>
      </c>
    </row>
    <row r="103" spans="1:35" hidden="1" outlineLevel="1">
      <c r="A103" s="163" t="str">
        <f>$A$12</f>
        <v>2Q</v>
      </c>
      <c r="B103" s="163" t="str">
        <f>$B$12</f>
        <v>Jul</v>
      </c>
      <c r="C103" s="163"/>
      <c r="D103" s="1555">
        <f>+'qtrP&amp;L'!BG11</f>
        <v>348.44900000000001</v>
      </c>
      <c r="E103" s="163"/>
      <c r="F103" s="1555">
        <f>+'qtrP&amp;L'!BG21</f>
        <v>218.422</v>
      </c>
      <c r="G103" s="163"/>
      <c r="H103" s="1555">
        <f>work!BB11</f>
        <v>185.619</v>
      </c>
      <c r="I103" s="163"/>
      <c r="J103" s="1555">
        <f>AVERAGE(H102:H103)</f>
        <v>176.875</v>
      </c>
      <c r="K103" s="163"/>
      <c r="L103" s="1563">
        <f>(D103/D96-1)*100</f>
        <v>22.023469755812286</v>
      </c>
      <c r="M103" s="163"/>
      <c r="N103" s="1563">
        <f>(H103/H96-1)*100</f>
        <v>24.972395777227185</v>
      </c>
      <c r="O103" s="163"/>
      <c r="P103" s="1563">
        <f>(H103/H102-1)*100</f>
        <v>10.401413183767417</v>
      </c>
      <c r="Q103" s="163"/>
      <c r="R103" s="1556">
        <f>F103/J103</f>
        <v>1.234894699646643</v>
      </c>
      <c r="S103" s="163"/>
      <c r="T103" s="1556">
        <f>F104/H103</f>
        <v>1.2357678901405567</v>
      </c>
      <c r="U103" s="163"/>
      <c r="V103" s="163">
        <f>qtrSales!K104</f>
        <v>218</v>
      </c>
      <c r="W103" s="163"/>
      <c r="X103" s="1556">
        <f>H103/V103</f>
        <v>0.85146330275229354</v>
      </c>
      <c r="Y103" s="163"/>
      <c r="Z103" s="1579">
        <f>(X103/X96-1)*100</f>
        <v>7.7743596610950094</v>
      </c>
      <c r="AA103" s="163"/>
      <c r="AB103" s="1554">
        <f>+qtrSales!AE104</f>
        <v>2.4268346666666671</v>
      </c>
      <c r="AC103" s="163"/>
      <c r="AD103" s="1569">
        <f>H103/AB103</f>
        <v>76.486050965702361</v>
      </c>
      <c r="AE103" s="163"/>
      <c r="AF103" s="1579">
        <f>(AD103/AD96-1)*100</f>
        <v>8.9952317592515652</v>
      </c>
      <c r="AG103" s="163"/>
      <c r="AH103" s="1570">
        <f>((F103-('yrP&amp;L'!$O$16/4))/J103)</f>
        <v>1.0385696113074205</v>
      </c>
      <c r="AI103" s="1571"/>
    </row>
    <row r="104" spans="1:35" hidden="1" outlineLevel="1">
      <c r="A104" s="163" t="str">
        <f>$A$13</f>
        <v>3Q</v>
      </c>
      <c r="B104" s="163" t="str">
        <f>$B$13</f>
        <v>Oct</v>
      </c>
      <c r="C104" s="163"/>
      <c r="D104" s="1555">
        <f>+'qtrP&amp;L'!BG12</f>
        <v>379.32</v>
      </c>
      <c r="E104" s="163"/>
      <c r="F104" s="1555">
        <f>+'qtrP&amp;L'!BG22</f>
        <v>229.38200000000001</v>
      </c>
      <c r="G104" s="163"/>
      <c r="H104" s="1555">
        <f>work!BB12</f>
        <v>212.696</v>
      </c>
      <c r="I104" s="163"/>
      <c r="J104" s="1555">
        <f>AVERAGE(H103:H104)</f>
        <v>199.1575</v>
      </c>
      <c r="K104" s="163"/>
      <c r="L104" s="1563">
        <f>(D104/D97-1)*100</f>
        <v>23.014058471566855</v>
      </c>
      <c r="M104" s="163"/>
      <c r="N104" s="1563">
        <f>(H104/H97-1)*100</f>
        <v>18.432892333734241</v>
      </c>
      <c r="O104" s="163"/>
      <c r="P104" s="1563">
        <f>(H104/H103-1)*100</f>
        <v>14.587407539098907</v>
      </c>
      <c r="Q104" s="163"/>
      <c r="R104" s="1556">
        <f>F104/J104</f>
        <v>1.1517617965680429</v>
      </c>
      <c r="S104" s="163"/>
      <c r="T104" s="1556">
        <f>F105/H104</f>
        <v>1.3221640275322526</v>
      </c>
      <c r="U104" s="163"/>
      <c r="V104" s="163">
        <f>qtrSales!K105</f>
        <v>230</v>
      </c>
      <c r="W104" s="163"/>
      <c r="X104" s="1556">
        <f>H104/V104</f>
        <v>0.92476521739130435</v>
      </c>
      <c r="Y104" s="163"/>
      <c r="Z104" s="1579">
        <f>(X104/X97-1)*100</f>
        <v>1.4403469119375956</v>
      </c>
      <c r="AA104" s="163"/>
      <c r="AB104" s="1554">
        <f>+qtrSales!AE105</f>
        <v>2.5357626666666668</v>
      </c>
      <c r="AC104" s="163"/>
      <c r="AD104" s="1569">
        <f>H104/AB104</f>
        <v>83.878512289793676</v>
      </c>
      <c r="AE104" s="163"/>
      <c r="AF104" s="1579">
        <f>(AD104/AD97-1)*100</f>
        <v>3.5908407326142422</v>
      </c>
      <c r="AG104" s="163"/>
      <c r="AH104" s="1570">
        <f>((F104-('yrP&amp;L'!$O$16/4))/J104)</f>
        <v>0.97740230721916077</v>
      </c>
      <c r="AI104" s="1571"/>
    </row>
    <row r="105" spans="1:35" hidden="1" outlineLevel="1">
      <c r="A105" s="163" t="str">
        <f>$A$14</f>
        <v>4Q</v>
      </c>
      <c r="B105" s="163" t="str">
        <f>$B$14</f>
        <v>Jan</v>
      </c>
      <c r="C105" s="163"/>
      <c r="D105" s="1557">
        <f>+'qtrP&amp;L'!BG13</f>
        <v>465.411</v>
      </c>
      <c r="E105" s="163"/>
      <c r="F105" s="1557">
        <f>+'qtrP&amp;L'!BG23</f>
        <v>281.21899999999999</v>
      </c>
      <c r="G105" s="163"/>
      <c r="H105" s="1558">
        <f>bal!AE12</f>
        <v>171.92500000000001</v>
      </c>
      <c r="I105" s="163"/>
      <c r="J105" s="1557">
        <f>AVERAGE(H104:H105)</f>
        <v>192.31049999999999</v>
      </c>
      <c r="K105" s="163"/>
      <c r="L105" s="1566">
        <f>(D105/D98-1)*100</f>
        <v>28.995609707424698</v>
      </c>
      <c r="M105" s="163"/>
      <c r="N105" s="1564">
        <f>(H105/H98-1)*100</f>
        <v>11.35976474703182</v>
      </c>
      <c r="O105" s="163"/>
      <c r="P105" s="1563">
        <f>(H105/H104-1)*100</f>
        <v>-19.168672659570461</v>
      </c>
      <c r="Q105" s="163"/>
      <c r="R105" s="1556">
        <f>F105/J105</f>
        <v>1.4623174501652276</v>
      </c>
      <c r="S105" s="163"/>
      <c r="T105" s="1556">
        <f>F109/H105</f>
        <v>1.3704347826086956</v>
      </c>
      <c r="U105" s="163"/>
      <c r="V105" s="163">
        <f>qtrSales!K106</f>
        <v>245</v>
      </c>
      <c r="W105" s="163"/>
      <c r="X105" s="1556">
        <f>H105/V105</f>
        <v>0.70173469387755105</v>
      </c>
      <c r="Y105" s="163"/>
      <c r="Z105" s="1564">
        <f>(X105/X98-1)*100</f>
        <v>-5.9123620300588371</v>
      </c>
      <c r="AA105" s="163"/>
      <c r="AB105" s="1554">
        <f>+qtrSales!AE106</f>
        <v>2.6860360000000001</v>
      </c>
      <c r="AC105" s="163"/>
      <c r="AD105" s="1569">
        <f>H105/AB105</f>
        <v>64.006960442823555</v>
      </c>
      <c r="AE105" s="163"/>
      <c r="AF105" s="1579">
        <f>(AD105/AD98-1)*100</f>
        <v>-4.0367532424002261</v>
      </c>
      <c r="AG105" s="163"/>
      <c r="AH105" s="1570">
        <f>((F105-('yrP&amp;L'!$O$16/4))/J105)</f>
        <v>1.2817500864487379</v>
      </c>
      <c r="AI105" s="1572"/>
    </row>
    <row r="106" spans="1:35" hidden="1" outlineLevel="1">
      <c r="A106" s="163"/>
      <c r="B106" s="163" t="str">
        <f>$B$15</f>
        <v>Year</v>
      </c>
      <c r="C106" s="163"/>
      <c r="D106" s="1552">
        <f>SUM(D102:D105)</f>
        <v>1507.7239999999999</v>
      </c>
      <c r="E106" s="163"/>
      <c r="F106" s="1552">
        <f>SUM(F102:F105)</f>
        <v>930.952</v>
      </c>
      <c r="G106" s="163"/>
      <c r="H106" s="163"/>
      <c r="I106" s="163"/>
      <c r="J106" s="1552">
        <f>AVERAGE(J102:J105)</f>
        <v>182.40050000000002</v>
      </c>
      <c r="K106" s="163"/>
      <c r="L106" s="1563">
        <f>(D106/D99-1)*100</f>
        <v>23.107950653089638</v>
      </c>
      <c r="M106" s="163"/>
      <c r="N106" s="1564"/>
      <c r="O106" s="163"/>
      <c r="P106" s="1564"/>
      <c r="Q106" s="163"/>
      <c r="R106" s="1567">
        <f>F106/J106</f>
        <v>5.1038895178467154</v>
      </c>
      <c r="S106" s="1561" t="s">
        <v>327</v>
      </c>
      <c r="T106" s="1556"/>
      <c r="U106" s="163"/>
      <c r="V106" s="163"/>
      <c r="W106" s="163"/>
      <c r="X106" s="163"/>
      <c r="Y106" s="163"/>
      <c r="Z106" s="163"/>
      <c r="AA106" s="163"/>
      <c r="AB106" s="163"/>
      <c r="AC106" s="163"/>
      <c r="AD106" s="163"/>
      <c r="AE106" s="163"/>
      <c r="AF106" s="163"/>
      <c r="AG106" s="163"/>
      <c r="AH106" s="1573">
        <f>(F106-'yrP&amp;L'!$O$16)/J106</f>
        <v>4.3423784474275013</v>
      </c>
      <c r="AI106" s="1574" t="s">
        <v>327</v>
      </c>
    </row>
    <row r="107" spans="1:35" hidden="1" outlineLevel="1">
      <c r="A107" s="163"/>
      <c r="B107" s="163"/>
      <c r="C107" s="163"/>
      <c r="D107" s="1552"/>
      <c r="E107" s="163"/>
      <c r="F107" s="1552"/>
      <c r="G107" s="163"/>
      <c r="H107" s="163"/>
      <c r="I107" s="163"/>
      <c r="J107" s="1552"/>
      <c r="K107" s="163"/>
      <c r="L107" s="1563"/>
      <c r="M107" s="163"/>
      <c r="N107" s="1564"/>
      <c r="O107" s="163"/>
      <c r="P107" s="1564"/>
      <c r="Q107" s="163"/>
      <c r="R107" s="1580"/>
      <c r="S107" s="1581"/>
      <c r="T107" s="1556"/>
      <c r="U107" s="163"/>
      <c r="V107" s="163"/>
      <c r="W107" s="163"/>
      <c r="X107" s="163"/>
      <c r="Y107" s="163"/>
      <c r="Z107" s="163"/>
      <c r="AA107" s="163"/>
      <c r="AB107" s="163"/>
      <c r="AC107" s="163"/>
      <c r="AD107" s="163"/>
      <c r="AE107" s="163"/>
      <c r="AF107" s="163"/>
      <c r="AG107" s="163"/>
      <c r="AH107" s="1570"/>
      <c r="AI107" s="1582"/>
    </row>
    <row r="108" spans="1:35" hidden="1" outlineLevel="1">
      <c r="A108" s="163"/>
      <c r="B108" s="1578">
        <f>B101+1</f>
        <v>2008</v>
      </c>
      <c r="C108" s="163"/>
      <c r="D108" s="163"/>
      <c r="E108" s="163"/>
      <c r="F108" s="163"/>
      <c r="G108" s="163"/>
      <c r="H108" s="163"/>
      <c r="I108" s="163"/>
      <c r="J108" s="163"/>
      <c r="K108" s="163"/>
      <c r="L108" s="163"/>
      <c r="M108" s="163"/>
      <c r="N108" s="163"/>
      <c r="O108" s="163"/>
      <c r="P108" s="163"/>
      <c r="Q108" s="163"/>
      <c r="R108" s="163"/>
      <c r="S108" s="163"/>
      <c r="T108" s="1556"/>
      <c r="U108" s="163"/>
      <c r="V108" s="163"/>
      <c r="W108" s="163"/>
      <c r="X108" s="163"/>
      <c r="Y108" s="163"/>
      <c r="Z108" s="163"/>
      <c r="AA108" s="163"/>
      <c r="AB108" s="1575"/>
      <c r="AC108" s="163"/>
      <c r="AD108" s="163"/>
      <c r="AE108" s="163"/>
      <c r="AF108" s="163"/>
      <c r="AG108" s="163"/>
      <c r="AH108" s="163"/>
      <c r="AI108" s="163"/>
    </row>
    <row r="109" spans="1:35" hidden="1" outlineLevel="1">
      <c r="A109" s="163" t="str">
        <f>$A$11</f>
        <v>1Q</v>
      </c>
      <c r="B109" s="163" t="str">
        <f>$B$11</f>
        <v>Apr</v>
      </c>
      <c r="C109" s="163"/>
      <c r="D109" s="1552">
        <f>+'qtrP&amp;L'!BK10</f>
        <v>394.29199999999997</v>
      </c>
      <c r="E109" s="163"/>
      <c r="F109" s="1552">
        <f>+'qtrP&amp;L'!BK20</f>
        <v>235.61199999999999</v>
      </c>
      <c r="G109" s="163"/>
      <c r="H109" s="1552">
        <f>work!BF10</f>
        <v>191.28700000000001</v>
      </c>
      <c r="I109" s="163"/>
      <c r="J109" s="1552">
        <f>AVERAGE(H109,H105)</f>
        <v>181.60599999999999</v>
      </c>
      <c r="K109" s="163"/>
      <c r="L109" s="1563">
        <f>(D109/D102-1)*100</f>
        <v>25.353527646370623</v>
      </c>
      <c r="M109" s="163" t="s">
        <v>208</v>
      </c>
      <c r="N109" s="1563">
        <f>(H109/H102-1)*100</f>
        <v>13.772593989210801</v>
      </c>
      <c r="O109" s="163" t="s">
        <v>208</v>
      </c>
      <c r="P109" s="1563">
        <f>(H109/H105-1)*100</f>
        <v>11.261887450923357</v>
      </c>
      <c r="Q109" s="163" t="s">
        <v>208</v>
      </c>
      <c r="R109" s="1556">
        <f>F109/J109</f>
        <v>1.2973800425096087</v>
      </c>
      <c r="S109" s="163" t="s">
        <v>327</v>
      </c>
      <c r="T109" s="1556">
        <f>F110/H109</f>
        <v>1.3999121738539473</v>
      </c>
      <c r="U109" s="163"/>
      <c r="V109" s="163">
        <f>qtrSales!K110</f>
        <v>257</v>
      </c>
      <c r="W109" s="163"/>
      <c r="X109" s="1553">
        <f>H109/V109</f>
        <v>0.74430739299610893</v>
      </c>
      <c r="Y109" s="163"/>
      <c r="Z109" s="1579">
        <f>(X109/X102-1)*100</f>
        <v>-5.705982413611288</v>
      </c>
      <c r="AA109" s="164" t="s">
        <v>208</v>
      </c>
      <c r="AB109" s="1554">
        <f>+qtrSales!AE110</f>
        <v>2.7787160000000002</v>
      </c>
      <c r="AC109" s="163"/>
      <c r="AD109" s="1568">
        <f>H109/AB109</f>
        <v>68.840068578436941</v>
      </c>
      <c r="AE109" s="163"/>
      <c r="AF109" s="1579">
        <f>(AD109/AD102-1)*100</f>
        <v>-2.0121996845322565</v>
      </c>
      <c r="AG109" s="164" t="s">
        <v>208</v>
      </c>
      <c r="AH109" s="1570">
        <f>((F109-('yrP&amp;L'!$P$16/4))/J109)</f>
        <v>1.080839840093389</v>
      </c>
      <c r="AI109" s="1571" t="s">
        <v>327</v>
      </c>
    </row>
    <row r="110" spans="1:35" hidden="1" outlineLevel="1">
      <c r="A110" s="163" t="str">
        <f>$A$12</f>
        <v>2Q</v>
      </c>
      <c r="B110" s="163" t="str">
        <f>$B$12</f>
        <v>Jul</v>
      </c>
      <c r="C110" s="163"/>
      <c r="D110" s="1555">
        <f>+'qtrP&amp;L'!BK11</f>
        <v>454.29500000000002</v>
      </c>
      <c r="E110" s="163"/>
      <c r="F110" s="1555">
        <f>+'qtrP&amp;L'!BK21</f>
        <v>267.78500000000003</v>
      </c>
      <c r="G110" s="163"/>
      <c r="H110" s="1555">
        <f>work!BF11</f>
        <v>211.20500000000001</v>
      </c>
      <c r="I110" s="163"/>
      <c r="J110" s="1555">
        <f>AVERAGE(H109:H110)</f>
        <v>201.24600000000001</v>
      </c>
      <c r="K110" s="163"/>
      <c r="L110" s="1563">
        <f>(D110/D103-1)*100</f>
        <v>30.376324799325015</v>
      </c>
      <c r="M110" s="163"/>
      <c r="N110" s="1563">
        <f>(H110/H103-1)*100</f>
        <v>13.784149251962363</v>
      </c>
      <c r="O110" s="163"/>
      <c r="P110" s="1563">
        <f>(H110/H109-1)*100</f>
        <v>10.412626054044448</v>
      </c>
      <c r="Q110" s="163"/>
      <c r="R110" s="1556">
        <f>F110/J110</f>
        <v>1.3306351430587442</v>
      </c>
      <c r="S110" s="163"/>
      <c r="T110" s="1556">
        <f>F111/H110</f>
        <v>1.3378329111526717</v>
      </c>
      <c r="U110" s="163"/>
      <c r="V110" s="163">
        <f>qtrSales!K111</f>
        <v>269</v>
      </c>
      <c r="W110" s="163"/>
      <c r="X110" s="1556">
        <f>H110/V110</f>
        <v>0.78514869888475836</v>
      </c>
      <c r="Y110" s="163"/>
      <c r="Z110" s="1579">
        <f>(X110/X103-1)*100</f>
        <v>-7.7883102716438941</v>
      </c>
      <c r="AA110" s="163"/>
      <c r="AB110" s="1554">
        <f>+qtrSales!AE111</f>
        <v>2.8653666666666666</v>
      </c>
      <c r="AC110" s="163"/>
      <c r="AD110" s="1569">
        <f>H110/AB110</f>
        <v>73.709589232326294</v>
      </c>
      <c r="AE110" s="163"/>
      <c r="AF110" s="1579">
        <f>(AD110/AD103-1)*100</f>
        <v>-3.6300236426392019</v>
      </c>
      <c r="AG110" s="163"/>
      <c r="AH110" s="1570">
        <f>((F110-('yrP&amp;L'!$P$16/4))/J110)</f>
        <v>1.1352275324726953</v>
      </c>
      <c r="AI110" s="1571"/>
    </row>
    <row r="111" spans="1:35" hidden="1" outlineLevel="1">
      <c r="A111" s="163" t="str">
        <f>$A$13</f>
        <v>3Q</v>
      </c>
      <c r="B111" s="163" t="str">
        <f>$B$13</f>
        <v>Oct</v>
      </c>
      <c r="C111" s="163"/>
      <c r="D111" s="1555">
        <f>+'qtrP&amp;L'!BK12</f>
        <v>477.95299999999997</v>
      </c>
      <c r="E111" s="163"/>
      <c r="F111" s="1555">
        <f>+'qtrP&amp;L'!BK22</f>
        <v>282.55700000000002</v>
      </c>
      <c r="G111" s="163"/>
      <c r="H111" s="1555">
        <f>work!BF12</f>
        <v>252.30799999999999</v>
      </c>
      <c r="I111" s="163"/>
      <c r="J111" s="1555">
        <f>AVERAGE(H110:H111)</f>
        <v>231.75650000000002</v>
      </c>
      <c r="K111" s="163"/>
      <c r="L111" s="1563">
        <f>(D111/D104-1)*100</f>
        <v>26.002583570600013</v>
      </c>
      <c r="M111" s="163"/>
      <c r="N111" s="1563">
        <f>(H111/H104-1)*100</f>
        <v>18.623763493436641</v>
      </c>
      <c r="O111" s="163"/>
      <c r="P111" s="1563">
        <f>(H111/H110-1)*100</f>
        <v>19.461186998413858</v>
      </c>
      <c r="Q111" s="163"/>
      <c r="R111" s="1556">
        <f>F111/J111</f>
        <v>1.2191977355543426</v>
      </c>
      <c r="S111" s="163"/>
      <c r="T111" s="1556">
        <f>F112/H111</f>
        <v>1.3284794774640518</v>
      </c>
      <c r="U111" s="163"/>
      <c r="V111" s="163">
        <f>qtrSales!K112</f>
        <v>286</v>
      </c>
      <c r="W111" s="163"/>
      <c r="X111" s="1556">
        <f>H111/V111</f>
        <v>0.88219580419580412</v>
      </c>
      <c r="Y111" s="163"/>
      <c r="Z111" s="1579">
        <f>(X111/X104-1)*100</f>
        <v>-4.6032671206628457</v>
      </c>
      <c r="AA111" s="163"/>
      <c r="AB111" s="1554">
        <f>+qtrSales!AE112</f>
        <v>2.9914226666666668</v>
      </c>
      <c r="AC111" s="163"/>
      <c r="AD111" s="1569">
        <f>H111/AB111</f>
        <v>84.343815005301821</v>
      </c>
      <c r="AE111" s="163"/>
      <c r="AF111" s="1579">
        <f>(AD111/AD104-1)*100</f>
        <v>0.55473410627571162</v>
      </c>
      <c r="AG111" s="163"/>
      <c r="AH111" s="1570">
        <f>((F111-('yrP&amp;L'!$P$16/4))/J111)</f>
        <v>1.049515331824566</v>
      </c>
      <c r="AI111" s="1571"/>
    </row>
    <row r="112" spans="1:35" hidden="1" outlineLevel="1">
      <c r="A112" s="163" t="str">
        <f>$A$14</f>
        <v>4Q</v>
      </c>
      <c r="B112" s="163" t="str">
        <f>$B$14</f>
        <v>Jan</v>
      </c>
      <c r="C112" s="163"/>
      <c r="D112" s="1557">
        <f>+'qtrP&amp;L'!BK13</f>
        <v>508.07799999999997</v>
      </c>
      <c r="E112" s="163"/>
      <c r="F112" s="1557">
        <f>+'qtrP&amp;L'!BK23</f>
        <v>335.18599999999998</v>
      </c>
      <c r="G112" s="163"/>
      <c r="H112" s="1558">
        <f>bal!AG12</f>
        <v>169.69800000000001</v>
      </c>
      <c r="I112" s="163"/>
      <c r="J112" s="1557">
        <f>AVERAGE(H111:H112)</f>
        <v>211.00299999999999</v>
      </c>
      <c r="K112" s="163"/>
      <c r="L112" s="1566">
        <f>(D112/D105-1)*100</f>
        <v>9.167595952824481</v>
      </c>
      <c r="M112" s="163"/>
      <c r="N112" s="1564">
        <f>(H112/H105-1)*100</f>
        <v>-1.2953322669768785</v>
      </c>
      <c r="O112" s="163"/>
      <c r="P112" s="1563">
        <f>(H112/H111-1)*100</f>
        <v>-32.741728363745892</v>
      </c>
      <c r="Q112" s="163"/>
      <c r="R112" s="1556">
        <f>F112/J112</f>
        <v>1.5885366558769307</v>
      </c>
      <c r="S112" s="163"/>
      <c r="T112" s="1556">
        <f>F116/H112</f>
        <v>1.4230633242583886</v>
      </c>
      <c r="U112" s="163"/>
      <c r="V112" s="163">
        <f>qtrSales!K113</f>
        <v>294</v>
      </c>
      <c r="W112" s="163"/>
      <c r="X112" s="1556">
        <f>H112/V112</f>
        <v>0.57720408163265313</v>
      </c>
      <c r="Y112" s="163"/>
      <c r="Z112" s="1564">
        <f>(X112/X105-1)*100</f>
        <v>-17.746110222480727</v>
      </c>
      <c r="AA112" s="163"/>
      <c r="AB112" s="1554">
        <f>+qtrSales!AE113</f>
        <v>3.047228</v>
      </c>
      <c r="AC112" s="163"/>
      <c r="AD112" s="1569">
        <f>H112/AB112</f>
        <v>55.689301883547934</v>
      </c>
      <c r="AE112" s="163"/>
      <c r="AF112" s="1579">
        <f>(AD112/AD105-1)*100</f>
        <v>-12.994928210511825</v>
      </c>
      <c r="AG112" s="163"/>
      <c r="AH112" s="1570">
        <f>((F112-('yrP&amp;L'!$P$16/4))/J112)</f>
        <v>1.4021648981294106</v>
      </c>
      <c r="AI112" s="1572"/>
    </row>
    <row r="113" spans="1:35" hidden="1" outlineLevel="1">
      <c r="A113" s="163"/>
      <c r="B113" s="163" t="str">
        <f>$B$15</f>
        <v>Year</v>
      </c>
      <c r="C113" s="163"/>
      <c r="D113" s="1552">
        <f>SUM(D109:D112)</f>
        <v>1834.6179999999999</v>
      </c>
      <c r="E113" s="163"/>
      <c r="F113" s="1552">
        <f>SUM(F109:F112)</f>
        <v>1121.1400000000001</v>
      </c>
      <c r="G113" s="163"/>
      <c r="H113" s="163"/>
      <c r="I113" s="163"/>
      <c r="J113" s="1552">
        <f>AVERAGE(J109:J112)</f>
        <v>206.40287499999999</v>
      </c>
      <c r="K113" s="163"/>
      <c r="L113" s="1563">
        <f>(D113/D106-1)*100</f>
        <v>21.681289148411786</v>
      </c>
      <c r="M113" s="163"/>
      <c r="N113" s="1564"/>
      <c r="O113" s="163"/>
      <c r="P113" s="1564"/>
      <c r="Q113" s="163"/>
      <c r="R113" s="1567">
        <f>F113/J113</f>
        <v>5.4318041839291249</v>
      </c>
      <c r="S113" s="1561" t="s">
        <v>327</v>
      </c>
      <c r="T113" s="1556"/>
      <c r="U113" s="163"/>
      <c r="V113" s="163"/>
      <c r="W113" s="163"/>
      <c r="X113" s="163"/>
      <c r="Y113" s="163"/>
      <c r="Z113" s="163"/>
      <c r="AA113" s="163"/>
      <c r="AB113" s="1577"/>
      <c r="AC113" s="163"/>
      <c r="AD113" s="163"/>
      <c r="AE113" s="163"/>
      <c r="AF113" s="163"/>
      <c r="AG113" s="163"/>
      <c r="AH113" s="1573">
        <f>(F113-'yrP&amp;L'!$P$16)/J113</f>
        <v>4.6697023963450128</v>
      </c>
      <c r="AI113" s="1574" t="s">
        <v>327</v>
      </c>
    </row>
    <row r="114" spans="1:35" hidden="1" outlineLevel="1">
      <c r="A114" s="163"/>
      <c r="B114" s="163"/>
      <c r="C114" s="163"/>
      <c r="D114" s="1552"/>
      <c r="E114" s="163"/>
      <c r="F114" s="1552"/>
      <c r="G114" s="163"/>
      <c r="H114" s="163"/>
      <c r="I114" s="163"/>
      <c r="J114" s="1552"/>
      <c r="K114" s="163"/>
      <c r="L114" s="1563"/>
      <c r="M114" s="163"/>
      <c r="N114" s="1564"/>
      <c r="O114" s="163"/>
      <c r="P114" s="1564"/>
      <c r="Q114" s="163"/>
      <c r="R114" s="1583"/>
      <c r="S114" s="1581"/>
      <c r="T114" s="1556"/>
      <c r="U114" s="163"/>
      <c r="V114" s="163"/>
      <c r="W114" s="163"/>
      <c r="X114" s="163"/>
      <c r="Y114" s="163"/>
      <c r="Z114" s="163"/>
      <c r="AA114" s="163"/>
      <c r="AB114" s="163"/>
      <c r="AC114" s="163"/>
      <c r="AD114" s="163"/>
      <c r="AE114" s="163"/>
      <c r="AF114" s="163"/>
      <c r="AG114" s="163"/>
      <c r="AH114" s="1570"/>
      <c r="AI114" s="1582"/>
    </row>
    <row r="115" spans="1:35" hidden="1" outlineLevel="1">
      <c r="A115" s="163"/>
      <c r="B115" s="1578">
        <f>B108+1</f>
        <v>2009</v>
      </c>
      <c r="C115" s="163"/>
      <c r="D115" s="163"/>
      <c r="E115" s="163"/>
      <c r="F115" s="163"/>
      <c r="G115" s="163"/>
      <c r="H115" s="163"/>
      <c r="I115" s="163"/>
      <c r="J115" s="163"/>
      <c r="K115" s="163"/>
      <c r="L115" s="163"/>
      <c r="M115" s="163"/>
      <c r="N115" s="163"/>
      <c r="O115" s="163"/>
      <c r="P115" s="163"/>
      <c r="Q115" s="163"/>
      <c r="R115" s="163"/>
      <c r="S115" s="163"/>
      <c r="T115" s="1556"/>
      <c r="U115" s="163"/>
      <c r="V115" s="163"/>
      <c r="W115" s="163"/>
      <c r="X115" s="163"/>
      <c r="Y115" s="163"/>
      <c r="Z115" s="163"/>
      <c r="AA115" s="163"/>
      <c r="AB115" s="1575"/>
      <c r="AC115" s="163"/>
      <c r="AD115" s="163"/>
      <c r="AE115" s="163"/>
      <c r="AF115" s="163"/>
      <c r="AG115" s="163"/>
      <c r="AH115" s="163"/>
      <c r="AI115" s="163"/>
    </row>
    <row r="116" spans="1:35" hidden="1" outlineLevel="1">
      <c r="A116" s="163" t="str">
        <f>$A$11</f>
        <v>1Q</v>
      </c>
      <c r="B116" s="163" t="str">
        <f>$B$11</f>
        <v>Apr</v>
      </c>
      <c r="C116" s="163"/>
      <c r="D116" s="1552">
        <f>'qtrP&amp;L'!BO10</f>
        <v>384.79599999999999</v>
      </c>
      <c r="E116" s="163"/>
      <c r="F116" s="1552">
        <f>'qtrP&amp;L'!BO20</f>
        <v>241.49100000000001</v>
      </c>
      <c r="G116" s="163"/>
      <c r="H116" s="1552">
        <f>work!BJ10</f>
        <v>189.881</v>
      </c>
      <c r="I116" s="163"/>
      <c r="J116" s="1552">
        <f>AVERAGE(H116,H112)</f>
        <v>179.7895</v>
      </c>
      <c r="K116" s="163"/>
      <c r="L116" s="1563">
        <f>(D116/D109-1)*100</f>
        <v>-2.408367402838496</v>
      </c>
      <c r="M116" s="163" t="s">
        <v>208</v>
      </c>
      <c r="N116" s="1563">
        <f>(H116/H109-1)*100</f>
        <v>-0.73502119851323044</v>
      </c>
      <c r="O116" s="163" t="s">
        <v>208</v>
      </c>
      <c r="P116" s="1563">
        <f>(H116/H112-1)*100</f>
        <v>11.893481361006009</v>
      </c>
      <c r="Q116" s="163" t="s">
        <v>208</v>
      </c>
      <c r="R116" s="1556">
        <f>F116/J116</f>
        <v>1.343187449767645</v>
      </c>
      <c r="S116" s="163" t="s">
        <v>327</v>
      </c>
      <c r="T116" s="1556">
        <f>F117/H116</f>
        <v>1.4300272275793788</v>
      </c>
      <c r="U116" s="163"/>
      <c r="V116" s="163">
        <f>qtrSales!K117</f>
        <v>299</v>
      </c>
      <c r="W116" s="163"/>
      <c r="X116" s="1553">
        <f>H116/V116</f>
        <v>0.63505351170568558</v>
      </c>
      <c r="Y116" s="163"/>
      <c r="Z116" s="1579">
        <f>(X116/X109-1)*100</f>
        <v>-14.678596816113377</v>
      </c>
      <c r="AA116" s="164" t="s">
        <v>208</v>
      </c>
      <c r="AB116" s="1554">
        <f>+qtrSales!AE117</f>
        <v>3.0213200000000002</v>
      </c>
      <c r="AC116" s="163"/>
      <c r="AD116" s="1568">
        <f>H116/AB116</f>
        <v>62.847033746839124</v>
      </c>
      <c r="AE116" s="163"/>
      <c r="AF116" s="1579">
        <f>(AD116/AD109-1)*100</f>
        <v>-8.7057362889888861</v>
      </c>
      <c r="AG116" s="164" t="s">
        <v>208</v>
      </c>
      <c r="AH116" s="1570">
        <f>((F116-('yrP&amp;L'!$Q$16/4))/J116)</f>
        <v>1.0965100854054326</v>
      </c>
      <c r="AI116" s="1571" t="s">
        <v>327</v>
      </c>
    </row>
    <row r="117" spans="1:35" hidden="1" outlineLevel="1">
      <c r="A117" s="163" t="str">
        <f>$A$12</f>
        <v>2Q</v>
      </c>
      <c r="B117" s="163" t="str">
        <f>$B$12</f>
        <v>Jul</v>
      </c>
      <c r="C117" s="163"/>
      <c r="D117" s="1555">
        <f>'qtrP&amp;L'!BO11</f>
        <v>458.62599999999998</v>
      </c>
      <c r="E117" s="163"/>
      <c r="F117" s="1555">
        <f>'qtrP&amp;L'!BO21</f>
        <v>271.53500000000003</v>
      </c>
      <c r="G117" s="163"/>
      <c r="H117" s="1555">
        <f>work!BJ11</f>
        <v>217.05</v>
      </c>
      <c r="I117" s="163"/>
      <c r="J117" s="1555">
        <f>AVERAGE(H116:H117)</f>
        <v>203.46550000000002</v>
      </c>
      <c r="K117" s="163"/>
      <c r="L117" s="1563">
        <f>(D117/D110-1)*100</f>
        <v>0.95334529325656892</v>
      </c>
      <c r="M117" s="163"/>
      <c r="N117" s="1563">
        <f>(H117/H110-1)*100</f>
        <v>2.7674534220307301</v>
      </c>
      <c r="O117" s="163"/>
      <c r="P117" s="1563">
        <f>(H117/H116-1)*100</f>
        <v>14.308435283151022</v>
      </c>
      <c r="Q117" s="163"/>
      <c r="R117" s="1556">
        <f>F117/J117</f>
        <v>1.3345505749131916</v>
      </c>
      <c r="S117" s="163"/>
      <c r="T117" s="1556">
        <f>F118/H117</f>
        <v>1.3628749136143745</v>
      </c>
      <c r="U117" s="163"/>
      <c r="V117" s="163">
        <f>qtrSales!K118</f>
        <v>309</v>
      </c>
      <c r="W117" s="163"/>
      <c r="X117" s="1556">
        <f>H117/V117</f>
        <v>0.70242718446601948</v>
      </c>
      <c r="Y117" s="163"/>
      <c r="Z117" s="1579">
        <f>(X117/X110-1)*100</f>
        <v>-10.535776794413366</v>
      </c>
      <c r="AA117" s="163"/>
      <c r="AB117" s="1554">
        <f>+qtrSales!AE118</f>
        <v>3.1167680000000004</v>
      </c>
      <c r="AC117" s="163"/>
      <c r="AD117" s="1569">
        <f>H117/AB117</f>
        <v>69.639447016909813</v>
      </c>
      <c r="AE117" s="163"/>
      <c r="AF117" s="1579">
        <f>(AD117/AD110-1)*100</f>
        <v>-5.5218625660600873</v>
      </c>
      <c r="AG117" s="163"/>
      <c r="AH117" s="1570">
        <f>((F117-('yrP&amp;L'!$Q$16/4))/J117)</f>
        <v>1.1165775033113723</v>
      </c>
      <c r="AI117" s="1571"/>
    </row>
    <row r="118" spans="1:35" hidden="1" outlineLevel="1">
      <c r="A118" s="163" t="str">
        <f>$A$13</f>
        <v>3Q</v>
      </c>
      <c r="B118" s="163" t="str">
        <f>$B$13</f>
        <v>Oct</v>
      </c>
      <c r="C118" s="163"/>
      <c r="D118" s="1555">
        <f>'qtrP&amp;L'!BO12</f>
        <v>505.9</v>
      </c>
      <c r="E118" s="163"/>
      <c r="F118" s="1555">
        <f>'qtrP&amp;L'!BO22</f>
        <v>295.81200000000001</v>
      </c>
      <c r="G118" s="163"/>
      <c r="H118" s="1555">
        <f>work!BJ12</f>
        <v>234.52099999999999</v>
      </c>
      <c r="I118" s="163"/>
      <c r="J118" s="1555">
        <f>AVERAGE(H117:H118)</f>
        <v>225.78550000000001</v>
      </c>
      <c r="K118" s="163"/>
      <c r="L118" s="1563">
        <f>(D118/D111-1)*100</f>
        <v>5.847227656275833</v>
      </c>
      <c r="M118" s="163"/>
      <c r="N118" s="1563">
        <f>(H118/H111-1)*100</f>
        <v>-7.0497170125402349</v>
      </c>
      <c r="O118" s="163"/>
      <c r="P118" s="1563">
        <f>(H118/H117-1)*100</f>
        <v>8.0492973969131363</v>
      </c>
      <c r="Q118" s="163"/>
      <c r="R118" s="1556">
        <f>F118/J118</f>
        <v>1.3101461342734586</v>
      </c>
      <c r="S118" s="163"/>
      <c r="T118" s="1556">
        <f>F119/H118</f>
        <v>1.4618392382771692</v>
      </c>
      <c r="U118" s="163"/>
      <c r="V118" s="163">
        <f>qtrSales!K119</f>
        <v>319</v>
      </c>
      <c r="W118" s="163"/>
      <c r="X118" s="1556">
        <f>H118/V118</f>
        <v>0.73517554858934164</v>
      </c>
      <c r="Y118" s="163"/>
      <c r="Z118" s="1579">
        <f>(X118/X111-1)*100</f>
        <v>-16.665263528484342</v>
      </c>
      <c r="AA118" s="163"/>
      <c r="AB118" s="1554">
        <f>+qtrSales!AE119</f>
        <v>3.2676906666666667</v>
      </c>
      <c r="AC118" s="163"/>
      <c r="AD118" s="1569">
        <f>H118/AB118</f>
        <v>71.769645270380551</v>
      </c>
      <c r="AE118" s="163"/>
      <c r="AF118" s="1579">
        <f>(AD118/AD111-1)*100</f>
        <v>-14.908229766617575</v>
      </c>
      <c r="AG118" s="163"/>
      <c r="AH118" s="1570">
        <f>((F118-('yrP&amp;L'!$Q$16/4))/J118)</f>
        <v>1.113720765948212</v>
      </c>
      <c r="AI118" s="1571"/>
    </row>
    <row r="119" spans="1:35" hidden="1" outlineLevel="1">
      <c r="A119" s="163" t="str">
        <f>$A$14</f>
        <v>4Q</v>
      </c>
      <c r="B119" s="163" t="str">
        <f>$B$14</f>
        <v>Jan</v>
      </c>
      <c r="C119" s="163"/>
      <c r="D119" s="1557">
        <f>'qtrP&amp;L'!BO13</f>
        <v>588.49300000000005</v>
      </c>
      <c r="E119" s="163"/>
      <c r="F119" s="1557">
        <f>'qtrP&amp;L'!BO23</f>
        <v>342.83199999999999</v>
      </c>
      <c r="G119" s="163"/>
      <c r="H119" s="1558">
        <f>bal!$AI$12</f>
        <v>186.13</v>
      </c>
      <c r="I119" s="163"/>
      <c r="J119" s="1557">
        <f>AVERAGE(H118:H119)</f>
        <v>210.32549999999998</v>
      </c>
      <c r="K119" s="163"/>
      <c r="L119" s="1566">
        <f>(D119/D112-1)*100</f>
        <v>15.827294234349853</v>
      </c>
      <c r="M119" s="163"/>
      <c r="N119" s="1564">
        <f>(H119/H112-1)*100</f>
        <v>9.6830840669895899</v>
      </c>
      <c r="O119" s="163"/>
      <c r="P119" s="1563">
        <f>(H119/H118-1)*100</f>
        <v>-20.633973077037872</v>
      </c>
      <c r="Q119" s="163"/>
      <c r="R119" s="1556">
        <f>F119/J119</f>
        <v>1.6300068227580584</v>
      </c>
      <c r="S119" s="163"/>
      <c r="T119" s="1556">
        <f>F123/H119</f>
        <v>1.4998925482189869</v>
      </c>
      <c r="U119" s="163"/>
      <c r="V119" s="163">
        <f>qtrSales!K120</f>
        <v>327</v>
      </c>
      <c r="W119" s="163"/>
      <c r="X119" s="1556">
        <f>H119/V119</f>
        <v>0.56920489296636079</v>
      </c>
      <c r="Y119" s="163"/>
      <c r="Z119" s="1564">
        <f>(X119/X112-1)*100</f>
        <v>-1.385851022339657</v>
      </c>
      <c r="AA119" s="163"/>
      <c r="AB119" s="1554">
        <f>+qtrSales!AE120</f>
        <v>3.3461946666666664</v>
      </c>
      <c r="AC119" s="163"/>
      <c r="AD119" s="1569">
        <f>H119/AB119</f>
        <v>55.624378896465878</v>
      </c>
      <c r="AE119" s="163"/>
      <c r="AF119" s="1579">
        <f>(AD119/AD112-1)*100</f>
        <v>-0.11658071637855594</v>
      </c>
      <c r="AG119" s="163"/>
      <c r="AH119" s="1570">
        <f>((F119-('yrP&amp;L'!$Q$16/4))/J119)</f>
        <v>1.4191431852057881</v>
      </c>
      <c r="AI119" s="1572"/>
    </row>
    <row r="120" spans="1:35" hidden="1" outlineLevel="1">
      <c r="A120" s="163"/>
      <c r="B120" s="163" t="str">
        <f>$B$15</f>
        <v>Year</v>
      </c>
      <c r="C120" s="163"/>
      <c r="D120" s="1552">
        <f>SUM(D116:D119)</f>
        <v>1937.8150000000001</v>
      </c>
      <c r="E120" s="163"/>
      <c r="F120" s="1552">
        <f>SUM(F116:F119)</f>
        <v>1151.67</v>
      </c>
      <c r="G120" s="163"/>
      <c r="H120" s="163"/>
      <c r="I120" s="163"/>
      <c r="J120" s="1552">
        <f>AVERAGE(J116:J119)</f>
        <v>204.8415</v>
      </c>
      <c r="K120" s="163"/>
      <c r="L120" s="1563">
        <f>(D120/D113-1)*100</f>
        <v>5.6249856918443086</v>
      </c>
      <c r="M120" s="163"/>
      <c r="N120" s="1564"/>
      <c r="O120" s="163"/>
      <c r="P120" s="1564"/>
      <c r="Q120" s="163"/>
      <c r="R120" s="1567">
        <f>F120/J120</f>
        <v>5.6222493977050556</v>
      </c>
      <c r="S120" s="1561" t="s">
        <v>327</v>
      </c>
      <c r="T120" s="1556"/>
      <c r="U120" s="163"/>
      <c r="V120" s="163"/>
      <c r="W120" s="163"/>
      <c r="X120" s="163"/>
      <c r="Y120" s="163"/>
      <c r="Z120" s="163"/>
      <c r="AA120" s="163"/>
      <c r="AB120" s="1584"/>
      <c r="AC120" s="163"/>
      <c r="AD120" s="163"/>
      <c r="AE120" s="163"/>
      <c r="AF120" s="163"/>
      <c r="AG120" s="163"/>
      <c r="AH120" s="1573">
        <f>(F120-'yrP&amp;L'!$Q$16)/J120</f>
        <v>4.7562139507863401</v>
      </c>
      <c r="AI120" s="1574" t="s">
        <v>327</v>
      </c>
    </row>
    <row r="121" spans="1:35" hidden="1" outlineLevel="1">
      <c r="A121" s="163"/>
      <c r="B121" s="163"/>
      <c r="C121" s="163"/>
      <c r="D121" s="1552"/>
      <c r="E121" s="163"/>
      <c r="F121" s="1552"/>
      <c r="G121" s="163"/>
      <c r="H121" s="163"/>
      <c r="I121" s="163"/>
      <c r="J121" s="1552"/>
      <c r="K121" s="163"/>
      <c r="L121" s="1563"/>
      <c r="M121" s="163"/>
      <c r="N121" s="1564"/>
      <c r="O121" s="163"/>
      <c r="P121" s="1564"/>
      <c r="Q121" s="163"/>
      <c r="R121" s="1583"/>
      <c r="S121" s="1581"/>
      <c r="T121" s="1556"/>
      <c r="U121" s="163"/>
      <c r="V121" s="163"/>
      <c r="W121" s="163"/>
      <c r="X121" s="163"/>
      <c r="Y121" s="163"/>
      <c r="Z121" s="163"/>
      <c r="AA121" s="163"/>
      <c r="AB121" s="1584"/>
      <c r="AC121" s="163"/>
      <c r="AD121" s="163"/>
      <c r="AE121" s="163"/>
      <c r="AF121" s="163"/>
      <c r="AG121" s="163"/>
      <c r="AH121" s="1570"/>
      <c r="AI121" s="1582"/>
    </row>
    <row r="122" spans="1:35" hidden="1" outlineLevel="1">
      <c r="A122" s="163"/>
      <c r="B122" s="1578">
        <f>B115+1</f>
        <v>2010</v>
      </c>
      <c r="C122" s="163"/>
      <c r="D122" s="163"/>
      <c r="E122" s="163"/>
      <c r="F122" s="163"/>
      <c r="G122" s="163"/>
      <c r="H122" s="163"/>
      <c r="I122" s="163"/>
      <c r="J122" s="163"/>
      <c r="K122" s="163"/>
      <c r="L122" s="163"/>
      <c r="M122" s="163"/>
      <c r="N122" s="163"/>
      <c r="O122" s="163"/>
      <c r="P122" s="163"/>
      <c r="Q122" s="163"/>
      <c r="R122" s="163"/>
      <c r="S122" s="163"/>
      <c r="T122" s="1556"/>
      <c r="U122" s="163"/>
      <c r="V122" s="163">
        <f>V125-V124</f>
        <v>13</v>
      </c>
      <c r="W122" s="163"/>
      <c r="X122" s="163"/>
      <c r="Y122" s="163"/>
      <c r="Z122" s="163"/>
      <c r="AA122" s="163"/>
      <c r="AB122" s="1575"/>
      <c r="AC122" s="163"/>
      <c r="AD122" s="163"/>
      <c r="AE122" s="163"/>
      <c r="AF122" s="163"/>
      <c r="AG122" s="163"/>
      <c r="AH122" s="163"/>
      <c r="AI122" s="163"/>
    </row>
    <row r="123" spans="1:35" hidden="1" outlineLevel="1">
      <c r="A123" s="163" t="str">
        <f>$A$11</f>
        <v>1Q</v>
      </c>
      <c r="B123" s="163" t="str">
        <f>$B$11</f>
        <v>Apr</v>
      </c>
      <c r="C123" s="163"/>
      <c r="D123" s="1552">
        <f>'qtrP&amp;L'!BS10</f>
        <v>479.96100000000001</v>
      </c>
      <c r="E123" s="163"/>
      <c r="F123" s="1552">
        <f>'qtrP&amp;L'!BS20</f>
        <v>279.17500000000001</v>
      </c>
      <c r="G123" s="163"/>
      <c r="H123" s="1552">
        <f>work!BN10</f>
        <v>221.98400000000001</v>
      </c>
      <c r="I123" s="163"/>
      <c r="J123" s="1552">
        <f>AVERAGE(H123,H119)</f>
        <v>204.05700000000002</v>
      </c>
      <c r="K123" s="163"/>
      <c r="L123" s="1563">
        <f>(D123/D116-1)*100</f>
        <v>24.731286188006109</v>
      </c>
      <c r="M123" s="163" t="s">
        <v>208</v>
      </c>
      <c r="N123" s="1563">
        <f>(H123/H116-1)*100</f>
        <v>16.906904850932957</v>
      </c>
      <c r="O123" s="163" t="s">
        <v>208</v>
      </c>
      <c r="P123" s="1563">
        <f>(H123/H119-1)*100</f>
        <v>19.262880782248981</v>
      </c>
      <c r="Q123" s="163" t="s">
        <v>208</v>
      </c>
      <c r="R123" s="1556">
        <f>F123/J123</f>
        <v>1.3681226324017308</v>
      </c>
      <c r="S123" s="163" t="s">
        <v>327</v>
      </c>
      <c r="T123" s="1556">
        <f>F124/H123</f>
        <v>1.429733674499063</v>
      </c>
      <c r="U123" s="163"/>
      <c r="V123" s="163">
        <f>qtrSales!K124</f>
        <v>335</v>
      </c>
      <c r="W123" s="163"/>
      <c r="X123" s="1553">
        <f>H123/V123</f>
        <v>0.66263880597014924</v>
      </c>
      <c r="Y123" s="163"/>
      <c r="Z123" s="1579">
        <f>(X123/X116-1)*100</f>
        <v>4.3437747773998669</v>
      </c>
      <c r="AA123" s="164" t="s">
        <v>208</v>
      </c>
      <c r="AB123" s="1554">
        <f>+qtrSales!AE124</f>
        <v>3.4195986666666665</v>
      </c>
      <c r="AC123" s="163"/>
      <c r="AD123" s="1568">
        <f>H123/AB123</f>
        <v>64.915220070659373</v>
      </c>
      <c r="AE123" s="163"/>
      <c r="AF123" s="1579">
        <f>(AD123/AD116-1)*100</f>
        <v>3.2908256770738609</v>
      </c>
      <c r="AG123" s="164" t="s">
        <v>208</v>
      </c>
      <c r="AH123" s="1570">
        <f>((F123-('yrP&amp;L'!$R$16/4))/J123)</f>
        <v>1.1157700113274487</v>
      </c>
      <c r="AI123" s="1571" t="s">
        <v>327</v>
      </c>
    </row>
    <row r="124" spans="1:35" hidden="1" outlineLevel="1">
      <c r="A124" s="163" t="str">
        <f>$A$12</f>
        <v>2Q</v>
      </c>
      <c r="B124" s="163" t="str">
        <f>$B$12</f>
        <v>Jul</v>
      </c>
      <c r="C124" s="163"/>
      <c r="D124" s="1555">
        <f>'qtrP&amp;L'!BS11</f>
        <v>552.15899999999999</v>
      </c>
      <c r="E124" s="163"/>
      <c r="F124" s="1555">
        <f>'qtrP&amp;L'!BS21</f>
        <v>317.37799999999999</v>
      </c>
      <c r="G124" s="163"/>
      <c r="H124" s="1555">
        <f>work!BN11</f>
        <v>243.203</v>
      </c>
      <c r="I124" s="163"/>
      <c r="J124" s="1555">
        <f>AVERAGE(H123:H124)</f>
        <v>232.59350000000001</v>
      </c>
      <c r="K124" s="163"/>
      <c r="L124" s="1563">
        <f>(D124/D117-1)*100</f>
        <v>20.394177390727954</v>
      </c>
      <c r="M124" s="163"/>
      <c r="N124" s="1563">
        <f>(H124/H117-1)*100</f>
        <v>12.04929739691314</v>
      </c>
      <c r="O124" s="163"/>
      <c r="P124" s="1563">
        <f>(H124/H123-1)*100</f>
        <v>9.5587970304165992</v>
      </c>
      <c r="Q124" s="163"/>
      <c r="R124" s="1556">
        <f>F124/J124</f>
        <v>1.3645179250494961</v>
      </c>
      <c r="S124" s="163"/>
      <c r="T124" s="1556">
        <f>F125/H124</f>
        <v>1.3881366594984437</v>
      </c>
      <c r="U124" s="163"/>
      <c r="V124" s="163">
        <f>qtrSales!K125</f>
        <v>342</v>
      </c>
      <c r="W124" s="163"/>
      <c r="X124" s="1556">
        <f>H124/V124</f>
        <v>0.71111988304093565</v>
      </c>
      <c r="Y124" s="163"/>
      <c r="Z124" s="1579">
        <f>(X124/X117-1)*100</f>
        <v>1.2375230866846776</v>
      </c>
      <c r="AA124" s="163"/>
      <c r="AB124" s="1554">
        <f>+qtrSales!AE125</f>
        <v>3.4787653333333339</v>
      </c>
      <c r="AC124" s="163"/>
      <c r="AD124" s="1569">
        <f>H124/AB124</f>
        <v>69.910723114790912</v>
      </c>
      <c r="AE124" s="163"/>
      <c r="AF124" s="1579">
        <f>(AD124/AD117-1)*100</f>
        <v>0.38954372773125634</v>
      </c>
      <c r="AG124" s="163"/>
      <c r="AH124" s="1570">
        <f>((F124-('yrP&amp;L'!$R$16/4))/J124)</f>
        <v>1.1431260168553514</v>
      </c>
      <c r="AI124" s="1571"/>
    </row>
    <row r="125" spans="1:35" hidden="1" outlineLevel="1">
      <c r="A125" s="163" t="str">
        <f>$A$13</f>
        <v>3Q</v>
      </c>
      <c r="B125" s="163" t="str">
        <f>$B$13</f>
        <v>Oct</v>
      </c>
      <c r="C125" s="163"/>
      <c r="D125" s="1555">
        <f>'qtrP&amp;L'!BS12</f>
        <v>573.59199999999998</v>
      </c>
      <c r="E125" s="163"/>
      <c r="F125" s="1555">
        <f>'qtrP&amp;L'!BS22</f>
        <v>337.59899999999999</v>
      </c>
      <c r="G125" s="163"/>
      <c r="H125" s="1555">
        <f>work!BN12</f>
        <v>289.25599999999997</v>
      </c>
      <c r="I125" s="163"/>
      <c r="J125" s="1555">
        <f>AVERAGE(H124:H125)</f>
        <v>266.22949999999997</v>
      </c>
      <c r="K125" s="163"/>
      <c r="L125" s="1563">
        <f>(D125/D118-1)*100</f>
        <v>13.38050998220992</v>
      </c>
      <c r="M125" s="163"/>
      <c r="N125" s="1563">
        <f>(H125/H118-1)*100</f>
        <v>23.339061320734601</v>
      </c>
      <c r="O125" s="163"/>
      <c r="P125" s="1563">
        <f>(H125/H124-1)*100</f>
        <v>18.936032861436725</v>
      </c>
      <c r="Q125" s="163"/>
      <c r="R125" s="1556">
        <f>F125/J125</f>
        <v>1.2680751006180759</v>
      </c>
      <c r="S125" s="163"/>
      <c r="T125" s="1556">
        <f>F126/H125</f>
        <v>1.3943703847111211</v>
      </c>
      <c r="U125" s="163"/>
      <c r="V125" s="163">
        <f>qtrSales!K126</f>
        <v>355</v>
      </c>
      <c r="W125" s="163"/>
      <c r="X125" s="1556">
        <f>H125/V125</f>
        <v>0.81480563380281679</v>
      </c>
      <c r="Y125" s="163"/>
      <c r="Z125" s="1579">
        <f>(X125/X118-1)*100</f>
        <v>10.831438200885458</v>
      </c>
      <c r="AA125" s="163"/>
      <c r="AB125" s="1554">
        <f>+qtrSales!AE126</f>
        <v>3.5963479999999999</v>
      </c>
      <c r="AC125" s="163"/>
      <c r="AD125" s="1569">
        <f>H125/AB125</f>
        <v>80.430481143649047</v>
      </c>
      <c r="AE125" s="163"/>
      <c r="AF125" s="1579">
        <f>(AD125/AD118-1)*100</f>
        <v>12.06754727662398</v>
      </c>
      <c r="AG125" s="163"/>
      <c r="AH125" s="1570">
        <f>((F125-('yrP&amp;L'!$R$16/4))/J125)</f>
        <v>1.0746543159245885</v>
      </c>
      <c r="AI125" s="1571"/>
    </row>
    <row r="126" spans="1:35" hidden="1" outlineLevel="1">
      <c r="A126" s="163" t="str">
        <f>$A$14</f>
        <v>4Q</v>
      </c>
      <c r="B126" s="163" t="str">
        <f>$B$14</f>
        <v>Jan</v>
      </c>
      <c r="C126" s="163"/>
      <c r="D126" s="1557">
        <f>'qtrP&amp;L'!BS13</f>
        <v>668.39</v>
      </c>
      <c r="E126" s="163"/>
      <c r="F126" s="1557">
        <f>'qtrP&amp;L'!BS23</f>
        <v>403.33</v>
      </c>
      <c r="G126" s="163"/>
      <c r="H126" s="1558">
        <f>+bal!AK12</f>
        <v>229.56100000000001</v>
      </c>
      <c r="I126" s="163"/>
      <c r="J126" s="1557">
        <f>AVERAGE(H125:H126)</f>
        <v>259.4085</v>
      </c>
      <c r="K126" s="163"/>
      <c r="L126" s="1566">
        <f>(D126/D119-1)*100</f>
        <v>13.576542116898583</v>
      </c>
      <c r="M126" s="163"/>
      <c r="N126" s="1564">
        <f>(H126/H119-1)*100</f>
        <v>23.333691505936716</v>
      </c>
      <c r="O126" s="163"/>
      <c r="P126" s="1563">
        <f>(H126/H125-1)*100</f>
        <v>-20.637428437093774</v>
      </c>
      <c r="Q126" s="163"/>
      <c r="R126" s="1556">
        <f>F126/J126</f>
        <v>1.5548064153641843</v>
      </c>
      <c r="S126" s="163"/>
      <c r="T126" s="1556">
        <f>F130/H126</f>
        <v>1.4312274297463419</v>
      </c>
      <c r="U126" s="163"/>
      <c r="V126" s="163">
        <f>qtrSales!K127</f>
        <v>372</v>
      </c>
      <c r="W126" s="163"/>
      <c r="X126" s="1556">
        <f>H126/V126</f>
        <v>0.61709946236559143</v>
      </c>
      <c r="Y126" s="163"/>
      <c r="Z126" s="1564">
        <f>(X126/X119-1)*100</f>
        <v>8.4142933398960054</v>
      </c>
      <c r="AA126" s="163"/>
      <c r="AB126" s="1554">
        <f>+qtrSales!AE127</f>
        <v>3.7369199999999996</v>
      </c>
      <c r="AC126" s="163"/>
      <c r="AD126" s="1569">
        <f>H126/AB126</f>
        <v>61.430536377551576</v>
      </c>
      <c r="AE126" s="163"/>
      <c r="AF126" s="1579">
        <f>(AD126/AD119-1)*100</f>
        <v>10.438152472484674</v>
      </c>
      <c r="AG126" s="163"/>
      <c r="AH126" s="1570">
        <f>((F126-('yrP&amp;L'!$R$16/4))/J126)</f>
        <v>1.3562997403764534</v>
      </c>
      <c r="AI126" s="1572"/>
    </row>
    <row r="127" spans="1:35" hidden="1" outlineLevel="1">
      <c r="A127" s="163"/>
      <c r="B127" s="163" t="str">
        <f>$B$15</f>
        <v>Year</v>
      </c>
      <c r="C127" s="163"/>
      <c r="D127" s="1552">
        <f>'qtrP&amp;L'!BS14</f>
        <v>2274.1019999999999</v>
      </c>
      <c r="E127" s="163"/>
      <c r="F127" s="1552">
        <f>'qtrP&amp;L'!BS24</f>
        <v>1337.482</v>
      </c>
      <c r="G127" s="163"/>
      <c r="H127" s="163"/>
      <c r="I127" s="163"/>
      <c r="J127" s="1552">
        <f>AVERAGE(J123:J126)</f>
        <v>240.572125</v>
      </c>
      <c r="K127" s="163"/>
      <c r="L127" s="1563">
        <f>(D127/D120-1)*100</f>
        <v>17.35392697445317</v>
      </c>
      <c r="M127" s="163"/>
      <c r="N127" s="1564"/>
      <c r="O127" s="163"/>
      <c r="P127" s="1564"/>
      <c r="Q127" s="163"/>
      <c r="R127" s="1567">
        <f>F127/J127</f>
        <v>5.5595884186499163</v>
      </c>
      <c r="S127" s="1561" t="s">
        <v>327</v>
      </c>
      <c r="T127" s="1556"/>
      <c r="U127" s="163"/>
      <c r="V127" s="163">
        <f>V126-V125</f>
        <v>17</v>
      </c>
      <c r="W127" s="163"/>
      <c r="X127" s="163"/>
      <c r="Y127" s="163"/>
      <c r="Z127" s="163"/>
      <c r="AA127" s="163"/>
      <c r="AB127" s="1584"/>
      <c r="AC127" s="163"/>
      <c r="AD127" s="163"/>
      <c r="AE127" s="163"/>
      <c r="AF127" s="163"/>
      <c r="AG127" s="163"/>
      <c r="AH127" s="1573">
        <f>(F127-'yrP&amp;L'!$R$16)/J127</f>
        <v>4.7033908222150878</v>
      </c>
      <c r="AI127" s="1574" t="s">
        <v>327</v>
      </c>
    </row>
    <row r="128" spans="1:35" hidden="1" outlineLevel="1">
      <c r="A128" s="163"/>
      <c r="B128" s="163"/>
      <c r="C128" s="163"/>
      <c r="D128" s="1552"/>
      <c r="E128" s="163"/>
      <c r="F128" s="1552"/>
      <c r="G128" s="163"/>
      <c r="H128" s="163"/>
      <c r="I128" s="163"/>
      <c r="J128" s="1552"/>
      <c r="K128" s="163"/>
      <c r="L128" s="1563"/>
      <c r="M128" s="163"/>
      <c r="N128" s="1564"/>
      <c r="O128" s="163"/>
      <c r="P128" s="1564"/>
      <c r="Q128" s="163"/>
      <c r="R128" s="1583"/>
      <c r="S128" s="1581"/>
      <c r="T128" s="1556"/>
      <c r="U128" s="163"/>
      <c r="V128" s="163"/>
      <c r="W128" s="163"/>
      <c r="X128" s="163"/>
      <c r="Y128" s="163"/>
      <c r="Z128" s="163"/>
      <c r="AA128" s="163"/>
      <c r="AB128" s="1584"/>
      <c r="AC128" s="163"/>
      <c r="AD128" s="163"/>
      <c r="AE128" s="163"/>
      <c r="AF128" s="163"/>
      <c r="AG128" s="163"/>
      <c r="AH128" s="1570"/>
      <c r="AI128" s="1582"/>
    </row>
    <row r="129" spans="1:35" hidden="1" outlineLevel="1">
      <c r="A129" s="163"/>
      <c r="B129" s="1578">
        <f>B122+1</f>
        <v>2011</v>
      </c>
      <c r="C129" s="163"/>
      <c r="D129" s="163"/>
      <c r="E129" s="163"/>
      <c r="F129" s="163"/>
      <c r="G129" s="163"/>
      <c r="H129" s="163"/>
      <c r="I129" s="163"/>
      <c r="J129" s="163"/>
      <c r="K129" s="163"/>
      <c r="L129" s="163"/>
      <c r="M129" s="163"/>
      <c r="N129" s="163"/>
      <c r="O129" s="163"/>
      <c r="P129" s="163"/>
      <c r="Q129" s="163"/>
      <c r="R129" s="163"/>
      <c r="S129" s="163"/>
      <c r="T129" s="1556"/>
      <c r="U129" s="163"/>
      <c r="V129" s="163">
        <f>V131-V130</f>
        <v>10</v>
      </c>
      <c r="W129" s="163"/>
      <c r="X129" s="163"/>
      <c r="Y129" s="163"/>
      <c r="Z129" s="163"/>
      <c r="AA129" s="163"/>
      <c r="AB129" s="1575"/>
      <c r="AC129" s="163"/>
      <c r="AD129" s="163"/>
      <c r="AE129" s="163"/>
      <c r="AF129" s="163"/>
      <c r="AG129" s="163"/>
      <c r="AH129" s="163"/>
      <c r="AI129" s="163"/>
    </row>
    <row r="130" spans="1:35" hidden="1" outlineLevel="1">
      <c r="A130" s="163" t="str">
        <f>$A$11</f>
        <v>1Q</v>
      </c>
      <c r="B130" s="163" t="str">
        <f>$B$11</f>
        <v>Apr</v>
      </c>
      <c r="C130" s="163"/>
      <c r="D130" s="1552">
        <f>+'qtrP&amp;L'!BW10</f>
        <v>524.01900000000001</v>
      </c>
      <c r="E130" s="163"/>
      <c r="F130" s="1552">
        <f>+'qtrP&amp;L'!BW20</f>
        <v>328.55399999999997</v>
      </c>
      <c r="G130" s="163"/>
      <c r="H130" s="1552">
        <f>+work!BR10</f>
        <v>264.27800000000002</v>
      </c>
      <c r="I130" s="163"/>
      <c r="J130" s="1552">
        <f>AVERAGE(H130,H126)</f>
        <v>246.91950000000003</v>
      </c>
      <c r="K130" s="163"/>
      <c r="L130" s="1563">
        <f>(D130/D123-1)*100</f>
        <v>9.1794958340365227</v>
      </c>
      <c r="M130" s="163" t="s">
        <v>208</v>
      </c>
      <c r="N130" s="1563">
        <f>(H130/H123-1)*100</f>
        <v>19.052724520686183</v>
      </c>
      <c r="O130" s="163" t="s">
        <v>208</v>
      </c>
      <c r="P130" s="1563">
        <f>(H130/H126-1)*100</f>
        <v>15.123213437822635</v>
      </c>
      <c r="Q130" s="163" t="s">
        <v>208</v>
      </c>
      <c r="R130" s="1556">
        <f>F130/J130</f>
        <v>1.3306117985821286</v>
      </c>
      <c r="S130" s="163" t="s">
        <v>327</v>
      </c>
      <c r="T130" s="1556">
        <f>F131/H130</f>
        <v>1.4306563542935846</v>
      </c>
      <c r="U130" s="163"/>
      <c r="V130" s="163">
        <f>qtrSales!K131</f>
        <v>382</v>
      </c>
      <c r="W130" s="163"/>
      <c r="X130" s="1553">
        <f>H130/V130</f>
        <v>0.69182722513089012</v>
      </c>
      <c r="Y130" s="163"/>
      <c r="Z130" s="1579">
        <f>(X130/X123-1)*100</f>
        <v>4.404876215785003</v>
      </c>
      <c r="AA130" s="164" t="s">
        <v>208</v>
      </c>
      <c r="AB130" s="1554">
        <f>+qtrSales!AE131</f>
        <v>3.7884133333333332</v>
      </c>
      <c r="AC130" s="163"/>
      <c r="AD130" s="1568">
        <f>H130/AB130</f>
        <v>69.759547532652206</v>
      </c>
      <c r="AE130" s="163"/>
      <c r="AF130" s="1579">
        <f>(AD130/AD123-1)*100</f>
        <v>7.4625449266286781</v>
      </c>
      <c r="AG130" s="164" t="s">
        <v>208</v>
      </c>
      <c r="AH130" s="1570">
        <f>((F130-('yrP&amp;L'!$S$16/4))/J130)</f>
        <v>1.0929974343865103</v>
      </c>
      <c r="AI130" s="1571"/>
    </row>
    <row r="131" spans="1:35" hidden="1" outlineLevel="1">
      <c r="A131" s="163" t="str">
        <f>$A$12</f>
        <v>2Q</v>
      </c>
      <c r="B131" s="163" t="str">
        <f>$B$12</f>
        <v>Jul</v>
      </c>
      <c r="C131" s="163"/>
      <c r="D131" s="1555">
        <f>+'qtrP&amp;L'!BW11</f>
        <v>609.18100000000004</v>
      </c>
      <c r="E131" s="163"/>
      <c r="F131" s="1555">
        <f>+'qtrP&amp;L'!BW21</f>
        <v>378.09100000000001</v>
      </c>
      <c r="G131" s="163"/>
      <c r="H131" s="1555">
        <f>+work!BR11</f>
        <v>303.15899999999999</v>
      </c>
      <c r="I131" s="163"/>
      <c r="J131" s="1555">
        <f>AVERAGE(H130:H131)</f>
        <v>283.71850000000001</v>
      </c>
      <c r="K131" s="163"/>
      <c r="L131" s="1563">
        <f>(D131/D124-1)*100</f>
        <v>10.32709781059442</v>
      </c>
      <c r="M131" s="163"/>
      <c r="N131" s="1563">
        <f>(H131/H124-1)*100</f>
        <v>24.652656422823725</v>
      </c>
      <c r="O131" s="163"/>
      <c r="P131" s="1563">
        <f>(H131/H130-1)*100</f>
        <v>14.712159165726991</v>
      </c>
      <c r="Q131" s="163"/>
      <c r="R131" s="1556">
        <f>F131/J131</f>
        <v>1.332627234389016</v>
      </c>
      <c r="S131" s="163"/>
      <c r="T131" s="1556">
        <f>F132/H131</f>
        <v>1.2991532496148888</v>
      </c>
      <c r="U131" s="163"/>
      <c r="V131" s="163">
        <f>qtrSales!K132</f>
        <v>392</v>
      </c>
      <c r="W131" s="163"/>
      <c r="X131" s="1556">
        <f>H131/V131</f>
        <v>0.77336479591836738</v>
      </c>
      <c r="Y131" s="163"/>
      <c r="Z131" s="1579">
        <f>(X131/X124-1)*100</f>
        <v>8.753082899504383</v>
      </c>
      <c r="AA131" s="163"/>
      <c r="AB131" s="1554">
        <f>+qtrSales!AE132</f>
        <v>3.8623853333333336</v>
      </c>
      <c r="AC131" s="163"/>
      <c r="AD131" s="1569">
        <f>H131/AB131</f>
        <v>78.490097138590343</v>
      </c>
      <c r="AE131" s="163"/>
      <c r="AF131" s="1579">
        <f>(AD131/AD124-1)*100</f>
        <v>12.27189999123941</v>
      </c>
      <c r="AG131" s="163"/>
      <c r="AH131" s="1570">
        <f>((F131-('yrP&amp;L'!$S$16/4))/J131)</f>
        <v>1.1258320483154958</v>
      </c>
      <c r="AI131" s="1571"/>
    </row>
    <row r="132" spans="1:35" hidden="1" outlineLevel="1">
      <c r="A132" s="163" t="str">
        <f>$A$13</f>
        <v>3Q</v>
      </c>
      <c r="B132" s="163" t="str">
        <f>$B$13</f>
        <v>Oct</v>
      </c>
      <c r="C132" s="163"/>
      <c r="D132" s="1555">
        <f>+'qtrP&amp;L'!BW12</f>
        <v>609.95299999999997</v>
      </c>
      <c r="E132" s="163"/>
      <c r="F132" s="1555">
        <f>+'qtrP&amp;L'!BW22</f>
        <v>393.85</v>
      </c>
      <c r="G132" s="163"/>
      <c r="H132" s="1555">
        <f>+work!BR12</f>
        <v>367.40699999999998</v>
      </c>
      <c r="I132" s="163"/>
      <c r="J132" s="1555">
        <f>AVERAGE(H131:H132)</f>
        <v>335.28300000000002</v>
      </c>
      <c r="K132" s="163"/>
      <c r="L132" s="1563">
        <f>(D132/D125-1)*100</f>
        <v>6.3391748838895978</v>
      </c>
      <c r="M132" s="163"/>
      <c r="N132" s="1563">
        <f>(H132/H125-1)*100</f>
        <v>27.017935669441616</v>
      </c>
      <c r="O132" s="163"/>
      <c r="P132" s="1563">
        <f>(H132/H131-1)*100</f>
        <v>21.192839401106344</v>
      </c>
      <c r="Q132" s="163"/>
      <c r="R132" s="1556">
        <f>F132/J132</f>
        <v>1.1746793007697975</v>
      </c>
      <c r="S132" s="163"/>
      <c r="T132" s="1556">
        <f>F133/H132</f>
        <v>1.3956457008168053</v>
      </c>
      <c r="U132" s="163"/>
      <c r="V132" s="163">
        <f>qtrSales!K133</f>
        <v>408</v>
      </c>
      <c r="W132" s="163"/>
      <c r="X132" s="1556">
        <f>H132/V132</f>
        <v>0.90050735294117645</v>
      </c>
      <c r="Y132" s="163"/>
      <c r="Z132" s="1579">
        <f>(X132/X125-1)*100</f>
        <v>10.51805677120532</v>
      </c>
      <c r="AA132" s="163"/>
      <c r="AB132" s="1554">
        <f>+qtrSales!AE133</f>
        <v>3.9591493333333334</v>
      </c>
      <c r="AC132" s="163"/>
      <c r="AD132" s="1569">
        <f>H132/AB132</f>
        <v>92.799480157690439</v>
      </c>
      <c r="AE132" s="163"/>
      <c r="AF132" s="1579">
        <f>(AD132/AD125-1)*100</f>
        <v>15.378496856123892</v>
      </c>
      <c r="AG132" s="163"/>
      <c r="AH132" s="1570">
        <f>((F132-('yrP&amp;L'!$S$16/4))/J132)</f>
        <v>0.99968796509217583</v>
      </c>
      <c r="AI132" s="1571"/>
    </row>
    <row r="133" spans="1:35" hidden="1" outlineLevel="1">
      <c r="A133" s="163" t="str">
        <f>$A$14</f>
        <v>4Q</v>
      </c>
      <c r="B133" s="163" t="str">
        <f>$B$14</f>
        <v>Jan</v>
      </c>
      <c r="C133" s="163"/>
      <c r="D133" s="1557">
        <f>+'qtrP&amp;L'!BW13</f>
        <v>730.64800000000002</v>
      </c>
      <c r="E133" s="163"/>
      <c r="F133" s="1557">
        <f>+'qtrP&amp;L'!BW23</f>
        <v>512.77</v>
      </c>
      <c r="G133" s="163"/>
      <c r="H133" s="1558">
        <f>+work!BR13</f>
        <v>250.07300000000001</v>
      </c>
      <c r="I133" s="163"/>
      <c r="J133" s="1557">
        <f>AVERAGE(H132:H133)</f>
        <v>308.74</v>
      </c>
      <c r="K133" s="163"/>
      <c r="L133" s="1566">
        <f>(D133/D126-1)*100</f>
        <v>9.3146217028980072</v>
      </c>
      <c r="M133" s="163"/>
      <c r="N133" s="1564">
        <f>(H133/H126-1)*100</f>
        <v>8.9353156677310253</v>
      </c>
      <c r="O133" s="163"/>
      <c r="P133" s="1563">
        <f>(H133/H132-1)*100</f>
        <v>-31.935700735152018</v>
      </c>
      <c r="Q133" s="163"/>
      <c r="R133" s="1556">
        <f>F133/J133</f>
        <v>1.66084731489279</v>
      </c>
      <c r="S133" s="163"/>
      <c r="T133" s="1556">
        <f>F137/H133</f>
        <v>1.4653761101758287</v>
      </c>
      <c r="U133" s="163"/>
      <c r="V133" s="163">
        <f>qtrSales!K134</f>
        <v>429</v>
      </c>
      <c r="W133" s="163"/>
      <c r="X133" s="1556">
        <f>H133/V133</f>
        <v>0.58292074592074594</v>
      </c>
      <c r="Y133" s="163"/>
      <c r="Z133" s="1564">
        <f>(X133/X126-1)*100</f>
        <v>-5.5386073930164592</v>
      </c>
      <c r="AA133" s="163"/>
      <c r="AB133" s="1554">
        <f>+qtrSales!AE134</f>
        <v>4.0914159999999997</v>
      </c>
      <c r="AC133" s="163"/>
      <c r="AD133" s="1569">
        <f>H133/AB133</f>
        <v>61.121381937207076</v>
      </c>
      <c r="AE133" s="163"/>
      <c r="AF133" s="1579">
        <f>(AD133/AD126-1)*100</f>
        <v>-0.50325857232377258</v>
      </c>
      <c r="AG133" s="163"/>
      <c r="AH133" s="1570">
        <f>((F133-('yrP&amp;L'!$S$16/4))/J133)</f>
        <v>1.4708116214290339</v>
      </c>
      <c r="AI133" s="1572"/>
    </row>
    <row r="134" spans="1:35" hidden="1" outlineLevel="1">
      <c r="A134" s="163"/>
      <c r="B134" s="163" t="str">
        <f>$B$15</f>
        <v>Year</v>
      </c>
      <c r="C134" s="163"/>
      <c r="D134" s="1552">
        <f>+'qtrP&amp;L'!BW14</f>
        <v>2473.8009999999999</v>
      </c>
      <c r="E134" s="163"/>
      <c r="F134" s="1552">
        <f>+'qtrP&amp;L'!BW24</f>
        <v>1613.2649999999999</v>
      </c>
      <c r="G134" s="163"/>
      <c r="H134" s="163"/>
      <c r="I134" s="163"/>
      <c r="J134" s="1552">
        <f>AVERAGE(J130:J133)</f>
        <v>293.66525000000001</v>
      </c>
      <c r="K134" s="163"/>
      <c r="L134" s="1563">
        <f>(D134/D127-1)*100</f>
        <v>8.7814442799839298</v>
      </c>
      <c r="M134" s="163"/>
      <c r="N134" s="1564"/>
      <c r="O134" s="163"/>
      <c r="P134" s="1564"/>
      <c r="Q134" s="163"/>
      <c r="R134" s="1567">
        <f>F134/J134</f>
        <v>5.4935509053250247</v>
      </c>
      <c r="S134" s="1561" t="s">
        <v>327</v>
      </c>
      <c r="T134" s="1585"/>
      <c r="U134" s="163"/>
      <c r="V134" s="163"/>
      <c r="W134" s="163"/>
      <c r="X134" s="163"/>
      <c r="Y134" s="163"/>
      <c r="Z134" s="163"/>
      <c r="AA134" s="163"/>
      <c r="AB134" s="1584"/>
      <c r="AC134" s="163"/>
      <c r="AD134" s="163"/>
      <c r="AE134" s="163"/>
      <c r="AF134" s="163"/>
      <c r="AG134" s="163"/>
      <c r="AH134" s="1573">
        <f>(F134-'yrP&amp;L'!$S$16)/J134</f>
        <v>4.6943876403490021</v>
      </c>
      <c r="AI134" s="1574"/>
    </row>
    <row r="135" spans="1:35" hidden="1" outlineLevel="1">
      <c r="A135" s="163"/>
      <c r="B135" s="163"/>
      <c r="C135" s="163"/>
      <c r="D135" s="1552"/>
      <c r="E135" s="163"/>
      <c r="F135" s="1552"/>
      <c r="G135" s="163"/>
      <c r="H135" s="163"/>
      <c r="I135" s="163"/>
      <c r="J135" s="1552"/>
      <c r="K135" s="163"/>
      <c r="L135" s="1563"/>
      <c r="M135" s="163"/>
      <c r="N135" s="1564"/>
      <c r="O135" s="163"/>
      <c r="P135" s="1564"/>
      <c r="Q135" s="163"/>
      <c r="R135" s="1583"/>
      <c r="S135" s="1581"/>
      <c r="T135" s="1585"/>
      <c r="U135" s="163"/>
      <c r="V135" s="163"/>
      <c r="W135" s="163"/>
      <c r="X135" s="163"/>
      <c r="Y135" s="163"/>
      <c r="Z135" s="163"/>
      <c r="AA135" s="163"/>
      <c r="AB135" s="1584"/>
      <c r="AC135" s="163"/>
      <c r="AD135" s="163"/>
      <c r="AE135" s="163"/>
      <c r="AF135" s="163"/>
      <c r="AG135" s="163"/>
      <c r="AH135" s="1570"/>
      <c r="AI135" s="1582"/>
    </row>
    <row r="136" spans="1:35" collapsed="1">
      <c r="A136" s="163"/>
      <c r="B136" s="1562">
        <f>B129+1</f>
        <v>2012</v>
      </c>
      <c r="C136" s="163"/>
      <c r="D136" s="163"/>
      <c r="E136" s="163"/>
      <c r="F136" s="163"/>
      <c r="G136" s="163"/>
      <c r="H136" s="163"/>
      <c r="I136" s="163"/>
      <c r="J136" s="163"/>
      <c r="K136" s="163"/>
      <c r="L136" s="163"/>
      <c r="M136" s="163"/>
      <c r="N136" s="163"/>
      <c r="O136" s="163"/>
      <c r="P136" s="163"/>
      <c r="Q136" s="163"/>
      <c r="R136" s="163"/>
      <c r="S136" s="163"/>
      <c r="T136" s="1556"/>
      <c r="U136" s="163"/>
      <c r="V136" s="163"/>
      <c r="W136" s="163"/>
      <c r="X136" s="163"/>
      <c r="Y136" s="163"/>
      <c r="Z136" s="163"/>
      <c r="AA136" s="163"/>
      <c r="AB136" s="1575"/>
      <c r="AC136" s="163"/>
      <c r="AD136" s="163"/>
      <c r="AE136" s="163"/>
      <c r="AF136" s="163"/>
      <c r="AG136" s="163"/>
      <c r="AH136" s="163"/>
      <c r="AI136" s="163"/>
    </row>
    <row r="137" spans="1:35">
      <c r="A137" s="163" t="str">
        <f>$A$11</f>
        <v>1Q</v>
      </c>
      <c r="B137" s="163" t="str">
        <f>$B$11</f>
        <v>Apr</v>
      </c>
      <c r="C137" s="163"/>
      <c r="D137" s="1552">
        <f>+'qtrP&amp;L'!CA10</f>
        <v>568.92999999999995</v>
      </c>
      <c r="E137" s="163"/>
      <c r="F137" s="1552">
        <f>+'qtrP&amp;L'!CA20</f>
        <v>366.45100000000002</v>
      </c>
      <c r="G137" s="163"/>
      <c r="H137" s="1552">
        <f>+work!BV10</f>
        <v>299.75</v>
      </c>
      <c r="I137" s="163"/>
      <c r="J137" s="1552">
        <f>AVERAGE(H137,H133)</f>
        <v>274.91149999999999</v>
      </c>
      <c r="K137" s="163"/>
      <c r="L137" s="1563">
        <f>(D137/D130-1)*100</f>
        <v>8.5704907646478432</v>
      </c>
      <c r="M137" s="163" t="s">
        <v>208</v>
      </c>
      <c r="N137" s="1563">
        <f>(H137/H130-1)*100</f>
        <v>13.422229621837612</v>
      </c>
      <c r="O137" s="163" t="s">
        <v>208</v>
      </c>
      <c r="P137" s="1563">
        <f>(H137/H133-1)*100</f>
        <v>19.864999420169305</v>
      </c>
      <c r="Q137" s="163" t="s">
        <v>208</v>
      </c>
      <c r="R137" s="1556">
        <f>F137/J137</f>
        <v>1.3329780674871732</v>
      </c>
      <c r="S137" s="163" t="s">
        <v>327</v>
      </c>
      <c r="T137" s="1556">
        <f>F138/H137</f>
        <v>1.407022518765638</v>
      </c>
      <c r="U137" s="163"/>
      <c r="V137" s="163">
        <f>qtrSales!K138</f>
        <v>443</v>
      </c>
      <c r="W137" s="163"/>
      <c r="X137" s="1553">
        <f>H137/V137</f>
        <v>0.67663656884875845</v>
      </c>
      <c r="Y137" s="163"/>
      <c r="Z137" s="1579">
        <f>(X137/X130-1)*100</f>
        <v>-2.1957297617562932</v>
      </c>
      <c r="AA137" s="164" t="s">
        <v>208</v>
      </c>
      <c r="AB137" s="1554">
        <f>+qtrSales!AE138</f>
        <v>4.1847573333333337</v>
      </c>
      <c r="AC137" s="163"/>
      <c r="AD137" s="1568">
        <f>H137/AB137</f>
        <v>71.629004055352624</v>
      </c>
      <c r="AE137" s="163"/>
      <c r="AF137" s="1579">
        <f>(AD137/AD130-1)*100</f>
        <v>2.6798575805345948</v>
      </c>
      <c r="AG137" s="164" t="s">
        <v>208</v>
      </c>
      <c r="AH137" s="1570">
        <f>((F137-('yrP&amp;L'!$T$16/4))/J137)</f>
        <v>1.0940038248672757</v>
      </c>
      <c r="AI137" s="1571"/>
    </row>
    <row r="138" spans="1:35">
      <c r="A138" s="163" t="str">
        <f>$A$12</f>
        <v>2Q</v>
      </c>
      <c r="B138" s="163" t="str">
        <f>$B$12</f>
        <v>Jul</v>
      </c>
      <c r="C138" s="163"/>
      <c r="D138" s="1555">
        <f>+'qtrP&amp;L'!CA11</f>
        <v>676.26900000000001</v>
      </c>
      <c r="E138" s="163"/>
      <c r="F138" s="1555">
        <f>+'qtrP&amp;L'!CA21</f>
        <v>421.755</v>
      </c>
      <c r="G138" s="163"/>
      <c r="H138" s="1555">
        <f>+work!BV11</f>
        <v>322.82299999999998</v>
      </c>
      <c r="I138" s="163"/>
      <c r="J138" s="1555">
        <f>AVERAGE(H137:H138)</f>
        <v>311.28649999999999</v>
      </c>
      <c r="K138" s="163"/>
      <c r="L138" s="1563">
        <f>(D138/D131-1)*100</f>
        <v>11.012818850226779</v>
      </c>
      <c r="M138" s="163"/>
      <c r="N138" s="1563">
        <f>(H138/H131-1)*100</f>
        <v>6.4863652406822681</v>
      </c>
      <c r="O138" s="163"/>
      <c r="P138" s="1563">
        <f>(H138/H137-1)*100</f>
        <v>7.6974145120934034</v>
      </c>
      <c r="Q138" s="163"/>
      <c r="R138" s="1556">
        <f>F138/J138</f>
        <v>1.3548772593735996</v>
      </c>
      <c r="S138" s="163"/>
      <c r="T138" s="1556">
        <f>F139/H138</f>
        <v>1.3383278143131068</v>
      </c>
      <c r="U138" s="163"/>
      <c r="V138" s="163">
        <f>qtrSales!K139</f>
        <v>457</v>
      </c>
      <c r="W138" s="163"/>
      <c r="X138" s="1556">
        <f>H138/V138</f>
        <v>0.70639606126914656</v>
      </c>
      <c r="Y138" s="163"/>
      <c r="Z138" s="1579">
        <f>(X138/X131-1)*100</f>
        <v>-8.659397867948682</v>
      </c>
      <c r="AA138" s="163"/>
      <c r="AB138" s="1554">
        <f>+qtrSales!AE139</f>
        <v>4.2072933333333333</v>
      </c>
      <c r="AC138" s="163"/>
      <c r="AD138" s="1568">
        <f>H138/AB138</f>
        <v>76.729377873977569</v>
      </c>
      <c r="AE138" s="163"/>
      <c r="AF138" s="1579">
        <f>(AD138/AD131-1)*100</f>
        <v>-2.2432374640890873</v>
      </c>
      <c r="AG138" s="163"/>
      <c r="AH138" s="1570">
        <f>((F138-('yrP&amp;L'!$T$16/4))/J138)</f>
        <v>1.143828057111375</v>
      </c>
      <c r="AI138" s="1571"/>
    </row>
    <row r="139" spans="1:35">
      <c r="A139" s="163" t="str">
        <f>$A$13</f>
        <v>3Q</v>
      </c>
      <c r="B139" s="163" t="str">
        <f>$B$13</f>
        <v>Oct</v>
      </c>
      <c r="C139" s="163"/>
      <c r="D139" s="1555">
        <f>+'qtrP&amp;L'!CA12</f>
        <v>692.86400000000003</v>
      </c>
      <c r="E139" s="163"/>
      <c r="F139" s="1555">
        <f>+'qtrP&amp;L'!CA22</f>
        <v>432.04300000000001</v>
      </c>
      <c r="G139" s="163"/>
      <c r="H139" s="1555">
        <f>+work!BV12</f>
        <v>395.40600000000001</v>
      </c>
      <c r="I139" s="163"/>
      <c r="J139" s="1555">
        <f>AVERAGE(H138:H139)</f>
        <v>359.11450000000002</v>
      </c>
      <c r="K139" s="163"/>
      <c r="L139" s="1563">
        <f>(D139/D132-1)*100</f>
        <v>13.593014543743553</v>
      </c>
      <c r="M139" s="163"/>
      <c r="N139" s="1563">
        <f>(H139/H132-1)*100</f>
        <v>7.6207040148935645</v>
      </c>
      <c r="O139" s="163"/>
      <c r="P139" s="1563">
        <f>(H139/H138-1)*100</f>
        <v>22.483837892591296</v>
      </c>
      <c r="Q139" s="163"/>
      <c r="R139" s="1556">
        <f>F139/J139</f>
        <v>1.2030786838181136</v>
      </c>
      <c r="S139" s="163"/>
      <c r="T139" s="1556">
        <f>F140/H139</f>
        <v>1.3736387409396924</v>
      </c>
      <c r="U139" s="163"/>
      <c r="V139" s="163">
        <f>qtrSales!K140</f>
        <v>467</v>
      </c>
      <c r="W139" s="163"/>
      <c r="X139" s="1556">
        <f>H139/V139</f>
        <v>0.84669379014989299</v>
      </c>
      <c r="Y139" s="163"/>
      <c r="Z139" s="1579">
        <f>(X139/X132-1)*100</f>
        <v>-5.9759159784227407</v>
      </c>
      <c r="AA139" s="163"/>
      <c r="AB139" s="1554">
        <f>+qtrSales!AE140</f>
        <v>4.2983599200000011</v>
      </c>
      <c r="AC139" s="163"/>
      <c r="AD139" s="1568">
        <f>H139/AB139</f>
        <v>91.9899699790612</v>
      </c>
      <c r="AE139" s="163"/>
      <c r="AF139" s="1579">
        <f>(AD139/AD132-1)*100</f>
        <v>-0.87232188936152699</v>
      </c>
      <c r="AG139" s="163"/>
      <c r="AH139" s="1570">
        <f>((F139-('yrP&amp;L'!$T$16/4))/J139)</f>
        <v>1.0201376789297008</v>
      </c>
      <c r="AI139" s="1571"/>
    </row>
    <row r="140" spans="1:35">
      <c r="A140" s="163" t="str">
        <f>$A$14</f>
        <v>4Q</v>
      </c>
      <c r="B140" s="163" t="str">
        <f>$B$14</f>
        <v>Jan</v>
      </c>
      <c r="C140" s="163"/>
      <c r="D140" s="1557">
        <f>+'qtrP&amp;L'!CA13</f>
        <v>856.86200000000019</v>
      </c>
      <c r="E140" s="163"/>
      <c r="F140" s="1557">
        <f>+'qtrP&amp;L'!CA23</f>
        <v>543.14499999999998</v>
      </c>
      <c r="G140" s="163"/>
      <c r="H140" s="1558">
        <f>+work!BV13</f>
        <v>282.411</v>
      </c>
      <c r="I140" s="163"/>
      <c r="J140" s="1557">
        <f>AVERAGE(H139:H140)</f>
        <v>338.9085</v>
      </c>
      <c r="K140" s="163"/>
      <c r="L140" s="1566">
        <f>(D140/D133-1)*100</f>
        <v>17.274255181701736</v>
      </c>
      <c r="M140" s="163"/>
      <c r="N140" s="1564">
        <f>(H140/H133-1)*100</f>
        <v>12.931424024184945</v>
      </c>
      <c r="O140" s="163"/>
      <c r="P140" s="1563">
        <f>(H140/H139-1)*100</f>
        <v>-28.576956343606319</v>
      </c>
      <c r="Q140" s="163"/>
      <c r="R140" s="1556">
        <f>F140/J140</f>
        <v>1.6026302084485931</v>
      </c>
      <c r="S140" s="163"/>
      <c r="T140" s="1556">
        <f>F144/H140</f>
        <v>1.4495469369110976</v>
      </c>
      <c r="U140" s="163"/>
      <c r="V140" s="163">
        <f>qtrSales!K141</f>
        <v>476</v>
      </c>
      <c r="W140" s="163"/>
      <c r="X140" s="1556">
        <f>H140/V140</f>
        <v>0.59330042016806728</v>
      </c>
      <c r="Y140" s="163"/>
      <c r="Z140" s="1564">
        <f>(X140/X133-1)*100</f>
        <v>1.7806321562507055</v>
      </c>
      <c r="AA140" s="163"/>
      <c r="AB140" s="1554">
        <f>+qtrSales!AE141</f>
        <v>4.3885186266666674</v>
      </c>
      <c r="AC140" s="163"/>
      <c r="AD140" s="1568">
        <f>H140/AB140</f>
        <v>64.352239109557431</v>
      </c>
      <c r="AE140" s="163"/>
      <c r="AF140" s="1579">
        <f>(AD140/AD133-1)*100</f>
        <v>5.2859687885813411</v>
      </c>
      <c r="AG140" s="163"/>
      <c r="AH140" s="1570">
        <f>((F140-('yrP&amp;L'!$T$16/4))/J140)</f>
        <v>1.4087821122810436</v>
      </c>
      <c r="AI140" s="1572"/>
    </row>
    <row r="141" spans="1:35">
      <c r="A141" s="163"/>
      <c r="B141" s="163" t="str">
        <f>$B$15</f>
        <v>Year</v>
      </c>
      <c r="C141" s="163"/>
      <c r="D141" s="1552">
        <f>+'qtrP&amp;L'!CA14</f>
        <v>2794.9250000000002</v>
      </c>
      <c r="E141" s="163"/>
      <c r="F141" s="1552">
        <f>+'qtrP&amp;L'!CA24</f>
        <v>1763.394</v>
      </c>
      <c r="G141" s="163"/>
      <c r="H141" s="163"/>
      <c r="I141" s="163"/>
      <c r="J141" s="1552">
        <f>AVERAGE(J137:J140)</f>
        <v>321.05525</v>
      </c>
      <c r="K141" s="163"/>
      <c r="L141" s="1563">
        <f>(D141/D134-1)*100</f>
        <v>12.980995641929161</v>
      </c>
      <c r="M141" s="163"/>
      <c r="N141" s="1564"/>
      <c r="O141" s="163"/>
      <c r="P141" s="1564"/>
      <c r="Q141" s="163"/>
      <c r="R141" s="1567">
        <f>F141/J141</f>
        <v>5.4924938931850518</v>
      </c>
      <c r="S141" s="1561" t="s">
        <v>327</v>
      </c>
      <c r="T141" s="1556"/>
      <c r="U141" s="163"/>
      <c r="V141" s="163"/>
      <c r="W141" s="163"/>
      <c r="X141" s="163"/>
      <c r="Y141" s="163"/>
      <c r="Z141" s="163"/>
      <c r="AA141" s="163"/>
      <c r="AB141" s="1584"/>
      <c r="AC141" s="163"/>
      <c r="AD141" s="163"/>
      <c r="AE141" s="163"/>
      <c r="AF141" s="163"/>
      <c r="AG141" s="163"/>
      <c r="AH141" s="1573">
        <f>(F141-'yrP&amp;L'!$T$16)/J141</f>
        <v>4.6739834654627197</v>
      </c>
      <c r="AI141" s="1574"/>
    </row>
    <row r="142" spans="1:35">
      <c r="A142" s="163"/>
      <c r="B142" s="163"/>
      <c r="C142" s="163"/>
      <c r="D142" s="1552"/>
      <c r="E142" s="163"/>
      <c r="F142" s="1552"/>
      <c r="G142" s="163"/>
      <c r="H142" s="163"/>
      <c r="I142" s="163"/>
      <c r="J142" s="1552"/>
      <c r="K142" s="163"/>
      <c r="L142" s="1563"/>
      <c r="M142" s="163"/>
      <c r="N142" s="1564"/>
      <c r="O142" s="163"/>
      <c r="P142" s="1564"/>
      <c r="Q142" s="163"/>
      <c r="R142" s="1580"/>
      <c r="S142" s="1581"/>
      <c r="T142" s="1556"/>
      <c r="U142" s="163"/>
      <c r="V142" s="163"/>
      <c r="W142" s="163"/>
      <c r="X142" s="163"/>
      <c r="Y142" s="163"/>
      <c r="Z142" s="163"/>
      <c r="AA142" s="163"/>
      <c r="AB142" s="1584"/>
      <c r="AC142" s="163"/>
      <c r="AD142" s="163"/>
      <c r="AE142" s="163"/>
      <c r="AF142" s="163"/>
      <c r="AG142" s="163"/>
      <c r="AH142" s="1570"/>
      <c r="AI142" s="1582"/>
    </row>
    <row r="143" spans="1:35">
      <c r="A143" s="163"/>
      <c r="B143" s="1562">
        <f>B136+1</f>
        <v>2013</v>
      </c>
      <c r="C143" s="163"/>
      <c r="D143" s="1552"/>
      <c r="E143" s="163"/>
      <c r="F143" s="1552"/>
      <c r="G143" s="163"/>
      <c r="H143" s="163"/>
      <c r="I143" s="163"/>
      <c r="J143" s="1552"/>
      <c r="K143" s="163"/>
      <c r="L143" s="1563"/>
      <c r="M143" s="163"/>
      <c r="N143" s="1564"/>
      <c r="O143" s="163"/>
      <c r="P143" s="1564"/>
      <c r="Q143" s="163"/>
      <c r="R143" s="1580"/>
      <c r="S143" s="1581"/>
      <c r="T143" s="1556"/>
      <c r="U143" s="163"/>
      <c r="V143" s="163"/>
      <c r="W143" s="163"/>
      <c r="X143" s="163"/>
      <c r="Y143" s="163"/>
      <c r="Z143" s="163"/>
      <c r="AA143" s="163"/>
      <c r="AB143" s="1584"/>
      <c r="AC143" s="163"/>
      <c r="AD143" s="163"/>
      <c r="AE143" s="163"/>
      <c r="AF143" s="163"/>
      <c r="AG143" s="163"/>
      <c r="AH143" s="1570"/>
      <c r="AI143" s="1582"/>
    </row>
    <row r="144" spans="1:35">
      <c r="A144" s="163" t="str">
        <f>$A$11</f>
        <v>1Q</v>
      </c>
      <c r="B144" s="163" t="str">
        <f>$B$11</f>
        <v>Apr</v>
      </c>
      <c r="C144" s="163"/>
      <c r="D144" s="1552">
        <f>'qtrP&amp;L'!CE10</f>
        <v>648.17700000000002</v>
      </c>
      <c r="E144" s="163"/>
      <c r="F144" s="1552">
        <f>'qtrP&amp;L'!CE20</f>
        <v>409.36799999999999</v>
      </c>
      <c r="G144" s="163"/>
      <c r="H144" s="1552">
        <f>work!BZ10</f>
        <v>325.471</v>
      </c>
      <c r="I144" s="163"/>
      <c r="J144" s="1552">
        <f>AVERAGE(H144,H140)</f>
        <v>303.94100000000003</v>
      </c>
      <c r="K144" s="163"/>
      <c r="L144" s="1563">
        <f>(D144/D137-1)*100</f>
        <v>13.92913012145609</v>
      </c>
      <c r="M144" s="163" t="s">
        <v>208</v>
      </c>
      <c r="N144" s="1563">
        <f>(H144/H137-1)*100</f>
        <v>8.5808173477898144</v>
      </c>
      <c r="O144" s="163" t="s">
        <v>208</v>
      </c>
      <c r="P144" s="1563">
        <f>(H144/H140-1)*100</f>
        <v>15.24728144441967</v>
      </c>
      <c r="Q144" s="163" t="s">
        <v>208</v>
      </c>
      <c r="R144" s="1556">
        <f>F144/J144</f>
        <v>1.3468666616218277</v>
      </c>
      <c r="S144" s="163" t="s">
        <v>327</v>
      </c>
      <c r="T144" s="1556">
        <f>F145/H144</f>
        <v>1.4141997290081143</v>
      </c>
      <c r="U144" s="163"/>
      <c r="V144" s="163">
        <f>qtrSales!K145</f>
        <v>482</v>
      </c>
      <c r="W144" s="163"/>
      <c r="X144" s="1553">
        <f>H144/V144</f>
        <v>0.6752510373443984</v>
      </c>
      <c r="Y144" s="163"/>
      <c r="Z144" s="1579">
        <f>(X144/X137-1)*100</f>
        <v>-0.20476745835913412</v>
      </c>
      <c r="AA144" s="164" t="s">
        <v>208</v>
      </c>
      <c r="AB144" s="1554">
        <f>+qtrSales!AE145</f>
        <v>4.423122666666667</v>
      </c>
      <c r="AC144" s="163"/>
      <c r="AD144" s="1568">
        <f>H144/AB144</f>
        <v>73.583986818362405</v>
      </c>
      <c r="AE144" s="163"/>
      <c r="AF144" s="1579">
        <f>(AD144/AD137-1)*100</f>
        <v>2.7293172490560291</v>
      </c>
      <c r="AG144" s="163"/>
      <c r="AH144" s="1570">
        <f>((F144-('yrP&amp;L'!$U$16/4))/J144)</f>
        <v>1.109628295458658</v>
      </c>
      <c r="AI144" s="1571"/>
    </row>
    <row r="145" spans="1:35">
      <c r="A145" s="163" t="str">
        <f>$A$12</f>
        <v>2Q</v>
      </c>
      <c r="B145" s="163" t="str">
        <f>$B$12</f>
        <v>Jul</v>
      </c>
      <c r="C145" s="163"/>
      <c r="D145" s="1555">
        <f>'qtrP&amp;L'!CE11</f>
        <v>758.524</v>
      </c>
      <c r="E145" s="163"/>
      <c r="F145" s="1555">
        <f>'qtrP&amp;L'!CE21</f>
        <v>460.28100000000001</v>
      </c>
      <c r="G145" s="163"/>
      <c r="H145" s="1555">
        <f>work!BZ11</f>
        <v>347.06400000000002</v>
      </c>
      <c r="I145" s="163"/>
      <c r="J145" s="1555">
        <f>AVERAGE(H144:H145)</f>
        <v>336.26750000000004</v>
      </c>
      <c r="K145" s="163"/>
      <c r="L145" s="1563">
        <f>(D145/D138-1)*100</f>
        <v>12.163059374302243</v>
      </c>
      <c r="M145" s="163"/>
      <c r="N145" s="1563">
        <f>(H145/H138-1)*100</f>
        <v>7.5090684368833926</v>
      </c>
      <c r="O145" s="163"/>
      <c r="P145" s="1563">
        <f>(H145/H144-1)*100</f>
        <v>6.6343852447683593</v>
      </c>
      <c r="Q145" s="163"/>
      <c r="R145" s="1556">
        <f>F145/J145</f>
        <v>1.3687941891500068</v>
      </c>
      <c r="S145" s="163"/>
      <c r="T145" s="1556">
        <f>F146/H145</f>
        <v>1.3881128552658875</v>
      </c>
      <c r="U145" s="163"/>
      <c r="V145" s="163">
        <f>qtrSales!K146</f>
        <v>491</v>
      </c>
      <c r="W145" s="163"/>
      <c r="X145" s="1556">
        <f>H145/V145</f>
        <v>0.70685132382892057</v>
      </c>
      <c r="Y145" s="163"/>
      <c r="Z145" s="1579">
        <f>(X145/X138-1)*100</f>
        <v>6.4448626590030145E-2</v>
      </c>
      <c r="AA145" s="163"/>
      <c r="AB145" s="1554">
        <f>+qtrSales!AE146</f>
        <v>4.4838426666666669</v>
      </c>
      <c r="AC145" s="163"/>
      <c r="AD145" s="1568">
        <f>H145/AB145</f>
        <v>77.403251139944842</v>
      </c>
      <c r="AE145" s="163"/>
      <c r="AF145" s="1579">
        <f>(AD145/AD138-1)*100</f>
        <v>0.87824674803704816</v>
      </c>
      <c r="AG145" s="163"/>
      <c r="AH145" s="1570">
        <f>((F145-('yrP&amp;L'!$U$16/4))/J145)</f>
        <v>1.1543623268677465</v>
      </c>
      <c r="AI145" s="1571"/>
    </row>
    <row r="146" spans="1:35">
      <c r="A146" s="163" t="str">
        <f>$A$13</f>
        <v>3Q</v>
      </c>
      <c r="B146" s="163" t="str">
        <f>$B$13</f>
        <v>Oct</v>
      </c>
      <c r="C146" s="163"/>
      <c r="D146" s="1555">
        <f>'qtrP&amp;L'!CE12</f>
        <v>774.04899999999998</v>
      </c>
      <c r="E146" s="163"/>
      <c r="F146" s="1555">
        <f>'qtrP&amp;L'!CE22</f>
        <v>481.76400000000001</v>
      </c>
      <c r="G146" s="163"/>
      <c r="H146" s="1555">
        <f>work!BZ12</f>
        <v>406.71199999999999</v>
      </c>
      <c r="I146" s="163"/>
      <c r="J146" s="1555">
        <f>AVERAGE(H145:H146)</f>
        <v>376.88800000000003</v>
      </c>
      <c r="K146" s="163"/>
      <c r="L146" s="1563">
        <f>(D146/D139-1)*100</f>
        <v>11.717306715314969</v>
      </c>
      <c r="M146" s="163"/>
      <c r="N146" s="1563">
        <f>(H146/H139-1)*100</f>
        <v>2.8593395143219791</v>
      </c>
      <c r="O146" s="163"/>
      <c r="P146" s="1563">
        <f>(H146/H145-1)*100</f>
        <v>17.18645552405318</v>
      </c>
      <c r="Q146" s="163"/>
      <c r="R146" s="1556">
        <f>F146/J146</f>
        <v>1.2782683449725116</v>
      </c>
      <c r="S146" s="163"/>
      <c r="T146" s="1556">
        <f>F147/H146</f>
        <v>1.4109566474556934</v>
      </c>
      <c r="U146" s="163"/>
      <c r="V146" s="163">
        <f>qtrSales!K147</f>
        <v>500</v>
      </c>
      <c r="W146" s="163"/>
      <c r="X146" s="1556">
        <f>H146/V146</f>
        <v>0.81342399999999992</v>
      </c>
      <c r="Y146" s="163"/>
      <c r="Z146" s="1579">
        <f>(X146/X139-1)*100</f>
        <v>-3.929376893623282</v>
      </c>
      <c r="AA146" s="163"/>
      <c r="AB146" s="1554">
        <f>+qtrSales!AE147</f>
        <v>4.552617333333334</v>
      </c>
      <c r="AC146" s="163"/>
      <c r="AD146" s="1568">
        <f>H146/AB146</f>
        <v>89.335863355379729</v>
      </c>
      <c r="AE146" s="163"/>
      <c r="AF146" s="1579">
        <f>(AD146/AD139-1)*100</f>
        <v>-2.8852130556033417</v>
      </c>
      <c r="AG146" s="163"/>
      <c r="AH146" s="1570">
        <f>((F146-('yrP&amp;L'!$U$16/4))/J146)</f>
        <v>1.0869476707934453</v>
      </c>
      <c r="AI146" s="1571"/>
    </row>
    <row r="147" spans="1:35">
      <c r="A147" s="163" t="str">
        <f>$A$14</f>
        <v>4Q</v>
      </c>
      <c r="B147" s="163" t="str">
        <f>$B$14</f>
        <v>Jan</v>
      </c>
      <c r="C147" s="163"/>
      <c r="D147" s="1557">
        <f>'qtrP&amp;L'!CE13</f>
        <v>905.85799999999995</v>
      </c>
      <c r="E147" s="163"/>
      <c r="F147" s="1557">
        <f>'qtrP&amp;L'!CE23</f>
        <v>573.85299999999995</v>
      </c>
      <c r="G147" s="163"/>
      <c r="H147" s="1558">
        <f>work!BZ13</f>
        <v>311.20699999999999</v>
      </c>
      <c r="I147" s="163"/>
      <c r="J147" s="1557">
        <f>AVERAGE(H146:H147)</f>
        <v>358.95949999999999</v>
      </c>
      <c r="K147" s="163"/>
      <c r="L147" s="1566">
        <f>(D147/D140-1)*100</f>
        <v>5.7180736221234874</v>
      </c>
      <c r="M147" s="163"/>
      <c r="N147" s="1564">
        <f>(H147/H140-1)*100</f>
        <v>10.196486680759609</v>
      </c>
      <c r="O147" s="163"/>
      <c r="P147" s="1563">
        <f>(H147/H146-1)*100</f>
        <v>-23.482218375656483</v>
      </c>
      <c r="Q147" s="163"/>
      <c r="R147" s="1556">
        <f>F147/J147</f>
        <v>1.5986566729672844</v>
      </c>
      <c r="S147" s="163"/>
      <c r="T147" s="1556">
        <f>F148/H147</f>
        <v>6.1864482482720504</v>
      </c>
      <c r="U147" s="163"/>
      <c r="V147" s="163">
        <f>qtrSales!K148</f>
        <v>511</v>
      </c>
      <c r="W147" s="163"/>
      <c r="X147" s="1556">
        <f>H147/V147</f>
        <v>0.60901565557729942</v>
      </c>
      <c r="Y147" s="163"/>
      <c r="Z147" s="1564">
        <f>(X147/X140-1)*100</f>
        <v>2.6487821135842804</v>
      </c>
      <c r="AA147" s="163"/>
      <c r="AB147" s="1554">
        <f>+qtrSales!AE148</f>
        <v>4.6388280000000002</v>
      </c>
      <c r="AC147" s="163"/>
      <c r="AD147" s="1569">
        <f>H147/AB147</f>
        <v>67.087419494751686</v>
      </c>
      <c r="AE147" s="163"/>
      <c r="AF147" s="1579">
        <f>(AD147/AD140-1)*100</f>
        <v>4.2503266755609115</v>
      </c>
      <c r="AG147" s="163"/>
      <c r="AH147" s="1570">
        <f>((F147-('yrP&amp;L'!$U$16/4))/J147)</f>
        <v>1.3977803449971375</v>
      </c>
      <c r="AI147" s="1572"/>
    </row>
    <row r="148" spans="1:35">
      <c r="A148" s="163"/>
      <c r="B148" s="163" t="str">
        <f>$B$15</f>
        <v>Year</v>
      </c>
      <c r="C148" s="163"/>
      <c r="D148" s="1552">
        <f>'qtrP&amp;L'!CE14</f>
        <v>3086.6080000000002</v>
      </c>
      <c r="E148" s="163"/>
      <c r="F148" s="1552">
        <f>'qtrP&amp;L'!CE24</f>
        <v>1925.2660000000001</v>
      </c>
      <c r="G148" s="163"/>
      <c r="H148" s="163"/>
      <c r="I148" s="163"/>
      <c r="J148" s="1552">
        <f>AVERAGE(J144:J147)</f>
        <v>344.01400000000001</v>
      </c>
      <c r="K148" s="163"/>
      <c r="L148" s="1563">
        <f>(D148/D141-1)*100</f>
        <v>10.436165550059485</v>
      </c>
      <c r="M148" s="163"/>
      <c r="N148" s="1564"/>
      <c r="O148" s="163"/>
      <c r="P148" s="1564"/>
      <c r="Q148" s="163"/>
      <c r="R148" s="1567">
        <f>F148/J148</f>
        <v>5.5964757248251527</v>
      </c>
      <c r="S148" s="1561" t="s">
        <v>327</v>
      </c>
      <c r="T148" s="1556"/>
      <c r="U148" s="163"/>
      <c r="V148" s="163"/>
      <c r="W148" s="163"/>
      <c r="X148" s="163"/>
      <c r="Y148" s="163"/>
      <c r="Z148" s="163"/>
      <c r="AA148" s="163"/>
      <c r="AB148" s="1584"/>
      <c r="AC148" s="163"/>
      <c r="AD148" s="163"/>
      <c r="AE148" s="163"/>
      <c r="AF148" s="163"/>
      <c r="AG148" s="163"/>
      <c r="AH148" s="1573">
        <f>(F148-'yrP&amp;L'!$U$16)/J148</f>
        <v>4.7580625643142431</v>
      </c>
      <c r="AI148" s="1574"/>
    </row>
    <row r="149" spans="1:35">
      <c r="A149" s="163"/>
      <c r="B149" s="163"/>
      <c r="C149" s="163"/>
      <c r="D149" s="163"/>
      <c r="E149" s="163"/>
      <c r="F149" s="163"/>
      <c r="G149" s="163"/>
      <c r="H149" s="163"/>
      <c r="I149" s="163"/>
      <c r="J149" s="163"/>
      <c r="K149" s="163"/>
      <c r="L149" s="163"/>
      <c r="M149" s="163"/>
      <c r="N149" s="163"/>
      <c r="O149" s="163"/>
      <c r="P149" s="163"/>
      <c r="Q149" s="163"/>
      <c r="R149" s="1577"/>
      <c r="S149" s="163"/>
      <c r="T149" s="1556"/>
      <c r="U149" s="163"/>
      <c r="V149" s="163"/>
      <c r="W149" s="163"/>
      <c r="X149" s="163"/>
      <c r="Y149" s="163"/>
      <c r="Z149" s="163"/>
      <c r="AA149" s="163"/>
      <c r="AB149" s="1575"/>
      <c r="AC149" s="163"/>
      <c r="AD149" s="163"/>
      <c r="AE149" s="163"/>
      <c r="AF149" s="163"/>
      <c r="AG149" s="163"/>
      <c r="AH149" s="163"/>
      <c r="AI149" s="163"/>
    </row>
    <row r="150" spans="1:35">
      <c r="A150" s="163"/>
      <c r="B150" s="1562">
        <f>B143+1</f>
        <v>2014</v>
      </c>
      <c r="C150" s="163"/>
      <c r="D150" s="1552"/>
      <c r="E150" s="163"/>
      <c r="F150" s="1552"/>
      <c r="G150" s="163"/>
      <c r="H150" s="163"/>
      <c r="I150" s="163"/>
      <c r="J150" s="1552"/>
      <c r="K150" s="163"/>
      <c r="L150" s="1563"/>
      <c r="M150" s="163"/>
      <c r="N150" s="1564"/>
      <c r="O150" s="163"/>
      <c r="P150" s="1564"/>
      <c r="Q150" s="163"/>
      <c r="R150" s="1580"/>
      <c r="S150" s="1581"/>
      <c r="T150" s="1556"/>
      <c r="U150" s="163"/>
      <c r="V150" s="163"/>
      <c r="W150" s="163"/>
      <c r="X150" s="163"/>
      <c r="Y150" s="163"/>
      <c r="Z150" s="163"/>
      <c r="AA150" s="163"/>
      <c r="AB150" s="1584"/>
      <c r="AC150" s="163"/>
      <c r="AD150" s="163"/>
      <c r="AE150" s="163"/>
      <c r="AF150" s="163"/>
      <c r="AG150" s="163"/>
      <c r="AH150" s="1570"/>
      <c r="AI150" s="1582"/>
    </row>
    <row r="151" spans="1:35">
      <c r="A151" s="163" t="str">
        <f>$A$11</f>
        <v>1Q</v>
      </c>
      <c r="B151" s="163" t="str">
        <f>$B$11</f>
        <v>Apr</v>
      </c>
      <c r="C151" s="163"/>
      <c r="D151" s="1552">
        <f>'qtrP&amp;L'!CI10</f>
        <v>686.31</v>
      </c>
      <c r="E151" s="163"/>
      <c r="F151" s="1552">
        <f>'qtrP&amp;L'!CI20</f>
        <v>447.79899999999998</v>
      </c>
      <c r="G151" s="163"/>
      <c r="H151" s="1552">
        <f>work!CD10</f>
        <v>349.04500000000002</v>
      </c>
      <c r="I151" s="163"/>
      <c r="J151" s="1552">
        <f>AVERAGE(H151,H147)</f>
        <v>330.12599999999998</v>
      </c>
      <c r="K151" s="163"/>
      <c r="L151" s="1563">
        <f>(D151/D144-1)*100</f>
        <v>5.8831152601835468</v>
      </c>
      <c r="M151" s="163" t="s">
        <v>208</v>
      </c>
      <c r="N151" s="1563">
        <f>(H151/H144-1)*100</f>
        <v>7.2430416227559524</v>
      </c>
      <c r="O151" s="163" t="s">
        <v>208</v>
      </c>
      <c r="P151" s="1563">
        <f>(H151/H147-1)*100</f>
        <v>12.158466872531793</v>
      </c>
      <c r="Q151" s="163" t="s">
        <v>208</v>
      </c>
      <c r="R151" s="1556">
        <f>F151/J151</f>
        <v>1.3564487498712614</v>
      </c>
      <c r="S151" s="163" t="s">
        <v>327</v>
      </c>
      <c r="T151" s="1556">
        <f>F152/H151</f>
        <v>1.455385408758183</v>
      </c>
      <c r="U151" s="163"/>
      <c r="V151" s="163">
        <f>qtrSales!K152</f>
        <v>516</v>
      </c>
      <c r="W151" s="163"/>
      <c r="X151" s="1553">
        <f>H151/V151</f>
        <v>0.67644379844961244</v>
      </c>
      <c r="Y151" s="163"/>
      <c r="Z151" s="1579">
        <f>(X151/X144-1)*100</f>
        <v>0.17663965536505177</v>
      </c>
      <c r="AA151" s="164" t="s">
        <v>208</v>
      </c>
      <c r="AB151" s="1554">
        <f>+qtrSales!AE152</f>
        <v>4.7054240000000007</v>
      </c>
      <c r="AC151" s="163"/>
      <c r="AD151" s="1568">
        <f>H151/AB151</f>
        <v>74.179287562608593</v>
      </c>
      <c r="AE151" s="163"/>
      <c r="AF151" s="1579">
        <f>(AD151/AD144-1)*100</f>
        <v>0.8090085492590271</v>
      </c>
      <c r="AG151" s="163"/>
      <c r="AH151" s="1570">
        <f>((F151-('yrP&amp;L'!$V$16/4))/J151)</f>
        <v>1.110420809024433</v>
      </c>
      <c r="AI151" s="1571"/>
    </row>
    <row r="152" spans="1:35">
      <c r="A152" s="163" t="str">
        <f>$A$12</f>
        <v>2Q</v>
      </c>
      <c r="B152" s="163" t="str">
        <f>$B$12</f>
        <v>Jul</v>
      </c>
      <c r="C152" s="163"/>
      <c r="D152" s="1555">
        <f>'qtrP&amp;L'!CI11</f>
        <v>811.25300000000004</v>
      </c>
      <c r="E152" s="163"/>
      <c r="F152" s="1555">
        <f>'qtrP&amp;L'!CI21</f>
        <v>507.995</v>
      </c>
      <c r="G152" s="163"/>
      <c r="H152" s="1555">
        <f>work!CD11</f>
        <v>362.02800000000002</v>
      </c>
      <c r="I152" s="163"/>
      <c r="J152" s="1555">
        <f>AVERAGE(H151:H152)</f>
        <v>355.53650000000005</v>
      </c>
      <c r="K152" s="163"/>
      <c r="L152" s="1563">
        <f>(D152/D145-1)*100</f>
        <v>6.9515269127937929</v>
      </c>
      <c r="M152" s="163"/>
      <c r="N152" s="1563">
        <f>(H152/H145-1)*100</f>
        <v>4.3115967083880768</v>
      </c>
      <c r="O152" s="163"/>
      <c r="P152" s="1563">
        <f>(H152/H151-1)*100</f>
        <v>3.7195777048804501</v>
      </c>
      <c r="Q152" s="163"/>
      <c r="R152" s="1556">
        <f>F152/J152</f>
        <v>1.4288125129206142</v>
      </c>
      <c r="S152" s="163"/>
      <c r="T152" s="1556">
        <f>F153/H152</f>
        <v>1.4665882196957141</v>
      </c>
      <c r="U152" s="163"/>
      <c r="V152" s="163">
        <f>qtrSales!K153</f>
        <v>525</v>
      </c>
      <c r="W152" s="163"/>
      <c r="X152" s="1556">
        <f>H152/V152</f>
        <v>0.68957714285714289</v>
      </c>
      <c r="Y152" s="163"/>
      <c r="Z152" s="1579">
        <f>(X152/X145-1)*100</f>
        <v>-2.4438209832027602</v>
      </c>
      <c r="AA152" s="163"/>
      <c r="AB152" s="1554">
        <f>+qtrSales!AE153</f>
        <v>4.7944760000000004</v>
      </c>
      <c r="AC152" s="163"/>
      <c r="AD152" s="1568">
        <f>H152/AB152</f>
        <v>75.509398733041934</v>
      </c>
      <c r="AE152" s="163"/>
      <c r="AF152" s="1579">
        <f>(AD152/AD145-1)*100</f>
        <v>-2.4467349614021083</v>
      </c>
      <c r="AG152" s="163"/>
      <c r="AH152" s="1570">
        <f>((F152-('yrP&amp;L'!$V$16/4))/J152)</f>
        <v>1.2003684009939906</v>
      </c>
      <c r="AI152" s="1571"/>
    </row>
    <row r="153" spans="1:35">
      <c r="A153" s="163" t="str">
        <f>$A$13</f>
        <v>3Q</v>
      </c>
      <c r="B153" s="163" t="str">
        <f>$B$13</f>
        <v>Oct</v>
      </c>
      <c r="C153" s="163"/>
      <c r="D153" s="1555">
        <f>'qtrP&amp;L'!CI12</f>
        <v>814.47</v>
      </c>
      <c r="E153" s="163"/>
      <c r="F153" s="1555">
        <f>'qtrP&amp;L'!CI22</f>
        <v>530.94600000000003</v>
      </c>
      <c r="G153" s="163"/>
      <c r="H153" s="1555">
        <f>work!CD12</f>
        <v>467.09699999999998</v>
      </c>
      <c r="I153" s="163"/>
      <c r="J153" s="1555">
        <f>AVERAGE(H152:H153)</f>
        <v>414.5625</v>
      </c>
      <c r="K153" s="163"/>
      <c r="L153" s="1563">
        <f>(D153/D146-1)*100</f>
        <v>5.2220208281387848</v>
      </c>
      <c r="M153" s="163"/>
      <c r="N153" s="1563">
        <f>(H153/H146-1)*100</f>
        <v>14.847115403528788</v>
      </c>
      <c r="O153" s="163"/>
      <c r="P153" s="1563">
        <f>(H153/H152-1)*100</f>
        <v>29.022340813417724</v>
      </c>
      <c r="Q153" s="163"/>
      <c r="R153" s="1556">
        <f>F153/J153</f>
        <v>1.2807381275440977</v>
      </c>
      <c r="S153" s="163"/>
      <c r="T153" s="1556">
        <f>F154/H153</f>
        <v>1.4159949646433183</v>
      </c>
      <c r="U153" s="163"/>
      <c r="V153" s="163">
        <f>qtrSales!K154</f>
        <v>539</v>
      </c>
      <c r="W153" s="163"/>
      <c r="X153" s="1556">
        <f>H153/V153</f>
        <v>0.86659925788497216</v>
      </c>
      <c r="Y153" s="163"/>
      <c r="Z153" s="1579">
        <f>(X153/X146-1)*100</f>
        <v>6.5372128047576972</v>
      </c>
      <c r="AA153" s="163"/>
      <c r="AB153" s="1554">
        <f>+qtrSales!AE154</f>
        <v>4.8930293333333337</v>
      </c>
      <c r="AC153" s="163"/>
      <c r="AD153" s="1568">
        <f>H153/AB153</f>
        <v>95.461720782653515</v>
      </c>
      <c r="AE153" s="163"/>
      <c r="AF153" s="1579">
        <f>(AD153/AD146-1)*100</f>
        <v>6.8571088890751586</v>
      </c>
      <c r="AG153" s="163"/>
      <c r="AH153" s="1570">
        <f>((F153-('yrP&amp;L'!$V$16/4))/J153)</f>
        <v>1.0848202140811096</v>
      </c>
      <c r="AI153" s="1571"/>
    </row>
    <row r="154" spans="1:35">
      <c r="A154" s="163" t="str">
        <f>$A$14</f>
        <v>4Q</v>
      </c>
      <c r="B154" s="163" t="str">
        <f>$B$14</f>
        <v>Jan</v>
      </c>
      <c r="C154" s="163"/>
      <c r="D154" s="1557">
        <f>'qtrP&amp;L'!CI13</f>
        <v>1011.044</v>
      </c>
      <c r="E154" s="163"/>
      <c r="F154" s="1557">
        <f>'qtrP&amp;L'!CI23</f>
        <v>661.40700000000004</v>
      </c>
      <c r="G154" s="163"/>
      <c r="H154" s="1558">
        <f>bal!AS12</f>
        <v>358.23700000000002</v>
      </c>
      <c r="I154" s="163"/>
      <c r="J154" s="1557">
        <f>AVERAGE(H153:H154)</f>
        <v>412.66700000000003</v>
      </c>
      <c r="K154" s="163"/>
      <c r="L154" s="1566">
        <f>(D154/D147-1)*100</f>
        <v>11.611753718573992</v>
      </c>
      <c r="M154" s="163"/>
      <c r="N154" s="1564">
        <f>(H154/H147-1)*100</f>
        <v>15.112127940566889</v>
      </c>
      <c r="O154" s="163"/>
      <c r="P154" s="1563">
        <f>(H154/H153-1)*100</f>
        <v>-23.305651716881069</v>
      </c>
      <c r="Q154" s="163"/>
      <c r="R154" s="1556">
        <f>F154/J154</f>
        <v>1.6027620333101509</v>
      </c>
      <c r="S154" s="163"/>
      <c r="T154" s="1556">
        <f>F155/H154</f>
        <v>5.996440903647585</v>
      </c>
      <c r="U154" s="163"/>
      <c r="V154" s="163">
        <f>qtrSales!K155</f>
        <v>546</v>
      </c>
      <c r="W154" s="163"/>
      <c r="X154" s="1556">
        <f>H154/V154</f>
        <v>0.6561117216117216</v>
      </c>
      <c r="Y154" s="163"/>
      <c r="Z154" s="1564">
        <f>(X154/X147-1)*100</f>
        <v>7.7331453802741423</v>
      </c>
      <c r="AA154" s="163"/>
      <c r="AB154" s="1554">
        <f>+qtrSales!AE155</f>
        <v>4.9647040000000002</v>
      </c>
      <c r="AC154" s="163"/>
      <c r="AD154" s="1569">
        <f>H154/AB154</f>
        <v>72.156769064177851</v>
      </c>
      <c r="AE154" s="163"/>
      <c r="AF154" s="1579">
        <f>(AD154/AD147-1)*100</f>
        <v>7.5563341198758627</v>
      </c>
      <c r="AG154" s="163"/>
      <c r="AH154" s="1570">
        <f>((F154-('yrP&amp;L'!$V$16/4))/J154)</f>
        <v>1.4059442116767271</v>
      </c>
      <c r="AI154" s="1572"/>
    </row>
    <row r="155" spans="1:35">
      <c r="A155" s="163"/>
      <c r="B155" s="163" t="str">
        <f>$B$15</f>
        <v>Year</v>
      </c>
      <c r="C155" s="163"/>
      <c r="D155" s="1552">
        <f>'qtrP&amp;L'!CI14</f>
        <v>3323.0770000000002</v>
      </c>
      <c r="E155" s="163"/>
      <c r="F155" s="1552">
        <f>'qtrP&amp;L'!CI24</f>
        <v>2148.1469999999999</v>
      </c>
      <c r="G155" s="163"/>
      <c r="H155" s="163"/>
      <c r="I155" s="163"/>
      <c r="J155" s="1552">
        <f>AVERAGE(J151:J154)</f>
        <v>378.22299999999996</v>
      </c>
      <c r="K155" s="163"/>
      <c r="L155" s="1563">
        <f>(D155/D148-1)*100</f>
        <v>7.6611283324607538</v>
      </c>
      <c r="M155" s="163"/>
      <c r="N155" s="1564"/>
      <c r="O155" s="163"/>
      <c r="P155" s="1564"/>
      <c r="Q155" s="163"/>
      <c r="R155" s="1567">
        <f>F155/J155</f>
        <v>5.6795779209619726</v>
      </c>
      <c r="S155" s="1561" t="s">
        <v>327</v>
      </c>
      <c r="T155" s="1556"/>
      <c r="U155" s="163"/>
      <c r="V155" s="163"/>
      <c r="W155" s="163"/>
      <c r="X155" s="163"/>
      <c r="Y155" s="163"/>
      <c r="Z155" s="163"/>
      <c r="AA155" s="163"/>
      <c r="AB155" s="1584"/>
      <c r="AC155" s="163"/>
      <c r="AD155" s="163"/>
      <c r="AE155" s="163"/>
      <c r="AF155" s="163"/>
      <c r="AG155" s="163"/>
      <c r="AH155" s="1573">
        <f>(F155-'yrP&amp;L'!$V$16)/J155</f>
        <v>4.8206114382255967</v>
      </c>
      <c r="AI155" s="1574"/>
    </row>
    <row r="156" spans="1:35">
      <c r="A156" s="163"/>
      <c r="B156" s="163"/>
      <c r="C156" s="163"/>
      <c r="D156" s="163"/>
      <c r="E156" s="163"/>
      <c r="F156" s="163"/>
      <c r="G156" s="163"/>
      <c r="H156" s="163"/>
      <c r="I156" s="163"/>
      <c r="J156" s="163"/>
      <c r="K156" s="163"/>
      <c r="L156" s="163"/>
      <c r="M156" s="163"/>
      <c r="N156" s="163"/>
      <c r="O156" s="163"/>
      <c r="P156" s="163"/>
      <c r="Q156" s="163"/>
      <c r="R156" s="1577"/>
      <c r="S156" s="163"/>
      <c r="T156" s="1556"/>
      <c r="U156" s="163"/>
      <c r="V156" s="163"/>
      <c r="W156" s="163"/>
      <c r="X156" s="163"/>
      <c r="Y156" s="163"/>
      <c r="Z156" s="163"/>
      <c r="AA156" s="163"/>
      <c r="AB156" s="1575"/>
      <c r="AC156" s="163"/>
      <c r="AD156" s="163"/>
      <c r="AE156" s="163"/>
      <c r="AF156" s="163"/>
      <c r="AG156" s="163"/>
      <c r="AH156" s="163"/>
      <c r="AI156" s="163"/>
    </row>
    <row r="157" spans="1:35">
      <c r="A157" s="163"/>
      <c r="B157" s="1562">
        <f>B150+1</f>
        <v>2015</v>
      </c>
      <c r="C157" s="163"/>
      <c r="D157" s="1552"/>
      <c r="E157" s="163"/>
      <c r="F157" s="1552"/>
      <c r="G157" s="163"/>
      <c r="H157" s="163"/>
      <c r="I157" s="163"/>
      <c r="J157" s="1552"/>
      <c r="K157" s="163"/>
      <c r="L157" s="1563"/>
      <c r="M157" s="163"/>
      <c r="N157" s="1564"/>
      <c r="O157" s="163"/>
      <c r="P157" s="1564"/>
      <c r="Q157" s="163"/>
      <c r="R157" s="1580"/>
      <c r="S157" s="1581"/>
      <c r="T157" s="1556"/>
      <c r="U157" s="163"/>
      <c r="V157" s="163"/>
      <c r="W157" s="163"/>
      <c r="X157" s="163"/>
      <c r="Y157" s="163"/>
      <c r="Z157" s="163"/>
      <c r="AA157" s="163"/>
      <c r="AB157" s="1584"/>
      <c r="AC157" s="163"/>
      <c r="AD157" s="163"/>
      <c r="AE157" s="163"/>
      <c r="AF157" s="163"/>
      <c r="AG157" s="163"/>
      <c r="AH157" s="1570"/>
      <c r="AI157" s="1582"/>
    </row>
    <row r="158" spans="1:35">
      <c r="A158" s="163" t="str">
        <f>$A$11</f>
        <v>1Q</v>
      </c>
      <c r="B158" s="163" t="str">
        <f>$B$11</f>
        <v>Apr</v>
      </c>
      <c r="C158" s="163"/>
      <c r="D158" s="1552">
        <f>'qtrP&amp;L'!CM10</f>
        <v>739.01</v>
      </c>
      <c r="E158" s="163"/>
      <c r="F158" s="1552">
        <f>'qtrP&amp;L'!CM20</f>
        <v>492.589</v>
      </c>
      <c r="G158" s="163"/>
      <c r="H158" s="1552">
        <f>work!CH10</f>
        <v>397.99799999999999</v>
      </c>
      <c r="I158" s="163"/>
      <c r="J158" s="1552">
        <f>AVERAGE(H158,H154)</f>
        <v>378.11750000000001</v>
      </c>
      <c r="K158" s="163"/>
      <c r="L158" s="1563">
        <f>(D158/D151-1)*100</f>
        <v>7.6787457562909056</v>
      </c>
      <c r="M158" s="163" t="s">
        <v>208</v>
      </c>
      <c r="N158" s="1563">
        <f>(H158/H151-1)*100</f>
        <v>14.02483920411408</v>
      </c>
      <c r="O158" s="163" t="s">
        <v>208</v>
      </c>
      <c r="P158" s="1563">
        <f>(H158/H154-1)*100</f>
        <v>11.099076868106849</v>
      </c>
      <c r="Q158" s="163" t="s">
        <v>208</v>
      </c>
      <c r="R158" s="1556">
        <f>F158/J158</f>
        <v>1.3027405502257896</v>
      </c>
      <c r="S158" s="163" t="s">
        <v>327</v>
      </c>
      <c r="T158" s="1556">
        <f>F159/H158</f>
        <v>1.3802958808838237</v>
      </c>
      <c r="U158" s="163"/>
      <c r="V158" s="163">
        <f>qtrSales!K159</f>
        <v>550</v>
      </c>
      <c r="W158" s="163"/>
      <c r="X158" s="1553">
        <f>H158/V158</f>
        <v>0.72363272727272721</v>
      </c>
      <c r="Y158" s="163"/>
      <c r="Z158" s="1579">
        <f>(X158/X151-1)*100</f>
        <v>6.9760309624051997</v>
      </c>
      <c r="AA158" s="164" t="s">
        <v>208</v>
      </c>
      <c r="AB158" s="1554">
        <f>+qtrSales!AE159</f>
        <v>4.9871040000000004</v>
      </c>
      <c r="AC158" s="163"/>
      <c r="AD158" s="1568">
        <f>H158/AB158</f>
        <v>79.805434175826278</v>
      </c>
      <c r="AE158" s="163"/>
      <c r="AF158" s="1579">
        <f>(AD158/AD151-1)*100</f>
        <v>7.5845250043270029</v>
      </c>
      <c r="AG158" s="163"/>
      <c r="AH158" s="1570">
        <f>((F158-('yrP&amp;L'!$W$16/4))/J158)</f>
        <v>1.0795810297063744</v>
      </c>
      <c r="AI158" s="1571"/>
    </row>
    <row r="159" spans="1:35">
      <c r="A159" s="163" t="str">
        <f>$A$12</f>
        <v>2Q</v>
      </c>
      <c r="B159" s="163" t="str">
        <f>$B$12</f>
        <v>Jul</v>
      </c>
      <c r="C159" s="163"/>
      <c r="D159" s="1555">
        <f>'qtrP&amp;L'!CM11</f>
        <v>867.46</v>
      </c>
      <c r="E159" s="163"/>
      <c r="F159" s="1555">
        <f>'qtrP&amp;L'!CM21</f>
        <v>549.35500000000002</v>
      </c>
      <c r="G159" s="163"/>
      <c r="H159" s="1555">
        <f>work!CH11</f>
        <v>384.404</v>
      </c>
      <c r="I159" s="163"/>
      <c r="J159" s="1555">
        <f>AVERAGE(H158:H159)</f>
        <v>391.20100000000002</v>
      </c>
      <c r="K159" s="163"/>
      <c r="L159" s="1563">
        <f>(D159/D152-1)*100</f>
        <v>6.9284181383612697</v>
      </c>
      <c r="M159" s="163"/>
      <c r="N159" s="1563">
        <f>(H159/H152-1)*100</f>
        <v>6.1807374015269367</v>
      </c>
      <c r="O159" s="163"/>
      <c r="P159" s="1563">
        <f>(H159/H158-1)*100</f>
        <v>-3.4155950532414714</v>
      </c>
      <c r="Q159" s="163"/>
      <c r="R159" s="1556">
        <f>F159/J159</f>
        <v>1.4042781076735489</v>
      </c>
      <c r="S159" s="163"/>
      <c r="T159" s="1556">
        <f>F160/H159</f>
        <v>1.3971498735705146</v>
      </c>
      <c r="U159" s="163"/>
      <c r="V159" s="163">
        <f>qtrSales!K160</f>
        <v>556</v>
      </c>
      <c r="W159" s="163"/>
      <c r="X159" s="1556">
        <f>H159/V159</f>
        <v>0.6913741007194244</v>
      </c>
      <c r="Y159" s="163"/>
      <c r="Z159" s="1579">
        <f>(X159/X152-1)*100</f>
        <v>0.26058837374396404</v>
      </c>
      <c r="AA159" s="163"/>
      <c r="AB159" s="1554">
        <f>+qtrSales!AE160</f>
        <v>5.0516373333333329</v>
      </c>
      <c r="AC159" s="163"/>
      <c r="AD159" s="1568">
        <f>H159/AB159</f>
        <v>76.094932124977049</v>
      </c>
      <c r="AE159" s="163"/>
      <c r="AF159" s="1579">
        <f>(AD159/AD152-1)*100</f>
        <v>0.77544438408949645</v>
      </c>
      <c r="AG159" s="163"/>
      <c r="AH159" s="1570">
        <f>((F159-('yrP&amp;L'!$W$16/4))/J159)</f>
        <v>1.188582033277011</v>
      </c>
      <c r="AI159" s="1571"/>
    </row>
    <row r="160" spans="1:35">
      <c r="A160" s="163" t="str">
        <f>$A$13</f>
        <v>3Q</v>
      </c>
      <c r="B160" s="163" t="str">
        <f>$B$13</f>
        <v>Oct</v>
      </c>
      <c r="C160" s="163"/>
      <c r="D160" s="1555">
        <f>'qtrP&amp;L'!CM12</f>
        <v>825.25800000000004</v>
      </c>
      <c r="E160" s="163"/>
      <c r="F160" s="1555">
        <f>'qtrP&amp;L'!CM22</f>
        <v>537.07000000000005</v>
      </c>
      <c r="G160" s="163"/>
      <c r="H160" s="1555">
        <f>work!CH12</f>
        <v>441.55</v>
      </c>
      <c r="I160" s="163"/>
      <c r="J160" s="1555">
        <f>AVERAGE(H159:H160)</f>
        <v>412.97699999999998</v>
      </c>
      <c r="K160" s="163"/>
      <c r="L160" s="1563">
        <f>(D160/D153-1)*100</f>
        <v>1.3245423404177004</v>
      </c>
      <c r="M160" s="163"/>
      <c r="N160" s="1563">
        <f>(H160/H153-1)*100</f>
        <v>-5.4693136543373155</v>
      </c>
      <c r="O160" s="163"/>
      <c r="P160" s="1563">
        <f>(H160/H159-1)*100</f>
        <v>14.866130425281732</v>
      </c>
      <c r="Q160" s="163"/>
      <c r="R160" s="1556">
        <f>F160/J160</f>
        <v>1.3004840463270353</v>
      </c>
      <c r="S160" s="163"/>
      <c r="T160" s="1556">
        <f>F161/H160</f>
        <v>1.5042871701959006</v>
      </c>
      <c r="U160" s="163"/>
      <c r="V160" s="163">
        <f>qtrSales!K161</f>
        <v>568</v>
      </c>
      <c r="W160" s="163"/>
      <c r="X160" s="1556">
        <f>H160/V160</f>
        <v>0.77737676056338034</v>
      </c>
      <c r="Y160" s="163"/>
      <c r="Z160" s="1579">
        <f>(X160/X153-1)*100</f>
        <v>-10.295704330436283</v>
      </c>
      <c r="AA160" s="163"/>
      <c r="AB160" s="1554">
        <f>+qtrSales!AE161</f>
        <v>5.1807039999999995</v>
      </c>
      <c r="AC160" s="163"/>
      <c r="AD160" s="1569">
        <f>H160/AB160</f>
        <v>85.229729395850455</v>
      </c>
      <c r="AE160" s="163"/>
      <c r="AF160" s="1579">
        <f>(AD160/AD153-1)*100</f>
        <v>-10.718423366889828</v>
      </c>
      <c r="AG160" s="163"/>
      <c r="AH160" s="1570">
        <f>((F160-('yrP&amp;L'!$W$16/4))/J160)</f>
        <v>1.0961614811478608</v>
      </c>
      <c r="AI160" s="1571"/>
    </row>
    <row r="161" spans="1:35">
      <c r="A161" s="163" t="str">
        <f>$A$14</f>
        <v>4Q</v>
      </c>
      <c r="B161" s="163" t="str">
        <f>$B$14</f>
        <v>Jan</v>
      </c>
      <c r="C161" s="163"/>
      <c r="D161" s="1557">
        <f>'qtrP&amp;L'!CM13</f>
        <v>1013.4059999999999</v>
      </c>
      <c r="E161" s="163"/>
      <c r="F161" s="1557">
        <f>'qtrP&amp;L'!CM23</f>
        <v>664.21799999999996</v>
      </c>
      <c r="G161" s="163"/>
      <c r="H161" s="1558">
        <f>bal!AU12</f>
        <v>330.22300000000001</v>
      </c>
      <c r="I161" s="163"/>
      <c r="J161" s="1557">
        <f>AVERAGE(H160:H161)</f>
        <v>385.88650000000001</v>
      </c>
      <c r="K161" s="163"/>
      <c r="L161" s="1566">
        <f>(D161/D154-1)*100</f>
        <v>0.23361990180446046</v>
      </c>
      <c r="M161" s="163"/>
      <c r="N161" s="1564">
        <f>(H161/H154-1)*100</f>
        <v>-7.8199627620820884</v>
      </c>
      <c r="O161" s="163"/>
      <c r="P161" s="1563">
        <f>(H161/H160-1)*100</f>
        <v>-25.21277318536972</v>
      </c>
      <c r="Q161" s="163"/>
      <c r="R161" s="1556">
        <f>F161/J161</f>
        <v>1.7212781478491732</v>
      </c>
      <c r="S161" s="163"/>
      <c r="T161" s="1556">
        <f>F162/H161</f>
        <v>6.7930822504792214</v>
      </c>
      <c r="U161" s="163"/>
      <c r="V161" s="163">
        <f>qtrSales!K162</f>
        <v>574</v>
      </c>
      <c r="W161" s="163"/>
      <c r="X161" s="1556">
        <f>H161/V161</f>
        <v>0.57530139372822298</v>
      </c>
      <c r="Y161" s="163"/>
      <c r="Z161" s="1564">
        <f>(X161/X154-1)*100</f>
        <v>-12.316549944419542</v>
      </c>
      <c r="AA161" s="163"/>
      <c r="AB161" s="1554">
        <f>+qtrSales!AE162</f>
        <v>5.2452373333333329</v>
      </c>
      <c r="AC161" s="163"/>
      <c r="AD161" s="1569">
        <f>H161/AB161</f>
        <v>62.95673179580308</v>
      </c>
      <c r="AE161" s="163"/>
      <c r="AF161" s="1579">
        <f>(AD161/AD154-1)*100</f>
        <v>-12.75006820246074</v>
      </c>
      <c r="AG161" s="163"/>
      <c r="AH161" s="1570">
        <f>((F161-('yrP&amp;L'!$W$16/4))/J161)</f>
        <v>1.5026114673615167</v>
      </c>
      <c r="AI161" s="1572"/>
    </row>
    <row r="162" spans="1:35">
      <c r="A162" s="163"/>
      <c r="B162" s="163" t="str">
        <f>$B$15</f>
        <v>Year</v>
      </c>
      <c r="C162" s="163"/>
      <c r="D162" s="1552">
        <f>'qtrP&amp;L'!CM14</f>
        <v>3445.134</v>
      </c>
      <c r="E162" s="163"/>
      <c r="F162" s="1552">
        <f>'qtrP&amp;L'!CM24</f>
        <v>2243.232</v>
      </c>
      <c r="G162" s="163"/>
      <c r="H162" s="163"/>
      <c r="I162" s="163"/>
      <c r="J162" s="1552">
        <f>AVERAGE(J158:J161)</f>
        <v>392.04550000000006</v>
      </c>
      <c r="K162" s="163"/>
      <c r="L162" s="1563">
        <f>(D162/D155-1)*100</f>
        <v>3.6730114890506593</v>
      </c>
      <c r="M162" s="163"/>
      <c r="N162" s="1564"/>
      <c r="O162" s="163"/>
      <c r="P162" s="1564"/>
      <c r="Q162" s="163"/>
      <c r="R162" s="1567">
        <f>F162/J162</f>
        <v>5.7218664670299741</v>
      </c>
      <c r="S162" s="1561" t="s">
        <v>327</v>
      </c>
      <c r="T162" s="1556"/>
      <c r="U162" s="163"/>
      <c r="V162" s="163"/>
      <c r="W162" s="163"/>
      <c r="X162" s="163"/>
      <c r="Y162" s="163"/>
      <c r="Z162" s="163"/>
      <c r="AA162" s="163"/>
      <c r="AB162" s="1584"/>
      <c r="AC162" s="163"/>
      <c r="AD162" s="163"/>
      <c r="AE162" s="163"/>
      <c r="AF162" s="163"/>
      <c r="AG162" s="163"/>
      <c r="AH162" s="1573">
        <f>(F162-'yrP&amp;L'!$W$16)/J162</f>
        <v>4.8609406816300655</v>
      </c>
      <c r="AI162" s="1574"/>
    </row>
    <row r="163" spans="1:35">
      <c r="A163" s="163"/>
      <c r="B163" s="163"/>
      <c r="C163" s="163"/>
      <c r="D163" s="163"/>
      <c r="E163" s="163"/>
      <c r="F163" s="163"/>
      <c r="G163" s="163"/>
      <c r="H163" s="163"/>
      <c r="I163" s="163"/>
      <c r="J163" s="163"/>
      <c r="K163" s="163"/>
      <c r="L163" s="163"/>
      <c r="M163" s="163"/>
      <c r="N163" s="163"/>
      <c r="O163" s="163"/>
      <c r="P163" s="163"/>
      <c r="Q163" s="163"/>
      <c r="R163" s="1577"/>
      <c r="S163" s="163"/>
      <c r="T163" s="1556"/>
      <c r="U163" s="163"/>
      <c r="V163" s="163"/>
      <c r="W163" s="163"/>
      <c r="X163" s="163"/>
      <c r="Y163" s="163"/>
      <c r="Z163" s="163"/>
      <c r="AA163" s="163"/>
      <c r="AB163" s="1575"/>
      <c r="AC163" s="163"/>
      <c r="AD163" s="163"/>
      <c r="AE163" s="163"/>
      <c r="AF163" s="163"/>
      <c r="AG163" s="163"/>
      <c r="AH163" s="163"/>
      <c r="AI163" s="163"/>
    </row>
    <row r="164" spans="1:35">
      <c r="A164" s="163"/>
      <c r="B164" s="1562">
        <f>B157+1</f>
        <v>2016</v>
      </c>
      <c r="C164" s="163"/>
      <c r="D164" s="1552"/>
      <c r="E164" s="163"/>
      <c r="F164" s="1552"/>
      <c r="G164" s="163"/>
      <c r="H164" s="163"/>
      <c r="I164" s="163"/>
      <c r="J164" s="1552"/>
      <c r="K164" s="163"/>
      <c r="L164" s="1563"/>
      <c r="M164" s="163"/>
      <c r="N164" s="1564"/>
      <c r="O164" s="163"/>
      <c r="P164" s="1564"/>
      <c r="Q164" s="163"/>
      <c r="R164" s="1580"/>
      <c r="S164" s="1581"/>
      <c r="T164" s="1556"/>
      <c r="U164" s="163"/>
      <c r="V164" s="163"/>
      <c r="W164" s="163"/>
      <c r="X164" s="163"/>
      <c r="Y164" s="163"/>
      <c r="Z164" s="163"/>
      <c r="AA164" s="163"/>
      <c r="AB164" s="1584"/>
      <c r="AC164" s="163"/>
      <c r="AD164" s="163"/>
      <c r="AE164" s="163"/>
      <c r="AF164" s="163"/>
      <c r="AG164" s="163"/>
      <c r="AH164" s="1570"/>
      <c r="AI164" s="1582"/>
    </row>
    <row r="165" spans="1:35">
      <c r="A165" s="163" t="str">
        <f>$A$11</f>
        <v>1Q</v>
      </c>
      <c r="B165" s="163" t="str">
        <f>$B$11</f>
        <v>Apr</v>
      </c>
      <c r="C165" s="163"/>
      <c r="D165" s="1552">
        <f>'qtrP&amp;L'!CQ10</f>
        <v>762.577</v>
      </c>
      <c r="E165" s="163"/>
      <c r="F165" s="1552">
        <f>'qtrP&amp;L'!CQ20</f>
        <v>500.68599999999998</v>
      </c>
      <c r="G165" s="163"/>
      <c r="H165" s="1552">
        <f>work!CL10</f>
        <v>359.86500000000001</v>
      </c>
      <c r="I165" s="163"/>
      <c r="J165" s="1552">
        <f>AVERAGE(H165,H161)</f>
        <v>345.04399999999998</v>
      </c>
      <c r="K165" s="163"/>
      <c r="L165" s="1563">
        <f>(D165/D158-1)*100</f>
        <v>3.1889960893628055</v>
      </c>
      <c r="M165" s="163" t="s">
        <v>208</v>
      </c>
      <c r="N165" s="1563">
        <f>(H165/H158-1)*100</f>
        <v>-9.5812039256478627</v>
      </c>
      <c r="O165" s="163" t="s">
        <v>208</v>
      </c>
      <c r="P165" s="1563">
        <f>(H165/H161-1)*100</f>
        <v>8.9763584002325647</v>
      </c>
      <c r="Q165" s="163" t="s">
        <v>208</v>
      </c>
      <c r="R165" s="1556">
        <f>F165/J165</f>
        <v>1.4510787030059935</v>
      </c>
      <c r="S165" s="163" t="s">
        <v>327</v>
      </c>
      <c r="T165" s="1556">
        <f>F166/H165</f>
        <v>1.5229516624289665</v>
      </c>
      <c r="U165" s="163"/>
      <c r="V165" s="163">
        <f>qtrSales!K166</f>
        <v>574</v>
      </c>
      <c r="W165" s="163"/>
      <c r="X165" s="1553">
        <f>H165/V165</f>
        <v>0.62694250871080137</v>
      </c>
      <c r="Y165" s="163"/>
      <c r="Z165" s="1579">
        <f>(X165/X158-1)*100</f>
        <v>-13.361780764993592</v>
      </c>
      <c r="AA165" s="164" t="s">
        <v>208</v>
      </c>
      <c r="AB165" s="1554">
        <f>+qtrSales!AE166</f>
        <v>5.248704</v>
      </c>
      <c r="AC165" s="163"/>
      <c r="AD165" s="1568">
        <f>H165/AB165</f>
        <v>68.562639462998874</v>
      </c>
      <c r="AE165" s="163"/>
      <c r="AF165" s="1579">
        <f>(AD165/AD158-1)*100</f>
        <v>-14.087755838853566</v>
      </c>
      <c r="AG165" s="163"/>
      <c r="AH165" s="1570">
        <f>((F165-('yrP&amp;L'!$X$16/4))/J165)</f>
        <v>1.1922534517336918</v>
      </c>
      <c r="AI165" s="1571"/>
    </row>
    <row r="166" spans="1:35">
      <c r="A166" s="163" t="str">
        <f>$A$12</f>
        <v>2Q</v>
      </c>
      <c r="B166" s="163" t="str">
        <f>$B$12</f>
        <v>Jul</v>
      </c>
      <c r="C166" s="163"/>
      <c r="D166" s="1555">
        <f>'qtrP&amp;L'!CQ11</f>
        <v>890.56799999999998</v>
      </c>
      <c r="E166" s="163"/>
      <c r="F166" s="1555">
        <f>'qtrP&amp;L'!CQ21</f>
        <v>548.05700000000002</v>
      </c>
      <c r="G166" s="163"/>
      <c r="H166" s="1555">
        <f>work!CL11</f>
        <v>367.197</v>
      </c>
      <c r="I166" s="163"/>
      <c r="J166" s="1555">
        <f>AVERAGE(H165:H166)</f>
        <v>363.53100000000001</v>
      </c>
      <c r="K166" s="163"/>
      <c r="L166" s="1563">
        <f>(D166/D159-1)*100</f>
        <v>2.6638692273995179</v>
      </c>
      <c r="M166" s="163"/>
      <c r="N166" s="1563">
        <f>(H166/H159-1)*100</f>
        <v>-4.4762801635779059</v>
      </c>
      <c r="O166" s="163"/>
      <c r="P166" s="1563">
        <f>(H166/H165-1)*100</f>
        <v>2.0374307031803651</v>
      </c>
      <c r="Q166" s="163"/>
      <c r="R166" s="1556">
        <f>F166/J166</f>
        <v>1.5075935752384253</v>
      </c>
      <c r="S166" s="163"/>
      <c r="T166" s="1556">
        <f>F167/H166</f>
        <v>1.5321312537956466</v>
      </c>
      <c r="U166" s="163"/>
      <c r="V166" s="163">
        <f>qtrSales!K167</f>
        <v>581</v>
      </c>
      <c r="W166" s="163"/>
      <c r="X166" s="1556">
        <f>H166/V166</f>
        <v>0.63200860585197938</v>
      </c>
      <c r="Y166" s="163"/>
      <c r="Z166" s="1579">
        <f>(X166/X159-1)*100</f>
        <v>-8.5865951307216974</v>
      </c>
      <c r="AA166" s="163"/>
      <c r="AB166" s="1554">
        <f>+qtrSales!AE167</f>
        <v>5.3144373333333332</v>
      </c>
      <c r="AC166" s="163"/>
      <c r="AD166" s="1568">
        <f>H166/AB166</f>
        <v>69.094238386603735</v>
      </c>
      <c r="AE166" s="163"/>
      <c r="AF166" s="1579">
        <f>(AD166/AD159-1)*100</f>
        <v>-9.1999474115772806</v>
      </c>
      <c r="AG166" s="163"/>
      <c r="AH166" s="1570">
        <f>((F166-('yrP&amp;L'!$X$16/4))/J166)</f>
        <v>1.2619306193969702</v>
      </c>
      <c r="AI166" s="1571"/>
    </row>
    <row r="167" spans="1:35">
      <c r="A167" s="163" t="str">
        <f>$A$13</f>
        <v>3Q</v>
      </c>
      <c r="B167" s="163" t="str">
        <f>$B$13</f>
        <v>Oct</v>
      </c>
      <c r="C167" s="163"/>
      <c r="D167" s="1555">
        <f>'qtrP&amp;L'!CQ12</f>
        <v>862.49099999999999</v>
      </c>
      <c r="E167" s="163"/>
      <c r="F167" s="1555">
        <f>'qtrP&amp;L'!CQ22</f>
        <v>562.59400000000005</v>
      </c>
      <c r="G167" s="163"/>
      <c r="H167" s="1555">
        <f>work!CL12</f>
        <v>453.82600000000002</v>
      </c>
      <c r="I167" s="163"/>
      <c r="J167" s="1555">
        <f>AVERAGE(H166:H167)</f>
        <v>410.51150000000001</v>
      </c>
      <c r="K167" s="163"/>
      <c r="L167" s="1563">
        <f>(D167/D160-1)*100</f>
        <v>4.5116799837141786</v>
      </c>
      <c r="M167" s="163"/>
      <c r="N167" s="1563">
        <f>(H167/H160-1)*100</f>
        <v>2.7802060921752858</v>
      </c>
      <c r="O167" s="163"/>
      <c r="P167" s="1563">
        <f>(H167/H166-1)*100</f>
        <v>23.591968343967949</v>
      </c>
      <c r="Q167" s="163"/>
      <c r="R167" s="1556">
        <f>F167/J167</f>
        <v>1.3704707419889577</v>
      </c>
      <c r="S167" s="163"/>
      <c r="T167" s="1556">
        <f>F168/H167</f>
        <v>1.510497415308951</v>
      </c>
      <c r="U167" s="163"/>
      <c r="V167" s="163">
        <f>qtrSales!K168</f>
        <v>592</v>
      </c>
      <c r="W167" s="163"/>
      <c r="X167" s="1556">
        <f>H167/V167</f>
        <v>0.76659797297297305</v>
      </c>
      <c r="Y167" s="163"/>
      <c r="Z167" s="1579">
        <f>(X167/X160-1)*100</f>
        <v>-1.3865590196696531</v>
      </c>
      <c r="AA167" s="163"/>
      <c r="AB167" s="1554">
        <f>+qtrSales!AE168</f>
        <v>5.4479039999999994</v>
      </c>
      <c r="AC167" s="163"/>
      <c r="AD167" s="1569">
        <f>H167/AB167</f>
        <v>83.302862899199411</v>
      </c>
      <c r="AE167" s="163"/>
      <c r="AF167" s="1579">
        <f>(AD167/AD160-1)*100</f>
        <v>-2.2607915222887631</v>
      </c>
      <c r="AG167" s="163"/>
      <c r="AH167" s="1570">
        <f>((F167-('yrP&amp;L'!$X$16/4))/J167)</f>
        <v>1.1529223907247423</v>
      </c>
      <c r="AI167" s="1571"/>
    </row>
    <row r="168" spans="1:35">
      <c r="A168" s="163" t="str">
        <f>$A$14</f>
        <v>4Q</v>
      </c>
      <c r="B168" s="163" t="str">
        <f>$B$14</f>
        <v>Jan</v>
      </c>
      <c r="C168" s="163"/>
      <c r="D168" s="1557">
        <f>'qtrP&amp;L'!CQ13</f>
        <v>1030.1579999999999</v>
      </c>
      <c r="E168" s="163"/>
      <c r="F168" s="1557">
        <f>'qtrP&amp;L'!CQ23</f>
        <v>685.50300000000004</v>
      </c>
      <c r="G168" s="163"/>
      <c r="H168" s="1555">
        <f>work!CL13</f>
        <v>338.59</v>
      </c>
      <c r="I168" s="163"/>
      <c r="J168" s="1557">
        <f>AVERAGE(H167:H168)</f>
        <v>396.20799999999997</v>
      </c>
      <c r="K168" s="163"/>
      <c r="L168" s="1566">
        <f>(D168/D161-1)*100</f>
        <v>1.6530393544147204</v>
      </c>
      <c r="M168" s="163"/>
      <c r="N168" s="1564">
        <f>(H168/H161-1)*100</f>
        <v>2.5337423498665856</v>
      </c>
      <c r="O168" s="163"/>
      <c r="P168" s="1563">
        <f>(H168/H167-1)*100</f>
        <v>-25.392110632709464</v>
      </c>
      <c r="Q168" s="163"/>
      <c r="R168" s="1556">
        <f>F168/J168</f>
        <v>1.7301594112183503</v>
      </c>
      <c r="S168" s="163"/>
      <c r="T168" s="1556">
        <f>F169/H168</f>
        <v>6.7835435187099451</v>
      </c>
      <c r="U168" s="163"/>
      <c r="V168" s="163">
        <f>qtrSales!K169</f>
        <v>594</v>
      </c>
      <c r="W168" s="163"/>
      <c r="X168" s="1556">
        <f>H168/V168</f>
        <v>0.57001683501683498</v>
      </c>
      <c r="Y168" s="163"/>
      <c r="Z168" s="1564">
        <f>(X168/X161-1)*100</f>
        <v>-0.91857220736796252</v>
      </c>
      <c r="AA168" s="163"/>
      <c r="AB168" s="1554">
        <f>+qtrSales!AE169</f>
        <v>5.4497039999999997</v>
      </c>
      <c r="AC168" s="163"/>
      <c r="AD168" s="1569">
        <f>H168/AB168</f>
        <v>62.129979903495673</v>
      </c>
      <c r="AE168" s="163"/>
      <c r="AF168" s="1579">
        <f>(AD168/AD161-1)*100</f>
        <v>-1.313206497104924</v>
      </c>
      <c r="AG168" s="163"/>
      <c r="AH168" s="1570">
        <f>((F168-('yrP&amp;L'!$X$16/4))/J168)</f>
        <v>1.5047573496749185</v>
      </c>
      <c r="AI168" s="1572"/>
    </row>
    <row r="169" spans="1:35">
      <c r="A169" s="163"/>
      <c r="B169" s="163" t="str">
        <f>$B$15</f>
        <v>Year</v>
      </c>
      <c r="C169" s="163"/>
      <c r="D169" s="1552">
        <f>'qtrP&amp;L'!CM21</f>
        <v>549.35500000000002</v>
      </c>
      <c r="E169" s="163"/>
      <c r="F169" s="1552">
        <f>'qtrP&amp;L'!CQ24</f>
        <v>2296.84</v>
      </c>
      <c r="G169" s="163"/>
      <c r="H169" s="163"/>
      <c r="I169" s="163"/>
      <c r="J169" s="1552">
        <f>AVERAGE(J165:J168)</f>
        <v>378.82362499999999</v>
      </c>
      <c r="K169" s="163"/>
      <c r="L169" s="1563">
        <f>(D169/D162-1)*100</f>
        <v>-84.054176122031834</v>
      </c>
      <c r="M169" s="163"/>
      <c r="N169" s="1564"/>
      <c r="O169" s="163"/>
      <c r="P169" s="1564"/>
      <c r="Q169" s="163"/>
      <c r="R169" s="1567">
        <f>F169/J169</f>
        <v>6.0630854266282892</v>
      </c>
      <c r="S169" s="1561" t="s">
        <v>327</v>
      </c>
      <c r="T169" s="1556"/>
      <c r="U169" s="163"/>
      <c r="V169" s="163"/>
      <c r="W169" s="163"/>
      <c r="X169" s="163"/>
      <c r="Y169" s="163"/>
      <c r="Z169" s="163"/>
      <c r="AA169" s="163"/>
      <c r="AB169" s="1584"/>
      <c r="AC169" s="163"/>
      <c r="AD169" s="163"/>
      <c r="AE169" s="163"/>
      <c r="AF169" s="163"/>
      <c r="AG169" s="163"/>
      <c r="AH169" s="1573">
        <f>(F169-'yrP&amp;L'!$X$16)/J169</f>
        <v>5.1201019999742625</v>
      </c>
      <c r="AI169" s="1574"/>
    </row>
    <row r="170" spans="1:35">
      <c r="A170" s="163"/>
      <c r="B170" s="163"/>
      <c r="C170" s="163"/>
      <c r="D170" s="163"/>
      <c r="E170" s="163"/>
      <c r="F170" s="163"/>
      <c r="G170" s="163"/>
      <c r="H170" s="163"/>
      <c r="I170" s="163"/>
      <c r="J170" s="163"/>
      <c r="K170" s="163"/>
      <c r="L170" s="163"/>
      <c r="M170" s="163"/>
      <c r="N170" s="163"/>
      <c r="O170" s="163"/>
      <c r="P170" s="163"/>
      <c r="Q170" s="163"/>
      <c r="R170" s="1577"/>
      <c r="S170" s="163"/>
      <c r="T170" s="1556"/>
      <c r="U170" s="163"/>
      <c r="V170" s="163"/>
      <c r="W170" s="163"/>
      <c r="X170" s="163"/>
      <c r="Y170" s="163"/>
      <c r="Z170" s="163"/>
      <c r="AA170" s="163"/>
      <c r="AB170" s="1575"/>
      <c r="AC170" s="163"/>
      <c r="AD170" s="163"/>
      <c r="AE170" s="163"/>
      <c r="AF170" s="163"/>
      <c r="AG170" s="163"/>
      <c r="AH170" s="163"/>
      <c r="AI170" s="163"/>
    </row>
    <row r="171" spans="1:35">
      <c r="A171" s="163"/>
      <c r="B171" s="1562">
        <f>B164+1</f>
        <v>2017</v>
      </c>
      <c r="C171" s="163"/>
      <c r="D171" s="1552"/>
      <c r="E171" s="163"/>
      <c r="F171" s="1552"/>
      <c r="G171" s="163"/>
      <c r="H171" s="163"/>
      <c r="I171" s="163"/>
      <c r="J171" s="1552"/>
      <c r="K171" s="163"/>
      <c r="L171" s="1563"/>
      <c r="M171" s="163"/>
      <c r="N171" s="1564"/>
      <c r="O171" s="163"/>
      <c r="P171" s="1564"/>
      <c r="Q171" s="163"/>
      <c r="R171" s="1580"/>
      <c r="S171" s="1581"/>
      <c r="T171" s="1556"/>
      <c r="U171" s="163"/>
      <c r="V171" s="163"/>
      <c r="W171" s="163"/>
      <c r="X171" s="163"/>
      <c r="Y171" s="163"/>
      <c r="Z171" s="163"/>
      <c r="AA171" s="163"/>
      <c r="AB171" s="1584"/>
      <c r="AC171" s="163"/>
      <c r="AD171" s="163"/>
      <c r="AE171" s="163"/>
      <c r="AF171" s="163"/>
      <c r="AG171" s="163"/>
      <c r="AH171" s="1570"/>
      <c r="AI171" s="1582"/>
    </row>
    <row r="172" spans="1:35">
      <c r="A172" s="163" t="str">
        <f>$A$11</f>
        <v>1Q</v>
      </c>
      <c r="B172" s="163" t="str">
        <f>$B$11</f>
        <v>Apr</v>
      </c>
      <c r="C172" s="163"/>
      <c r="D172" s="1552">
        <f>'qtrP&amp;L'!CU10</f>
        <v>761.19</v>
      </c>
      <c r="E172" s="163"/>
      <c r="F172" s="1552">
        <f>'qtrP&amp;L'!CU20</f>
        <v>521.41</v>
      </c>
      <c r="G172" s="163"/>
      <c r="H172" s="1552">
        <f>work!CP10</f>
        <v>359.49299999999999</v>
      </c>
      <c r="I172" s="163"/>
      <c r="J172" s="1552">
        <f>AVERAGE(H172,H168)</f>
        <v>349.04149999999998</v>
      </c>
      <c r="K172" s="163"/>
      <c r="L172" s="1563">
        <f>(D172/D165-1)*100</f>
        <v>-0.1818832721154684</v>
      </c>
      <c r="M172" s="163" t="s">
        <v>208</v>
      </c>
      <c r="N172" s="1563">
        <f>(H172/H165-1)*100</f>
        <v>-0.10337209787003587</v>
      </c>
      <c r="O172" s="163" t="s">
        <v>208</v>
      </c>
      <c r="P172" s="1563">
        <f>(H172/H168-1)*100</f>
        <v>6.1735432233674947</v>
      </c>
      <c r="Q172" s="163" t="s">
        <v>208</v>
      </c>
      <c r="R172" s="1556">
        <f>F172/J172</f>
        <v>1.4938338277826562</v>
      </c>
      <c r="S172" s="163" t="s">
        <v>327</v>
      </c>
      <c r="T172" s="1556">
        <f>F173/H172</f>
        <v>1.6011104527765492</v>
      </c>
      <c r="U172" s="163"/>
      <c r="V172" s="163">
        <f>qtrSales!K173</f>
        <v>597</v>
      </c>
      <c r="W172" s="163"/>
      <c r="X172" s="1553">
        <f>H172/V172</f>
        <v>0.60216582914572858</v>
      </c>
      <c r="Y172" s="163"/>
      <c r="Z172" s="1579">
        <f>(X172/X165-1)*100</f>
        <v>-3.951985903144728</v>
      </c>
      <c r="AA172" s="164" t="s">
        <v>208</v>
      </c>
      <c r="AB172" s="1554">
        <f>+qtrSales!AE173</f>
        <v>5.4665039999999987</v>
      </c>
      <c r="AC172" s="163"/>
      <c r="AD172" s="1569">
        <f>H172/AB172</f>
        <v>65.762871480566019</v>
      </c>
      <c r="AE172" s="163"/>
      <c r="AF172" s="1579">
        <f>(AD172/AD165-1)*100</f>
        <v>-4.0835183772990558</v>
      </c>
      <c r="AG172" s="163"/>
      <c r="AH172" s="1570">
        <f>((F172-('yrP&amp;L'!$Y$16/4))/J172)</f>
        <v>1.2264591044331405</v>
      </c>
      <c r="AI172" s="1571"/>
    </row>
    <row r="173" spans="1:35">
      <c r="A173" s="163" t="str">
        <f>$A$12</f>
        <v>2Q</v>
      </c>
      <c r="B173" s="163" t="str">
        <f>$B$12</f>
        <v>Jul</v>
      </c>
      <c r="C173" s="163"/>
      <c r="D173" s="1555">
        <f>'qtrP&amp;L'!CU11</f>
        <v>872.93100000000004</v>
      </c>
      <c r="E173" s="163"/>
      <c r="F173" s="1555">
        <f>'qtrP&amp;L'!CU21</f>
        <v>575.58799999999997</v>
      </c>
      <c r="G173" s="163"/>
      <c r="H173" s="1555">
        <f>work!CP11</f>
        <v>365.17599999999999</v>
      </c>
      <c r="I173" s="163"/>
      <c r="J173" s="1555">
        <f>AVERAGE(H172:H173)</f>
        <v>362.33449999999999</v>
      </c>
      <c r="K173" s="163"/>
      <c r="L173" s="1563">
        <f>(D173/D166-1)*100</f>
        <v>-1.9804214838170631</v>
      </c>
      <c r="M173" s="163"/>
      <c r="N173" s="1563">
        <f>(H173/H166-1)*100</f>
        <v>-0.55038576023225261</v>
      </c>
      <c r="O173" s="163"/>
      <c r="P173" s="1563">
        <f>(H173/H172-1)*100</f>
        <v>1.5808374571966599</v>
      </c>
      <c r="Q173" s="163"/>
      <c r="R173" s="1556">
        <f>F173/J173</f>
        <v>1.5885542226864955</v>
      </c>
      <c r="S173" s="163"/>
      <c r="T173" s="1556">
        <f>F174/H173</f>
        <v>1.6294280018402088</v>
      </c>
      <c r="U173" s="163"/>
      <c r="V173" s="163">
        <f>qtrSales!K174</f>
        <v>600</v>
      </c>
      <c r="W173" s="163"/>
      <c r="X173" s="1556">
        <f>H173/V173</f>
        <v>0.60862666666666665</v>
      </c>
      <c r="Y173" s="163"/>
      <c r="Z173" s="1579">
        <f>(X173/X166-1)*100</f>
        <v>-3.6996235444915704</v>
      </c>
      <c r="AA173" s="163"/>
      <c r="AB173" s="1554">
        <f>+qtrSales!AE174</f>
        <v>5.5065039999999996</v>
      </c>
      <c r="AC173" s="163"/>
      <c r="AD173" s="1569">
        <f>H173/AB173</f>
        <v>66.317213244555901</v>
      </c>
      <c r="AE173" s="163"/>
      <c r="AF173" s="1579">
        <f>(AD173/AD166-1)*100</f>
        <v>-4.0191848219087607</v>
      </c>
      <c r="AG173" s="163"/>
      <c r="AH173" s="1570">
        <f>((F173-('yrP&amp;L'!$Y$16/4))/J173)</f>
        <v>1.3309887010483408</v>
      </c>
      <c r="AI173" s="1571"/>
    </row>
    <row r="174" spans="1:35">
      <c r="A174" s="163" t="str">
        <f>$A$13</f>
        <v>3Q</v>
      </c>
      <c r="B174" s="163" t="str">
        <f>$B$13</f>
        <v>Oct</v>
      </c>
      <c r="C174" s="163"/>
      <c r="D174" s="1555">
        <f>'qtrP&amp;L'!CU12</f>
        <v>892.774</v>
      </c>
      <c r="E174" s="163"/>
      <c r="F174" s="1555">
        <f>'qtrP&amp;L'!CU22</f>
        <v>595.02800000000002</v>
      </c>
      <c r="G174" s="163"/>
      <c r="H174" s="1555">
        <f>work!CP12</f>
        <v>449.95699999999999</v>
      </c>
      <c r="I174" s="163"/>
      <c r="J174" s="1555">
        <f>AVERAGE(H173:H174)</f>
        <v>407.56650000000002</v>
      </c>
      <c r="K174" s="163"/>
      <c r="L174" s="1563">
        <f>(D174/D167-1)*100</f>
        <v>3.5111091014283113</v>
      </c>
      <c r="M174" s="163"/>
      <c r="N174" s="1563">
        <f>(H174/H167-1)*100</f>
        <v>-0.85252938350822705</v>
      </c>
      <c r="O174" s="163"/>
      <c r="P174" s="1563">
        <f>(H174/H173-1)*100</f>
        <v>23.216476438758306</v>
      </c>
      <c r="Q174" s="163"/>
      <c r="R174" s="1556">
        <f>F174/J174</f>
        <v>1.4599531610178953</v>
      </c>
      <c r="S174" s="163"/>
      <c r="T174" s="1556">
        <f>F175/H174</f>
        <v>1.6380920843547273</v>
      </c>
      <c r="U174" s="163"/>
      <c r="V174" s="163">
        <f>qtrSales!K175</f>
        <v>604</v>
      </c>
      <c r="W174" s="163"/>
      <c r="X174" s="1556">
        <f>H174/V174</f>
        <v>0.74496192052980137</v>
      </c>
      <c r="Y174" s="163"/>
      <c r="Z174" s="1579">
        <f>(X174/X167-1)*100</f>
        <v>-2.8223466805246122</v>
      </c>
      <c r="AA174" s="163"/>
      <c r="AB174" s="1554">
        <f>+qtrSales!AE175</f>
        <v>5.5477039999999995</v>
      </c>
      <c r="AC174" s="163"/>
      <c r="AD174" s="1569">
        <f>H174/AB174</f>
        <v>81.106886740893174</v>
      </c>
      <c r="AE174" s="163"/>
      <c r="AF174" s="1579">
        <f>(AD174/AD167-1)*100</f>
        <v>-2.6361352802045657</v>
      </c>
      <c r="AG174" s="163"/>
      <c r="AH174" s="1570">
        <f>((F174-('yrP&amp;L'!$Y$16/4))/J174)</f>
        <v>1.2309724314927748</v>
      </c>
      <c r="AI174" s="1571"/>
    </row>
    <row r="175" spans="1:35">
      <c r="A175" s="163" t="str">
        <f>$A$14</f>
        <v>4Q</v>
      </c>
      <c r="B175" s="163" t="str">
        <f>$B$14</f>
        <v>Jan</v>
      </c>
      <c r="C175" s="163"/>
      <c r="D175" s="1557">
        <f>'qtrP&amp;L'!CU13</f>
        <v>1089.1189999999999</v>
      </c>
      <c r="E175" s="163"/>
      <c r="F175" s="1557">
        <f>'qtrP&amp;L'!CU23</f>
        <v>737.07100000000003</v>
      </c>
      <c r="G175" s="163"/>
      <c r="H175" s="1555">
        <f>bal!$AY$12</f>
        <v>351.39499999999998</v>
      </c>
      <c r="I175" s="163"/>
      <c r="J175" s="1557">
        <f>AVERAGE(H174:H175)</f>
        <v>400.67599999999999</v>
      </c>
      <c r="K175" s="163"/>
      <c r="L175" s="1566">
        <f>(D175/D168-1)*100</f>
        <v>5.7234909596391992</v>
      </c>
      <c r="M175" s="163"/>
      <c r="N175" s="1564">
        <f>(H175/H168-1)*100</f>
        <v>3.7818600667473889</v>
      </c>
      <c r="O175" s="163"/>
      <c r="P175" s="1563">
        <f>(H175/H174-1)*100</f>
        <v>-21.904759788157534</v>
      </c>
      <c r="Q175" s="163"/>
      <c r="R175" s="1556">
        <f>F175/J175</f>
        <v>1.8395686290169615</v>
      </c>
      <c r="S175" s="163"/>
      <c r="T175" s="1556">
        <f>F176/H175</f>
        <v>6.9127249960870252</v>
      </c>
      <c r="U175" s="163"/>
      <c r="V175" s="163">
        <f>qtrSales!K176</f>
        <v>603</v>
      </c>
      <c r="W175" s="163"/>
      <c r="X175" s="1556">
        <f>H175/V175</f>
        <v>0.5827446102819237</v>
      </c>
      <c r="Y175" s="163"/>
      <c r="Z175" s="1564">
        <f>(X175/X168-1)*100</f>
        <v>2.232877080676543</v>
      </c>
      <c r="AA175" s="163"/>
      <c r="AB175" s="1554">
        <f>+qtrSales!AE176</f>
        <v>5.532703999999999</v>
      </c>
      <c r="AC175" s="163"/>
      <c r="AD175" s="1569">
        <f>H175/AB175</f>
        <v>63.51234405455272</v>
      </c>
      <c r="AE175" s="163"/>
      <c r="AF175" s="1579">
        <f>(AD175/AD168-1)*100</f>
        <v>2.2249550912526006</v>
      </c>
      <c r="AG175" s="163"/>
      <c r="AH175" s="1570">
        <f>((F175-('yrP&amp;L'!$Y$16/4))/J175)</f>
        <v>1.6066500751230424</v>
      </c>
      <c r="AI175" s="1572"/>
    </row>
    <row r="176" spans="1:35">
      <c r="A176" s="163"/>
      <c r="B176" s="163" t="str">
        <f>$B$15</f>
        <v>Year</v>
      </c>
      <c r="C176" s="163"/>
      <c r="D176" s="1552">
        <f>'qtrP&amp;L'!CU14</f>
        <v>3616.0140000000001</v>
      </c>
      <c r="E176" s="163"/>
      <c r="F176" s="1552">
        <f>'qtrP&amp;L'!CU24</f>
        <v>2429.0970000000002</v>
      </c>
      <c r="G176" s="163"/>
      <c r="H176" s="163"/>
      <c r="I176" s="163"/>
      <c r="J176" s="1552">
        <f>AVERAGE(J172:J175)</f>
        <v>379.90462500000001</v>
      </c>
      <c r="K176" s="163"/>
      <c r="L176" s="1563">
        <f>(D176/D169-1)*100</f>
        <v>558.22901402553907</v>
      </c>
      <c r="M176" s="163"/>
      <c r="N176" s="1564"/>
      <c r="O176" s="163"/>
      <c r="P176" s="1564"/>
      <c r="Q176" s="163"/>
      <c r="R176" s="1567">
        <f>F176/J176</f>
        <v>6.3939653274818653</v>
      </c>
      <c r="S176" s="1561" t="s">
        <v>327</v>
      </c>
      <c r="T176" s="1556"/>
      <c r="U176" s="163"/>
      <c r="V176" s="163"/>
      <c r="W176" s="163"/>
      <c r="X176" s="163"/>
      <c r="Y176" s="163"/>
      <c r="Z176" s="163"/>
      <c r="AA176" s="163"/>
      <c r="AB176" s="1584"/>
      <c r="AC176" s="163"/>
      <c r="AD176" s="163"/>
      <c r="AE176" s="163"/>
      <c r="AF176" s="163"/>
      <c r="AG176" s="163"/>
      <c r="AH176" s="1573">
        <f>(F176-'yrP&amp;L'!$Y$16)/J176</f>
        <v>5.4113516043664918</v>
      </c>
      <c r="AI176" s="1574"/>
    </row>
    <row r="177" spans="1:35">
      <c r="A177" s="163"/>
      <c r="B177" s="163"/>
      <c r="C177" s="163"/>
      <c r="D177" s="163"/>
      <c r="E177" s="163"/>
      <c r="F177" s="163"/>
      <c r="G177" s="163"/>
      <c r="H177" s="163"/>
      <c r="I177" s="163"/>
      <c r="J177" s="163"/>
      <c r="K177" s="163"/>
      <c r="L177" s="163"/>
      <c r="M177" s="163"/>
      <c r="N177" s="163"/>
      <c r="O177" s="163"/>
      <c r="P177" s="163"/>
      <c r="Q177" s="163"/>
      <c r="R177" s="1577"/>
      <c r="S177" s="163"/>
      <c r="T177" s="1556"/>
      <c r="U177" s="163"/>
      <c r="V177" s="163"/>
      <c r="W177" s="163"/>
      <c r="X177" s="163"/>
      <c r="Y177" s="163"/>
      <c r="Z177" s="163"/>
      <c r="AA177" s="163"/>
      <c r="AB177" s="1575"/>
      <c r="AC177" s="163"/>
      <c r="AD177" s="163"/>
      <c r="AE177" s="163"/>
      <c r="AF177" s="163"/>
      <c r="AG177" s="163"/>
      <c r="AH177" s="163"/>
      <c r="AI177" s="163"/>
    </row>
    <row r="178" spans="1:35">
      <c r="A178" s="163"/>
      <c r="B178" s="1586">
        <f>B171+1</f>
        <v>2018</v>
      </c>
      <c r="C178" s="163"/>
      <c r="D178" s="1552"/>
      <c r="E178" s="163"/>
      <c r="F178" s="1552"/>
      <c r="G178" s="163"/>
      <c r="H178" s="163"/>
      <c r="I178" s="163"/>
      <c r="J178" s="1552"/>
      <c r="K178" s="163"/>
      <c r="L178" s="1563"/>
      <c r="M178" s="163"/>
      <c r="N178" s="1564"/>
      <c r="O178" s="163"/>
      <c r="P178" s="1564"/>
      <c r="Q178" s="163"/>
      <c r="R178" s="1580"/>
      <c r="S178" s="1581"/>
      <c r="T178" s="1556"/>
      <c r="U178" s="163"/>
      <c r="V178" s="163"/>
      <c r="W178" s="163"/>
      <c r="X178" s="163"/>
      <c r="Y178" s="163"/>
      <c r="Z178" s="163"/>
      <c r="AA178" s="163"/>
      <c r="AB178" s="1584"/>
      <c r="AC178" s="163"/>
      <c r="AD178" s="163"/>
      <c r="AE178" s="163"/>
      <c r="AF178" s="163"/>
      <c r="AG178" s="163"/>
      <c r="AH178" s="1570"/>
      <c r="AI178" s="1582"/>
    </row>
    <row r="179" spans="1:35">
      <c r="A179" s="163" t="str">
        <f>$A$11</f>
        <v>1Q</v>
      </c>
      <c r="B179" s="163" t="str">
        <f>$B$11</f>
        <v>Apr</v>
      </c>
      <c r="C179" s="163"/>
      <c r="D179" s="1552">
        <f>'qtrP&amp;L'!CY10</f>
        <v>838.28508474707075</v>
      </c>
      <c r="E179" s="163"/>
      <c r="F179" s="1552">
        <f>'qtrP&amp;L'!CY20</f>
        <v>564.66883308562683</v>
      </c>
      <c r="G179" s="163"/>
      <c r="H179" s="1552">
        <f t="shared" ref="H179:H181" si="0">AD179*AB179</f>
        <v>364.69265103839683</v>
      </c>
      <c r="I179" s="163"/>
      <c r="J179" s="1552">
        <f>AVERAGE(H179,H175)</f>
        <v>358.04382551919844</v>
      </c>
      <c r="K179" s="163"/>
      <c r="L179" s="1563">
        <f>(D179/D172-1)*100</f>
        <v>10.128231420154066</v>
      </c>
      <c r="M179" s="163" t="s">
        <v>208</v>
      </c>
      <c r="N179" s="1563">
        <f>(H179/H172-1)*100</f>
        <v>1.4463845021730259</v>
      </c>
      <c r="O179" s="163" t="s">
        <v>208</v>
      </c>
      <c r="P179" s="1563">
        <f>(H179/H175-1)*100</f>
        <v>3.7842459449897836</v>
      </c>
      <c r="Q179" s="163" t="s">
        <v>208</v>
      </c>
      <c r="R179" s="1556">
        <f>F179/J179</f>
        <v>1.5770941790905122</v>
      </c>
      <c r="S179" s="163" t="s">
        <v>327</v>
      </c>
      <c r="T179" s="1556">
        <f>F180/H179</f>
        <v>1.6341052941265108</v>
      </c>
      <c r="U179" s="163"/>
      <c r="V179" s="163">
        <f>qtrSales!K180</f>
        <v>605</v>
      </c>
      <c r="W179" s="163"/>
      <c r="X179" s="1553">
        <f>H179/V179</f>
        <v>0.60279777031139969</v>
      </c>
      <c r="Y179" s="163"/>
      <c r="Z179" s="1579">
        <f>(X179/X172-1)*100</f>
        <v>0.10494470710296078</v>
      </c>
      <c r="AA179" s="164" t="s">
        <v>208</v>
      </c>
      <c r="AB179" s="1554">
        <f>+qtrSales!AE180</f>
        <v>5.5455706666666664</v>
      </c>
      <c r="AC179" s="163"/>
      <c r="AD179" s="1569">
        <f t="shared" ref="AD179:AD181" si="1">AD172*(1+AF179/100)</f>
        <v>65.762871480566019</v>
      </c>
      <c r="AE179" s="163"/>
      <c r="AF179" s="1587">
        <v>0</v>
      </c>
      <c r="AG179" s="163"/>
      <c r="AH179" s="1570">
        <f>((F179-('yrP&amp;L'!$Y$16/4))/J179)</f>
        <v>1.316442080525009</v>
      </c>
      <c r="AI179" s="1571"/>
    </row>
    <row r="180" spans="1:35">
      <c r="A180" s="163" t="str">
        <f>$A$12</f>
        <v>2Q</v>
      </c>
      <c r="B180" s="163" t="str">
        <f>$B$12</f>
        <v>Jul</v>
      </c>
      <c r="C180" s="163"/>
      <c r="D180" s="1555">
        <f>'qtrP&amp;L'!CY11</f>
        <v>925.3822853895598</v>
      </c>
      <c r="E180" s="163"/>
      <c r="F180" s="1555">
        <f>'qtrP&amp;L'!CY21</f>
        <v>595.94619179087647</v>
      </c>
      <c r="G180" s="163"/>
      <c r="H180" s="1555">
        <f t="shared" si="0"/>
        <v>368.76155066275567</v>
      </c>
      <c r="I180" s="163"/>
      <c r="J180" s="1555">
        <f>AVERAGE(H179:H180)</f>
        <v>366.72710085057622</v>
      </c>
      <c r="K180" s="163"/>
      <c r="L180" s="1563">
        <f>(D180/D173-1)*100</f>
        <v>6.0086404755427036</v>
      </c>
      <c r="M180" s="163"/>
      <c r="N180" s="1563">
        <f>(H180/H173-1)*100</f>
        <v>0.98186919807317086</v>
      </c>
      <c r="O180" s="163"/>
      <c r="P180" s="1563">
        <f>(H180/H179-1)*100</f>
        <v>1.1157065032084912</v>
      </c>
      <c r="Q180" s="163"/>
      <c r="R180" s="1556">
        <f>F180/J180</f>
        <v>1.6250399558926956</v>
      </c>
      <c r="S180" s="163"/>
      <c r="T180" s="1556">
        <f>F181/H180</f>
        <v>1.6536962532165012</v>
      </c>
      <c r="U180" s="163"/>
      <c r="V180" s="163">
        <f>qtrSales!K181</f>
        <v>606</v>
      </c>
      <c r="W180" s="163"/>
      <c r="X180" s="1556">
        <f>H180/V180</f>
        <v>0.60851741033458029</v>
      </c>
      <c r="Y180" s="163"/>
      <c r="Z180" s="1579">
        <f>(X180/X173-1)*100</f>
        <v>-1.7951289036466367E-2</v>
      </c>
      <c r="AA180" s="163"/>
      <c r="AB180" s="1554">
        <f>+qtrSales!AE181</f>
        <v>5.5605706666666661</v>
      </c>
      <c r="AC180" s="163"/>
      <c r="AD180" s="1569">
        <f t="shared" si="1"/>
        <v>66.317213244555901</v>
      </c>
      <c r="AE180" s="163"/>
      <c r="AF180" s="1587">
        <v>0</v>
      </c>
      <c r="AG180" s="163"/>
      <c r="AH180" s="1570">
        <f>((F180-('yrP&amp;L'!$Y$16/4))/J180)</f>
        <v>1.3705595144866882</v>
      </c>
      <c r="AI180" s="1571"/>
    </row>
    <row r="181" spans="1:35">
      <c r="A181" s="163" t="str">
        <f>$A$13</f>
        <v>3Q</v>
      </c>
      <c r="B181" s="163" t="str">
        <f>$B$13</f>
        <v>Oct</v>
      </c>
      <c r="C181" s="163"/>
      <c r="D181" s="1555">
        <f>'qtrP&amp;L'!CY12</f>
        <v>912.90358482231454</v>
      </c>
      <c r="E181" s="163"/>
      <c r="F181" s="1555">
        <f>'qtrP&amp;L'!CY22</f>
        <v>609.81959466130604</v>
      </c>
      <c r="G181" s="163"/>
      <c r="H181" s="1555">
        <f t="shared" si="0"/>
        <v>455.55878231090429</v>
      </c>
      <c r="I181" s="163"/>
      <c r="J181" s="1555">
        <f>AVERAGE(H180:H181)</f>
        <v>412.16016648683001</v>
      </c>
      <c r="K181" s="163"/>
      <c r="L181" s="1563">
        <f>(D181/D174-1)*100</f>
        <v>2.2547234599478161</v>
      </c>
      <c r="M181" s="163"/>
      <c r="N181" s="1563">
        <f>(H181/H174-1)*100</f>
        <v>1.2449594763286997</v>
      </c>
      <c r="O181" s="163"/>
      <c r="P181" s="1563">
        <f>(H181/H180-1)*100</f>
        <v>23.537495026841214</v>
      </c>
      <c r="Q181" s="163"/>
      <c r="R181" s="1556">
        <f>F181/J181</f>
        <v>1.4795694592694026</v>
      </c>
      <c r="S181" s="163"/>
      <c r="T181" s="1556">
        <f>F182/H181</f>
        <v>1.6580484115421483</v>
      </c>
      <c r="U181" s="163"/>
      <c r="V181" s="163">
        <f>qtrSales!K182</f>
        <v>611</v>
      </c>
      <c r="W181" s="163"/>
      <c r="X181" s="1556">
        <f>H181/V181</f>
        <v>0.74559538839755202</v>
      </c>
      <c r="Y181" s="163"/>
      <c r="Z181" s="1579">
        <f>(X181/X174-1)*100</f>
        <v>8.5033590347838306E-2</v>
      </c>
      <c r="AA181" s="163"/>
      <c r="AB181" s="1554">
        <f>+qtrSales!AE182</f>
        <v>5.6167706666666657</v>
      </c>
      <c r="AC181" s="163"/>
      <c r="AD181" s="1569">
        <f t="shared" si="1"/>
        <v>81.106886740893174</v>
      </c>
      <c r="AE181" s="163"/>
      <c r="AF181" s="1587">
        <v>0</v>
      </c>
      <c r="AG181" s="163"/>
      <c r="AH181" s="1570">
        <f>((F181-('yrP&amp;L'!$Y$16/4))/J181)</f>
        <v>1.2531407985487844</v>
      </c>
      <c r="AI181" s="1571"/>
    </row>
    <row r="182" spans="1:35">
      <c r="A182" s="163" t="str">
        <f>$A$14</f>
        <v>4Q</v>
      </c>
      <c r="B182" s="163" t="str">
        <f>$B$14</f>
        <v>Jan</v>
      </c>
      <c r="C182" s="163"/>
      <c r="D182" s="1557">
        <f>'qtrP&amp;L'!CY13</f>
        <v>1104.2960751091671</v>
      </c>
      <c r="E182" s="163"/>
      <c r="F182" s="1557">
        <f>'qtrP&amp;L'!CY23</f>
        <v>755.33851537467024</v>
      </c>
      <c r="G182" s="163"/>
      <c r="H182" s="1555">
        <f>bal!$BA$12</f>
        <v>367.41499618939093</v>
      </c>
      <c r="I182" s="163"/>
      <c r="J182" s="1557">
        <f>AVERAGE(H181:H182)</f>
        <v>411.48688925014761</v>
      </c>
      <c r="K182" s="163"/>
      <c r="L182" s="1566">
        <f>(D182/D175-1)*100</f>
        <v>1.393518532792748</v>
      </c>
      <c r="M182" s="163"/>
      <c r="N182" s="1564">
        <f>(H182/H175-1)*100</f>
        <v>4.5589710125047089</v>
      </c>
      <c r="O182" s="163"/>
      <c r="P182" s="1563">
        <f>(H182/H181-1)*100</f>
        <v>-19.348498930124471</v>
      </c>
      <c r="Q182" s="163"/>
      <c r="R182" s="1556">
        <f>F182/J182</f>
        <v>1.8356320337474745</v>
      </c>
      <c r="S182" s="163"/>
      <c r="T182" s="1556">
        <f>F183/H182</f>
        <v>6.8744421460971692</v>
      </c>
      <c r="U182" s="163"/>
      <c r="V182" s="163">
        <f>qtrSales!K183</f>
        <v>606</v>
      </c>
      <c r="W182" s="163"/>
      <c r="X182" s="1556">
        <f>H182/V182</f>
        <v>0.60629537324981997</v>
      </c>
      <c r="Y182" s="163"/>
      <c r="Z182" s="1564">
        <f>(X182/X175-1)*100</f>
        <v>4.0413523441259702</v>
      </c>
      <c r="AA182" s="163"/>
      <c r="AB182" s="1554">
        <f>+qtrSales!AE183</f>
        <v>5.5777039999999989</v>
      </c>
      <c r="AC182" s="163"/>
      <c r="AD182" s="1569">
        <f>H182/AB182</f>
        <v>65.872085752379661</v>
      </c>
      <c r="AE182" s="163"/>
      <c r="AF182" s="1579">
        <f>(AD182/AD175-1)*100</f>
        <v>3.7154064032026257</v>
      </c>
      <c r="AG182" s="163"/>
      <c r="AH182" s="1570">
        <f>((F182-('yrP&amp;L'!$Y$16/4))/J182)</f>
        <v>1.6088328891378714</v>
      </c>
      <c r="AI182" s="1572"/>
    </row>
    <row r="183" spans="1:35">
      <c r="A183" s="163"/>
      <c r="B183" s="163" t="str">
        <f>$B$15</f>
        <v>Year</v>
      </c>
      <c r="C183" s="163"/>
      <c r="D183" s="1552">
        <f>'qtrP&amp;L'!CY14</f>
        <v>3780.8670300681124</v>
      </c>
      <c r="E183" s="163"/>
      <c r="F183" s="1552">
        <f>'qtrP&amp;L'!CY24</f>
        <v>2525.7731349124797</v>
      </c>
      <c r="G183" s="163"/>
      <c r="H183" s="163"/>
      <c r="I183" s="163"/>
      <c r="J183" s="1552">
        <f>AVERAGE(J179:J182)</f>
        <v>387.10449552668808</v>
      </c>
      <c r="K183" s="163"/>
      <c r="L183" s="1563">
        <f>(D183/D176-1)*100</f>
        <v>4.5589710125047089</v>
      </c>
      <c r="M183" s="163"/>
      <c r="N183" s="1564"/>
      <c r="O183" s="163"/>
      <c r="P183" s="1564"/>
      <c r="Q183" s="163"/>
      <c r="R183" s="1567">
        <f>F183/J183</f>
        <v>6.5247837834483269</v>
      </c>
      <c r="S183" s="1561" t="s">
        <v>327</v>
      </c>
      <c r="T183" s="1556"/>
      <c r="U183" s="163"/>
      <c r="V183" s="163"/>
      <c r="W183" s="163"/>
      <c r="X183" s="163"/>
      <c r="Y183" s="163"/>
      <c r="Z183" s="163"/>
      <c r="AA183" s="163"/>
      <c r="AB183" s="1584"/>
      <c r="AC183" s="163"/>
      <c r="AD183" s="163"/>
      <c r="AE183" s="163"/>
      <c r="AF183" s="163"/>
      <c r="AG183" s="163"/>
      <c r="AH183" s="1573">
        <f>(F183-'yrP&amp;L'!$Y$16)/J183</f>
        <v>5.5604459823796653</v>
      </c>
      <c r="AI183" s="1574"/>
    </row>
    <row r="184" spans="1:35">
      <c r="A184" s="163"/>
      <c r="B184" s="163"/>
      <c r="C184" s="163"/>
      <c r="D184" s="163"/>
      <c r="E184" s="163"/>
      <c r="F184" s="163"/>
      <c r="G184" s="163"/>
      <c r="H184" s="163"/>
      <c r="I184" s="163"/>
      <c r="J184" s="163"/>
      <c r="K184" s="163"/>
      <c r="L184" s="163"/>
      <c r="M184" s="163"/>
      <c r="N184" s="163"/>
      <c r="O184" s="163"/>
      <c r="P184" s="163"/>
      <c r="Q184" s="163"/>
      <c r="R184" s="1577"/>
      <c r="S184" s="163"/>
      <c r="T184" s="1556"/>
      <c r="U184" s="163"/>
      <c r="V184" s="163"/>
      <c r="W184" s="163"/>
      <c r="X184" s="163"/>
      <c r="Y184" s="163"/>
      <c r="Z184" s="163"/>
      <c r="AA184" s="163"/>
      <c r="AB184" s="1575"/>
      <c r="AC184" s="163"/>
      <c r="AD184" s="163"/>
      <c r="AE184" s="163"/>
      <c r="AF184" s="163"/>
      <c r="AG184" s="163"/>
      <c r="AH184" s="163"/>
      <c r="AI184" s="163"/>
    </row>
    <row r="185" spans="1:35">
      <c r="A185" s="163"/>
      <c r="B185" s="163"/>
      <c r="C185" s="163"/>
      <c r="D185" s="163"/>
      <c r="E185" s="163"/>
      <c r="F185" s="163"/>
      <c r="G185" s="163"/>
      <c r="H185" s="163"/>
      <c r="I185" s="163"/>
      <c r="J185" s="163"/>
      <c r="K185" s="163"/>
      <c r="L185" s="163"/>
      <c r="M185" s="163"/>
      <c r="N185" s="163"/>
      <c r="O185" s="163"/>
      <c r="P185" s="163"/>
      <c r="Q185" s="163"/>
      <c r="R185" s="1577"/>
      <c r="S185" s="163"/>
      <c r="T185" s="1556"/>
      <c r="U185" s="163"/>
      <c r="V185" s="163"/>
      <c r="W185" s="163"/>
      <c r="X185" s="163"/>
      <c r="Y185" s="163"/>
      <c r="Z185" s="163"/>
      <c r="AA185" s="163"/>
      <c r="AB185" s="1575"/>
      <c r="AC185" s="163"/>
      <c r="AD185" s="163"/>
      <c r="AE185" s="163"/>
      <c r="AF185" s="163"/>
      <c r="AG185" s="163"/>
      <c r="AH185" s="163"/>
      <c r="AI185" s="163"/>
    </row>
    <row r="186" spans="1:35">
      <c r="A186" s="163"/>
      <c r="B186" s="163"/>
      <c r="C186" s="163"/>
      <c r="D186" s="163"/>
      <c r="E186" s="163"/>
      <c r="F186" s="163"/>
      <c r="G186" s="163"/>
      <c r="H186" s="163"/>
      <c r="I186" s="163"/>
      <c r="J186" s="163"/>
      <c r="K186" s="163"/>
      <c r="L186" s="163"/>
      <c r="M186" s="163"/>
      <c r="N186" s="163"/>
      <c r="O186" s="163"/>
      <c r="P186" s="163"/>
      <c r="Q186" s="163"/>
      <c r="R186" s="1577"/>
      <c r="S186" s="163"/>
      <c r="T186" s="1556"/>
      <c r="U186" s="163"/>
      <c r="V186" s="163"/>
      <c r="W186" s="163"/>
      <c r="X186" s="163"/>
      <c r="Y186" s="163"/>
      <c r="Z186" s="163"/>
      <c r="AA186" s="163"/>
      <c r="AB186" s="1575"/>
      <c r="AC186" s="163"/>
      <c r="AD186" s="163"/>
      <c r="AE186" s="163"/>
      <c r="AF186" s="163"/>
      <c r="AG186" s="163"/>
      <c r="AH186" s="163"/>
      <c r="AI186" s="163"/>
    </row>
    <row r="187" spans="1:35">
      <c r="A187" s="163"/>
      <c r="B187" s="163"/>
      <c r="C187" s="163"/>
      <c r="D187" s="163"/>
      <c r="E187" s="163"/>
      <c r="F187" s="163"/>
      <c r="G187" s="163"/>
      <c r="H187" s="163"/>
      <c r="I187" s="163"/>
      <c r="J187" s="163"/>
      <c r="K187" s="163"/>
      <c r="L187" s="163"/>
      <c r="M187" s="163"/>
      <c r="N187" s="163"/>
      <c r="O187" s="163"/>
      <c r="P187" s="163"/>
      <c r="Q187" s="163"/>
      <c r="R187" s="1577"/>
      <c r="S187" s="163"/>
      <c r="T187" s="1556"/>
      <c r="U187" s="163"/>
      <c r="V187" s="163"/>
      <c r="W187" s="163"/>
      <c r="X187" s="163"/>
      <c r="Y187" s="163"/>
      <c r="Z187" s="163"/>
      <c r="AA187" s="163"/>
      <c r="AB187" s="1575"/>
      <c r="AC187" s="163"/>
      <c r="AD187" s="163"/>
      <c r="AE187" s="163"/>
      <c r="AF187" s="163"/>
      <c r="AG187" s="163"/>
      <c r="AH187" s="163"/>
      <c r="AI187" s="163"/>
    </row>
    <row r="188" spans="1:35" ht="10.5" customHeight="1">
      <c r="A188" s="1588" t="s">
        <v>328</v>
      </c>
      <c r="B188" s="1541"/>
      <c r="C188" s="1541"/>
      <c r="D188" s="1541"/>
      <c r="E188" s="1541"/>
      <c r="F188" s="1541"/>
      <c r="G188" s="1541"/>
      <c r="H188" s="1541"/>
      <c r="I188" s="1541"/>
      <c r="J188" s="1541"/>
      <c r="K188" s="1541"/>
      <c r="L188" s="1541"/>
      <c r="M188" s="1541"/>
      <c r="N188" s="1541"/>
      <c r="O188" s="1541"/>
      <c r="P188" s="1541"/>
      <c r="Q188" s="1541"/>
      <c r="R188" s="1589"/>
      <c r="S188" s="1541"/>
      <c r="T188" s="1556"/>
      <c r="U188" s="1541"/>
      <c r="V188" s="1541"/>
      <c r="W188" s="1541"/>
      <c r="X188" s="1590"/>
      <c r="Y188" s="1541"/>
      <c r="Z188" s="1541"/>
      <c r="AA188" s="1541"/>
      <c r="AB188" s="1575"/>
      <c r="AC188" s="1541"/>
      <c r="AD188" s="1590"/>
      <c r="AE188" s="1541"/>
      <c r="AF188" s="1541"/>
      <c r="AG188" s="1541"/>
      <c r="AH188" s="1541"/>
      <c r="AI188" s="1541"/>
    </row>
    <row r="189" spans="1:35" ht="10.5" customHeight="1">
      <c r="A189" s="1588" t="s">
        <v>329</v>
      </c>
      <c r="B189" s="1541"/>
      <c r="C189" s="1541"/>
      <c r="D189" s="1541"/>
      <c r="E189" s="1541"/>
      <c r="F189" s="1541"/>
      <c r="G189" s="1541"/>
      <c r="H189" s="1541"/>
      <c r="I189" s="1541"/>
      <c r="J189" s="1541"/>
      <c r="K189" s="1541"/>
      <c r="L189" s="1541"/>
      <c r="M189" s="1541"/>
      <c r="N189" s="1541"/>
      <c r="O189" s="1541"/>
      <c r="P189" s="1541"/>
      <c r="Q189" s="1541"/>
      <c r="R189" s="1541"/>
      <c r="S189" s="1541"/>
      <c r="T189" s="1556"/>
      <c r="U189" s="1541"/>
      <c r="V189" s="1541"/>
      <c r="W189" s="1541"/>
      <c r="X189" s="1590"/>
      <c r="Y189" s="1541"/>
      <c r="Z189" s="1541"/>
      <c r="AA189" s="1541"/>
      <c r="AB189" s="1575"/>
      <c r="AC189" s="1541"/>
      <c r="AD189" s="1590"/>
      <c r="AE189" s="1541"/>
      <c r="AF189" s="1541"/>
      <c r="AG189" s="1541"/>
      <c r="AH189" s="1541"/>
      <c r="AI189" s="1541"/>
    </row>
    <row r="190" spans="1:35" ht="10.5" customHeight="1">
      <c r="A190" s="1591"/>
      <c r="B190" s="1592"/>
      <c r="C190" s="1592"/>
      <c r="D190" s="1592"/>
      <c r="E190" s="1592"/>
      <c r="F190" s="1592"/>
      <c r="G190" s="1592"/>
      <c r="H190" s="1592"/>
      <c r="I190" s="1592"/>
      <c r="J190" s="1592"/>
      <c r="K190" s="1592"/>
      <c r="L190" s="1592"/>
      <c r="M190" s="1592"/>
      <c r="N190" s="1592"/>
      <c r="O190" s="1592"/>
      <c r="P190" s="1592"/>
      <c r="Q190" s="1592"/>
      <c r="R190" s="1577"/>
      <c r="S190" s="1592"/>
      <c r="T190" s="1556"/>
      <c r="U190" s="1592"/>
      <c r="V190" s="1592"/>
      <c r="W190" s="1592"/>
      <c r="X190" s="1593"/>
      <c r="Y190" s="1592"/>
      <c r="Z190" s="1592"/>
      <c r="AA190" s="1592"/>
      <c r="AB190" s="1575"/>
      <c r="AC190" s="1592"/>
      <c r="AD190" s="1593"/>
      <c r="AE190" s="1592"/>
      <c r="AF190" s="1592"/>
      <c r="AG190" s="1592"/>
      <c r="AH190" s="1592"/>
      <c r="AI190" s="1592"/>
    </row>
    <row r="191" spans="1:35" ht="10.5" customHeight="1">
      <c r="A191" s="1594" t="s">
        <v>161</v>
      </c>
      <c r="B191" s="1592"/>
      <c r="C191" s="1592"/>
      <c r="D191" s="1592"/>
      <c r="E191" s="1592"/>
      <c r="F191" s="1592"/>
      <c r="G191" s="1592"/>
      <c r="H191" s="1592"/>
      <c r="I191" s="1592"/>
      <c r="J191" s="1592"/>
      <c r="K191" s="1592"/>
      <c r="L191" s="1592"/>
      <c r="M191" s="1592"/>
      <c r="N191" s="1592"/>
      <c r="O191" s="1592"/>
      <c r="P191" s="1595"/>
      <c r="Q191" s="1592"/>
      <c r="R191" s="1592"/>
      <c r="S191" s="1592"/>
      <c r="T191" s="1556"/>
      <c r="U191" s="1592"/>
      <c r="V191" s="1592"/>
      <c r="W191" s="1592"/>
      <c r="X191" s="1593"/>
      <c r="Y191" s="1592"/>
      <c r="Z191" s="1592"/>
      <c r="AA191" s="1592"/>
      <c r="AB191" s="1592"/>
      <c r="AC191" s="1592"/>
      <c r="AD191" s="1593"/>
      <c r="AE191" s="1592"/>
      <c r="AF191" s="1592"/>
      <c r="AG191" s="1592"/>
      <c r="AH191" s="1592"/>
      <c r="AI191" s="1592"/>
    </row>
  </sheetData>
  <phoneticPr fontId="0" type="noConversion"/>
  <dataValidations count="1">
    <dataValidation type="custom" allowBlank="1" showInputMessage="1" showErrorMessage="1" sqref="AI5:AI8 AF126 AF119 AF112 AF105 AF98 AF133 AF147 AF154 AF161 AF168 AF172:AF175 AF182 AF179:AF180">
      <formula1>-1</formula1>
    </dataValidation>
  </dataValidations>
  <printOptions horizontalCentered="1"/>
  <pageMargins left="0.25" right="0.25" top="0.5" bottom="0" header="0.5" footer="0.5"/>
  <pageSetup scale="70" orientation="landscape" r:id="rId1"/>
  <headerFooter alignWithMargins="0">
    <oddFooter>&amp;R&amp;8&amp;D/&amp;T
&amp;F/&amp;A</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enableFormatConditionsCalculation="0">
    <tabColor indexed="59"/>
  </sheetPr>
  <dimension ref="A1:AX61"/>
  <sheetViews>
    <sheetView zoomScale="85" zoomScaleNormal="85" workbookViewId="0">
      <selection activeCell="BA28" sqref="BA28"/>
    </sheetView>
  </sheetViews>
  <sheetFormatPr defaultRowHeight="12.75" outlineLevelCol="1"/>
  <cols>
    <col min="1" max="1" width="4.28515625" style="410" customWidth="1"/>
    <col min="2" max="2" width="7" style="410" customWidth="1"/>
    <col min="3" max="3" width="1.7109375" style="410" customWidth="1"/>
    <col min="4" max="4" width="11.85546875" style="410" hidden="1" customWidth="1" outlineLevel="1"/>
    <col min="5" max="5" width="1.7109375" style="410" hidden="1" customWidth="1" outlineLevel="1"/>
    <col min="6" max="6" width="11.85546875" style="410" hidden="1" customWidth="1" outlineLevel="1"/>
    <col min="7" max="7" width="1.7109375" style="410" hidden="1" customWidth="1" outlineLevel="1"/>
    <col min="8" max="8" width="11.85546875" style="410" hidden="1" customWidth="1" outlineLevel="1"/>
    <col min="9" max="9" width="1.7109375" style="410" hidden="1" customWidth="1" outlineLevel="1"/>
    <col min="10" max="10" width="11.85546875" style="410" hidden="1" customWidth="1" outlineLevel="1"/>
    <col min="11" max="11" width="1.7109375" style="410" hidden="1" customWidth="1" outlineLevel="1"/>
    <col min="12" max="12" width="11.85546875" style="410" hidden="1" customWidth="1" outlineLevel="1" collapsed="1"/>
    <col min="13" max="13" width="1.7109375" style="410" hidden="1" customWidth="1" outlineLevel="1"/>
    <col min="14" max="14" width="11.85546875" style="410" hidden="1" customWidth="1" outlineLevel="1" collapsed="1"/>
    <col min="15" max="15" width="1.7109375" style="410" hidden="1" customWidth="1" outlineLevel="1"/>
    <col min="16" max="16" width="11.85546875" style="410" hidden="1" customWidth="1" outlineLevel="1"/>
    <col min="17" max="17" width="1.7109375" style="410" hidden="1" customWidth="1" outlineLevel="1"/>
    <col min="18" max="18" width="11.85546875" style="410" hidden="1" customWidth="1" outlineLevel="1"/>
    <col min="19" max="19" width="1.7109375" style="410" hidden="1" customWidth="1" outlineLevel="1"/>
    <col min="20" max="20" width="11.85546875" style="410" hidden="1" customWidth="1" outlineLevel="1"/>
    <col min="21" max="21" width="1.7109375" style="410" customWidth="1" collapsed="1"/>
    <col min="22" max="22" width="11.85546875" style="410" hidden="1" customWidth="1" outlineLevel="1"/>
    <col min="23" max="23" width="1.7109375" style="410" hidden="1" customWidth="1" outlineLevel="1"/>
    <col min="24" max="24" width="11.85546875" style="410" hidden="1" customWidth="1" outlineLevel="1"/>
    <col min="25" max="25" width="1.7109375" style="410" hidden="1" customWidth="1" outlineLevel="1"/>
    <col min="26" max="26" width="11.85546875" style="410" hidden="1" customWidth="1" outlineLevel="1"/>
    <col min="27" max="27" width="1.7109375" style="410" hidden="1" customWidth="1" outlineLevel="1"/>
    <col min="28" max="28" width="11.85546875" style="410" hidden="1" customWidth="1" outlineLevel="1"/>
    <col min="29" max="29" width="1.7109375" style="410" hidden="1" customWidth="1" outlineLevel="1"/>
    <col min="30" max="30" width="11.85546875" style="410" hidden="1" customWidth="1" outlineLevel="1"/>
    <col min="31" max="31" width="1.7109375" style="410" hidden="1" customWidth="1" outlineLevel="1"/>
    <col min="32" max="32" width="11.85546875" style="410" customWidth="1" collapsed="1"/>
    <col min="33" max="33" width="1.7109375" style="410" customWidth="1"/>
    <col min="34" max="34" width="11.85546875" style="410" customWidth="1"/>
    <col min="35" max="35" width="1.7109375" style="410" customWidth="1"/>
    <col min="36" max="36" width="11.85546875" style="410" customWidth="1"/>
    <col min="37" max="37" width="1.7109375" style="410" customWidth="1"/>
    <col min="38" max="38" width="11.85546875" style="410" customWidth="1"/>
    <col min="39" max="39" width="1.7109375" style="410" customWidth="1"/>
    <col min="40" max="40" width="11.85546875" style="410" customWidth="1"/>
    <col min="41" max="41" width="1.7109375" style="410" customWidth="1"/>
    <col min="42" max="42" width="11.85546875" style="410" customWidth="1"/>
    <col min="43" max="43" width="1.7109375" style="410" customWidth="1"/>
    <col min="44" max="44" width="11.85546875" style="410" customWidth="1"/>
    <col min="45" max="45" width="1.7109375" style="410" customWidth="1"/>
    <col min="46" max="46" width="11.85546875" style="410" customWidth="1"/>
    <col min="47" max="47" width="1.7109375" style="410" customWidth="1"/>
    <col min="48" max="48" width="11.85546875" style="410" customWidth="1"/>
    <col min="49" max="49" width="1.7109375" style="410" customWidth="1"/>
    <col min="50" max="50" width="11.85546875" style="410" customWidth="1"/>
    <col min="51" max="16384" width="9.140625" style="410"/>
  </cols>
  <sheetData>
    <row r="1" spans="1:50">
      <c r="A1" s="412" t="str">
        <f>'qtrP&amp;L'!A1</f>
        <v>Urban Outfitters, Inc.</v>
      </c>
    </row>
    <row r="2" spans="1:50">
      <c r="A2" s="1601" t="s">
        <v>437</v>
      </c>
      <c r="B2" s="415"/>
      <c r="C2" s="415"/>
      <c r="D2" s="415"/>
      <c r="E2" s="415"/>
      <c r="F2" s="415"/>
      <c r="G2" s="415"/>
      <c r="H2" s="415"/>
      <c r="I2" s="415"/>
      <c r="J2" s="415"/>
      <c r="K2" s="415"/>
      <c r="L2" s="415"/>
      <c r="M2" s="415"/>
      <c r="N2" s="415"/>
      <c r="O2" s="415"/>
      <c r="P2" s="415"/>
      <c r="Q2" s="415"/>
      <c r="R2" s="415"/>
      <c r="S2" s="415"/>
      <c r="T2" s="415"/>
      <c r="U2" s="415"/>
      <c r="V2" s="415"/>
      <c r="W2" s="415"/>
      <c r="X2" s="415"/>
      <c r="Y2" s="415"/>
      <c r="Z2" s="415"/>
      <c r="AA2" s="415"/>
      <c r="AB2" s="415"/>
      <c r="AC2" s="415"/>
      <c r="AD2" s="415"/>
      <c r="AE2" s="415"/>
      <c r="AF2" s="415"/>
      <c r="AG2" s="415"/>
      <c r="AH2" s="415"/>
      <c r="AI2" s="415"/>
      <c r="AJ2" s="415"/>
      <c r="AK2" s="415"/>
      <c r="AL2" s="415"/>
      <c r="AM2" s="415"/>
      <c r="AN2" s="415"/>
      <c r="AO2" s="415"/>
      <c r="AP2" s="415"/>
      <c r="AQ2" s="415"/>
      <c r="AR2" s="415"/>
      <c r="AS2" s="415"/>
      <c r="AT2" s="415"/>
      <c r="AV2" s="415"/>
      <c r="AX2" s="415"/>
    </row>
    <row r="3" spans="1:50">
      <c r="A3" s="411" t="str">
        <f>bal!A3</f>
        <v>At January 31 of the following year</v>
      </c>
    </row>
    <row r="4" spans="1:50">
      <c r="A4" s="1245" t="s">
        <v>306</v>
      </c>
    </row>
    <row r="6" spans="1:50">
      <c r="D6" s="427">
        <f>work!F7</f>
        <v>1995</v>
      </c>
      <c r="F6" s="427">
        <f>work!J7</f>
        <v>1996</v>
      </c>
      <c r="H6" s="427">
        <f>work!N7</f>
        <v>1997</v>
      </c>
      <c r="J6" s="427">
        <f>work!R7</f>
        <v>1998</v>
      </c>
      <c r="L6" s="427">
        <f>work!V7</f>
        <v>1999</v>
      </c>
      <c r="N6" s="427">
        <f>work!Z7</f>
        <v>2000</v>
      </c>
      <c r="P6" s="427">
        <f>+work!AD7</f>
        <v>2001</v>
      </c>
      <c r="R6" s="427">
        <f>work!AH7</f>
        <v>2002</v>
      </c>
      <c r="T6" s="427">
        <f>+work!AL7</f>
        <v>2003</v>
      </c>
      <c r="V6" s="427">
        <f>+work!AP7</f>
        <v>2004</v>
      </c>
      <c r="X6" s="427">
        <v>2005</v>
      </c>
      <c r="Z6" s="427">
        <v>2006</v>
      </c>
      <c r="AB6" s="427">
        <v>2007</v>
      </c>
      <c r="AD6" s="427">
        <v>2008</v>
      </c>
      <c r="AF6" s="427">
        <v>2009</v>
      </c>
      <c r="AH6" s="427">
        <v>2010</v>
      </c>
      <c r="AJ6" s="427">
        <v>2011</v>
      </c>
      <c r="AL6" s="427">
        <v>2012</v>
      </c>
      <c r="AN6" s="427">
        <v>2013</v>
      </c>
      <c r="AP6" s="427">
        <v>2014</v>
      </c>
      <c r="AR6" s="427">
        <v>2015</v>
      </c>
      <c r="AT6" s="427">
        <v>2016</v>
      </c>
      <c r="AV6" s="427">
        <v>2017</v>
      </c>
      <c r="AX6" s="427">
        <v>2018</v>
      </c>
    </row>
    <row r="7" spans="1:50">
      <c r="A7" s="1249"/>
      <c r="D7" s="1602"/>
      <c r="F7" s="1602"/>
      <c r="H7" s="1602"/>
      <c r="I7" s="1602"/>
      <c r="J7" s="1602"/>
      <c r="L7" s="1602"/>
      <c r="M7" s="1602"/>
      <c r="O7" s="1603"/>
      <c r="P7" s="1603"/>
      <c r="Q7" s="570"/>
      <c r="R7" s="1603"/>
      <c r="S7" s="1603"/>
      <c r="T7" s="1603"/>
      <c r="U7" s="1603"/>
      <c r="W7" s="1603"/>
      <c r="X7" s="570"/>
      <c r="Y7" s="1603"/>
      <c r="Z7" s="570"/>
      <c r="AA7" s="1603"/>
      <c r="AB7" s="570"/>
      <c r="AC7" s="1603"/>
      <c r="AD7" s="570"/>
      <c r="AE7" s="1603"/>
      <c r="AF7" s="1603" t="s">
        <v>438</v>
      </c>
      <c r="AG7" s="1603"/>
      <c r="AH7" s="570"/>
      <c r="AI7" s="1603"/>
      <c r="AJ7" s="570"/>
      <c r="AK7" s="1603"/>
      <c r="AL7" s="570"/>
      <c r="AO7" s="1603"/>
      <c r="AQ7" s="1603"/>
      <c r="AS7" s="1603"/>
    </row>
    <row r="8" spans="1:50">
      <c r="A8" s="410" t="str">
        <f>work!A10</f>
        <v>1Q</v>
      </c>
      <c r="B8" s="410" t="str">
        <f>work!B10</f>
        <v>Apr</v>
      </c>
      <c r="D8" s="435">
        <f>6.543+11.996</f>
        <v>18.539000000000001</v>
      </c>
      <c r="F8" s="435">
        <f>20.783+13.63</f>
        <v>34.413000000000004</v>
      </c>
      <c r="H8" s="435">
        <f>14.967+9.976</f>
        <v>24.943000000000001</v>
      </c>
      <c r="J8" s="435">
        <f>23.915+12.594</f>
        <v>36.509</v>
      </c>
      <c r="L8" s="435">
        <f>14.134+10.105</f>
        <v>24.239000000000001</v>
      </c>
      <c r="N8" s="435">
        <f>8.474+10.584</f>
        <v>19.058</v>
      </c>
      <c r="P8" s="435">
        <f>9.795+0.332</f>
        <v>10.127000000000001</v>
      </c>
      <c r="R8" s="435">
        <f>74.647+4.032</f>
        <v>78.679000000000002</v>
      </c>
      <c r="T8" s="435">
        <f>57.632+7</f>
        <v>64.632000000000005</v>
      </c>
      <c r="V8" s="435">
        <f>72.547+23.526</f>
        <v>96.072999999999993</v>
      </c>
      <c r="X8" s="435">
        <f>22.124+134.681</f>
        <v>156.80500000000001</v>
      </c>
      <c r="Z8" s="435">
        <f>28.106+146.725</f>
        <v>174.83099999999999</v>
      </c>
      <c r="AB8" s="435">
        <f>31.171+133.508</f>
        <v>164.679</v>
      </c>
      <c r="AD8" s="435">
        <f>164.03+55.101</f>
        <v>219.131</v>
      </c>
      <c r="AF8" s="435">
        <f>224.732+72.893</f>
        <v>297.625</v>
      </c>
      <c r="AH8" s="435">
        <f>259.348+323.91</f>
        <v>583.25800000000004</v>
      </c>
      <c r="AJ8" s="435">
        <f>242.087+68.688</f>
        <v>310.77499999999998</v>
      </c>
      <c r="AL8" s="435">
        <f>130.462+117.056</f>
        <v>247.51799999999997</v>
      </c>
      <c r="AN8" s="435">
        <v>273.464</v>
      </c>
      <c r="AP8" s="435">
        <v>191.82499999999999</v>
      </c>
      <c r="AR8" s="435">
        <f>176.931+96.626</f>
        <v>273.55700000000002</v>
      </c>
      <c r="AT8" s="435">
        <f>228.144+59.564</f>
        <v>287.70800000000003</v>
      </c>
      <c r="AV8" s="435">
        <f>252.484+118.493</f>
        <v>370.97699999999998</v>
      </c>
      <c r="AX8" s="435"/>
    </row>
    <row r="9" spans="1:50">
      <c r="A9" s="410" t="str">
        <f>work!A11</f>
        <v>2Q</v>
      </c>
      <c r="B9" s="410" t="str">
        <f>work!B11</f>
        <v>Jul</v>
      </c>
      <c r="D9" s="467">
        <f>8.578+11.342</f>
        <v>19.920000000000002</v>
      </c>
      <c r="F9" s="467">
        <f>13.755+8.799</f>
        <v>22.554000000000002</v>
      </c>
      <c r="H9" s="467">
        <f>18.856+10.507</f>
        <v>29.363</v>
      </c>
      <c r="J9" s="467">
        <f>22.984+11.732</f>
        <v>34.716000000000001</v>
      </c>
      <c r="L9" s="467">
        <f>8.879+10.188</f>
        <v>19.067</v>
      </c>
      <c r="N9" s="467">
        <f>6.846+8.319</f>
        <v>15.165000000000001</v>
      </c>
      <c r="P9" s="467">
        <f>10.633+0.339</f>
        <v>10.972</v>
      </c>
      <c r="R9" s="467">
        <f>68.195+10.575</f>
        <v>78.77</v>
      </c>
      <c r="T9" s="467">
        <f>50.452+9.501</f>
        <v>59.952999999999996</v>
      </c>
      <c r="V9" s="467">
        <f>64.213+38.073</f>
        <v>102.286</v>
      </c>
      <c r="X9" s="467">
        <f>21.776+143.262</f>
        <v>165.03800000000001</v>
      </c>
      <c r="Z9" s="467">
        <f>59.722+92.809</f>
        <v>152.53100000000001</v>
      </c>
      <c r="AB9" s="467">
        <f>42.387+130.748</f>
        <v>173.13499999999999</v>
      </c>
      <c r="AD9" s="467">
        <f>160.391+76.905</f>
        <v>237.29599999999999</v>
      </c>
      <c r="AF9" s="467">
        <f>152.885+135.875</f>
        <v>288.76</v>
      </c>
      <c r="AH9" s="467">
        <f>244.954+346.107</f>
        <v>591.06100000000004</v>
      </c>
      <c r="AJ9" s="467">
        <f>226.381+59.347+322.902</f>
        <v>608.63</v>
      </c>
      <c r="AL9" s="467">
        <f>135.481+135.89+91.664</f>
        <v>363.03499999999997</v>
      </c>
      <c r="AN9" s="467">
        <f>298.546+232.296+210.269</f>
        <v>741.11099999999999</v>
      </c>
      <c r="AP9" s="467">
        <f>145.273+106.721+157.146</f>
        <v>409.14</v>
      </c>
      <c r="AR9" s="467">
        <f>194.441+71.926+72.764</f>
        <v>339.13100000000003</v>
      </c>
      <c r="AT9" s="467">
        <f>243.116+59.231</f>
        <v>302.34700000000004</v>
      </c>
      <c r="AV9" s="467">
        <f>276.759+110.195</f>
        <v>386.95400000000001</v>
      </c>
      <c r="AX9" s="467"/>
    </row>
    <row r="10" spans="1:50">
      <c r="A10" s="410" t="str">
        <f>work!A12</f>
        <v>3Q</v>
      </c>
      <c r="B10" s="410" t="str">
        <f>work!B12</f>
        <v>Oct</v>
      </c>
      <c r="D10" s="467">
        <f>7.932+14.924</f>
        <v>22.856000000000002</v>
      </c>
      <c r="F10" s="467">
        <f>13.512+9.968</f>
        <v>23.48</v>
      </c>
      <c r="H10" s="467">
        <f>19.654+9.908</f>
        <v>29.561999999999998</v>
      </c>
      <c r="J10" s="467">
        <f>24.036+11.258</f>
        <v>35.293999999999997</v>
      </c>
      <c r="L10" s="467">
        <f>7.306+8.371</f>
        <v>15.677</v>
      </c>
      <c r="N10" s="467">
        <f>7.157+1.602</f>
        <v>8.7590000000000003</v>
      </c>
      <c r="P10" s="467">
        <f>7.531+0.042</f>
        <v>7.5729999999999995</v>
      </c>
      <c r="R10" s="467">
        <f>51.555+3.755</f>
        <v>55.31</v>
      </c>
      <c r="T10" s="467">
        <f>37.396+21.544</f>
        <v>58.94</v>
      </c>
      <c r="V10" s="467">
        <f>40.513+46.402</f>
        <v>86.914999999999992</v>
      </c>
      <c r="X10" s="467">
        <f>20.067+136.273</f>
        <v>156.34</v>
      </c>
      <c r="Z10" s="467">
        <f>30.544+96.048</f>
        <v>126.592</v>
      </c>
      <c r="AB10" s="467">
        <f>36.393+154.41</f>
        <v>190.803</v>
      </c>
      <c r="AD10" s="467">
        <f>71.714+127.335</f>
        <v>199.04899999999998</v>
      </c>
      <c r="AF10" s="467">
        <f>202.316+216.079</f>
        <v>418.39499999999998</v>
      </c>
      <c r="AH10" s="467">
        <f>253.546+250.078</f>
        <v>503.62400000000002</v>
      </c>
      <c r="AJ10" s="467">
        <f>129.146+83.37+46.649</f>
        <v>259.16499999999996</v>
      </c>
      <c r="AL10" s="467">
        <v>216.648</v>
      </c>
      <c r="AN10" s="467">
        <f>194.929+227.547</f>
        <v>422.476</v>
      </c>
      <c r="AP10" s="467">
        <f>128.191+115.005</f>
        <v>243.196</v>
      </c>
      <c r="AR10" s="467">
        <f>149.597+69.545</f>
        <v>219.142</v>
      </c>
      <c r="AT10" s="467">
        <f>234.886+24.644</f>
        <v>259.52999999999997</v>
      </c>
      <c r="AV10" s="467">
        <f>243.726+93.228</f>
        <v>336.95400000000001</v>
      </c>
      <c r="AX10" s="467"/>
    </row>
    <row r="11" spans="1:50">
      <c r="A11" s="410" t="str">
        <f>work!A13</f>
        <v>4Q</v>
      </c>
      <c r="B11" s="410" t="str">
        <f>work!B13</f>
        <v>Jan</v>
      </c>
      <c r="D11" s="472">
        <f>+bal!G9+bal!G10</f>
        <v>29.594000000000001</v>
      </c>
      <c r="F11" s="472">
        <f>+bal!I9+bal!I10</f>
        <v>23.835999999999999</v>
      </c>
      <c r="H11" s="472">
        <f>+bal!K9+bal!K10</f>
        <v>37.576999999999998</v>
      </c>
      <c r="J11" s="472">
        <f>+bal!M9+bal!M10</f>
        <v>38.197000000000003</v>
      </c>
      <c r="L11" s="472">
        <f>+bal!O9+bal!O10</f>
        <v>23.951999999999998</v>
      </c>
      <c r="N11" s="472">
        <f>+bal!Q9+bal!Q10</f>
        <v>16.600000000000001</v>
      </c>
      <c r="P11" s="472">
        <f>+bal!S9+bal!S10</f>
        <v>28.283000000000001</v>
      </c>
      <c r="R11" s="467">
        <f>72.127+7.379</f>
        <v>79.506</v>
      </c>
      <c r="T11" s="467">
        <f>67.194+11.082</f>
        <v>78.27600000000001</v>
      </c>
      <c r="V11" s="467">
        <f>29.731+125.953</f>
        <v>155.684</v>
      </c>
      <c r="X11" s="467">
        <f>49.912+141.833</f>
        <v>191.745</v>
      </c>
      <c r="Z11" s="467">
        <f>27.267+132.011</f>
        <v>159.27799999999999</v>
      </c>
      <c r="AB11" s="467">
        <f>105.271+80.127</f>
        <v>185.398</v>
      </c>
      <c r="AD11" s="467">
        <f>316.035+49.948</f>
        <v>365.983</v>
      </c>
      <c r="AF11" s="467">
        <f>159.024+342.512</f>
        <v>501.536</v>
      </c>
      <c r="AH11" s="467">
        <f>340.257+116.42</f>
        <v>456.67700000000002</v>
      </c>
      <c r="AJ11" s="467">
        <f>145.273+89.854</f>
        <v>235.12700000000001</v>
      </c>
      <c r="AL11" s="467">
        <v>245.321</v>
      </c>
      <c r="AN11" s="467">
        <f>242.058+281.813+366.422</f>
        <v>890.29300000000001</v>
      </c>
      <c r="AP11" s="467">
        <f>154.558+102.246</f>
        <v>256.80399999999997</v>
      </c>
      <c r="AR11" s="467">
        <f>265.276+61.061</f>
        <v>326.33699999999999</v>
      </c>
      <c r="AT11" s="467">
        <f>248.14+111.067</f>
        <v>359.20699999999999</v>
      </c>
      <c r="AV11" s="467">
        <v>282.22000000000003</v>
      </c>
      <c r="AX11" s="467"/>
    </row>
    <row r="12" spans="1:50">
      <c r="N12" s="1235"/>
      <c r="P12" s="1235"/>
      <c r="R12" s="1235"/>
      <c r="T12" s="1235"/>
      <c r="V12" s="1235"/>
      <c r="X12" s="1235"/>
      <c r="Z12" s="1235"/>
      <c r="AB12" s="1235"/>
      <c r="AD12" s="1235"/>
      <c r="AF12" s="1235"/>
      <c r="AH12" s="1235"/>
      <c r="AJ12" s="1235"/>
      <c r="AL12" s="1235"/>
    </row>
    <row r="13" spans="1:50">
      <c r="D13" s="1602"/>
      <c r="F13" s="1602"/>
      <c r="H13" s="1602"/>
      <c r="I13" s="1602"/>
      <c r="J13" s="1602"/>
      <c r="L13" s="1602"/>
      <c r="M13" s="1602"/>
      <c r="O13" s="1603"/>
      <c r="P13" s="1603"/>
      <c r="Q13" s="570"/>
      <c r="R13" s="1603"/>
      <c r="S13" s="1603"/>
      <c r="T13" s="1603"/>
      <c r="U13" s="1603"/>
      <c r="W13" s="1603"/>
      <c r="X13" s="1604"/>
      <c r="Y13" s="1603"/>
      <c r="Z13" s="1604"/>
      <c r="AA13" s="1603"/>
      <c r="AB13" s="1604"/>
      <c r="AC13" s="1603"/>
      <c r="AD13" s="1604"/>
      <c r="AE13" s="1603"/>
      <c r="AF13" s="1603" t="s">
        <v>439</v>
      </c>
      <c r="AG13" s="1603"/>
      <c r="AH13" s="1604"/>
      <c r="AI13" s="1603"/>
      <c r="AJ13" s="1604"/>
      <c r="AK13" s="1603"/>
      <c r="AL13" s="1604"/>
      <c r="AO13" s="1603"/>
      <c r="AQ13" s="1603"/>
      <c r="AS13" s="1603"/>
    </row>
    <row r="14" spans="1:50">
      <c r="A14" s="410" t="str">
        <f t="shared" ref="A14:B17" si="0">A8</f>
        <v>1Q</v>
      </c>
      <c r="B14" s="410" t="str">
        <f t="shared" si="0"/>
        <v>Apr</v>
      </c>
      <c r="D14" s="435">
        <v>0</v>
      </c>
      <c r="F14" s="435">
        <v>0</v>
      </c>
      <c r="H14" s="435">
        <v>0</v>
      </c>
      <c r="J14" s="435">
        <v>0</v>
      </c>
      <c r="L14" s="435">
        <v>0</v>
      </c>
      <c r="N14" s="435">
        <v>0</v>
      </c>
      <c r="P14" s="435">
        <v>0</v>
      </c>
      <c r="R14" s="435">
        <v>0</v>
      </c>
      <c r="T14" s="435">
        <v>0</v>
      </c>
      <c r="V14" s="435">
        <v>0</v>
      </c>
      <c r="X14" s="435">
        <v>0</v>
      </c>
      <c r="Z14" s="435">
        <v>0</v>
      </c>
      <c r="AB14" s="435">
        <v>0</v>
      </c>
      <c r="AD14" s="435">
        <v>0</v>
      </c>
      <c r="AF14" s="435">
        <v>0</v>
      </c>
      <c r="AH14" s="435">
        <v>0</v>
      </c>
      <c r="AJ14" s="435">
        <v>0</v>
      </c>
      <c r="AL14" s="435">
        <v>0</v>
      </c>
      <c r="AN14" s="435">
        <v>0</v>
      </c>
      <c r="AP14" s="435">
        <v>0</v>
      </c>
      <c r="AR14" s="435">
        <v>0</v>
      </c>
      <c r="AT14" s="435">
        <v>0</v>
      </c>
      <c r="AV14" s="435">
        <v>0</v>
      </c>
      <c r="AX14" s="435"/>
    </row>
    <row r="15" spans="1:50">
      <c r="A15" s="410" t="str">
        <f t="shared" si="0"/>
        <v>2Q</v>
      </c>
      <c r="B15" s="410" t="str">
        <f t="shared" si="0"/>
        <v>Jul</v>
      </c>
      <c r="D15" s="467">
        <v>0</v>
      </c>
      <c r="F15" s="467">
        <v>0</v>
      </c>
      <c r="H15" s="467">
        <v>0</v>
      </c>
      <c r="J15" s="467">
        <v>0</v>
      </c>
      <c r="L15" s="467">
        <v>0</v>
      </c>
      <c r="N15" s="467">
        <v>0</v>
      </c>
      <c r="P15" s="467">
        <v>0</v>
      </c>
      <c r="R15" s="467">
        <v>0</v>
      </c>
      <c r="T15" s="467">
        <v>0</v>
      </c>
      <c r="V15" s="467">
        <v>0</v>
      </c>
      <c r="X15" s="467">
        <v>0</v>
      </c>
      <c r="Z15" s="467">
        <v>0</v>
      </c>
      <c r="AB15" s="467">
        <v>0</v>
      </c>
      <c r="AD15" s="467">
        <v>0</v>
      </c>
      <c r="AF15" s="467">
        <v>0</v>
      </c>
      <c r="AH15" s="467">
        <v>0</v>
      </c>
      <c r="AJ15" s="467">
        <v>0</v>
      </c>
      <c r="AL15" s="467">
        <v>0</v>
      </c>
      <c r="AN15" s="467">
        <v>0</v>
      </c>
      <c r="AP15" s="467">
        <v>0</v>
      </c>
      <c r="AR15" s="467">
        <v>0</v>
      </c>
      <c r="AT15" s="467">
        <v>0</v>
      </c>
      <c r="AV15" s="467">
        <v>0</v>
      </c>
      <c r="AX15" s="467"/>
    </row>
    <row r="16" spans="1:50">
      <c r="A16" s="410" t="str">
        <f t="shared" si="0"/>
        <v>3Q</v>
      </c>
      <c r="B16" s="410" t="str">
        <f t="shared" si="0"/>
        <v>Oct</v>
      </c>
      <c r="D16" s="467">
        <v>0</v>
      </c>
      <c r="F16" s="467">
        <v>0</v>
      </c>
      <c r="H16" s="467">
        <v>0</v>
      </c>
      <c r="J16" s="467">
        <v>0</v>
      </c>
      <c r="L16" s="467">
        <v>0</v>
      </c>
      <c r="N16" s="467">
        <v>0</v>
      </c>
      <c r="P16" s="467">
        <v>0</v>
      </c>
      <c r="R16" s="467">
        <v>0</v>
      </c>
      <c r="T16" s="467">
        <v>0</v>
      </c>
      <c r="V16" s="467">
        <v>0</v>
      </c>
      <c r="X16" s="467">
        <v>0</v>
      </c>
      <c r="Z16" s="467">
        <v>0</v>
      </c>
      <c r="AB16" s="467">
        <v>0</v>
      </c>
      <c r="AD16" s="467">
        <v>0</v>
      </c>
      <c r="AF16" s="467">
        <v>0</v>
      </c>
      <c r="AH16" s="467">
        <v>0</v>
      </c>
      <c r="AJ16" s="467">
        <v>0</v>
      </c>
      <c r="AL16" s="467">
        <v>0</v>
      </c>
      <c r="AN16" s="467">
        <v>0</v>
      </c>
      <c r="AP16" s="467">
        <v>0</v>
      </c>
      <c r="AR16" s="467">
        <v>0</v>
      </c>
      <c r="AT16" s="467">
        <v>0</v>
      </c>
      <c r="AV16" s="467">
        <v>0</v>
      </c>
      <c r="AX16" s="467"/>
    </row>
    <row r="17" spans="1:50">
      <c r="A17" s="410" t="str">
        <f t="shared" si="0"/>
        <v>4Q</v>
      </c>
      <c r="B17" s="410" t="str">
        <f t="shared" si="0"/>
        <v>Jan</v>
      </c>
      <c r="D17" s="467">
        <v>0</v>
      </c>
      <c r="F17" s="467">
        <v>0</v>
      </c>
      <c r="H17" s="467">
        <v>0</v>
      </c>
      <c r="J17" s="467">
        <v>0</v>
      </c>
      <c r="L17" s="467">
        <v>0</v>
      </c>
      <c r="N17" s="467">
        <v>0</v>
      </c>
      <c r="P17" s="467">
        <v>0</v>
      </c>
      <c r="R17" s="467">
        <v>0</v>
      </c>
      <c r="T17" s="467">
        <v>0</v>
      </c>
      <c r="V17" s="467">
        <v>0</v>
      </c>
      <c r="X17" s="467">
        <v>0</v>
      </c>
      <c r="Z17" s="467">
        <v>0</v>
      </c>
      <c r="AB17" s="467">
        <v>0</v>
      </c>
      <c r="AD17" s="467">
        <v>0</v>
      </c>
      <c r="AF17" s="467">
        <v>0</v>
      </c>
      <c r="AH17" s="467">
        <v>0</v>
      </c>
      <c r="AJ17" s="467">
        <v>0</v>
      </c>
      <c r="AL17" s="467">
        <v>0</v>
      </c>
      <c r="AN17" s="467">
        <v>0</v>
      </c>
      <c r="AP17" s="467">
        <v>0</v>
      </c>
      <c r="AR17" s="467">
        <v>0</v>
      </c>
      <c r="AT17" s="467">
        <v>0</v>
      </c>
      <c r="AV17" s="467">
        <v>0</v>
      </c>
      <c r="AX17" s="467"/>
    </row>
    <row r="18" spans="1:50">
      <c r="D18" s="467"/>
      <c r="F18" s="467"/>
      <c r="H18" s="467"/>
      <c r="J18" s="467"/>
      <c r="L18" s="467"/>
      <c r="N18" s="1235"/>
      <c r="P18" s="1235"/>
      <c r="R18" s="1235"/>
      <c r="T18" s="1235"/>
      <c r="V18" s="1235"/>
      <c r="X18" s="1235"/>
      <c r="Z18" s="1235"/>
      <c r="AB18" s="1235"/>
      <c r="AD18" s="1235"/>
      <c r="AF18" s="1235"/>
      <c r="AH18" s="1235"/>
      <c r="AJ18" s="1235"/>
      <c r="AL18" s="1235"/>
    </row>
    <row r="19" spans="1:50">
      <c r="D19" s="1602"/>
      <c r="F19" s="1602"/>
      <c r="H19" s="1602"/>
      <c r="I19" s="1602"/>
      <c r="J19" s="1602"/>
      <c r="L19" s="1602"/>
      <c r="M19" s="1602"/>
      <c r="O19" s="1603"/>
      <c r="P19" s="1603"/>
      <c r="Q19" s="570"/>
      <c r="R19" s="1603"/>
      <c r="S19" s="1603"/>
      <c r="T19" s="1603"/>
      <c r="U19" s="1603"/>
      <c r="W19" s="1603"/>
      <c r="X19" s="1604"/>
      <c r="Y19" s="1603"/>
      <c r="Z19" s="1604"/>
      <c r="AA19" s="1603"/>
      <c r="AB19" s="1604"/>
      <c r="AC19" s="1603"/>
      <c r="AD19" s="1604"/>
      <c r="AE19" s="1603"/>
      <c r="AF19" s="1603" t="s">
        <v>440</v>
      </c>
      <c r="AG19" s="1603"/>
      <c r="AH19" s="1604"/>
      <c r="AI19" s="1603"/>
      <c r="AJ19" s="1604"/>
      <c r="AK19" s="1603"/>
      <c r="AL19" s="1604"/>
      <c r="AO19" s="1603"/>
      <c r="AQ19" s="1603"/>
      <c r="AS19" s="1603"/>
    </row>
    <row r="20" spans="1:50">
      <c r="A20" s="410" t="str">
        <f t="shared" ref="A20:B23" si="1">A14</f>
        <v>1Q</v>
      </c>
      <c r="B20" s="410" t="str">
        <f t="shared" si="1"/>
        <v>Apr</v>
      </c>
      <c r="D20" s="435">
        <v>0</v>
      </c>
      <c r="F20" s="435">
        <v>0</v>
      </c>
      <c r="H20" s="435">
        <v>0</v>
      </c>
      <c r="J20" s="435">
        <v>0</v>
      </c>
      <c r="L20" s="435">
        <v>0</v>
      </c>
      <c r="N20" s="435">
        <v>0</v>
      </c>
      <c r="P20" s="435">
        <v>0</v>
      </c>
      <c r="R20" s="435">
        <v>0</v>
      </c>
      <c r="T20" s="435">
        <v>0</v>
      </c>
      <c r="V20" s="435">
        <v>0</v>
      </c>
      <c r="X20" s="435">
        <v>0</v>
      </c>
      <c r="Z20" s="435">
        <v>0</v>
      </c>
      <c r="AB20" s="435">
        <v>0</v>
      </c>
      <c r="AD20" s="435">
        <v>0</v>
      </c>
      <c r="AF20" s="435">
        <v>0</v>
      </c>
      <c r="AH20" s="435">
        <v>0</v>
      </c>
      <c r="AJ20" s="435">
        <v>0</v>
      </c>
      <c r="AL20" s="435">
        <v>0</v>
      </c>
      <c r="AN20" s="435">
        <v>0</v>
      </c>
      <c r="AP20" s="435">
        <v>0</v>
      </c>
      <c r="AR20" s="435">
        <v>0</v>
      </c>
      <c r="AT20" s="435">
        <v>75</v>
      </c>
      <c r="AV20" s="435">
        <v>0</v>
      </c>
      <c r="AX20" s="435"/>
    </row>
    <row r="21" spans="1:50">
      <c r="A21" s="410" t="str">
        <f t="shared" si="1"/>
        <v>2Q</v>
      </c>
      <c r="B21" s="410" t="str">
        <f t="shared" si="1"/>
        <v>Jul</v>
      </c>
      <c r="D21" s="467">
        <v>0</v>
      </c>
      <c r="F21" s="467">
        <v>0</v>
      </c>
      <c r="H21" s="467">
        <v>0</v>
      </c>
      <c r="J21" s="467">
        <v>0</v>
      </c>
      <c r="L21" s="467">
        <v>0</v>
      </c>
      <c r="N21" s="467">
        <v>0</v>
      </c>
      <c r="P21" s="467">
        <v>0</v>
      </c>
      <c r="R21" s="467">
        <v>0</v>
      </c>
      <c r="T21" s="467">
        <v>0</v>
      </c>
      <c r="V21" s="467">
        <v>0</v>
      </c>
      <c r="X21" s="467">
        <v>0</v>
      </c>
      <c r="Z21" s="467">
        <v>0</v>
      </c>
      <c r="AB21" s="467">
        <v>0</v>
      </c>
      <c r="AD21" s="467">
        <v>0</v>
      </c>
      <c r="AF21" s="467">
        <v>0</v>
      </c>
      <c r="AH21" s="467">
        <v>0</v>
      </c>
      <c r="AJ21" s="467">
        <v>0</v>
      </c>
      <c r="AL21" s="467">
        <v>0</v>
      </c>
      <c r="AN21" s="467">
        <v>0</v>
      </c>
      <c r="AP21" s="467">
        <v>0</v>
      </c>
      <c r="AR21" s="467">
        <v>0</v>
      </c>
      <c r="AT21" s="467">
        <v>50</v>
      </c>
      <c r="AV21" s="467">
        <v>0</v>
      </c>
      <c r="AX21" s="467"/>
    </row>
    <row r="22" spans="1:50">
      <c r="A22" s="410" t="str">
        <f t="shared" si="1"/>
        <v>3Q</v>
      </c>
      <c r="B22" s="410" t="str">
        <f t="shared" si="1"/>
        <v>Oct</v>
      </c>
      <c r="D22" s="467">
        <v>0</v>
      </c>
      <c r="F22" s="467">
        <v>0</v>
      </c>
      <c r="H22" s="467">
        <v>0</v>
      </c>
      <c r="J22" s="467">
        <v>0</v>
      </c>
      <c r="L22" s="467">
        <v>0</v>
      </c>
      <c r="N22" s="467">
        <v>0</v>
      </c>
      <c r="P22" s="467">
        <v>0</v>
      </c>
      <c r="R22" s="467">
        <v>0</v>
      </c>
      <c r="T22" s="467">
        <v>0</v>
      </c>
      <c r="V22" s="467">
        <v>0</v>
      </c>
      <c r="X22" s="467">
        <v>0</v>
      </c>
      <c r="Z22" s="467">
        <v>0</v>
      </c>
      <c r="AB22" s="467">
        <v>0</v>
      </c>
      <c r="AD22" s="467">
        <v>0</v>
      </c>
      <c r="AF22" s="467">
        <v>0</v>
      </c>
      <c r="AH22" s="467">
        <v>0</v>
      </c>
      <c r="AJ22" s="467">
        <v>0</v>
      </c>
      <c r="AL22" s="467">
        <v>0</v>
      </c>
      <c r="AN22" s="467">
        <v>0</v>
      </c>
      <c r="AP22" s="467">
        <v>0</v>
      </c>
      <c r="AR22" s="467">
        <v>115</v>
      </c>
      <c r="AT22" s="467">
        <v>0</v>
      </c>
      <c r="AV22" s="467">
        <v>0</v>
      </c>
      <c r="AX22" s="467"/>
    </row>
    <row r="23" spans="1:50">
      <c r="A23" s="410" t="str">
        <f t="shared" si="1"/>
        <v>4Q</v>
      </c>
      <c r="B23" s="410" t="str">
        <f t="shared" si="1"/>
        <v>Jan</v>
      </c>
      <c r="D23" s="467">
        <v>0</v>
      </c>
      <c r="F23" s="467">
        <v>0</v>
      </c>
      <c r="H23" s="467">
        <v>0</v>
      </c>
      <c r="J23" s="467">
        <v>0</v>
      </c>
      <c r="L23" s="467">
        <v>0</v>
      </c>
      <c r="N23" s="467">
        <v>0</v>
      </c>
      <c r="P23" s="467">
        <v>0</v>
      </c>
      <c r="R23" s="467">
        <v>0</v>
      </c>
      <c r="T23" s="467">
        <v>0</v>
      </c>
      <c r="V23" s="467">
        <v>0</v>
      </c>
      <c r="X23" s="467">
        <v>0</v>
      </c>
      <c r="Z23" s="467">
        <v>0</v>
      </c>
      <c r="AB23" s="467">
        <v>0</v>
      </c>
      <c r="AD23" s="467">
        <v>0</v>
      </c>
      <c r="AF23" s="467">
        <v>0</v>
      </c>
      <c r="AH23" s="467">
        <v>0</v>
      </c>
      <c r="AJ23" s="467">
        <v>0</v>
      </c>
      <c r="AL23" s="467">
        <v>0</v>
      </c>
      <c r="AN23" s="467">
        <v>0</v>
      </c>
      <c r="AP23" s="467">
        <v>0</v>
      </c>
      <c r="AR23" s="467">
        <v>150</v>
      </c>
      <c r="AT23" s="467">
        <v>0</v>
      </c>
      <c r="AV23" s="467">
        <v>0</v>
      </c>
      <c r="AX23" s="467"/>
    </row>
    <row r="25" spans="1:50">
      <c r="D25" s="1258"/>
      <c r="F25" s="1258"/>
      <c r="H25" s="1258"/>
      <c r="I25" s="1258"/>
      <c r="J25" s="1258"/>
      <c r="L25" s="1258"/>
      <c r="M25" s="1258"/>
      <c r="O25" s="1605"/>
      <c r="P25" s="1605"/>
      <c r="Q25" s="570"/>
      <c r="R25" s="1605"/>
      <c r="S25" s="1605"/>
      <c r="T25" s="1605"/>
      <c r="U25" s="1605"/>
      <c r="W25" s="1605"/>
      <c r="X25" s="570"/>
      <c r="Y25" s="1605"/>
      <c r="Z25" s="570"/>
      <c r="AA25" s="1605"/>
      <c r="AB25" s="570"/>
      <c r="AC25" s="1605"/>
      <c r="AD25" s="570"/>
      <c r="AE25" s="1605"/>
      <c r="AF25" s="1605" t="s">
        <v>462</v>
      </c>
      <c r="AG25" s="1605"/>
      <c r="AH25" s="570"/>
      <c r="AI25" s="1605"/>
      <c r="AJ25" s="570"/>
      <c r="AK25" s="1605"/>
      <c r="AL25" s="570"/>
      <c r="AO25" s="1605"/>
      <c r="AQ25" s="1605"/>
      <c r="AS25" s="1605"/>
    </row>
    <row r="26" spans="1:50">
      <c r="A26" s="410" t="str">
        <f t="shared" ref="A26:B29" si="2">A20</f>
        <v>1Q</v>
      </c>
      <c r="B26" s="410" t="str">
        <f t="shared" si="2"/>
        <v>Apr</v>
      </c>
      <c r="D26" s="1259">
        <f>D20+D14</f>
        <v>0</v>
      </c>
      <c r="F26" s="1259">
        <f>F20+F14</f>
        <v>0</v>
      </c>
      <c r="H26" s="1259">
        <f>H20+H14</f>
        <v>0</v>
      </c>
      <c r="J26" s="1259">
        <f>J20+J14</f>
        <v>0</v>
      </c>
      <c r="L26" s="1259">
        <f>L20+L14</f>
        <v>0</v>
      </c>
      <c r="N26" s="1259">
        <f>N14+N20</f>
        <v>0</v>
      </c>
      <c r="P26" s="1259">
        <f>P14+P20</f>
        <v>0</v>
      </c>
      <c r="R26" s="1259">
        <f>R14+R20</f>
        <v>0</v>
      </c>
      <c r="T26" s="1259">
        <f>T14+T20</f>
        <v>0</v>
      </c>
      <c r="V26" s="1259">
        <f>V14+V20</f>
        <v>0</v>
      </c>
      <c r="X26" s="1259">
        <f>X14+X20</f>
        <v>0</v>
      </c>
      <c r="Z26" s="1259">
        <f>Z14+Z20</f>
        <v>0</v>
      </c>
      <c r="AB26" s="1259">
        <f>AB14+AB20</f>
        <v>0</v>
      </c>
      <c r="AD26" s="1259">
        <f>AD14+AD20</f>
        <v>0</v>
      </c>
      <c r="AF26" s="1259">
        <f>AF14+AF20</f>
        <v>0</v>
      </c>
      <c r="AH26" s="1259">
        <f>AH14+AH20</f>
        <v>0</v>
      </c>
      <c r="AJ26" s="1259">
        <f>AJ14+AJ20</f>
        <v>0</v>
      </c>
      <c r="AL26" s="1259">
        <f>AL14+AL20</f>
        <v>0</v>
      </c>
      <c r="AN26" s="1259">
        <f>AN14+AN20</f>
        <v>0</v>
      </c>
      <c r="AP26" s="1259">
        <f>AP14+AP20</f>
        <v>0</v>
      </c>
      <c r="AR26" s="1259">
        <f>AR14+AR20</f>
        <v>0</v>
      </c>
      <c r="AT26" s="1259">
        <f>AT14+AT20</f>
        <v>75</v>
      </c>
      <c r="AV26" s="1259">
        <f>AV14+AV20</f>
        <v>0</v>
      </c>
      <c r="AX26" s="1259"/>
    </row>
    <row r="27" spans="1:50">
      <c r="A27" s="410" t="str">
        <f t="shared" si="2"/>
        <v>2Q</v>
      </c>
      <c r="B27" s="410" t="str">
        <f t="shared" si="2"/>
        <v>Jul</v>
      </c>
      <c r="D27" s="472">
        <f>D21+D15</f>
        <v>0</v>
      </c>
      <c r="F27" s="472">
        <f>F21+F15</f>
        <v>0</v>
      </c>
      <c r="H27" s="472">
        <f>H21+H15</f>
        <v>0</v>
      </c>
      <c r="J27" s="472">
        <f>J21+J15</f>
        <v>0</v>
      </c>
      <c r="L27" s="472">
        <f>L21+L15</f>
        <v>0</v>
      </c>
      <c r="N27" s="472">
        <f>N21+N15</f>
        <v>0</v>
      </c>
      <c r="P27" s="472">
        <f>P21+P15</f>
        <v>0</v>
      </c>
      <c r="R27" s="472">
        <f>R21+R15</f>
        <v>0</v>
      </c>
      <c r="T27" s="472">
        <f>T21+T15</f>
        <v>0</v>
      </c>
      <c r="V27" s="472">
        <f>V21+V15</f>
        <v>0</v>
      </c>
      <c r="X27" s="472">
        <f>X21+X15</f>
        <v>0</v>
      </c>
      <c r="Z27" s="472">
        <f>Z21+Z15</f>
        <v>0</v>
      </c>
      <c r="AB27" s="472">
        <f>AB21+AB15</f>
        <v>0</v>
      </c>
      <c r="AD27" s="472">
        <f>AD21+AD15</f>
        <v>0</v>
      </c>
      <c r="AF27" s="472">
        <f>AF21+AF15</f>
        <v>0</v>
      </c>
      <c r="AH27" s="472">
        <f>AH21+AH15</f>
        <v>0</v>
      </c>
      <c r="AJ27" s="472">
        <f>AJ21+AJ15</f>
        <v>0</v>
      </c>
      <c r="AL27" s="472">
        <f>AL21+AL15</f>
        <v>0</v>
      </c>
      <c r="AN27" s="472">
        <f>AN21+AN15</f>
        <v>0</v>
      </c>
      <c r="AP27" s="472">
        <f>AP21+AP15</f>
        <v>0</v>
      </c>
      <c r="AR27" s="472">
        <f>AR21+AR15</f>
        <v>0</v>
      </c>
      <c r="AT27" s="472">
        <f>AT21+AT15</f>
        <v>50</v>
      </c>
      <c r="AV27" s="472">
        <f>AV21+AV15</f>
        <v>0</v>
      </c>
      <c r="AX27" s="472"/>
    </row>
    <row r="28" spans="1:50">
      <c r="A28" s="410" t="str">
        <f t="shared" si="2"/>
        <v>3Q</v>
      </c>
      <c r="B28" s="410" t="str">
        <f t="shared" si="2"/>
        <v>Oct</v>
      </c>
      <c r="D28" s="472">
        <f>D22+D16</f>
        <v>0</v>
      </c>
      <c r="F28" s="472">
        <f>F22+F16</f>
        <v>0</v>
      </c>
      <c r="H28" s="472">
        <f>H22+H16</f>
        <v>0</v>
      </c>
      <c r="J28" s="472">
        <f>J22+J16</f>
        <v>0</v>
      </c>
      <c r="L28" s="472">
        <f>L22+L16</f>
        <v>0</v>
      </c>
      <c r="N28" s="472">
        <f>N22+N16</f>
        <v>0</v>
      </c>
      <c r="P28" s="472">
        <f>P22+P16</f>
        <v>0</v>
      </c>
      <c r="R28" s="472">
        <f>R22+R16</f>
        <v>0</v>
      </c>
      <c r="T28" s="472">
        <f>T22+T16</f>
        <v>0</v>
      </c>
      <c r="V28" s="472">
        <f>V22+V16</f>
        <v>0</v>
      </c>
      <c r="X28" s="472">
        <f>X22+X16</f>
        <v>0</v>
      </c>
      <c r="Z28" s="472">
        <f>Z22+Z16</f>
        <v>0</v>
      </c>
      <c r="AB28" s="472">
        <f>AB22+AB16</f>
        <v>0</v>
      </c>
      <c r="AD28" s="472">
        <f>AD22+AD16</f>
        <v>0</v>
      </c>
      <c r="AF28" s="472">
        <f>AF22+AF16</f>
        <v>0</v>
      </c>
      <c r="AH28" s="472">
        <f>AH22+AH16</f>
        <v>0</v>
      </c>
      <c r="AJ28" s="472">
        <f>AJ22+AJ16</f>
        <v>0</v>
      </c>
      <c r="AL28" s="472">
        <f>AJ22+AJ16</f>
        <v>0</v>
      </c>
      <c r="AN28" s="472">
        <f>AL22+AL16</f>
        <v>0</v>
      </c>
      <c r="AP28" s="472">
        <f>AP16+AP22</f>
        <v>0</v>
      </c>
      <c r="AR28" s="472">
        <f>AR16+AR22</f>
        <v>115</v>
      </c>
      <c r="AT28" s="472">
        <f>AT22+AT16</f>
        <v>0</v>
      </c>
      <c r="AV28" s="472">
        <f t="shared" ref="AV28:AV29" si="3">AV22+AV16</f>
        <v>0</v>
      </c>
      <c r="AX28" s="472"/>
    </row>
    <row r="29" spans="1:50">
      <c r="A29" s="410" t="str">
        <f t="shared" si="2"/>
        <v>4Q</v>
      </c>
      <c r="B29" s="410" t="str">
        <f t="shared" si="2"/>
        <v>Jan</v>
      </c>
      <c r="D29" s="472">
        <f>D23+D17</f>
        <v>0</v>
      </c>
      <c r="F29" s="472">
        <f>F23+F17</f>
        <v>0</v>
      </c>
      <c r="H29" s="472">
        <f>H23+H17</f>
        <v>0</v>
      </c>
      <c r="J29" s="472">
        <f>J23+J17</f>
        <v>0</v>
      </c>
      <c r="L29" s="472">
        <f>L23+L17</f>
        <v>0</v>
      </c>
      <c r="N29" s="472">
        <f>N23+N17</f>
        <v>0</v>
      </c>
      <c r="P29" s="472">
        <f>P23+P17</f>
        <v>0</v>
      </c>
      <c r="R29" s="472">
        <f>R23+R17</f>
        <v>0</v>
      </c>
      <c r="T29" s="472">
        <f>T23+T17</f>
        <v>0</v>
      </c>
      <c r="V29" s="472">
        <f>V23+V17</f>
        <v>0</v>
      </c>
      <c r="X29" s="472">
        <f>X23+X17</f>
        <v>0</v>
      </c>
      <c r="Z29" s="472">
        <f>Z23+Z17</f>
        <v>0</v>
      </c>
      <c r="AB29" s="472">
        <f>AB23+AB17</f>
        <v>0</v>
      </c>
      <c r="AD29" s="472">
        <f>AD23+AD17</f>
        <v>0</v>
      </c>
      <c r="AF29" s="472">
        <f>AF23+AF17</f>
        <v>0</v>
      </c>
      <c r="AH29" s="472">
        <f>AH23+AH17</f>
        <v>0</v>
      </c>
      <c r="AJ29" s="472">
        <f>AJ23+AJ17</f>
        <v>0</v>
      </c>
      <c r="AL29" s="472">
        <f>AL23+AL17</f>
        <v>0</v>
      </c>
      <c r="AN29" s="472">
        <f>AN23+AN17</f>
        <v>0</v>
      </c>
      <c r="AP29" s="472">
        <f>AN23+AN17</f>
        <v>0</v>
      </c>
      <c r="AR29" s="472">
        <f>AR17+AR23</f>
        <v>150</v>
      </c>
      <c r="AT29" s="472">
        <f>AT23+AT17</f>
        <v>0</v>
      </c>
      <c r="AV29" s="472">
        <f t="shared" si="3"/>
        <v>0</v>
      </c>
      <c r="AX29" s="472"/>
    </row>
    <row r="31" spans="1:50">
      <c r="D31" s="1258"/>
      <c r="F31" s="1258"/>
      <c r="H31" s="1258"/>
      <c r="I31" s="1258"/>
      <c r="J31" s="1258"/>
      <c r="L31" s="1258"/>
      <c r="M31" s="1258"/>
      <c r="O31" s="1605"/>
      <c r="P31" s="1605"/>
      <c r="Q31" s="570"/>
      <c r="R31" s="1605"/>
      <c r="S31" s="1605"/>
      <c r="T31" s="1605"/>
      <c r="U31" s="1605"/>
      <c r="W31" s="1605"/>
      <c r="X31" s="570"/>
      <c r="Y31" s="1605"/>
      <c r="Z31" s="570"/>
      <c r="AA31" s="1605"/>
      <c r="AB31" s="570"/>
      <c r="AC31" s="1605"/>
      <c r="AD31" s="570"/>
      <c r="AE31" s="1605"/>
      <c r="AF31" s="1605" t="s">
        <v>463</v>
      </c>
      <c r="AG31" s="1605"/>
      <c r="AH31" s="570"/>
      <c r="AI31" s="1605"/>
      <c r="AJ31" s="570"/>
      <c r="AK31" s="1605"/>
      <c r="AL31" s="570"/>
      <c r="AO31" s="1605"/>
      <c r="AQ31" s="1605"/>
      <c r="AS31" s="1605"/>
    </row>
    <row r="32" spans="1:50">
      <c r="A32" s="410" t="str">
        <f t="shared" ref="A32:B35" si="4">A26</f>
        <v>1Q</v>
      </c>
      <c r="B32" s="410" t="str">
        <f t="shared" si="4"/>
        <v>Apr</v>
      </c>
      <c r="D32" s="449">
        <f>D26-D8</f>
        <v>-18.539000000000001</v>
      </c>
      <c r="F32" s="449">
        <f>F26-F8</f>
        <v>-34.413000000000004</v>
      </c>
      <c r="H32" s="449">
        <f>H26-H8</f>
        <v>-24.943000000000001</v>
      </c>
      <c r="J32" s="449">
        <f>J26-J8</f>
        <v>-36.509</v>
      </c>
      <c r="L32" s="449">
        <f>L26-L8</f>
        <v>-24.239000000000001</v>
      </c>
      <c r="N32" s="449">
        <f>N26-N8</f>
        <v>-19.058</v>
      </c>
      <c r="P32" s="449">
        <f>P26-P8</f>
        <v>-10.127000000000001</v>
      </c>
      <c r="R32" s="449">
        <f>R26-R8</f>
        <v>-78.679000000000002</v>
      </c>
      <c r="T32" s="449">
        <f>T26-T8</f>
        <v>-64.632000000000005</v>
      </c>
      <c r="V32" s="449">
        <f>V26-V8</f>
        <v>-96.072999999999993</v>
      </c>
      <c r="X32" s="449">
        <f>X26-X8</f>
        <v>-156.80500000000001</v>
      </c>
      <c r="Z32" s="449">
        <f>Z26-Z8</f>
        <v>-174.83099999999999</v>
      </c>
      <c r="AB32" s="449">
        <f>AB26-AB8</f>
        <v>-164.679</v>
      </c>
      <c r="AD32" s="449">
        <f>AD26-AD8</f>
        <v>-219.131</v>
      </c>
      <c r="AF32" s="449">
        <f>AF26-AF8</f>
        <v>-297.625</v>
      </c>
      <c r="AH32" s="449">
        <f>AH26-AH8</f>
        <v>-583.25800000000004</v>
      </c>
      <c r="AJ32" s="449">
        <f>AJ26-AJ8</f>
        <v>-310.77499999999998</v>
      </c>
      <c r="AL32" s="449">
        <f>AL26-AL8</f>
        <v>-247.51799999999997</v>
      </c>
      <c r="AN32" s="449">
        <f>AN26-AN8</f>
        <v>-273.464</v>
      </c>
      <c r="AP32" s="449">
        <f>AP26-AP8</f>
        <v>-191.82499999999999</v>
      </c>
      <c r="AR32" s="449">
        <f>AR26-AR8</f>
        <v>-273.55700000000002</v>
      </c>
      <c r="AT32" s="449">
        <f>AT26-AT8</f>
        <v>-212.70800000000003</v>
      </c>
      <c r="AV32" s="449">
        <f>AV26-AV8</f>
        <v>-370.97699999999998</v>
      </c>
      <c r="AX32" s="449"/>
    </row>
    <row r="33" spans="1:50">
      <c r="A33" s="410" t="str">
        <f t="shared" si="4"/>
        <v>2Q</v>
      </c>
      <c r="B33" s="410" t="str">
        <f t="shared" si="4"/>
        <v>Jul</v>
      </c>
      <c r="D33" s="472">
        <f>D27-D9</f>
        <v>-19.920000000000002</v>
      </c>
      <c r="F33" s="472">
        <f>F27-F9</f>
        <v>-22.554000000000002</v>
      </c>
      <c r="H33" s="472">
        <f>H27-H9</f>
        <v>-29.363</v>
      </c>
      <c r="J33" s="472">
        <f>J27-J9</f>
        <v>-34.716000000000001</v>
      </c>
      <c r="L33" s="472">
        <f>L27-L9</f>
        <v>-19.067</v>
      </c>
      <c r="N33" s="472">
        <f>N27-N9</f>
        <v>-15.165000000000001</v>
      </c>
      <c r="P33" s="472">
        <f>P27-P9</f>
        <v>-10.972</v>
      </c>
      <c r="R33" s="472">
        <f>R27-R9</f>
        <v>-78.77</v>
      </c>
      <c r="T33" s="472">
        <f>T27-T9</f>
        <v>-59.952999999999996</v>
      </c>
      <c r="V33" s="472">
        <f>V27-V9</f>
        <v>-102.286</v>
      </c>
      <c r="X33" s="472">
        <f>X27-X9</f>
        <v>-165.03800000000001</v>
      </c>
      <c r="Z33" s="472">
        <f>Z27-Z9</f>
        <v>-152.53100000000001</v>
      </c>
      <c r="AB33" s="472">
        <f>AB27-AB9</f>
        <v>-173.13499999999999</v>
      </c>
      <c r="AD33" s="472">
        <f>AD27-AD9</f>
        <v>-237.29599999999999</v>
      </c>
      <c r="AF33" s="472">
        <f>AF27-AF9</f>
        <v>-288.76</v>
      </c>
      <c r="AH33" s="472">
        <f>AH27-AH9</f>
        <v>-591.06100000000004</v>
      </c>
      <c r="AJ33" s="472">
        <f>AJ27-AJ9</f>
        <v>-608.63</v>
      </c>
      <c r="AL33" s="472">
        <f>AL27-AL9</f>
        <v>-363.03499999999997</v>
      </c>
      <c r="AN33" s="472">
        <f>AN27-AN9</f>
        <v>-741.11099999999999</v>
      </c>
      <c r="AP33" s="472">
        <f>AP27-AP9</f>
        <v>-409.14</v>
      </c>
      <c r="AR33" s="472">
        <f>AR27-AR9</f>
        <v>-339.13100000000003</v>
      </c>
      <c r="AT33" s="472">
        <f>AT27-AT9</f>
        <v>-252.34700000000004</v>
      </c>
      <c r="AV33" s="472">
        <f>AV27-AV9</f>
        <v>-386.95400000000001</v>
      </c>
      <c r="AX33" s="472"/>
    </row>
    <row r="34" spans="1:50">
      <c r="A34" s="410" t="str">
        <f t="shared" si="4"/>
        <v>3Q</v>
      </c>
      <c r="B34" s="410" t="str">
        <f t="shared" si="4"/>
        <v>Oct</v>
      </c>
      <c r="D34" s="472">
        <f>D28-D10</f>
        <v>-22.856000000000002</v>
      </c>
      <c r="F34" s="472">
        <f>F28-F10</f>
        <v>-23.48</v>
      </c>
      <c r="H34" s="472">
        <f>H28-H10</f>
        <v>-29.561999999999998</v>
      </c>
      <c r="J34" s="472">
        <f>J28-J10</f>
        <v>-35.293999999999997</v>
      </c>
      <c r="L34" s="472">
        <f>L28-L10</f>
        <v>-15.677</v>
      </c>
      <c r="N34" s="472">
        <f>N28-N10</f>
        <v>-8.7590000000000003</v>
      </c>
      <c r="P34" s="472">
        <f>P28-P10</f>
        <v>-7.5729999999999995</v>
      </c>
      <c r="R34" s="472">
        <f>R28-R10</f>
        <v>-55.31</v>
      </c>
      <c r="T34" s="472">
        <f>T28-T10</f>
        <v>-58.94</v>
      </c>
      <c r="V34" s="472">
        <f>V28-V10</f>
        <v>-86.914999999999992</v>
      </c>
      <c r="X34" s="472">
        <f>X28-X10</f>
        <v>-156.34</v>
      </c>
      <c r="Z34" s="472">
        <f>Z28-Z10</f>
        <v>-126.592</v>
      </c>
      <c r="AB34" s="472">
        <f>AB28-AB10</f>
        <v>-190.803</v>
      </c>
      <c r="AD34" s="472">
        <f>AD28-AD10</f>
        <v>-199.04899999999998</v>
      </c>
      <c r="AF34" s="472">
        <f>AF28-AF10</f>
        <v>-418.39499999999998</v>
      </c>
      <c r="AH34" s="472">
        <f>AH28-AH10</f>
        <v>-503.62400000000002</v>
      </c>
      <c r="AJ34" s="472">
        <f>AJ28-AJ10</f>
        <v>-259.16499999999996</v>
      </c>
      <c r="AL34" s="472">
        <f>AN28-AL10</f>
        <v>-216.648</v>
      </c>
      <c r="AN34" s="472">
        <f>AP28-AN10</f>
        <v>-422.476</v>
      </c>
      <c r="AP34" s="472">
        <f>AR28-AP10</f>
        <v>-128.196</v>
      </c>
      <c r="AR34" s="472">
        <f>AR28-AR10</f>
        <v>-104.142</v>
      </c>
      <c r="AT34" s="472">
        <f>AT28-AT10</f>
        <v>-259.52999999999997</v>
      </c>
      <c r="AV34" s="472">
        <f t="shared" ref="AV34:AV35" si="5">AV28-AV10</f>
        <v>-336.95400000000001</v>
      </c>
      <c r="AX34" s="472"/>
    </row>
    <row r="35" spans="1:50">
      <c r="A35" s="410" t="str">
        <f t="shared" si="4"/>
        <v>4Q</v>
      </c>
      <c r="B35" s="410" t="str">
        <f t="shared" si="4"/>
        <v>Jan</v>
      </c>
      <c r="D35" s="472">
        <f>D29-D11</f>
        <v>-29.594000000000001</v>
      </c>
      <c r="F35" s="472">
        <f>F29-F11</f>
        <v>-23.835999999999999</v>
      </c>
      <c r="H35" s="472">
        <f>H29-H11</f>
        <v>-37.576999999999998</v>
      </c>
      <c r="J35" s="472">
        <f>J29-J11</f>
        <v>-38.197000000000003</v>
      </c>
      <c r="L35" s="472">
        <f>L29-L11</f>
        <v>-23.951999999999998</v>
      </c>
      <c r="N35" s="472">
        <f>N29-N11</f>
        <v>-16.600000000000001</v>
      </c>
      <c r="P35" s="472">
        <f>P29-P11</f>
        <v>-28.283000000000001</v>
      </c>
      <c r="R35" s="472">
        <f>R29-R11</f>
        <v>-79.506</v>
      </c>
      <c r="T35" s="472">
        <f>T29-T11</f>
        <v>-78.27600000000001</v>
      </c>
      <c r="V35" s="472">
        <f>V29-V11</f>
        <v>-155.684</v>
      </c>
      <c r="X35" s="472">
        <f>X29-X11</f>
        <v>-191.745</v>
      </c>
      <c r="Z35" s="472">
        <f>Z29-Z11</f>
        <v>-159.27799999999999</v>
      </c>
      <c r="AB35" s="472">
        <f>AB29-AB11</f>
        <v>-185.398</v>
      </c>
      <c r="AD35" s="472">
        <f>AD29-AD11</f>
        <v>-365.983</v>
      </c>
      <c r="AF35" s="472">
        <f>AF29-AF11</f>
        <v>-501.536</v>
      </c>
      <c r="AH35" s="472">
        <f>AH29-AH11</f>
        <v>-456.67700000000002</v>
      </c>
      <c r="AJ35" s="472">
        <f>AJ29-AJ11</f>
        <v>-235.12700000000001</v>
      </c>
      <c r="AL35" s="472">
        <f>AL29-AL11</f>
        <v>-245.321</v>
      </c>
      <c r="AN35" s="472">
        <f>AN29-AN11</f>
        <v>-890.29300000000001</v>
      </c>
      <c r="AP35" s="472">
        <f>AR29-AP11</f>
        <v>-106.80399999999997</v>
      </c>
      <c r="AR35" s="472">
        <f>AR29-AR11</f>
        <v>-176.33699999999999</v>
      </c>
      <c r="AT35" s="472">
        <f>AT29-AT11</f>
        <v>-359.20699999999999</v>
      </c>
      <c r="AV35" s="472">
        <f t="shared" si="5"/>
        <v>-282.22000000000003</v>
      </c>
      <c r="AX35" s="472"/>
    </row>
    <row r="37" spans="1:50">
      <c r="D37" s="1602"/>
      <c r="F37" s="1602"/>
      <c r="H37" s="1602"/>
      <c r="I37" s="1602"/>
      <c r="J37" s="1602"/>
      <c r="L37" s="1602"/>
      <c r="M37" s="1602"/>
      <c r="O37" s="1603"/>
      <c r="P37" s="1603"/>
      <c r="Q37" s="1606"/>
      <c r="R37" s="1603"/>
      <c r="S37" s="1603"/>
      <c r="T37" s="1603"/>
      <c r="U37" s="1603"/>
      <c r="W37" s="1603"/>
      <c r="X37" s="1606"/>
      <c r="Y37" s="1603"/>
      <c r="Z37" s="1606"/>
      <c r="AA37" s="1603"/>
      <c r="AB37" s="1606"/>
      <c r="AC37" s="1603"/>
      <c r="AD37" s="1606"/>
      <c r="AE37" s="1603"/>
      <c r="AF37" s="1603" t="s">
        <v>464</v>
      </c>
      <c r="AG37" s="1603"/>
      <c r="AH37" s="1606"/>
      <c r="AI37" s="1603"/>
      <c r="AJ37" s="1606"/>
      <c r="AK37" s="1603"/>
      <c r="AL37" s="1606"/>
      <c r="AO37" s="1603"/>
      <c r="AQ37" s="1603"/>
      <c r="AS37" s="1603"/>
    </row>
    <row r="38" spans="1:50">
      <c r="A38" s="410" t="str">
        <f t="shared" ref="A38:B41" si="6">A32</f>
        <v>1Q</v>
      </c>
      <c r="B38" s="410" t="str">
        <f t="shared" si="6"/>
        <v>Apr</v>
      </c>
      <c r="D38" s="435">
        <v>49.093000000000004</v>
      </c>
      <c r="F38" s="435">
        <v>63.468000000000004</v>
      </c>
      <c r="H38" s="435">
        <v>78.138999999999996</v>
      </c>
      <c r="J38" s="435">
        <v>93.902000000000001</v>
      </c>
      <c r="L38" s="435">
        <f>104.626</f>
        <v>104.626</v>
      </c>
      <c r="N38" s="435">
        <v>122.35899999999999</v>
      </c>
      <c r="P38" s="435">
        <v>130.511</v>
      </c>
      <c r="R38" s="435">
        <v>195.761</v>
      </c>
      <c r="T38" s="435">
        <v>232.06</v>
      </c>
      <c r="V38" s="435">
        <v>313.01100000000002</v>
      </c>
      <c r="X38" s="435">
        <v>439.62700000000001</v>
      </c>
      <c r="Z38" s="435">
        <v>585.80899999999997</v>
      </c>
      <c r="AB38" s="435">
        <v>711.79600000000005</v>
      </c>
      <c r="AD38" s="435">
        <v>908.39200000000005</v>
      </c>
      <c r="AF38" s="435">
        <v>1091.626</v>
      </c>
      <c r="AH38" s="435">
        <v>1360.146</v>
      </c>
      <c r="AJ38" s="435">
        <v>1312.48</v>
      </c>
      <c r="AL38" s="435">
        <v>1112.3209999999999</v>
      </c>
      <c r="AN38" s="435">
        <v>1425.9010000000001</v>
      </c>
      <c r="AP38" s="435">
        <v>1386.405</v>
      </c>
      <c r="AR38" s="435">
        <v>1388.4449999999999</v>
      </c>
      <c r="AT38" s="435">
        <v>1174.0530000000001</v>
      </c>
      <c r="AV38" s="435">
        <v>1332.69</v>
      </c>
      <c r="AX38" s="435"/>
    </row>
    <row r="39" spans="1:50">
      <c r="A39" s="410" t="str">
        <f t="shared" si="6"/>
        <v>2Q</v>
      </c>
      <c r="B39" s="410" t="str">
        <f t="shared" si="6"/>
        <v>Jul</v>
      </c>
      <c r="D39" s="467">
        <v>51.401000000000003</v>
      </c>
      <c r="F39" s="467">
        <v>67.911000000000001</v>
      </c>
      <c r="H39" s="467">
        <v>80.994</v>
      </c>
      <c r="J39" s="467">
        <v>97.176000000000002</v>
      </c>
      <c r="L39" s="467">
        <v>110.851</v>
      </c>
      <c r="N39" s="467">
        <v>123.786</v>
      </c>
      <c r="P39" s="467">
        <v>133.68700000000001</v>
      </c>
      <c r="R39" s="467">
        <v>203.07400000000001</v>
      </c>
      <c r="T39" s="467">
        <v>245.95400000000001</v>
      </c>
      <c r="V39" s="467">
        <v>337.94400000000002</v>
      </c>
      <c r="X39" s="467">
        <v>477.30500000000001</v>
      </c>
      <c r="Z39" s="467">
        <v>614.84199999999998</v>
      </c>
      <c r="AB39" s="467">
        <v>745.27300000000002</v>
      </c>
      <c r="AD39" s="467">
        <v>968.13800000000003</v>
      </c>
      <c r="AF39" s="467">
        <v>1148.2149999999999</v>
      </c>
      <c r="AH39" s="467">
        <v>1373.287</v>
      </c>
      <c r="AJ39" s="467">
        <v>1304.32</v>
      </c>
      <c r="AL39" s="467">
        <v>1174.194</v>
      </c>
      <c r="AN39" s="467">
        <v>1519.0830000000001</v>
      </c>
      <c r="AP39" s="467">
        <v>1336.057</v>
      </c>
      <c r="AR39" s="467">
        <v>1231.248</v>
      </c>
      <c r="AT39" s="467">
        <v>1245.018</v>
      </c>
      <c r="AV39" s="467">
        <v>1308.8130000000001</v>
      </c>
      <c r="AX39" s="467"/>
    </row>
    <row r="40" spans="1:50">
      <c r="A40" s="410" t="str">
        <f t="shared" si="6"/>
        <v>3Q</v>
      </c>
      <c r="B40" s="410" t="str">
        <f t="shared" si="6"/>
        <v>Oct</v>
      </c>
      <c r="D40" s="467">
        <v>39.844999999999999</v>
      </c>
      <c r="F40" s="467">
        <v>72.84</v>
      </c>
      <c r="H40" s="467">
        <v>86.210999999999999</v>
      </c>
      <c r="J40" s="467">
        <v>99.968999999999994</v>
      </c>
      <c r="L40" s="467">
        <v>118.628</v>
      </c>
      <c r="N40" s="467">
        <v>126.07899999999999</v>
      </c>
      <c r="P40" s="467">
        <v>138.84800000000001</v>
      </c>
      <c r="R40" s="467">
        <v>213.06100000000001</v>
      </c>
      <c r="T40" s="467">
        <v>262.548</v>
      </c>
      <c r="V40" s="467">
        <v>369.99700000000001</v>
      </c>
      <c r="X40" s="467">
        <v>516.35299999999995</v>
      </c>
      <c r="Z40" s="467">
        <v>634.57500000000005</v>
      </c>
      <c r="AB40" s="467">
        <v>795.64400000000001</v>
      </c>
      <c r="AD40" s="467">
        <v>1021.397</v>
      </c>
      <c r="AF40" s="467">
        <v>1215.26</v>
      </c>
      <c r="AH40" s="467">
        <v>1319.8989999999999</v>
      </c>
      <c r="AJ40" s="467">
        <v>1033.806</v>
      </c>
      <c r="AL40" s="467">
        <v>1269.8579999999999</v>
      </c>
      <c r="AN40" s="467">
        <v>1596.2819999999999</v>
      </c>
      <c r="AP40" s="467">
        <v>1377.9829999999999</v>
      </c>
      <c r="AR40" s="467">
        <v>1171.6690000000001</v>
      </c>
      <c r="AT40" s="467">
        <v>1247.633</v>
      </c>
      <c r="AV40" s="467">
        <v>1284.808</v>
      </c>
      <c r="AX40" s="467"/>
    </row>
    <row r="41" spans="1:50">
      <c r="A41" s="410" t="str">
        <f t="shared" si="6"/>
        <v>4Q</v>
      </c>
      <c r="B41" s="410" t="str">
        <f t="shared" si="6"/>
        <v>Jan</v>
      </c>
      <c r="D41" s="472">
        <f>+bal!G50</f>
        <v>59.451999999999998</v>
      </c>
      <c r="F41" s="472">
        <f>+bal!I50</f>
        <v>75.691999999999993</v>
      </c>
      <c r="H41" s="472">
        <f>+bal!K50</f>
        <v>90.658000000000001</v>
      </c>
      <c r="J41" s="472">
        <f>+bal!M50</f>
        <v>105.294</v>
      </c>
      <c r="L41" s="472">
        <f>+bal!O50</f>
        <v>120.91600000000001</v>
      </c>
      <c r="N41" s="472">
        <f>+bal!Q50</f>
        <v>129.61199999999999</v>
      </c>
      <c r="P41" s="472">
        <f>+bal!S50</f>
        <v>145.88800000000001</v>
      </c>
      <c r="R41" s="467">
        <v>277.99599999999998</v>
      </c>
      <c r="T41" s="467">
        <v>290.13</v>
      </c>
      <c r="V41" s="467">
        <v>407.79</v>
      </c>
      <c r="X41" s="467">
        <v>560.88</v>
      </c>
      <c r="Z41" s="467">
        <v>675.28300000000002</v>
      </c>
      <c r="AB41" s="467">
        <v>853.43100000000004</v>
      </c>
      <c r="AD41" s="467">
        <v>1053.7750000000001</v>
      </c>
      <c r="AF41" s="467">
        <v>1296.7750000000001</v>
      </c>
      <c r="AH41" s="467">
        <v>1410.89</v>
      </c>
      <c r="AJ41" s="467">
        <v>1066.268</v>
      </c>
      <c r="AL41" s="467">
        <v>1354.588</v>
      </c>
      <c r="AN41" s="467">
        <v>1694.17</v>
      </c>
      <c r="AP41" s="467">
        <v>1327.9690000000001</v>
      </c>
      <c r="AR41" s="467">
        <v>1137.2270000000001</v>
      </c>
      <c r="AT41" s="467">
        <v>1313.0840000000001</v>
      </c>
      <c r="AV41" s="467">
        <v>1300.903</v>
      </c>
      <c r="AX41" s="467"/>
    </row>
    <row r="43" spans="1:50">
      <c r="D43" s="1258"/>
      <c r="F43" s="1258"/>
      <c r="H43" s="1258"/>
      <c r="I43" s="1258"/>
      <c r="J43" s="1258"/>
      <c r="L43" s="1258"/>
      <c r="M43" s="1258"/>
      <c r="O43" s="1605"/>
      <c r="P43" s="1605"/>
      <c r="Q43" s="570"/>
      <c r="R43" s="1605"/>
      <c r="S43" s="1605"/>
      <c r="T43" s="1605"/>
      <c r="U43" s="1605"/>
      <c r="W43" s="1605"/>
      <c r="X43" s="570"/>
      <c r="Y43" s="1605"/>
      <c r="Z43" s="570"/>
      <c r="AA43" s="1605"/>
      <c r="AB43" s="570"/>
      <c r="AC43" s="1605"/>
      <c r="AD43" s="570"/>
      <c r="AE43" s="1605"/>
      <c r="AF43" s="1605" t="s">
        <v>465</v>
      </c>
      <c r="AG43" s="1605"/>
      <c r="AH43" s="570"/>
      <c r="AI43" s="1605"/>
      <c r="AJ43" s="570"/>
      <c r="AK43" s="1605"/>
      <c r="AL43" s="570"/>
      <c r="AO43" s="1605"/>
      <c r="AQ43" s="1605"/>
      <c r="AS43" s="1605"/>
    </row>
    <row r="44" spans="1:50">
      <c r="A44" s="410" t="str">
        <f t="shared" ref="A44:B47" si="7">A38</f>
        <v>1Q</v>
      </c>
      <c r="B44" s="410" t="str">
        <f t="shared" si="7"/>
        <v>Apr</v>
      </c>
      <c r="D44" s="449">
        <f>D38+D26</f>
        <v>49.093000000000004</v>
      </c>
      <c r="F44" s="449">
        <f>F38+F26</f>
        <v>63.468000000000004</v>
      </c>
      <c r="H44" s="449">
        <f>H38+H26</f>
        <v>78.138999999999996</v>
      </c>
      <c r="J44" s="449">
        <f>J38+J26</f>
        <v>93.902000000000001</v>
      </c>
      <c r="L44" s="449">
        <f>L38+L26</f>
        <v>104.626</v>
      </c>
      <c r="N44" s="449">
        <f>N38+N26</f>
        <v>122.35899999999999</v>
      </c>
      <c r="P44" s="449">
        <f>P38+P26</f>
        <v>130.511</v>
      </c>
      <c r="R44" s="449">
        <f>R38+R26</f>
        <v>195.761</v>
      </c>
      <c r="T44" s="449">
        <f>T38+T26</f>
        <v>232.06</v>
      </c>
      <c r="V44" s="449">
        <f>V38+V26</f>
        <v>313.01100000000002</v>
      </c>
      <c r="X44" s="449">
        <f>X38+X26</f>
        <v>439.62700000000001</v>
      </c>
      <c r="Z44" s="449">
        <f>Z38+Z26</f>
        <v>585.80899999999997</v>
      </c>
      <c r="AB44" s="449">
        <f>AB38+AB26</f>
        <v>711.79600000000005</v>
      </c>
      <c r="AD44" s="449">
        <f>AD38+AD26</f>
        <v>908.39200000000005</v>
      </c>
      <c r="AF44" s="449">
        <f>AF38+AF26</f>
        <v>1091.626</v>
      </c>
      <c r="AH44" s="449">
        <f>AH38+AH26</f>
        <v>1360.146</v>
      </c>
      <c r="AJ44" s="449">
        <f>AJ38+AJ26</f>
        <v>1312.48</v>
      </c>
      <c r="AL44" s="449">
        <f>AL38+AL26</f>
        <v>1112.3209999999999</v>
      </c>
      <c r="AN44" s="449">
        <f>AN38+AN26</f>
        <v>1425.9010000000001</v>
      </c>
      <c r="AP44" s="449">
        <f>AP38+AP26</f>
        <v>1386.405</v>
      </c>
      <c r="AR44" s="449">
        <f>AR38+AR26</f>
        <v>1388.4449999999999</v>
      </c>
      <c r="AT44" s="449">
        <f>AT38+AT26</f>
        <v>1249.0530000000001</v>
      </c>
      <c r="AV44" s="449">
        <f>AV38+AV26</f>
        <v>1332.69</v>
      </c>
      <c r="AX44" s="449"/>
    </row>
    <row r="45" spans="1:50">
      <c r="A45" s="410" t="str">
        <f t="shared" si="7"/>
        <v>2Q</v>
      </c>
      <c r="B45" s="410" t="str">
        <f t="shared" si="7"/>
        <v>Jul</v>
      </c>
      <c r="D45" s="472">
        <f>D39+D27</f>
        <v>51.401000000000003</v>
      </c>
      <c r="F45" s="472">
        <f>F39+F27</f>
        <v>67.911000000000001</v>
      </c>
      <c r="H45" s="472">
        <f>H39+H27</f>
        <v>80.994</v>
      </c>
      <c r="J45" s="472">
        <f>J39+J27</f>
        <v>97.176000000000002</v>
      </c>
      <c r="L45" s="472">
        <f>L39+L27</f>
        <v>110.851</v>
      </c>
      <c r="N45" s="472">
        <f>N39+N27</f>
        <v>123.786</v>
      </c>
      <c r="P45" s="472">
        <f>P39+P27</f>
        <v>133.68700000000001</v>
      </c>
      <c r="R45" s="472">
        <f>R39+R27</f>
        <v>203.07400000000001</v>
      </c>
      <c r="T45" s="472">
        <f>T39+T27</f>
        <v>245.95400000000001</v>
      </c>
      <c r="V45" s="472">
        <f>V39+V27</f>
        <v>337.94400000000002</v>
      </c>
      <c r="X45" s="472">
        <f>X39+X27</f>
        <v>477.30500000000001</v>
      </c>
      <c r="Z45" s="472">
        <f>Z39+Z27</f>
        <v>614.84199999999998</v>
      </c>
      <c r="AB45" s="472">
        <f>AB39+AB27</f>
        <v>745.27300000000002</v>
      </c>
      <c r="AD45" s="472">
        <f>AD39+AD27</f>
        <v>968.13800000000003</v>
      </c>
      <c r="AF45" s="472">
        <f>AF39+AF27</f>
        <v>1148.2149999999999</v>
      </c>
      <c r="AH45" s="472">
        <f>AH39+AH27</f>
        <v>1373.287</v>
      </c>
      <c r="AJ45" s="472">
        <f>AJ39+AJ27</f>
        <v>1304.32</v>
      </c>
      <c r="AL45" s="472">
        <f>AL39+AL27</f>
        <v>1174.194</v>
      </c>
      <c r="AN45" s="472">
        <f>AN39+AN27</f>
        <v>1519.0830000000001</v>
      </c>
      <c r="AP45" s="472">
        <f>AP39+AP27</f>
        <v>1336.057</v>
      </c>
      <c r="AR45" s="472">
        <f>AR39+AR27</f>
        <v>1231.248</v>
      </c>
      <c r="AT45" s="472">
        <f>AT39+AT27</f>
        <v>1295.018</v>
      </c>
      <c r="AV45" s="472">
        <f>AV39+AV27</f>
        <v>1308.8130000000001</v>
      </c>
      <c r="AX45" s="472"/>
    </row>
    <row r="46" spans="1:50">
      <c r="A46" s="410" t="str">
        <f t="shared" si="7"/>
        <v>3Q</v>
      </c>
      <c r="B46" s="410" t="str">
        <f t="shared" si="7"/>
        <v>Oct</v>
      </c>
      <c r="D46" s="472">
        <f>D40+D28</f>
        <v>39.844999999999999</v>
      </c>
      <c r="F46" s="472">
        <f>F40+F28</f>
        <v>72.84</v>
      </c>
      <c r="H46" s="472">
        <f>H40+H28</f>
        <v>86.210999999999999</v>
      </c>
      <c r="J46" s="472">
        <f>J40+J28</f>
        <v>99.968999999999994</v>
      </c>
      <c r="L46" s="472">
        <f>L40+L28</f>
        <v>118.628</v>
      </c>
      <c r="N46" s="472">
        <f>N40+N28</f>
        <v>126.07899999999999</v>
      </c>
      <c r="P46" s="472">
        <f>P40+P28</f>
        <v>138.84800000000001</v>
      </c>
      <c r="R46" s="472">
        <f>R40+R28</f>
        <v>213.06100000000001</v>
      </c>
      <c r="T46" s="472">
        <f>T40+T28</f>
        <v>262.548</v>
      </c>
      <c r="V46" s="472">
        <f>V40+V28</f>
        <v>369.99700000000001</v>
      </c>
      <c r="X46" s="472">
        <f>X40+X28</f>
        <v>516.35299999999995</v>
      </c>
      <c r="Z46" s="472">
        <f>Z40+Z28</f>
        <v>634.57500000000005</v>
      </c>
      <c r="AB46" s="472">
        <f>AB40+AB28</f>
        <v>795.64400000000001</v>
      </c>
      <c r="AD46" s="472">
        <f>AD40+AD28</f>
        <v>1021.397</v>
      </c>
      <c r="AF46" s="472">
        <f>AF40+AF28</f>
        <v>1215.26</v>
      </c>
      <c r="AH46" s="472">
        <f>AH40+AH28</f>
        <v>1319.8989999999999</v>
      </c>
      <c r="AJ46" s="472">
        <f>AJ40+AJ28</f>
        <v>1033.806</v>
      </c>
      <c r="AL46" s="472">
        <f>AL40+AN28</f>
        <v>1269.8579999999999</v>
      </c>
      <c r="AN46" s="472">
        <f>AN40+AP28</f>
        <v>1596.2819999999999</v>
      </c>
      <c r="AP46" s="472">
        <f>AP40+AR28</f>
        <v>1492.9829999999999</v>
      </c>
      <c r="AR46" s="472">
        <f>AR40+AR28</f>
        <v>1286.6690000000001</v>
      </c>
      <c r="AT46" s="472">
        <f>AT40+AT28</f>
        <v>1247.633</v>
      </c>
      <c r="AV46" s="472">
        <f t="shared" ref="AV46:AV47" si="8">AV40+AV28</f>
        <v>1284.808</v>
      </c>
      <c r="AX46" s="472"/>
    </row>
    <row r="47" spans="1:50">
      <c r="A47" s="410" t="str">
        <f t="shared" si="7"/>
        <v>4Q</v>
      </c>
      <c r="B47" s="410" t="str">
        <f t="shared" si="7"/>
        <v>Jan</v>
      </c>
      <c r="D47" s="472">
        <f>D41+D29</f>
        <v>59.451999999999998</v>
      </c>
      <c r="F47" s="472">
        <f>F41+F29</f>
        <v>75.691999999999993</v>
      </c>
      <c r="H47" s="472">
        <f>H41+H29</f>
        <v>90.658000000000001</v>
      </c>
      <c r="J47" s="472">
        <f>J41+J29</f>
        <v>105.294</v>
      </c>
      <c r="L47" s="472">
        <f>L41+L29</f>
        <v>120.91600000000001</v>
      </c>
      <c r="N47" s="472">
        <f>N41+N29</f>
        <v>129.61199999999999</v>
      </c>
      <c r="P47" s="472">
        <f>P41+P29</f>
        <v>145.88800000000001</v>
      </c>
      <c r="R47" s="472">
        <f>R41+R29</f>
        <v>277.99599999999998</v>
      </c>
      <c r="T47" s="472">
        <f>T41+T29</f>
        <v>290.13</v>
      </c>
      <c r="V47" s="472">
        <f>V41+V29</f>
        <v>407.79</v>
      </c>
      <c r="X47" s="472">
        <f>X41+X29</f>
        <v>560.88</v>
      </c>
      <c r="Z47" s="472">
        <f>Z41+Z29</f>
        <v>675.28300000000002</v>
      </c>
      <c r="AB47" s="472">
        <f>AB41+AB29</f>
        <v>853.43100000000004</v>
      </c>
      <c r="AD47" s="472">
        <f>AD41+AD29</f>
        <v>1053.7750000000001</v>
      </c>
      <c r="AF47" s="472">
        <f>AF41+AF29</f>
        <v>1296.7750000000001</v>
      </c>
      <c r="AH47" s="472">
        <f>AH41+AH29</f>
        <v>1410.89</v>
      </c>
      <c r="AJ47" s="472">
        <f>AJ41+AJ29</f>
        <v>1066.268</v>
      </c>
      <c r="AL47" s="472">
        <f>AL41+AL29</f>
        <v>1354.588</v>
      </c>
      <c r="AN47" s="472">
        <f>AN41+AN29</f>
        <v>1694.17</v>
      </c>
      <c r="AP47" s="472">
        <f>AP41+AR29</f>
        <v>1477.9690000000001</v>
      </c>
      <c r="AR47" s="472">
        <f>AR41+AT29</f>
        <v>1137.2270000000001</v>
      </c>
      <c r="AT47" s="472">
        <f>AT41+AT29</f>
        <v>1313.0840000000001</v>
      </c>
      <c r="AV47" s="472">
        <f t="shared" si="8"/>
        <v>1300.903</v>
      </c>
      <c r="AX47" s="472"/>
    </row>
    <row r="49" spans="1:50">
      <c r="D49" s="1258"/>
      <c r="F49" s="1258"/>
      <c r="H49" s="1258"/>
      <c r="I49" s="1258"/>
      <c r="J49" s="1258"/>
      <c r="L49" s="1258"/>
      <c r="M49" s="1258"/>
      <c r="O49" s="1605"/>
      <c r="P49" s="1605"/>
      <c r="Q49" s="570"/>
      <c r="R49" s="1605"/>
      <c r="S49" s="1605"/>
      <c r="T49" s="1605"/>
      <c r="U49" s="1605"/>
      <c r="W49" s="1605"/>
      <c r="X49" s="570"/>
      <c r="Y49" s="1605"/>
      <c r="Z49" s="570"/>
      <c r="AA49" s="1605"/>
      <c r="AB49" s="570"/>
      <c r="AC49" s="1605"/>
      <c r="AD49" s="570"/>
      <c r="AE49" s="1605"/>
      <c r="AF49" s="1605" t="s">
        <v>466</v>
      </c>
      <c r="AG49" s="1605"/>
      <c r="AH49" s="570"/>
      <c r="AI49" s="1605"/>
      <c r="AJ49" s="570"/>
      <c r="AK49" s="1605"/>
      <c r="AL49" s="570"/>
      <c r="AO49" s="1605"/>
      <c r="AQ49" s="1605"/>
      <c r="AS49" s="1605"/>
    </row>
    <row r="50" spans="1:50">
      <c r="A50" s="410" t="str">
        <f t="shared" ref="A50:B53" si="9">A44</f>
        <v>1Q</v>
      </c>
      <c r="B50" s="410" t="str">
        <f t="shared" si="9"/>
        <v>Apr</v>
      </c>
      <c r="D50" s="527">
        <f>D26/D44</f>
        <v>0</v>
      </c>
      <c r="F50" s="527">
        <f>F26/F44</f>
        <v>0</v>
      </c>
      <c r="H50" s="527">
        <f>H26/H44</f>
        <v>0</v>
      </c>
      <c r="J50" s="527">
        <f>J26/J44</f>
        <v>0</v>
      </c>
      <c r="L50" s="527">
        <f>L26/L44</f>
        <v>0</v>
      </c>
      <c r="N50" s="527">
        <f>N26/N44</f>
        <v>0</v>
      </c>
      <c r="P50" s="527">
        <f>P26/P44</f>
        <v>0</v>
      </c>
      <c r="R50" s="527">
        <f>R26/R44</f>
        <v>0</v>
      </c>
      <c r="T50" s="527">
        <f>T26/T44</f>
        <v>0</v>
      </c>
      <c r="V50" s="527">
        <f>V26/V44</f>
        <v>0</v>
      </c>
      <c r="X50" s="527">
        <f>X26/X44</f>
        <v>0</v>
      </c>
      <c r="Z50" s="527">
        <f>Z26/Z44</f>
        <v>0</v>
      </c>
      <c r="AB50" s="527">
        <f>AB26/AB44</f>
        <v>0</v>
      </c>
      <c r="AD50" s="527">
        <f>AD26/AD44</f>
        <v>0</v>
      </c>
      <c r="AF50" s="527">
        <f>AF26/AF44</f>
        <v>0</v>
      </c>
      <c r="AH50" s="527">
        <f>AH26/AH44</f>
        <v>0</v>
      </c>
      <c r="AJ50" s="527">
        <f>AJ26/AJ44</f>
        <v>0</v>
      </c>
      <c r="AL50" s="527">
        <f>AL26/AL44</f>
        <v>0</v>
      </c>
      <c r="AN50" s="527">
        <f>AN26/AN44</f>
        <v>0</v>
      </c>
      <c r="AP50" s="527">
        <f>AP26/AP44</f>
        <v>0</v>
      </c>
      <c r="AR50" s="527">
        <f>AR26/AR44</f>
        <v>0</v>
      </c>
      <c r="AT50" s="527">
        <f>AT26/AT44</f>
        <v>6.0045490463575199E-2</v>
      </c>
      <c r="AV50" s="527">
        <f>AV26/AV44</f>
        <v>0</v>
      </c>
      <c r="AX50" s="527"/>
    </row>
    <row r="51" spans="1:50">
      <c r="A51" s="410" t="str">
        <f t="shared" si="9"/>
        <v>2Q</v>
      </c>
      <c r="B51" s="410" t="str">
        <f t="shared" si="9"/>
        <v>Jul</v>
      </c>
      <c r="D51" s="527">
        <f>D27/D45</f>
        <v>0</v>
      </c>
      <c r="F51" s="527">
        <f>F27/F45</f>
        <v>0</v>
      </c>
      <c r="H51" s="527">
        <f>H27/H45</f>
        <v>0</v>
      </c>
      <c r="J51" s="527">
        <f>J27/J45</f>
        <v>0</v>
      </c>
      <c r="L51" s="527">
        <f>L27/L45</f>
        <v>0</v>
      </c>
      <c r="N51" s="527">
        <f>N27/N45</f>
        <v>0</v>
      </c>
      <c r="P51" s="527">
        <f>P27/P45</f>
        <v>0</v>
      </c>
      <c r="R51" s="527">
        <f>R27/R45</f>
        <v>0</v>
      </c>
      <c r="T51" s="527">
        <f>T27/T45</f>
        <v>0</v>
      </c>
      <c r="V51" s="527">
        <f>V27/V45</f>
        <v>0</v>
      </c>
      <c r="X51" s="527">
        <f>X27/X45</f>
        <v>0</v>
      </c>
      <c r="Z51" s="527">
        <f>Z27/Z45</f>
        <v>0</v>
      </c>
      <c r="AB51" s="527">
        <f>AB27/AB45</f>
        <v>0</v>
      </c>
      <c r="AD51" s="527">
        <f>AD27/AD45</f>
        <v>0</v>
      </c>
      <c r="AF51" s="527">
        <f>AF27/AF45</f>
        <v>0</v>
      </c>
      <c r="AH51" s="527">
        <f>AH27/AH45</f>
        <v>0</v>
      </c>
      <c r="AJ51" s="527">
        <f>AJ27/AJ45</f>
        <v>0</v>
      </c>
      <c r="AL51" s="527">
        <f>AL27/AL45</f>
        <v>0</v>
      </c>
      <c r="AN51" s="527">
        <f>AN27/AN45</f>
        <v>0</v>
      </c>
      <c r="AP51" s="527">
        <f>AP27/AP45</f>
        <v>0</v>
      </c>
      <c r="AR51" s="527">
        <f>AR27/AR45</f>
        <v>0</v>
      </c>
      <c r="AT51" s="527">
        <f>AT27/AT45</f>
        <v>3.8609501952868608E-2</v>
      </c>
      <c r="AV51" s="527">
        <f>AV27/AV45</f>
        <v>0</v>
      </c>
      <c r="AX51" s="527"/>
    </row>
    <row r="52" spans="1:50">
      <c r="A52" s="410" t="str">
        <f t="shared" si="9"/>
        <v>3Q</v>
      </c>
      <c r="B52" s="410" t="str">
        <f t="shared" si="9"/>
        <v>Oct</v>
      </c>
      <c r="D52" s="527">
        <f>D28/D46</f>
        <v>0</v>
      </c>
      <c r="F52" s="527">
        <f>F28/F46</f>
        <v>0</v>
      </c>
      <c r="H52" s="527">
        <f>H28/H46</f>
        <v>0</v>
      </c>
      <c r="J52" s="527">
        <f>J28/J46</f>
        <v>0</v>
      </c>
      <c r="L52" s="527">
        <f>L28/L46</f>
        <v>0</v>
      </c>
      <c r="N52" s="527">
        <f>N28/N46</f>
        <v>0</v>
      </c>
      <c r="P52" s="527">
        <f>P28/P46</f>
        <v>0</v>
      </c>
      <c r="R52" s="527">
        <f>R28/R46</f>
        <v>0</v>
      </c>
      <c r="T52" s="527">
        <f>T28/T46</f>
        <v>0</v>
      </c>
      <c r="V52" s="527">
        <f>V28/V46</f>
        <v>0</v>
      </c>
      <c r="X52" s="527">
        <f>X28/X46</f>
        <v>0</v>
      </c>
      <c r="Z52" s="527">
        <f>Z28/Z46</f>
        <v>0</v>
      </c>
      <c r="AB52" s="527">
        <f>AB28/AB46</f>
        <v>0</v>
      </c>
      <c r="AD52" s="527">
        <f>AD28/AD46</f>
        <v>0</v>
      </c>
      <c r="AF52" s="527">
        <f>AF28/AF46</f>
        <v>0</v>
      </c>
      <c r="AH52" s="527">
        <f>AH28/AH46</f>
        <v>0</v>
      </c>
      <c r="AJ52" s="527">
        <f>AJ28/AJ46</f>
        <v>0</v>
      </c>
      <c r="AL52" s="527">
        <f>AN28/AL46</f>
        <v>0</v>
      </c>
      <c r="AN52" s="527">
        <f>AP28/AN46</f>
        <v>0</v>
      </c>
      <c r="AP52" s="527">
        <f>AR28/AP46</f>
        <v>7.7026998967838212E-2</v>
      </c>
      <c r="AR52" s="527">
        <f>AR28/AR46</f>
        <v>8.937807625737465E-2</v>
      </c>
      <c r="AT52" s="527">
        <f>AT28/AT46</f>
        <v>0</v>
      </c>
      <c r="AV52" s="527">
        <f t="shared" ref="AV52:AV53" si="10">AV28/AV46</f>
        <v>0</v>
      </c>
      <c r="AX52" s="527"/>
    </row>
    <row r="53" spans="1:50">
      <c r="A53" s="410" t="str">
        <f t="shared" si="9"/>
        <v>4Q</v>
      </c>
      <c r="B53" s="410" t="str">
        <f t="shared" si="9"/>
        <v>Jan</v>
      </c>
      <c r="D53" s="527">
        <f>D29/D47</f>
        <v>0</v>
      </c>
      <c r="F53" s="527">
        <f>F29/F47</f>
        <v>0</v>
      </c>
      <c r="H53" s="527">
        <f>H29/H47</f>
        <v>0</v>
      </c>
      <c r="J53" s="527">
        <f>J29/J47</f>
        <v>0</v>
      </c>
      <c r="L53" s="527">
        <f>L29/L47</f>
        <v>0</v>
      </c>
      <c r="N53" s="527">
        <f>N29/N47</f>
        <v>0</v>
      </c>
      <c r="P53" s="527">
        <f>P29/P47</f>
        <v>0</v>
      </c>
      <c r="R53" s="527">
        <f>R29/R47</f>
        <v>0</v>
      </c>
      <c r="T53" s="527">
        <f>T29/T47</f>
        <v>0</v>
      </c>
      <c r="V53" s="527">
        <f>V29/V47</f>
        <v>0</v>
      </c>
      <c r="X53" s="527">
        <f>X29/X47</f>
        <v>0</v>
      </c>
      <c r="Z53" s="527">
        <f>Z29/Z47</f>
        <v>0</v>
      </c>
      <c r="AB53" s="527">
        <f>AB29/AB47</f>
        <v>0</v>
      </c>
      <c r="AD53" s="527">
        <f>AD29/AD47</f>
        <v>0</v>
      </c>
      <c r="AF53" s="527">
        <f>AF29/AF47</f>
        <v>0</v>
      </c>
      <c r="AH53" s="527">
        <f>AH29/AH47</f>
        <v>0</v>
      </c>
      <c r="AJ53" s="527">
        <f>AJ29/AJ47</f>
        <v>0</v>
      </c>
      <c r="AL53" s="527">
        <f>AL29/AL47</f>
        <v>0</v>
      </c>
      <c r="AN53" s="527">
        <f>AN29/AN47</f>
        <v>0</v>
      </c>
      <c r="AP53" s="527">
        <f>AR29/AP47</f>
        <v>0.10149062666402339</v>
      </c>
      <c r="AR53" s="527">
        <f>AT29/AR47</f>
        <v>0</v>
      </c>
      <c r="AT53" s="527">
        <f>AT29/AT47</f>
        <v>0</v>
      </c>
      <c r="AV53" s="527">
        <f t="shared" si="10"/>
        <v>0</v>
      </c>
      <c r="AX53" s="527"/>
    </row>
    <row r="55" spans="1:50">
      <c r="D55" s="1258"/>
      <c r="F55" s="1258"/>
      <c r="H55" s="1258"/>
      <c r="I55" s="1258"/>
      <c r="J55" s="1258"/>
      <c r="L55" s="1258"/>
      <c r="M55" s="1258"/>
      <c r="O55" s="1605"/>
      <c r="P55" s="1605"/>
      <c r="Q55" s="570"/>
      <c r="R55" s="1605"/>
      <c r="S55" s="1605"/>
      <c r="T55" s="1605"/>
      <c r="U55" s="1605"/>
      <c r="W55" s="1605"/>
      <c r="X55" s="570"/>
      <c r="Y55" s="1605"/>
      <c r="Z55" s="570"/>
      <c r="AA55" s="1605"/>
      <c r="AB55" s="570"/>
      <c r="AC55" s="1605"/>
      <c r="AD55" s="570"/>
      <c r="AE55" s="1605"/>
      <c r="AF55" s="1605" t="s">
        <v>467</v>
      </c>
      <c r="AG55" s="1605"/>
      <c r="AH55" s="570"/>
      <c r="AI55" s="1605"/>
      <c r="AJ55" s="570"/>
      <c r="AK55" s="1605"/>
      <c r="AL55" s="570"/>
      <c r="AO55" s="1605"/>
      <c r="AQ55" s="1605"/>
      <c r="AS55" s="1605"/>
    </row>
    <row r="56" spans="1:50">
      <c r="A56" s="410" t="str">
        <f t="shared" ref="A56:B59" si="11">A50</f>
        <v>1Q</v>
      </c>
      <c r="B56" s="410" t="str">
        <f t="shared" si="11"/>
        <v>Apr</v>
      </c>
      <c r="D56" s="1607">
        <f>D32/D44</f>
        <v>-0.37763021204652397</v>
      </c>
      <c r="F56" s="1607">
        <f>F32/F44</f>
        <v>-0.54221024768387227</v>
      </c>
      <c r="H56" s="1607">
        <f>H32/H44</f>
        <v>-0.31921319699509854</v>
      </c>
      <c r="J56" s="1607">
        <f>J32/J44</f>
        <v>-0.38879896061851715</v>
      </c>
      <c r="L56" s="1607">
        <f>L32/L44</f>
        <v>-0.23167281555253952</v>
      </c>
      <c r="M56" s="1607"/>
      <c r="N56" s="1607">
        <f>N32/N44</f>
        <v>-0.15575478714275207</v>
      </c>
      <c r="O56" s="1607"/>
      <c r="P56" s="1607">
        <f>P32/P44</f>
        <v>-7.7594991993012091E-2</v>
      </c>
      <c r="Q56" s="1607"/>
      <c r="R56" s="1607">
        <f>R32/R44</f>
        <v>-0.40191355785881766</v>
      </c>
      <c r="S56" s="1607"/>
      <c r="T56" s="1607">
        <f>T32/T44</f>
        <v>-0.27851417736792211</v>
      </c>
      <c r="U56" s="1607"/>
      <c r="V56" s="1607">
        <f>V32/V44</f>
        <v>-0.30693170527553343</v>
      </c>
      <c r="W56" s="1607"/>
      <c r="X56" s="1607">
        <f>X32/X44</f>
        <v>-0.35667736512998521</v>
      </c>
      <c r="Y56" s="1607"/>
      <c r="Z56" s="1607">
        <f>Z32/Z44</f>
        <v>-0.29844369069099314</v>
      </c>
      <c r="AA56" s="1607"/>
      <c r="AB56" s="1607">
        <f>AB32/AB44</f>
        <v>-0.23135701802201752</v>
      </c>
      <c r="AC56" s="1607"/>
      <c r="AD56" s="1607">
        <f>AD32/AD44</f>
        <v>-0.24122955728363965</v>
      </c>
      <c r="AE56" s="1607"/>
      <c r="AF56" s="1607">
        <f>AF32/AF44</f>
        <v>-0.27264374428604671</v>
      </c>
      <c r="AG56" s="1607"/>
      <c r="AH56" s="1607">
        <f>AH32/AH44</f>
        <v>-0.42882014136717678</v>
      </c>
      <c r="AI56" s="1607"/>
      <c r="AJ56" s="1607">
        <f>AJ32/AJ44</f>
        <v>-0.23678456052663657</v>
      </c>
      <c r="AK56" s="1607"/>
      <c r="AL56" s="1607">
        <f>AL32/AL44</f>
        <v>-0.22252389373211509</v>
      </c>
      <c r="AN56" s="1607">
        <f>AN32/AN44</f>
        <v>-0.19178330052366888</v>
      </c>
      <c r="AO56" s="1607"/>
      <c r="AP56" s="1607">
        <f>AP32/AP44</f>
        <v>-0.13836144560932773</v>
      </c>
      <c r="AQ56" s="1607"/>
      <c r="AR56" s="1607">
        <f>AR32/AR44</f>
        <v>-0.1970240088732359</v>
      </c>
      <c r="AS56" s="1607"/>
      <c r="AT56" s="1607">
        <f>AT32/AT44</f>
        <v>-0.1702954158070154</v>
      </c>
      <c r="AV56" s="1607">
        <f>AV32/AV44</f>
        <v>-0.27836706210746681</v>
      </c>
      <c r="AX56" s="1607"/>
    </row>
    <row r="57" spans="1:50">
      <c r="A57" s="410" t="str">
        <f t="shared" si="11"/>
        <v>2Q</v>
      </c>
      <c r="B57" s="410" t="str">
        <f t="shared" si="11"/>
        <v>Jul</v>
      </c>
      <c r="D57" s="1607">
        <f>D33/D45</f>
        <v>-0.38754109842220968</v>
      </c>
      <c r="F57" s="1607">
        <f>F33/F45</f>
        <v>-0.33211114546980608</v>
      </c>
      <c r="H57" s="1607">
        <f>H33/H45</f>
        <v>-0.36253302713781266</v>
      </c>
      <c r="J57" s="1607">
        <f>J33/J45</f>
        <v>-0.35724870338355152</v>
      </c>
      <c r="L57" s="1607">
        <f>L33/L45</f>
        <v>-0.17200566526237923</v>
      </c>
      <c r="M57" s="1607"/>
      <c r="N57" s="1607">
        <f>N33/N45</f>
        <v>-0.1225098153264505</v>
      </c>
      <c r="O57" s="1607"/>
      <c r="P57" s="1607">
        <f>P33/P45</f>
        <v>-8.2072303215720288E-2</v>
      </c>
      <c r="Q57" s="1607"/>
      <c r="R57" s="1607">
        <f>R33/R45</f>
        <v>-0.38788815899622792</v>
      </c>
      <c r="S57" s="1607"/>
      <c r="T57" s="1607">
        <f>T33/T45</f>
        <v>-0.24375696268407912</v>
      </c>
      <c r="U57" s="1607"/>
      <c r="V57" s="1607">
        <f>V33/V45</f>
        <v>-0.30267144852401578</v>
      </c>
      <c r="W57" s="1607"/>
      <c r="X57" s="1607">
        <f>X33/X45</f>
        <v>-0.34577052408837117</v>
      </c>
      <c r="Y57" s="1607"/>
      <c r="Z57" s="1607">
        <f>Z33/Z45</f>
        <v>-0.24808162096928968</v>
      </c>
      <c r="AA57" s="1607"/>
      <c r="AB57" s="1607">
        <f>AB33/AB45</f>
        <v>-0.23231084448249162</v>
      </c>
      <c r="AC57" s="1607"/>
      <c r="AD57" s="1607">
        <f>AD33/AD45</f>
        <v>-0.24510555313395402</v>
      </c>
      <c r="AE57" s="1607"/>
      <c r="AF57" s="1607">
        <f>AF33/AF45</f>
        <v>-0.25148600218600176</v>
      </c>
      <c r="AG57" s="1607"/>
      <c r="AH57" s="1607">
        <f>AH33/AH45</f>
        <v>-0.43039874403529638</v>
      </c>
      <c r="AI57" s="1607"/>
      <c r="AJ57" s="1607">
        <f>AJ33/AJ45</f>
        <v>-0.46662628802747796</v>
      </c>
      <c r="AK57" s="1607"/>
      <c r="AL57" s="1607">
        <f>AL33/AL45</f>
        <v>-0.30917804042602837</v>
      </c>
      <c r="AN57" s="1607">
        <f>AN33/AN45</f>
        <v>-0.48786735155353589</v>
      </c>
      <c r="AO57" s="1607"/>
      <c r="AP57" s="1607">
        <f>AP33/AP45</f>
        <v>-0.30622944979143851</v>
      </c>
      <c r="AQ57" s="1607"/>
      <c r="AR57" s="1607">
        <f>AR33/AR45</f>
        <v>-0.27543679258768339</v>
      </c>
      <c r="AS57" s="1607"/>
      <c r="AT57" s="1607">
        <f>AT33/AT45</f>
        <v>-0.19485983978601071</v>
      </c>
      <c r="AV57" s="1607">
        <f>AV33/AV45</f>
        <v>-0.2956526256997753</v>
      </c>
      <c r="AX57" s="1607"/>
    </row>
    <row r="58" spans="1:50">
      <c r="A58" s="410" t="str">
        <f t="shared" si="11"/>
        <v>3Q</v>
      </c>
      <c r="B58" s="410" t="str">
        <f t="shared" si="11"/>
        <v>Oct</v>
      </c>
      <c r="D58" s="1607">
        <f>D34/D46</f>
        <v>-0.57362278830468072</v>
      </c>
      <c r="F58" s="1607">
        <f>F34/F46</f>
        <v>-0.32235035694673253</v>
      </c>
      <c r="H58" s="1607">
        <f>H34/H46</f>
        <v>-0.34290287782301559</v>
      </c>
      <c r="J58" s="1607">
        <f>J34/J46</f>
        <v>-0.35304944532805166</v>
      </c>
      <c r="L58" s="1607">
        <f>L34/L46</f>
        <v>-0.13215261152510369</v>
      </c>
      <c r="M58" s="1607"/>
      <c r="N58" s="1607">
        <f>N34/N46</f>
        <v>-6.9472314977117533E-2</v>
      </c>
      <c r="O58" s="1607"/>
      <c r="P58" s="1607">
        <f>P34/P46</f>
        <v>-5.4541657063839587E-2</v>
      </c>
      <c r="Q58" s="1607"/>
      <c r="R58" s="1607">
        <f>R34/R46</f>
        <v>-0.25959701681678016</v>
      </c>
      <c r="S58" s="1607"/>
      <c r="T58" s="1607">
        <f>T34/T46</f>
        <v>-0.22449228331581272</v>
      </c>
      <c r="U58" s="1607"/>
      <c r="V58" s="1607">
        <f>V34/V46</f>
        <v>-0.23490731005927071</v>
      </c>
      <c r="W58" s="1607"/>
      <c r="X58" s="1607">
        <f>X34/X46</f>
        <v>-0.30277736354780549</v>
      </c>
      <c r="Y58" s="1607"/>
      <c r="Z58" s="1607">
        <f>Z34/Z46</f>
        <v>-0.19949099791198832</v>
      </c>
      <c r="AA58" s="1607"/>
      <c r="AB58" s="1607">
        <f>AB34/AB46</f>
        <v>-0.23980951279718066</v>
      </c>
      <c r="AC58" s="1607"/>
      <c r="AD58" s="1607">
        <f>AD34/AD46</f>
        <v>-0.19487917039114072</v>
      </c>
      <c r="AE58" s="1607"/>
      <c r="AF58" s="1607">
        <f>AF34/AF46</f>
        <v>-0.34428435067392987</v>
      </c>
      <c r="AG58" s="1607"/>
      <c r="AH58" s="1607">
        <f>AH34/AH46</f>
        <v>-0.38156252864802537</v>
      </c>
      <c r="AI58" s="1607"/>
      <c r="AJ58" s="1607">
        <f>AJ34/AJ46</f>
        <v>-0.25069016817468648</v>
      </c>
      <c r="AK58" s="1607"/>
      <c r="AL58" s="1607">
        <f>AL34/AL46</f>
        <v>-0.17060805223891176</v>
      </c>
      <c r="AN58" s="1607">
        <f>AN34/AN46</f>
        <v>-0.26466250950646564</v>
      </c>
      <c r="AO58" s="1607"/>
      <c r="AP58" s="1607">
        <f>AP34/AP46</f>
        <v>-8.5865679649399895E-2</v>
      </c>
      <c r="AQ58" s="1607"/>
      <c r="AR58" s="1607">
        <f>AR34/AR46</f>
        <v>-8.0939231457352268E-2</v>
      </c>
      <c r="AS58" s="1607"/>
      <c r="AT58" s="1607">
        <f>AT34/AT46</f>
        <v>-0.20801790270055373</v>
      </c>
      <c r="AV58" s="1607">
        <f t="shared" ref="AV58:AV59" si="12">AV34/AV46</f>
        <v>-0.26226019763264241</v>
      </c>
      <c r="AX58" s="1607"/>
    </row>
    <row r="59" spans="1:50">
      <c r="A59" s="410" t="str">
        <f t="shared" si="11"/>
        <v>4Q</v>
      </c>
      <c r="B59" s="410" t="str">
        <f t="shared" si="11"/>
        <v>Jan</v>
      </c>
      <c r="D59" s="1607">
        <f>D35/D47</f>
        <v>-0.4977797214559645</v>
      </c>
      <c r="F59" s="1607">
        <f>F35/F47</f>
        <v>-0.31490778417798448</v>
      </c>
      <c r="H59" s="1607">
        <f>H35/H47</f>
        <v>-0.41449182642458465</v>
      </c>
      <c r="J59" s="1607">
        <f>J35/J47</f>
        <v>-0.36276520979353055</v>
      </c>
      <c r="L59" s="1607">
        <f>L35/L47</f>
        <v>-0.198087928810083</v>
      </c>
      <c r="M59" s="1607"/>
      <c r="N59" s="1607">
        <f>N35/N47</f>
        <v>-0.12807456099743852</v>
      </c>
      <c r="O59" s="1607"/>
      <c r="P59" s="1607">
        <f>P35/P47</f>
        <v>-0.19386789866198728</v>
      </c>
      <c r="Q59" s="1607"/>
      <c r="R59" s="1607">
        <f>R35/R47</f>
        <v>-0.28599692081900463</v>
      </c>
      <c r="S59" s="1607"/>
      <c r="T59" s="1607">
        <f>T35/T47</f>
        <v>-0.26979629821114676</v>
      </c>
      <c r="U59" s="1607"/>
      <c r="V59" s="1607">
        <f>V35/V47</f>
        <v>-0.38177493317638977</v>
      </c>
      <c r="W59" s="1607"/>
      <c r="X59" s="1607">
        <f>X35/X47</f>
        <v>-0.34186456996148912</v>
      </c>
      <c r="Y59" s="1607"/>
      <c r="Z59" s="1607">
        <f>Z35/Z47</f>
        <v>-0.23586851734754169</v>
      </c>
      <c r="AA59" s="1607"/>
      <c r="AB59" s="1607">
        <f>AB35/AB47</f>
        <v>-0.21723841763423168</v>
      </c>
      <c r="AC59" s="1607"/>
      <c r="AD59" s="1607">
        <f>AD35/AD47</f>
        <v>-0.3473065882185476</v>
      </c>
      <c r="AE59" s="1607"/>
      <c r="AF59" s="1607">
        <f>AF35/AF47</f>
        <v>-0.38675637639528826</v>
      </c>
      <c r="AG59" s="1607"/>
      <c r="AH59" s="1607">
        <f>AH35/AH47</f>
        <v>-0.32368008845480511</v>
      </c>
      <c r="AI59" s="1607"/>
      <c r="AJ59" s="1607">
        <f>AJ35/AJ47</f>
        <v>-0.22051397959987545</v>
      </c>
      <c r="AK59" s="1607"/>
      <c r="AL59" s="1607">
        <f>AL35/AL47</f>
        <v>-0.1811037747270757</v>
      </c>
      <c r="AN59" s="1607">
        <f>AN35/AN47</f>
        <v>-0.52550393407981488</v>
      </c>
      <c r="AO59" s="1607"/>
      <c r="AP59" s="1607">
        <f>AP35/AP47</f>
        <v>-7.2264032601495679E-2</v>
      </c>
      <c r="AQ59" s="1607"/>
      <c r="AR59" s="1607">
        <f>AR35/AR47</f>
        <v>-0.15505875256215335</v>
      </c>
      <c r="AS59" s="1607"/>
      <c r="AT59" s="1607">
        <f>AT35/AT47</f>
        <v>-0.2735598027239689</v>
      </c>
      <c r="AV59" s="1607">
        <f t="shared" si="12"/>
        <v>-0.21694161670777914</v>
      </c>
      <c r="AX59" s="1607"/>
    </row>
    <row r="61" spans="1:50">
      <c r="A61" s="541" t="s">
        <v>161</v>
      </c>
    </row>
  </sheetData>
  <phoneticPr fontId="0" type="noConversion"/>
  <printOptions horizontalCentered="1"/>
  <pageMargins left="0.5" right="0.5" top="0.4" bottom="0.5" header="0.5" footer="0.5"/>
  <pageSetup scale="72" orientation="landscape" r:id="rId1"/>
  <headerFooter alignWithMargins="0">
    <oddFooter>&amp;R&amp;8&amp;D/&amp;T
&amp;F/&amp;A</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enableFormatConditionsCalculation="0">
    <tabColor indexed="59"/>
  </sheetPr>
  <dimension ref="A1:CV48"/>
  <sheetViews>
    <sheetView zoomScale="85" zoomScaleNormal="85" workbookViewId="0">
      <selection activeCell="CM47" sqref="CM46:CM47"/>
    </sheetView>
  </sheetViews>
  <sheetFormatPr defaultRowHeight="12.75" outlineLevelCol="1"/>
  <cols>
    <col min="1" max="1" width="2.85546875" style="410" customWidth="1"/>
    <col min="2" max="2" width="4.42578125" style="410" customWidth="1"/>
    <col min="3" max="3" width="1.7109375" style="410" customWidth="1"/>
    <col min="4" max="4" width="9.7109375" style="410" hidden="1" customWidth="1" outlineLevel="1"/>
    <col min="5" max="5" width="3" style="410" hidden="1" customWidth="1" outlineLevel="1"/>
    <col min="6" max="6" width="7.85546875" style="410" hidden="1" customWidth="1" outlineLevel="1"/>
    <col min="7" max="7" width="5.5703125" style="410" hidden="1" customWidth="1" outlineLevel="1"/>
    <col min="8" max="8" width="4.28515625" style="410" hidden="1" customWidth="1" outlineLevel="1"/>
    <col min="9" max="9" width="1.28515625" style="410" hidden="1" customWidth="1" outlineLevel="1"/>
    <col min="10" max="10" width="7.85546875" style="410" hidden="1" customWidth="1" outlineLevel="1"/>
    <col min="11" max="11" width="6.42578125" style="410" hidden="1" customWidth="1" outlineLevel="1"/>
    <col min="12" max="12" width="4.28515625" style="410" hidden="1" customWidth="1" outlineLevel="1"/>
    <col min="13" max="13" width="1.28515625" style="410" hidden="1" customWidth="1" outlineLevel="1"/>
    <col min="14" max="14" width="7.85546875" style="410" hidden="1" customWidth="1" outlineLevel="1"/>
    <col min="15" max="15" width="5.5703125" style="410" hidden="1" customWidth="1" outlineLevel="1"/>
    <col min="16" max="16" width="4.28515625" style="410" hidden="1" customWidth="1" outlineLevel="1"/>
    <col min="17" max="17" width="1.28515625" style="410" hidden="1" customWidth="1" outlineLevel="1"/>
    <col min="18" max="18" width="7.85546875" style="410" hidden="1" customWidth="1" outlineLevel="1"/>
    <col min="19" max="19" width="5.5703125" style="410" hidden="1" customWidth="1" outlineLevel="1"/>
    <col min="20" max="20" width="4.28515625" style="410" hidden="1" customWidth="1" outlineLevel="1"/>
    <col min="21" max="21" width="1.28515625" style="410" hidden="1" customWidth="1" outlineLevel="1"/>
    <col min="22" max="22" width="7.85546875" style="410" hidden="1" customWidth="1" outlineLevel="1"/>
    <col min="23" max="23" width="5.5703125" style="410" hidden="1" customWidth="1" outlineLevel="1"/>
    <col min="24" max="24" width="4.28515625" style="410" hidden="1" customWidth="1" outlineLevel="1"/>
    <col min="25" max="25" width="1.28515625" style="410" hidden="1" customWidth="1" outlineLevel="1"/>
    <col min="26" max="26" width="7.85546875" style="410" hidden="1" customWidth="1" outlineLevel="1"/>
    <col min="27" max="27" width="5.5703125" style="410" hidden="1" customWidth="1" outlineLevel="1"/>
    <col min="28" max="28" width="4.28515625" style="410" hidden="1" customWidth="1" outlineLevel="1"/>
    <col min="29" max="29" width="1.28515625" style="410" hidden="1" customWidth="1" outlineLevel="1"/>
    <col min="30" max="30" width="7.85546875" style="410" hidden="1" customWidth="1" outlineLevel="1"/>
    <col min="31" max="31" width="5.5703125" style="410" hidden="1" customWidth="1" outlineLevel="1"/>
    <col min="32" max="32" width="4.28515625" style="410" hidden="1" customWidth="1" outlineLevel="1"/>
    <col min="33" max="33" width="1.28515625" style="410" hidden="1" customWidth="1" outlineLevel="1"/>
    <col min="34" max="34" width="7.85546875" style="410" hidden="1" customWidth="1" outlineLevel="1" collapsed="1"/>
    <col min="35" max="35" width="5.5703125" style="410" hidden="1" customWidth="1" outlineLevel="1"/>
    <col min="36" max="36" width="4.28515625" style="410" hidden="1" customWidth="1" outlineLevel="1"/>
    <col min="37" max="37" width="1.28515625" style="410" hidden="1" customWidth="1" outlineLevel="1"/>
    <col min="38" max="38" width="7.85546875" style="410" hidden="1" customWidth="1" outlineLevel="1"/>
    <col min="39" max="39" width="6" style="410" hidden="1" customWidth="1" outlineLevel="1"/>
    <col min="40" max="40" width="4.28515625" style="410" hidden="1" customWidth="1" outlineLevel="1"/>
    <col min="41" max="41" width="1.28515625" style="410" hidden="1" customWidth="1" outlineLevel="1"/>
    <col min="42" max="42" width="7.85546875" style="410" hidden="1" customWidth="1" outlineLevel="1"/>
    <col min="43" max="43" width="5.5703125" style="410" hidden="1" customWidth="1" outlineLevel="1"/>
    <col min="44" max="44" width="4.28515625" style="410" hidden="1" customWidth="1" outlineLevel="1"/>
    <col min="45" max="45" width="1.28515625" style="410" hidden="1" customWidth="1" outlineLevel="1"/>
    <col min="46" max="46" width="7.85546875" style="410" hidden="1" customWidth="1" outlineLevel="1"/>
    <col min="47" max="47" width="6.7109375" style="410" hidden="1" customWidth="1" outlineLevel="1"/>
    <col min="48" max="48" width="5.140625" style="410" hidden="1" customWidth="1" outlineLevel="1"/>
    <col min="49" max="49" width="1.28515625" style="410" hidden="1" customWidth="1" outlineLevel="1"/>
    <col min="50" max="50" width="7.85546875" style="410" hidden="1" customWidth="1" outlineLevel="1"/>
    <col min="51" max="51" width="5.5703125" style="410" hidden="1" customWidth="1" outlineLevel="1"/>
    <col min="52" max="52" width="5.140625" style="410" hidden="1" customWidth="1" outlineLevel="1"/>
    <col min="53" max="53" width="1.28515625" style="410" hidden="1" customWidth="1" outlineLevel="1"/>
    <col min="54" max="54" width="7.85546875" style="410" hidden="1" customWidth="1" outlineLevel="1"/>
    <col min="55" max="55" width="5.5703125" style="410" hidden="1" customWidth="1" outlineLevel="1"/>
    <col min="56" max="56" width="5.140625" style="410" hidden="1" customWidth="1" outlineLevel="1"/>
    <col min="57" max="57" width="1.28515625" style="410" hidden="1" customWidth="1" outlineLevel="1"/>
    <col min="58" max="58" width="7.85546875" style="410" customWidth="1" collapsed="1"/>
    <col min="59" max="59" width="5.5703125" style="410" customWidth="1"/>
    <col min="60" max="60" width="5.140625" style="410" bestFit="1" customWidth="1"/>
    <col min="61" max="61" width="1.28515625" style="410" customWidth="1"/>
    <col min="62" max="62" width="7.85546875" style="410" customWidth="1"/>
    <col min="63" max="63" width="5.5703125" style="410" customWidth="1"/>
    <col min="64" max="64" width="5.140625" style="410" bestFit="1" customWidth="1"/>
    <col min="65" max="65" width="1.28515625" style="410" customWidth="1"/>
    <col min="66" max="66" width="7.85546875" style="410" customWidth="1"/>
    <col min="67" max="67" width="5.5703125" style="410" customWidth="1"/>
    <col min="68" max="68" width="5.140625" style="410" bestFit="1" customWidth="1"/>
    <col min="69" max="69" width="1.28515625" style="410" customWidth="1"/>
    <col min="70" max="70" width="7.85546875" style="410" customWidth="1"/>
    <col min="71" max="71" width="5.5703125" style="410" customWidth="1"/>
    <col min="72" max="72" width="5.140625" style="410" bestFit="1" customWidth="1"/>
    <col min="73" max="73" width="1.28515625" style="410" customWidth="1"/>
    <col min="74" max="74" width="7.85546875" style="410" customWidth="1"/>
    <col min="75" max="75" width="5.5703125" style="410" customWidth="1"/>
    <col min="76" max="76" width="5.140625" style="410" bestFit="1" customWidth="1"/>
    <col min="77" max="77" width="1.28515625" style="410" customWidth="1"/>
    <col min="78" max="78" width="7.85546875" style="410" customWidth="1"/>
    <col min="79" max="79" width="5.5703125" style="410" customWidth="1"/>
    <col min="80" max="80" width="5.140625" style="410" bestFit="1" customWidth="1"/>
    <col min="81" max="81" width="1.140625" style="410" customWidth="1"/>
    <col min="82" max="82" width="7.85546875" style="410" customWidth="1"/>
    <col min="83" max="83" width="5.5703125" style="410" customWidth="1"/>
    <col min="84" max="84" width="5.140625" style="410" bestFit="1" customWidth="1"/>
    <col min="85" max="85" width="1.140625" style="410" customWidth="1"/>
    <col min="86" max="86" width="7.85546875" style="410" customWidth="1"/>
    <col min="87" max="87" width="5.5703125" style="410" customWidth="1"/>
    <col min="88" max="88" width="5" style="410" bestFit="1" customWidth="1"/>
    <col min="89" max="89" width="1.140625" style="410" customWidth="1"/>
    <col min="90" max="90" width="7.85546875" style="410" customWidth="1"/>
    <col min="91" max="91" width="5.85546875" style="410" customWidth="1"/>
    <col min="92" max="92" width="5" style="410" customWidth="1"/>
    <col min="93" max="93" width="1.140625" style="410" customWidth="1"/>
    <col min="94" max="94" width="7.85546875" style="410" customWidth="1"/>
    <col min="95" max="95" width="12.5703125" style="410" customWidth="1"/>
    <col min="96" max="96" width="5" style="410" customWidth="1"/>
    <col min="97" max="97" width="1.140625" style="410" customWidth="1"/>
    <col min="98" max="98" width="7.85546875" style="410" customWidth="1"/>
    <col min="99" max="99" width="12.5703125" style="410" customWidth="1"/>
    <col min="100" max="100" width="5" style="410" customWidth="1"/>
    <col min="101" max="16384" width="9.140625" style="410"/>
  </cols>
  <sheetData>
    <row r="1" spans="1:100">
      <c r="A1" s="412" t="str">
        <f>'qtrP&amp;L'!A1</f>
        <v>Urban Outfitters, Inc.</v>
      </c>
      <c r="B1" s="555"/>
      <c r="C1" s="412"/>
      <c r="D1" s="412"/>
      <c r="E1" s="556"/>
      <c r="F1" s="412"/>
      <c r="G1" s="557"/>
      <c r="H1" s="557"/>
      <c r="I1" s="412"/>
      <c r="J1" s="412"/>
      <c r="K1" s="557"/>
      <c r="L1" s="557"/>
      <c r="M1" s="556"/>
      <c r="N1" s="557"/>
      <c r="O1" s="557"/>
      <c r="P1" s="557"/>
      <c r="Q1" s="557"/>
      <c r="R1" s="557"/>
      <c r="S1" s="557"/>
      <c r="T1" s="557"/>
      <c r="U1" s="558"/>
      <c r="V1" s="557"/>
      <c r="W1" s="557"/>
      <c r="X1" s="557"/>
      <c r="Y1" s="558"/>
      <c r="Z1" s="557"/>
      <c r="AA1" s="557"/>
      <c r="AB1" s="557"/>
      <c r="AC1" s="558"/>
      <c r="AD1" s="557"/>
      <c r="AE1" s="557"/>
      <c r="AF1" s="557"/>
      <c r="AG1" s="558"/>
      <c r="AH1" s="557"/>
      <c r="AI1" s="557"/>
      <c r="AJ1" s="557"/>
      <c r="AK1" s="558"/>
      <c r="AL1" s="557"/>
      <c r="AM1" s="557"/>
      <c r="AN1" s="557"/>
      <c r="AO1" s="558"/>
      <c r="AP1" s="557"/>
      <c r="AQ1" s="557"/>
      <c r="AR1" s="557"/>
      <c r="AS1" s="558"/>
      <c r="AT1" s="557"/>
      <c r="AU1" s="557"/>
      <c r="AV1" s="557"/>
      <c r="AW1" s="558"/>
      <c r="AX1" s="557"/>
      <c r="AY1" s="557"/>
      <c r="AZ1" s="557"/>
      <c r="BA1" s="558"/>
      <c r="BB1" s="557"/>
      <c r="BC1" s="557"/>
      <c r="BD1" s="557"/>
      <c r="BE1" s="558"/>
      <c r="BF1" s="557"/>
      <c r="BG1" s="557"/>
      <c r="BH1" s="557"/>
      <c r="BI1" s="558"/>
      <c r="BJ1" s="557"/>
      <c r="BK1" s="557"/>
      <c r="BL1" s="557"/>
      <c r="BM1" s="558"/>
      <c r="BN1" s="557"/>
      <c r="BO1" s="557"/>
      <c r="BP1" s="557"/>
      <c r="BQ1" s="558"/>
      <c r="BR1" s="557"/>
      <c r="BS1" s="557"/>
      <c r="BT1" s="557"/>
      <c r="BU1" s="558"/>
      <c r="BV1" s="557"/>
      <c r="BW1" s="557"/>
      <c r="BX1" s="557"/>
    </row>
    <row r="2" spans="1:100">
      <c r="A2" s="414" t="s">
        <v>726</v>
      </c>
      <c r="B2" s="559"/>
      <c r="C2" s="560"/>
      <c r="D2" s="560"/>
      <c r="E2" s="561"/>
      <c r="F2" s="560"/>
      <c r="G2" s="560"/>
      <c r="H2" s="560"/>
      <c r="I2" s="560"/>
      <c r="J2" s="560"/>
      <c r="K2" s="560"/>
      <c r="L2" s="560"/>
      <c r="M2" s="561"/>
      <c r="N2" s="560"/>
      <c r="O2" s="560"/>
      <c r="P2" s="560"/>
      <c r="Q2" s="560"/>
      <c r="R2" s="560"/>
      <c r="S2" s="560"/>
      <c r="T2" s="560"/>
      <c r="U2" s="561"/>
      <c r="V2" s="560"/>
      <c r="W2" s="560"/>
      <c r="X2" s="560"/>
      <c r="Y2" s="561"/>
      <c r="Z2" s="560"/>
      <c r="AA2" s="560"/>
      <c r="AB2" s="560"/>
      <c r="AC2" s="561"/>
      <c r="AD2" s="560"/>
      <c r="AE2" s="560"/>
      <c r="AF2" s="560"/>
      <c r="AG2" s="561"/>
      <c r="AH2" s="560"/>
      <c r="AI2" s="560"/>
      <c r="AJ2" s="560"/>
      <c r="AK2" s="561"/>
      <c r="AL2" s="560"/>
      <c r="AM2" s="560"/>
      <c r="AN2" s="560"/>
      <c r="AO2" s="561"/>
      <c r="AP2" s="560"/>
      <c r="AQ2" s="560"/>
      <c r="AR2" s="560"/>
      <c r="AS2" s="561"/>
      <c r="AT2" s="560"/>
      <c r="AU2" s="560"/>
      <c r="AV2" s="560"/>
      <c r="AW2" s="561"/>
      <c r="AX2" s="560"/>
      <c r="AY2" s="560"/>
      <c r="AZ2" s="560"/>
      <c r="BA2" s="561"/>
      <c r="BB2" s="560"/>
      <c r="BC2" s="560"/>
      <c r="BD2" s="560"/>
      <c r="BE2" s="561"/>
      <c r="BF2" s="560"/>
      <c r="BG2" s="560"/>
      <c r="BH2" s="560"/>
      <c r="BI2" s="561"/>
      <c r="BJ2" s="560"/>
      <c r="BK2" s="560"/>
      <c r="BL2" s="560"/>
      <c r="BM2" s="561"/>
      <c r="BN2" s="560"/>
      <c r="BO2" s="560"/>
      <c r="BP2" s="560"/>
      <c r="BQ2" s="561"/>
      <c r="BR2" s="560"/>
      <c r="BS2" s="560"/>
      <c r="BT2" s="560"/>
      <c r="BU2" s="561"/>
      <c r="BV2" s="560"/>
      <c r="BW2" s="560"/>
      <c r="BX2" s="560"/>
      <c r="BY2" s="560"/>
      <c r="BZ2" s="560"/>
      <c r="CA2" s="560"/>
      <c r="CB2" s="560"/>
      <c r="CC2" s="560"/>
      <c r="CD2" s="560"/>
      <c r="CE2" s="560"/>
      <c r="CF2" s="560"/>
      <c r="CG2" s="560"/>
      <c r="CH2" s="560"/>
      <c r="CI2" s="560"/>
      <c r="CJ2" s="560"/>
      <c r="CK2" s="560"/>
      <c r="CL2" s="560"/>
      <c r="CM2" s="560"/>
      <c r="CN2" s="560"/>
      <c r="CO2" s="560"/>
      <c r="CP2" s="560"/>
      <c r="CQ2" s="560"/>
      <c r="CR2" s="560"/>
      <c r="CS2" s="560"/>
      <c r="CT2" s="560"/>
      <c r="CU2" s="560"/>
      <c r="CV2" s="560"/>
    </row>
    <row r="3" spans="1:100">
      <c r="A3" s="411" t="str">
        <f>bal!A3</f>
        <v>At January 31 of the following year</v>
      </c>
    </row>
    <row r="4" spans="1:100">
      <c r="A4" s="1245" t="s">
        <v>306</v>
      </c>
      <c r="B4" s="411"/>
      <c r="C4" s="411"/>
      <c r="D4" s="411"/>
      <c r="E4" s="411"/>
      <c r="F4" s="411"/>
      <c r="G4" s="411"/>
      <c r="H4" s="411"/>
      <c r="I4" s="411"/>
      <c r="J4" s="411"/>
      <c r="K4" s="411"/>
      <c r="L4" s="411"/>
      <c r="M4" s="411"/>
      <c r="N4" s="411"/>
      <c r="O4" s="411"/>
      <c r="P4" s="411"/>
      <c r="Q4" s="411"/>
      <c r="R4" s="411"/>
      <c r="S4" s="411"/>
      <c r="T4" s="411"/>
      <c r="U4" s="411"/>
      <c r="V4" s="411"/>
      <c r="W4" s="411"/>
      <c r="X4" s="411"/>
      <c r="Y4" s="411"/>
      <c r="Z4" s="411"/>
      <c r="AA4" s="411"/>
      <c r="AB4" s="411"/>
      <c r="AC4" s="411"/>
      <c r="AD4" s="411"/>
      <c r="AE4" s="411"/>
      <c r="AF4" s="411"/>
      <c r="AG4" s="411"/>
      <c r="AH4" s="411"/>
      <c r="AI4" s="411"/>
      <c r="AJ4" s="411"/>
      <c r="AK4" s="411"/>
      <c r="AL4" s="411"/>
      <c r="AM4" s="411"/>
      <c r="AN4" s="411"/>
      <c r="AO4" s="411"/>
      <c r="AP4" s="411"/>
      <c r="AQ4" s="411"/>
      <c r="AR4" s="411"/>
      <c r="AS4" s="411"/>
      <c r="AT4" s="411"/>
      <c r="AU4" s="411"/>
      <c r="AV4" s="411"/>
      <c r="AW4" s="411"/>
      <c r="AX4" s="411"/>
      <c r="AY4" s="411"/>
      <c r="AZ4" s="411"/>
      <c r="BA4" s="411"/>
      <c r="BB4" s="411"/>
      <c r="BC4" s="411"/>
      <c r="BD4" s="411"/>
      <c r="BE4" s="411"/>
      <c r="BF4" s="411"/>
      <c r="BG4" s="411"/>
      <c r="BH4" s="411"/>
      <c r="BI4" s="411"/>
      <c r="BJ4" s="411"/>
      <c r="BK4" s="411"/>
      <c r="BL4" s="411"/>
      <c r="BM4" s="411"/>
      <c r="BN4" s="411"/>
      <c r="BO4" s="411"/>
      <c r="BP4" s="411"/>
      <c r="BQ4" s="411"/>
      <c r="BR4" s="411"/>
      <c r="BS4" s="411"/>
      <c r="BT4" s="411"/>
      <c r="BU4" s="411"/>
      <c r="BV4" s="411"/>
      <c r="BW4" s="411"/>
      <c r="BX4" s="411"/>
    </row>
    <row r="6" spans="1:100">
      <c r="G6" s="1246"/>
      <c r="H6" s="1246"/>
      <c r="K6" s="1246"/>
      <c r="L6" s="1246"/>
      <c r="O6" s="1246"/>
      <c r="P6" s="1246"/>
      <c r="S6" s="1246"/>
      <c r="T6" s="1246"/>
      <c r="V6" s="1246"/>
      <c r="W6" s="1246"/>
      <c r="X6" s="1246"/>
      <c r="Z6" s="1246"/>
      <c r="AA6" s="1246"/>
      <c r="AB6" s="1246"/>
      <c r="AD6" s="1246"/>
      <c r="AE6" s="1246"/>
      <c r="AF6" s="1246"/>
      <c r="AH6" s="1246"/>
      <c r="AI6" s="1246"/>
      <c r="AJ6" s="1246"/>
      <c r="AL6" s="1246"/>
      <c r="AM6" s="1246"/>
      <c r="AN6" s="1246"/>
      <c r="AP6" s="1246"/>
      <c r="AQ6" s="1246"/>
      <c r="AR6" s="1246"/>
      <c r="AT6" s="1246"/>
      <c r="AU6" s="1246"/>
      <c r="AV6" s="1246"/>
      <c r="AX6" s="1246"/>
      <c r="AY6" s="1246"/>
      <c r="AZ6" s="1246"/>
      <c r="BB6" s="1246"/>
      <c r="BC6" s="1246"/>
      <c r="BD6" s="1246"/>
      <c r="BF6" s="1246"/>
      <c r="BG6" s="1246"/>
      <c r="BH6" s="1246"/>
      <c r="BJ6" s="1246"/>
      <c r="BK6" s="1246"/>
      <c r="BL6" s="1246"/>
      <c r="BN6" s="1246"/>
      <c r="BO6" s="1246"/>
      <c r="BP6" s="1246"/>
      <c r="BR6" s="1246"/>
      <c r="BS6" s="1246"/>
      <c r="BT6" s="1246"/>
      <c r="BV6" s="1246"/>
      <c r="BW6" s="1246"/>
      <c r="BX6" s="1246"/>
    </row>
    <row r="7" spans="1:100">
      <c r="D7" s="1247">
        <v>1994</v>
      </c>
      <c r="E7" s="1244"/>
      <c r="F7" s="1248">
        <f>D7+1</f>
        <v>1995</v>
      </c>
      <c r="G7" s="1248"/>
      <c r="H7" s="1248"/>
      <c r="I7" s="1244"/>
      <c r="J7" s="1248">
        <f>F7+1</f>
        <v>1996</v>
      </c>
      <c r="K7" s="1248"/>
      <c r="L7" s="1248"/>
      <c r="M7" s="1244"/>
      <c r="N7" s="1248">
        <f>J7+1</f>
        <v>1997</v>
      </c>
      <c r="O7" s="1248"/>
      <c r="P7" s="1248"/>
      <c r="Q7" s="1244"/>
      <c r="R7" s="1248">
        <f>N7+1</f>
        <v>1998</v>
      </c>
      <c r="S7" s="1248"/>
      <c r="T7" s="1248"/>
      <c r="U7" s="1244"/>
      <c r="V7" s="1248">
        <f>R7+1</f>
        <v>1999</v>
      </c>
      <c r="W7" s="1248"/>
      <c r="X7" s="1248"/>
      <c r="Z7" s="1248">
        <f>V7+1</f>
        <v>2000</v>
      </c>
      <c r="AA7" s="1248"/>
      <c r="AB7" s="1248"/>
      <c r="AD7" s="1248">
        <f>Z7+1</f>
        <v>2001</v>
      </c>
      <c r="AE7" s="1248"/>
      <c r="AF7" s="1248"/>
      <c r="AH7" s="1248">
        <f>AD7+1</f>
        <v>2002</v>
      </c>
      <c r="AI7" s="1248"/>
      <c r="AJ7" s="1248"/>
      <c r="AL7" s="1248">
        <f>AH7+1</f>
        <v>2003</v>
      </c>
      <c r="AM7" s="1248"/>
      <c r="AN7" s="1248"/>
      <c r="AP7" s="1248">
        <f>AL7+1</f>
        <v>2004</v>
      </c>
      <c r="AQ7" s="1248"/>
      <c r="AR7" s="1248"/>
      <c r="AT7" s="1248">
        <f>AP7+1</f>
        <v>2005</v>
      </c>
      <c r="AU7" s="1248"/>
      <c r="AV7" s="1248"/>
      <c r="AX7" s="1248">
        <f>AT7+1</f>
        <v>2006</v>
      </c>
      <c r="AY7" s="1248"/>
      <c r="AZ7" s="1248"/>
      <c r="BB7" s="1248">
        <f>AX7+1</f>
        <v>2007</v>
      </c>
      <c r="BC7" s="1248"/>
      <c r="BD7" s="1248"/>
      <c r="BF7" s="1248">
        <f>BB7+1</f>
        <v>2008</v>
      </c>
      <c r="BG7" s="1248"/>
      <c r="BH7" s="1248"/>
      <c r="BJ7" s="1248">
        <f>BF7+1</f>
        <v>2009</v>
      </c>
      <c r="BK7" s="1248"/>
      <c r="BL7" s="1248"/>
      <c r="BN7" s="1248">
        <v>2010</v>
      </c>
      <c r="BO7" s="1248"/>
      <c r="BP7" s="1248"/>
      <c r="BR7" s="1248" t="s">
        <v>102</v>
      </c>
      <c r="BS7" s="1248"/>
      <c r="BT7" s="1248"/>
      <c r="BV7" s="1248" t="s">
        <v>111</v>
      </c>
      <c r="BW7" s="1248"/>
      <c r="BX7" s="1248"/>
      <c r="BZ7" s="1248" t="s">
        <v>85</v>
      </c>
      <c r="CA7" s="1248"/>
      <c r="CB7" s="1248"/>
      <c r="CD7" s="1248" t="s">
        <v>680</v>
      </c>
      <c r="CE7" s="1248"/>
      <c r="CF7" s="1248"/>
      <c r="CH7" s="1248" t="s">
        <v>688</v>
      </c>
      <c r="CI7" s="1248"/>
      <c r="CJ7" s="1248"/>
      <c r="CL7" s="1248" t="s">
        <v>730</v>
      </c>
      <c r="CM7" s="1248"/>
      <c r="CN7" s="1248"/>
      <c r="CP7" s="1248" t="s">
        <v>128</v>
      </c>
      <c r="CQ7" s="1248"/>
      <c r="CR7" s="1248"/>
      <c r="CT7" s="1739">
        <v>2018</v>
      </c>
      <c r="CU7" s="1248"/>
      <c r="CV7" s="1248"/>
    </row>
    <row r="9" spans="1:100">
      <c r="A9" s="1249" t="s">
        <v>383</v>
      </c>
      <c r="B9" s="1250"/>
      <c r="D9" s="1250"/>
      <c r="F9" s="416"/>
      <c r="G9" s="416"/>
      <c r="H9" s="416"/>
      <c r="I9" s="416"/>
      <c r="J9" s="416"/>
      <c r="K9" s="416"/>
      <c r="L9" s="416"/>
      <c r="M9" s="1251"/>
      <c r="N9" s="1251"/>
      <c r="O9" s="416"/>
      <c r="P9" s="416"/>
      <c r="Q9" s="416"/>
      <c r="R9" s="416"/>
      <c r="S9" s="416"/>
      <c r="T9" s="416"/>
      <c r="U9" s="416"/>
      <c r="V9" s="416"/>
      <c r="W9" s="416"/>
      <c r="X9" s="416"/>
      <c r="Z9" s="416"/>
      <c r="AA9" s="416"/>
      <c r="AB9" s="416"/>
      <c r="AD9" s="416"/>
      <c r="AE9" s="416"/>
      <c r="AF9" s="416"/>
      <c r="AH9" s="416"/>
      <c r="AI9" s="416"/>
      <c r="AJ9" s="416"/>
      <c r="AL9" s="416"/>
      <c r="AM9" s="416"/>
      <c r="AN9" s="416"/>
      <c r="AP9" s="416"/>
      <c r="AQ9" s="416"/>
      <c r="AR9" s="416"/>
      <c r="AT9" s="416"/>
      <c r="AU9" s="416"/>
      <c r="AV9" s="416"/>
      <c r="AX9" s="416"/>
      <c r="AY9" s="416"/>
      <c r="AZ9" s="416"/>
      <c r="BB9" s="416"/>
      <c r="BC9" s="416"/>
      <c r="BD9" s="416"/>
      <c r="BF9" s="416"/>
      <c r="BG9" s="416"/>
      <c r="BH9" s="416"/>
      <c r="BJ9" s="416"/>
      <c r="BK9" s="416"/>
      <c r="BL9" s="416"/>
      <c r="BN9" s="416"/>
      <c r="BO9" s="416"/>
      <c r="BP9" s="416"/>
      <c r="BR9" s="416"/>
      <c r="BS9" s="416"/>
      <c r="BT9" s="416"/>
      <c r="BV9" s="416"/>
      <c r="BW9" s="416"/>
      <c r="BX9" s="416"/>
    </row>
    <row r="10" spans="1:100">
      <c r="A10" s="410" t="str">
        <f>'qtrP&amp;L'!A10</f>
        <v>1Q</v>
      </c>
      <c r="B10" s="410" t="str">
        <f>'qtrP&amp;L'!B10</f>
        <v>Apr</v>
      </c>
      <c r="D10" s="1252">
        <v>7.0659999999999998</v>
      </c>
      <c r="F10" s="1252">
        <v>11.634</v>
      </c>
      <c r="G10" s="453">
        <f>(F10/D10-1)*100</f>
        <v>64.647608264930653</v>
      </c>
      <c r="H10" s="455">
        <f>'qtrP&amp;L'!I10</f>
        <v>20.652549697493527</v>
      </c>
      <c r="I10" s="1253"/>
      <c r="J10" s="1252">
        <v>12.019</v>
      </c>
      <c r="K10" s="453">
        <f>(J10/F10-1)*100</f>
        <v>3.3092659446450012</v>
      </c>
      <c r="L10" s="455">
        <f>'qtrP&amp;L'!M10</f>
        <v>20.516494143773055</v>
      </c>
      <c r="M10" s="1253"/>
      <c r="N10" s="1252">
        <v>18.605</v>
      </c>
      <c r="O10" s="453">
        <f>(N10/J10-1)*100</f>
        <v>54.796572094184206</v>
      </c>
      <c r="P10" s="455">
        <f>'qtrP&amp;L'!Q10</f>
        <v>10.648794840550412</v>
      </c>
      <c r="Q10" s="1253"/>
      <c r="R10" s="1252">
        <v>21.143999999999998</v>
      </c>
      <c r="S10" s="453">
        <f>(R10/N10-1)*100</f>
        <v>13.646869121203963</v>
      </c>
      <c r="T10" s="455">
        <f>'qtrP&amp;L'!U10</f>
        <v>6.0327692720923976</v>
      </c>
      <c r="U10" s="1253"/>
      <c r="V10" s="1252">
        <v>25.292000000000002</v>
      </c>
      <c r="W10" s="453">
        <f>(V10/R10-1)*100</f>
        <v>19.617858494135465</v>
      </c>
      <c r="X10" s="455">
        <f>'qtrP&amp;L'!Y10</f>
        <v>48.249569358597633</v>
      </c>
      <c r="Z10" s="1252">
        <v>33.023000000000003</v>
      </c>
      <c r="AA10" s="453">
        <f>(Z10/V10-1)*100</f>
        <v>30.566977700458644</v>
      </c>
      <c r="AB10" s="455">
        <f>'qtrP&amp;L'!AC10</f>
        <v>12.690736975206329</v>
      </c>
      <c r="AD10" s="1252">
        <v>41.902999999999999</v>
      </c>
      <c r="AE10" s="453">
        <f>(AD10/Z10-1)*100</f>
        <v>26.890349150591987</v>
      </c>
      <c r="AF10" s="455">
        <f>'qtrP&amp;L'!AG10</f>
        <v>8.9219105382865713</v>
      </c>
      <c r="AH10" s="1252">
        <v>42.143000000000001</v>
      </c>
      <c r="AI10" s="453">
        <f>(AH10/AD10-1)*100</f>
        <v>0.5727513543183127</v>
      </c>
      <c r="AJ10" s="455">
        <f>'qtrP&amp;L'!AK10</f>
        <v>30.960269510259764</v>
      </c>
      <c r="AL10" s="1252">
        <v>53.738999999999997</v>
      </c>
      <c r="AM10" s="453">
        <f>(AL10/AH10-1)*100</f>
        <v>27.51583892935956</v>
      </c>
      <c r="AN10" s="455">
        <f>'qtrP&amp;L'!AO10</f>
        <v>13.770010842528224</v>
      </c>
      <c r="AP10" s="1252">
        <v>78.399000000000001</v>
      </c>
      <c r="AQ10" s="453">
        <f>(AP10/AL10-1)*100</f>
        <v>45.88846089432257</v>
      </c>
      <c r="AR10" s="455">
        <f>'qtrP&amp;L'!AV10</f>
        <v>59.107896998916168</v>
      </c>
      <c r="AT10" s="1252">
        <v>113.477</v>
      </c>
      <c r="AU10" s="453">
        <f>(AT10/AP10-1)*100</f>
        <v>44.742917639255595</v>
      </c>
      <c r="AV10" s="455">
        <f>'qtrP&amp;L'!AZ10</f>
        <v>35.841799283575071</v>
      </c>
      <c r="AX10" s="1252">
        <v>140.726</v>
      </c>
      <c r="AY10" s="453">
        <f>(AX10/AT10-1)*100</f>
        <v>24.012795544471555</v>
      </c>
      <c r="AZ10" s="455">
        <f>'qtrP&amp;L'!BD10</f>
        <v>16.721928023343779</v>
      </c>
      <c r="BB10" s="1252">
        <v>168.131</v>
      </c>
      <c r="BC10" s="453">
        <f>(BB10/AX10-1)*100</f>
        <v>19.474013330869909</v>
      </c>
      <c r="BD10" s="455">
        <f>'qtrP&amp;L'!BH10</f>
        <v>16.494757543322947</v>
      </c>
      <c r="BF10" s="1252">
        <v>191.28700000000001</v>
      </c>
      <c r="BG10" s="453">
        <f>(BF10/BB10-1)*100</f>
        <v>13.772593989210801</v>
      </c>
      <c r="BH10" s="455">
        <f>'qtrP&amp;L'!BL10</f>
        <v>25.353527646370623</v>
      </c>
      <c r="BJ10" s="1252">
        <v>189.881</v>
      </c>
      <c r="BK10" s="453">
        <f>(BJ10/BF10-1)*100</f>
        <v>-0.73502119851323044</v>
      </c>
      <c r="BL10" s="455">
        <f>'qtrP&amp;L'!BP10</f>
        <v>-2.408367402838496</v>
      </c>
      <c r="BN10" s="1252">
        <v>221.98400000000001</v>
      </c>
      <c r="BO10" s="453">
        <f>(BN10/BJ10-1)*100</f>
        <v>16.906904850932957</v>
      </c>
      <c r="BP10" s="455">
        <f>'qtrP&amp;L'!BT10</f>
        <v>24.731286188006109</v>
      </c>
      <c r="BR10" s="1252">
        <v>264.27800000000002</v>
      </c>
      <c r="BS10" s="453">
        <f>(BR10/BN10-1)*100</f>
        <v>19.052724520686183</v>
      </c>
      <c r="BT10" s="455">
        <f>'qtrP&amp;L'!BX10</f>
        <v>9.1794958340365227</v>
      </c>
      <c r="BV10" s="1252">
        <v>299.75</v>
      </c>
      <c r="BW10" s="453">
        <f>(BV10/BR10-1)*100</f>
        <v>13.422229621837612</v>
      </c>
      <c r="BX10" s="455">
        <f>'qtrP&amp;L'!CB10</f>
        <v>8.5704907646478432</v>
      </c>
      <c r="BZ10" s="1252">
        <v>325.471</v>
      </c>
      <c r="CA10" s="453">
        <f>(BZ10/BV10-1)*100</f>
        <v>8.5808173477898144</v>
      </c>
      <c r="CB10" s="455">
        <f>'qtrP&amp;L'!CF10</f>
        <v>13.92913012145609</v>
      </c>
      <c r="CD10" s="1252">
        <v>349.04500000000002</v>
      </c>
      <c r="CE10" s="453">
        <f>(CD10/BZ10-1)*100</f>
        <v>7.2430416227559524</v>
      </c>
      <c r="CF10" s="455">
        <f>'qtrP&amp;L'!CJ10</f>
        <v>5.8831152601835468</v>
      </c>
      <c r="CH10" s="1252">
        <v>397.99799999999999</v>
      </c>
      <c r="CI10" s="453">
        <f>(CH10/CD10-1)*100</f>
        <v>14.02483920411408</v>
      </c>
      <c r="CJ10" s="455">
        <f>'qtrP&amp;L'!CN10</f>
        <v>7.6787457562909056</v>
      </c>
      <c r="CL10" s="1252">
        <v>359.86500000000001</v>
      </c>
      <c r="CM10" s="453">
        <f>(CL10/CH10-1)*100</f>
        <v>-9.5812039256478627</v>
      </c>
      <c r="CN10" s="455">
        <f>'qtrP&amp;L'!CR10</f>
        <v>3.1889960893628055</v>
      </c>
      <c r="CP10" s="1252">
        <v>359.49299999999999</v>
      </c>
      <c r="CQ10" s="453">
        <f>(CP10/CL10-1)*100</f>
        <v>-0.10337209787003587</v>
      </c>
      <c r="CR10" s="455">
        <f>'qtrP&amp;L'!CV10</f>
        <v>-0.1818832721154684</v>
      </c>
      <c r="CT10" s="1252"/>
      <c r="CU10" s="453"/>
      <c r="CV10" s="455">
        <f>'qtrP&amp;L'!CZ10</f>
        <v>10.128231420154066</v>
      </c>
    </row>
    <row r="11" spans="1:100">
      <c r="A11" s="410" t="str">
        <f>'qtrP&amp;L'!A11</f>
        <v>2Q</v>
      </c>
      <c r="B11" s="410" t="str">
        <f>'qtrP&amp;L'!B11</f>
        <v>Jul</v>
      </c>
      <c r="D11" s="1254">
        <v>8.5280000000000005</v>
      </c>
      <c r="F11" s="1254">
        <v>13.731</v>
      </c>
      <c r="G11" s="453">
        <f>(F11/D11-1)*100</f>
        <v>61.01078799249531</v>
      </c>
      <c r="H11" s="455">
        <f>'qtrP&amp;L'!I11</f>
        <v>22.553523090804696</v>
      </c>
      <c r="I11" s="1253"/>
      <c r="J11" s="1254">
        <v>16.295000000000002</v>
      </c>
      <c r="K11" s="453">
        <f>(J11/F11-1)*100</f>
        <v>18.673075522540252</v>
      </c>
      <c r="L11" s="455">
        <f>'qtrP&amp;L'!M11</f>
        <v>20.203473779324653</v>
      </c>
      <c r="M11" s="1253"/>
      <c r="N11" s="1254">
        <v>20.3</v>
      </c>
      <c r="O11" s="453">
        <f>(N11/J11-1)*100</f>
        <v>24.578091439091732</v>
      </c>
      <c r="P11" s="455">
        <f>'qtrP&amp;L'!Q11</f>
        <v>15.140041204966881</v>
      </c>
      <c r="Q11" s="1253"/>
      <c r="R11" s="1254">
        <v>27.073</v>
      </c>
      <c r="S11" s="453">
        <f>(R11/N11-1)*100</f>
        <v>33.364532019704441</v>
      </c>
      <c r="T11" s="455">
        <f>'qtrP&amp;L'!U11</f>
        <v>16.386981332817484</v>
      </c>
      <c r="U11" s="1253"/>
      <c r="V11" s="1254">
        <v>31.082999999999998</v>
      </c>
      <c r="W11" s="453">
        <f>(V11/R11-1)*100</f>
        <v>14.811805119491739</v>
      </c>
      <c r="X11" s="455">
        <f>'qtrP&amp;L'!Y11</f>
        <v>41.817464109862243</v>
      </c>
      <c r="Z11" s="1254">
        <v>41.548000000000002</v>
      </c>
      <c r="AA11" s="453">
        <f>(Z11/V11-1)*100</f>
        <v>33.667921371810962</v>
      </c>
      <c r="AB11" s="455">
        <f>'qtrP&amp;L'!AC11</f>
        <v>-2.2457918870218752</v>
      </c>
      <c r="AD11" s="1254">
        <v>47.445999999999998</v>
      </c>
      <c r="AE11" s="453">
        <f>(AD11/Z11-1)*100</f>
        <v>14.195629151824395</v>
      </c>
      <c r="AF11" s="455">
        <f>'qtrP&amp;L'!AG11</f>
        <v>20.481656875674382</v>
      </c>
      <c r="AH11" s="1254">
        <v>51.686999999999998</v>
      </c>
      <c r="AI11" s="453">
        <f>(AH11/AD11-1)*100</f>
        <v>8.9385828099312938</v>
      </c>
      <c r="AJ11" s="455">
        <f>'qtrP&amp;L'!AK11</f>
        <v>25.630947198208865</v>
      </c>
      <c r="AL11" s="1254">
        <v>61.466999999999999</v>
      </c>
      <c r="AM11" s="453">
        <f>(AL11/AH11-1)*100</f>
        <v>18.921585698531551</v>
      </c>
      <c r="AN11" s="455">
        <f>'qtrP&amp;L'!AO11</f>
        <v>21.661171671567601</v>
      </c>
      <c r="AP11" s="1254">
        <v>90.93</v>
      </c>
      <c r="AQ11" s="453">
        <f>(AP11/AL11-1)*100</f>
        <v>47.933037239494382</v>
      </c>
      <c r="AR11" s="455">
        <f>'qtrP&amp;L'!AV11</f>
        <v>54.203728871491478</v>
      </c>
      <c r="AT11" s="1254">
        <v>132.596</v>
      </c>
      <c r="AU11" s="453">
        <f>(AT11/AP11-1)*100</f>
        <v>45.822060925987017</v>
      </c>
      <c r="AV11" s="455">
        <f>'qtrP&amp;L'!AZ11</f>
        <v>33.727385953431408</v>
      </c>
      <c r="AX11" s="1254">
        <v>148.52799999999999</v>
      </c>
      <c r="AY11" s="453">
        <f>(AX11/AT11-1)*100</f>
        <v>12.015445413134618</v>
      </c>
      <c r="AZ11" s="455">
        <f>'qtrP&amp;L'!BD11</f>
        <v>12.694560207109951</v>
      </c>
      <c r="BB11" s="1254">
        <v>185.619</v>
      </c>
      <c r="BC11" s="453">
        <f>(BB11/AX11-1)*100</f>
        <v>24.972395777227185</v>
      </c>
      <c r="BD11" s="455">
        <f>'qtrP&amp;L'!BH11</f>
        <v>22.023469755812286</v>
      </c>
      <c r="BF11" s="1254">
        <v>211.20500000000001</v>
      </c>
      <c r="BG11" s="453">
        <f>(BF11/BB11-1)*100</f>
        <v>13.784149251962363</v>
      </c>
      <c r="BH11" s="455">
        <f>'qtrP&amp;L'!BL11</f>
        <v>30.376324799325015</v>
      </c>
      <c r="BJ11" s="1254">
        <v>217.05</v>
      </c>
      <c r="BK11" s="453">
        <f>(BJ11/BF11-1)*100</f>
        <v>2.7674534220307301</v>
      </c>
      <c r="BL11" s="455">
        <f>'qtrP&amp;L'!BP11</f>
        <v>0.95334529325656892</v>
      </c>
      <c r="BN11" s="1254">
        <v>243.203</v>
      </c>
      <c r="BO11" s="453">
        <f>(BN11/BJ11-1)*100</f>
        <v>12.04929739691314</v>
      </c>
      <c r="BP11" s="455">
        <f>'qtrP&amp;L'!BT11</f>
        <v>20.394177390727954</v>
      </c>
      <c r="BR11" s="1254">
        <v>303.15899999999999</v>
      </c>
      <c r="BS11" s="453">
        <f>(BR11/BN11-1)*100</f>
        <v>24.652656422823725</v>
      </c>
      <c r="BT11" s="455">
        <f>'qtrP&amp;L'!BX11</f>
        <v>10.32709781059442</v>
      </c>
      <c r="BV11" s="1254">
        <v>322.82299999999998</v>
      </c>
      <c r="BW11" s="453">
        <f>(BV11/BR11-1)*100</f>
        <v>6.4863652406822681</v>
      </c>
      <c r="BX11" s="455">
        <f>'qtrP&amp;L'!CB11</f>
        <v>11.012818850226779</v>
      </c>
      <c r="BZ11" s="1254">
        <v>347.06400000000002</v>
      </c>
      <c r="CA11" s="453">
        <f>(BZ11/BV11-1)*100</f>
        <v>7.5090684368833926</v>
      </c>
      <c r="CB11" s="455">
        <f>'qtrP&amp;L'!CF11</f>
        <v>12.163059374302243</v>
      </c>
      <c r="CD11" s="1254">
        <v>362.02800000000002</v>
      </c>
      <c r="CE11" s="453">
        <f>(CD11/BZ11-1)*100</f>
        <v>4.3115967083880768</v>
      </c>
      <c r="CF11" s="455">
        <f>'qtrP&amp;L'!CJ11</f>
        <v>6.9515269127937929</v>
      </c>
      <c r="CH11" s="1254">
        <v>384.404</v>
      </c>
      <c r="CI11" s="453">
        <f>(CH11/CD11-1)*100</f>
        <v>6.1807374015269367</v>
      </c>
      <c r="CJ11" s="455">
        <f>'qtrP&amp;L'!CN11</f>
        <v>6.9284181383612697</v>
      </c>
      <c r="CL11" s="1254">
        <v>367.197</v>
      </c>
      <c r="CM11" s="453">
        <f>(CL11/CH11-1)*100</f>
        <v>-4.4762801635779059</v>
      </c>
      <c r="CN11" s="455">
        <f>'qtrP&amp;L'!CR11</f>
        <v>2.6638692273995179</v>
      </c>
      <c r="CP11" s="1254">
        <v>365.17599999999999</v>
      </c>
      <c r="CQ11" s="453">
        <f>(CP11/CL11-1)*100</f>
        <v>-0.55038576023225261</v>
      </c>
      <c r="CR11" s="455">
        <f>'qtrP&amp;L'!CV11</f>
        <v>-1.9804214838170631</v>
      </c>
      <c r="CT11" s="1254"/>
      <c r="CU11" s="453"/>
      <c r="CV11" s="455"/>
    </row>
    <row r="12" spans="1:100">
      <c r="A12" s="410" t="str">
        <f>'qtrP&amp;L'!A12</f>
        <v>3Q</v>
      </c>
      <c r="B12" s="410" t="str">
        <f>'qtrP&amp;L'!B12</f>
        <v>Oct</v>
      </c>
      <c r="D12" s="1254">
        <v>11.066000000000001</v>
      </c>
      <c r="F12" s="1254">
        <v>15.093</v>
      </c>
      <c r="G12" s="453">
        <f>(F12/D12-1)*100</f>
        <v>36.390746430507861</v>
      </c>
      <c r="H12" s="455">
        <f>'qtrP&amp;L'!I12</f>
        <v>23.59829440590595</v>
      </c>
      <c r="I12" s="1253"/>
      <c r="J12" s="1254">
        <v>18.731999999999999</v>
      </c>
      <c r="K12" s="453">
        <f>(J12/F12-1)*100</f>
        <v>24.110514808189222</v>
      </c>
      <c r="L12" s="455">
        <f>'qtrP&amp;L'!M12</f>
        <v>15.619690026260225</v>
      </c>
      <c r="M12" s="1253"/>
      <c r="N12" s="1254">
        <v>22.44</v>
      </c>
      <c r="O12" s="453">
        <f>(N12/J12-1)*100</f>
        <v>19.79500320307497</v>
      </c>
      <c r="P12" s="455">
        <f>'qtrP&amp;L'!Q12</f>
        <v>7.7935380435992796</v>
      </c>
      <c r="Q12" s="1253"/>
      <c r="R12" s="1254">
        <v>26.5</v>
      </c>
      <c r="S12" s="453">
        <f>(R12/N12-1)*100</f>
        <v>18.092691622103384</v>
      </c>
      <c r="T12" s="455">
        <f>'qtrP&amp;L'!U12</f>
        <v>25.604742919705025</v>
      </c>
      <c r="U12" s="1253"/>
      <c r="V12" s="1254">
        <v>32.527000000000001</v>
      </c>
      <c r="W12" s="453">
        <f>(V12/R12-1)*100</f>
        <v>22.743396226415101</v>
      </c>
      <c r="X12" s="455">
        <f>'qtrP&amp;L'!Y12</f>
        <v>24.843760278929004</v>
      </c>
      <c r="Z12" s="1254">
        <v>44.985999999999997</v>
      </c>
      <c r="AA12" s="453">
        <f>(Z12/V12-1)*100</f>
        <v>38.30356319365449</v>
      </c>
      <c r="AB12" s="455">
        <f>'qtrP&amp;L'!AC12</f>
        <v>1.5557897510209528</v>
      </c>
      <c r="AD12" s="1254">
        <v>54.258000000000003</v>
      </c>
      <c r="AE12" s="453">
        <f>(AD12/Z12-1)*100</f>
        <v>20.610856710976755</v>
      </c>
      <c r="AF12" s="455">
        <f>'qtrP&amp;L'!AG12</f>
        <v>20.45374946491809</v>
      </c>
      <c r="AH12" s="1254">
        <v>56.518000000000001</v>
      </c>
      <c r="AI12" s="453">
        <f>(AH12/AD12-1)*100</f>
        <v>4.1652843820266128</v>
      </c>
      <c r="AJ12" s="455">
        <f>'qtrP&amp;L'!AK12</f>
        <v>18.573320841275475</v>
      </c>
      <c r="AL12" s="1254">
        <v>72.212999999999994</v>
      </c>
      <c r="AM12" s="453">
        <f>(AL12/AH12-1)*100</f>
        <v>27.769914009696016</v>
      </c>
      <c r="AN12" s="455">
        <f>'qtrP&amp;L'!AO12</f>
        <v>29.267251557589958</v>
      </c>
      <c r="AP12" s="1254">
        <v>112.896</v>
      </c>
      <c r="AQ12" s="453">
        <f>(AP12/AL12-1)*100</f>
        <v>56.337501557891258</v>
      </c>
      <c r="AR12" s="455">
        <f>'qtrP&amp;L'!AV12</f>
        <v>52.006941565786803</v>
      </c>
      <c r="AT12" s="1254">
        <v>170.232</v>
      </c>
      <c r="AU12" s="453">
        <f>(AT12/AP12-1)*100</f>
        <v>50.786564625850339</v>
      </c>
      <c r="AV12" s="455">
        <f>'qtrP&amp;L'!AZ12</f>
        <v>33.486015909185454</v>
      </c>
      <c r="AX12" s="1254">
        <v>179.59200000000001</v>
      </c>
      <c r="AY12" s="453">
        <f>(AX12/AT12-1)*100</f>
        <v>5.4983786832088155</v>
      </c>
      <c r="AZ12" s="455">
        <f>'qtrP&amp;L'!BD12</f>
        <v>6.7707521788359593</v>
      </c>
      <c r="BB12" s="1254">
        <v>212.696</v>
      </c>
      <c r="BC12" s="453">
        <f>(BB12/AX12-1)*100</f>
        <v>18.432892333734241</v>
      </c>
      <c r="BD12" s="455">
        <f>'qtrP&amp;L'!BH12</f>
        <v>23.014058471566855</v>
      </c>
      <c r="BF12" s="1254">
        <v>252.30799999999999</v>
      </c>
      <c r="BG12" s="453">
        <f>(BF12/BB12-1)*100</f>
        <v>18.623763493436641</v>
      </c>
      <c r="BH12" s="455">
        <f>'qtrP&amp;L'!BL12</f>
        <v>26.002583570600013</v>
      </c>
      <c r="BJ12" s="1254">
        <v>234.52099999999999</v>
      </c>
      <c r="BK12" s="453">
        <f>(BJ12/BF12-1)*100</f>
        <v>-7.0497170125402349</v>
      </c>
      <c r="BL12" s="455">
        <f>'qtrP&amp;L'!BP12</f>
        <v>5.847227656275833</v>
      </c>
      <c r="BN12" s="1254">
        <v>289.25599999999997</v>
      </c>
      <c r="BO12" s="453">
        <f>(BN12/BJ12-1)*100</f>
        <v>23.339061320734601</v>
      </c>
      <c r="BP12" s="455">
        <f>'qtrP&amp;L'!BT12</f>
        <v>13.38050998220992</v>
      </c>
      <c r="BR12" s="1254">
        <v>367.40699999999998</v>
      </c>
      <c r="BS12" s="453">
        <f>(BR12/BN12-1)*100</f>
        <v>27.017935669441616</v>
      </c>
      <c r="BT12" s="455">
        <f>'qtrP&amp;L'!BX12</f>
        <v>6.3391748838895978</v>
      </c>
      <c r="BV12" s="1254">
        <v>395.40600000000001</v>
      </c>
      <c r="BW12" s="453">
        <f>(BV12/BR12-1)*100</f>
        <v>7.6207040148935645</v>
      </c>
      <c r="BX12" s="455">
        <f>'qtrP&amp;L'!CB12</f>
        <v>13.593014543743553</v>
      </c>
      <c r="BZ12" s="1254">
        <v>406.71199999999999</v>
      </c>
      <c r="CA12" s="453">
        <f>(BZ12/BV12-1)*100</f>
        <v>2.8593395143219791</v>
      </c>
      <c r="CB12" s="455">
        <f>'qtrP&amp;L'!CF12</f>
        <v>11.717306715314969</v>
      </c>
      <c r="CD12" s="1254">
        <v>467.09699999999998</v>
      </c>
      <c r="CE12" s="453">
        <f>(CD12/BZ12-1)*100</f>
        <v>14.847115403528788</v>
      </c>
      <c r="CF12" s="455">
        <f>'qtrP&amp;L'!CJ12</f>
        <v>5.2220208281387848</v>
      </c>
      <c r="CH12" s="1254">
        <v>441.55</v>
      </c>
      <c r="CI12" s="453">
        <f>(CH12/CD12-1)*100</f>
        <v>-5.4693136543373155</v>
      </c>
      <c r="CJ12" s="455">
        <f>'qtrP&amp;L'!CN12</f>
        <v>1.3245423404177004</v>
      </c>
      <c r="CL12" s="1254">
        <v>453.82600000000002</v>
      </c>
      <c r="CM12" s="453">
        <f>(CL12/CH12-1)*100</f>
        <v>2.7802060921752858</v>
      </c>
      <c r="CN12" s="455">
        <f>'qtrP&amp;L'!CR12</f>
        <v>4.5116799837141786</v>
      </c>
      <c r="CP12" s="1254">
        <v>449.95699999999999</v>
      </c>
      <c r="CQ12" s="453">
        <f>(CP12/CL12-1)*100</f>
        <v>-0.85252938350822705</v>
      </c>
      <c r="CR12" s="455">
        <f>'qtrP&amp;L'!CV12</f>
        <v>3.5111091014283113</v>
      </c>
      <c r="CT12" s="1254"/>
      <c r="CU12" s="453"/>
      <c r="CV12" s="455"/>
    </row>
    <row r="13" spans="1:100">
      <c r="A13" s="410" t="str">
        <f>'qtrP&amp;L'!A13</f>
        <v>4Q</v>
      </c>
      <c r="B13" s="410" t="str">
        <f>'qtrP&amp;L'!B13</f>
        <v>Jan</v>
      </c>
      <c r="D13" s="1252">
        <v>10.381</v>
      </c>
      <c r="F13" s="1255">
        <f>bal!G12</f>
        <v>10.477</v>
      </c>
      <c r="G13" s="453">
        <f>(F13/D13-1)*100</f>
        <v>0.92476640015413114</v>
      </c>
      <c r="H13" s="455">
        <f>'qtrP&amp;L'!I13</f>
        <v>16.748468225708212</v>
      </c>
      <c r="I13" s="1253"/>
      <c r="J13" s="1255">
        <f>bal!I12</f>
        <v>16.965</v>
      </c>
      <c r="K13" s="453">
        <f>(J13/F13-1)*100</f>
        <v>61.926123890426645</v>
      </c>
      <c r="L13" s="455">
        <f>'qtrP&amp;L'!M13</f>
        <v>15.469582898279931</v>
      </c>
      <c r="M13" s="1253"/>
      <c r="N13" s="1255">
        <f>bal!K12</f>
        <v>17.128</v>
      </c>
      <c r="O13" s="453">
        <f>(N13/J13-1)*100</f>
        <v>0.96080165045682175</v>
      </c>
      <c r="P13" s="455">
        <f>'qtrP&amp;L'!Q13</f>
        <v>10.091852274890535</v>
      </c>
      <c r="Q13" s="1253"/>
      <c r="R13" s="1255">
        <f>bal!M12</f>
        <v>21.881</v>
      </c>
      <c r="S13" s="453">
        <f>(R13/N13-1)*100</f>
        <v>27.749883232134522</v>
      </c>
      <c r="T13" s="455">
        <f>'qtrP&amp;L'!U13</f>
        <v>32.826110450664636</v>
      </c>
      <c r="U13" s="1253"/>
      <c r="V13" s="1255">
        <f>bal!O12</f>
        <v>26.867999999999999</v>
      </c>
      <c r="W13" s="453">
        <f>(V13/R13-1)*100</f>
        <v>22.791462913029559</v>
      </c>
      <c r="X13" s="455">
        <f>'qtrP&amp;L'!Y13</f>
        <v>22.72830827312373</v>
      </c>
      <c r="Z13" s="1255">
        <f>bal!Q12</f>
        <v>34.786000000000001</v>
      </c>
      <c r="AA13" s="453">
        <f>(Z13/V13-1)*100</f>
        <v>29.470001488759866</v>
      </c>
      <c r="AB13" s="455">
        <f>'qtrP&amp;L'!AC13</f>
        <v>13.451517522109802</v>
      </c>
      <c r="AD13" s="1255">
        <f>+bal!S12</f>
        <v>41.085999999999999</v>
      </c>
      <c r="AE13" s="453">
        <f>(AD13/Z13-1)*100</f>
        <v>18.110734203415156</v>
      </c>
      <c r="AF13" s="455">
        <f>'qtrP&amp;L'!AG13</f>
        <v>21.394511710532484</v>
      </c>
      <c r="AH13" s="1255">
        <f>+bal!U12</f>
        <v>48.825000000000003</v>
      </c>
      <c r="AI13" s="453">
        <f>(AH13/AD13-1)*100</f>
        <v>18.836099888039737</v>
      </c>
      <c r="AJ13" s="455">
        <f>'qtrP&amp;L'!AK13</f>
        <v>13.192452103591013</v>
      </c>
      <c r="AL13" s="1255">
        <f>+bal!W12</f>
        <v>63.247</v>
      </c>
      <c r="AM13" s="453">
        <f>(AL13/AH13-1)*100</f>
        <v>29.538146441372248</v>
      </c>
      <c r="AN13" s="455">
        <f>'qtrP&amp;L'!AO13</f>
        <v>49.798848375052088</v>
      </c>
      <c r="AP13" s="1255">
        <f>+bal!Y12</f>
        <v>98.995999999999995</v>
      </c>
      <c r="AQ13" s="453">
        <f>(AP13/AL13-1)*100</f>
        <v>56.522839027938062</v>
      </c>
      <c r="AR13" s="455">
        <f>'qtrP&amp;L'!AV13</f>
        <v>42.867768548116935</v>
      </c>
      <c r="AT13" s="1255">
        <f>+bal!AA12</f>
        <v>140.37700000000001</v>
      </c>
      <c r="AU13" s="453">
        <f>(AT13/AP13-1)*100</f>
        <v>41.800678815305695</v>
      </c>
      <c r="AV13" s="455">
        <f>'qtrP&amp;L'!AZ13</f>
        <v>26.61362435071517</v>
      </c>
      <c r="AX13" s="1254">
        <v>154.387</v>
      </c>
      <c r="AY13" s="453">
        <f>(AX13/AT13-1)*100</f>
        <v>9.9802674227259303</v>
      </c>
      <c r="AZ13" s="455">
        <f>'qtrP&amp;L'!BD13</f>
        <v>13.248103355734187</v>
      </c>
      <c r="BB13" s="1254">
        <v>171.92500000000001</v>
      </c>
      <c r="BC13" s="453">
        <f>(BB13/AX13-1)*100</f>
        <v>11.35976474703182</v>
      </c>
      <c r="BD13" s="455">
        <f>'qtrP&amp;L'!BH13</f>
        <v>28.995609707424698</v>
      </c>
      <c r="BF13" s="1254">
        <v>169.69800000000001</v>
      </c>
      <c r="BG13" s="453">
        <f>(BF13/BB13-1)*100</f>
        <v>-1.2953322669768785</v>
      </c>
      <c r="BH13" s="455">
        <f>'qtrP&amp;L'!BL13</f>
        <v>9.167595952824481</v>
      </c>
      <c r="BJ13" s="1254">
        <v>186.13</v>
      </c>
      <c r="BK13" s="453">
        <f>(BJ13/BF13-1)*100</f>
        <v>9.6830840669895899</v>
      </c>
      <c r="BL13" s="455">
        <f>'qtrP&amp;L'!BP13</f>
        <v>15.827294234349853</v>
      </c>
      <c r="BN13" s="1254">
        <v>229.56100000000001</v>
      </c>
      <c r="BO13" s="453">
        <f>(BN13/BJ13-1)*100</f>
        <v>23.333691505936716</v>
      </c>
      <c r="BP13" s="455">
        <f>'qtrP&amp;L'!BT13</f>
        <v>13.576542116898583</v>
      </c>
      <c r="BR13" s="1254">
        <v>250.07300000000001</v>
      </c>
      <c r="BS13" s="453">
        <f>(BR13/BN13-1)*100</f>
        <v>8.9353156677310253</v>
      </c>
      <c r="BT13" s="455">
        <f>'qtrP&amp;L'!BX13</f>
        <v>9.3146217028980072</v>
      </c>
      <c r="BV13" s="1254">
        <v>282.411</v>
      </c>
      <c r="BW13" s="453">
        <f>(BV13/BR13-1)*100</f>
        <v>12.931424024184945</v>
      </c>
      <c r="BX13" s="455">
        <f>'qtrP&amp;L'!CB13</f>
        <v>17.274255181701736</v>
      </c>
      <c r="BZ13" s="1254">
        <v>311.20699999999999</v>
      </c>
      <c r="CA13" s="453">
        <f>(BZ13/BV13-1)*100</f>
        <v>10.196486680759609</v>
      </c>
      <c r="CB13" s="455">
        <f>'qtrP&amp;L'!CF13</f>
        <v>5.7180736221234874</v>
      </c>
      <c r="CD13" s="1254">
        <v>358.23700000000002</v>
      </c>
      <c r="CE13" s="410">
        <f>(CD13/BZ13-1)*100</f>
        <v>15.112127940566889</v>
      </c>
      <c r="CF13" s="455">
        <f>'qtrP&amp;L'!CJ13</f>
        <v>11.611753718573992</v>
      </c>
      <c r="CH13" s="1254">
        <v>330.22300000000001</v>
      </c>
      <c r="CI13" s="539">
        <f>(CH13/CD13-1)*100</f>
        <v>-7.8199627620820884</v>
      </c>
      <c r="CJ13" s="455">
        <f>'qtrP&amp;L'!CN13</f>
        <v>0.23361990180446046</v>
      </c>
      <c r="CL13" s="1254">
        <v>338.59</v>
      </c>
      <c r="CM13" s="453">
        <f>(CL13/CH13-1)*100</f>
        <v>2.5337423498665856</v>
      </c>
      <c r="CN13" s="455">
        <f>'qtrP&amp;L'!CR13</f>
        <v>1.6530393544147204</v>
      </c>
      <c r="CP13" s="1254">
        <v>351.39499999999998</v>
      </c>
      <c r="CQ13" s="453">
        <f>(CP13/CL13-1)*100</f>
        <v>3.7818600667473889</v>
      </c>
      <c r="CR13" s="455">
        <f>'qtrP&amp;L'!CV13</f>
        <v>5.7234909596391992</v>
      </c>
      <c r="CT13" s="539"/>
      <c r="CU13" s="605"/>
      <c r="CV13" s="455"/>
    </row>
    <row r="15" spans="1:100">
      <c r="A15" s="1249" t="s">
        <v>385</v>
      </c>
      <c r="B15" s="1250"/>
      <c r="F15" s="634"/>
      <c r="G15" s="634"/>
      <c r="H15" s="634"/>
      <c r="I15" s="634"/>
      <c r="J15" s="634"/>
      <c r="K15" s="634"/>
      <c r="L15" s="634"/>
      <c r="M15" s="1251"/>
      <c r="N15" s="1251"/>
      <c r="O15" s="634"/>
      <c r="P15" s="634"/>
      <c r="Q15" s="634"/>
      <c r="R15" s="634"/>
      <c r="S15" s="634"/>
      <c r="T15" s="634"/>
      <c r="U15" s="634"/>
      <c r="V15" s="634"/>
      <c r="W15" s="634"/>
      <c r="X15" s="634"/>
      <c r="Z15" s="634"/>
      <c r="AA15" s="634"/>
      <c r="AB15" s="634"/>
      <c r="AD15" s="634"/>
      <c r="AE15" s="634"/>
      <c r="AF15" s="634"/>
      <c r="AH15" s="634"/>
      <c r="AI15" s="634"/>
      <c r="AJ15" s="634"/>
      <c r="AL15" s="634"/>
      <c r="AM15" s="634"/>
      <c r="AN15" s="634"/>
      <c r="AP15" s="634"/>
      <c r="AQ15" s="634"/>
      <c r="AR15" s="634"/>
      <c r="AT15" s="634"/>
      <c r="AU15" s="634"/>
      <c r="AV15" s="634"/>
      <c r="AX15" s="634"/>
      <c r="AY15" s="634"/>
      <c r="AZ15" s="634"/>
      <c r="BB15" s="634"/>
      <c r="BC15" s="634"/>
      <c r="BD15" s="634"/>
      <c r="BF15" s="634"/>
      <c r="BG15" s="634"/>
      <c r="BH15" s="634"/>
      <c r="BJ15" s="634"/>
      <c r="BK15" s="634"/>
      <c r="BL15" s="634"/>
      <c r="BN15" s="634"/>
      <c r="BO15" s="634"/>
      <c r="BP15" s="634"/>
      <c r="BR15" s="634"/>
      <c r="BS15" s="634"/>
      <c r="BT15" s="634"/>
      <c r="BV15" s="634"/>
      <c r="BW15" s="634"/>
      <c r="BX15" s="634"/>
    </row>
    <row r="16" spans="1:100">
      <c r="A16" s="410" t="str">
        <f>$A$10</f>
        <v>1Q</v>
      </c>
      <c r="B16" s="410" t="str">
        <f>$B$10</f>
        <v>Apr</v>
      </c>
      <c r="D16" s="1252">
        <f>3.404+2.524</f>
        <v>5.9279999999999999</v>
      </c>
      <c r="F16" s="1252">
        <f>3.537+4.746</f>
        <v>8.2830000000000013</v>
      </c>
      <c r="G16" s="453">
        <f>(F16/D16-1)*100</f>
        <v>39.726720647773291</v>
      </c>
      <c r="H16" s="455">
        <f>H$10</f>
        <v>20.652549697493527</v>
      </c>
      <c r="I16" s="1253"/>
      <c r="J16" s="1252">
        <f>3.331+5.037</f>
        <v>8.3680000000000003</v>
      </c>
      <c r="K16" s="453">
        <f>(J16/F16-1)*100</f>
        <v>1.0261982373536149</v>
      </c>
      <c r="L16" s="455">
        <f>L$10</f>
        <v>20.516494143773055</v>
      </c>
      <c r="M16" s="1253"/>
      <c r="N16" s="1252">
        <f>5.155+6.642</f>
        <v>11.797000000000001</v>
      </c>
      <c r="O16" s="453">
        <f>(N16/J16-1)*100</f>
        <v>40.977533460803059</v>
      </c>
      <c r="P16" s="455">
        <f>P$10</f>
        <v>10.648794840550412</v>
      </c>
      <c r="Q16" s="1253"/>
      <c r="R16" s="1252">
        <f>4.406+7.215</f>
        <v>11.620999999999999</v>
      </c>
      <c r="S16" s="453">
        <f>(R16/N16-1)*100</f>
        <v>-1.4919047215393944</v>
      </c>
      <c r="T16" s="455">
        <f>T$10</f>
        <v>6.0327692720923976</v>
      </c>
      <c r="U16" s="1253"/>
      <c r="V16" s="1252">
        <f>5.06+7.715</f>
        <v>12.774999999999999</v>
      </c>
      <c r="W16" s="453">
        <f>(V16/R16-1)*100</f>
        <v>9.9302985973668267</v>
      </c>
      <c r="X16" s="455">
        <f>X$10</f>
        <v>48.249569358597633</v>
      </c>
      <c r="Z16" s="1252">
        <f>6.369+6.343</f>
        <v>12.712</v>
      </c>
      <c r="AA16" s="453">
        <f>(Z16/V16-1)*100</f>
        <v>-0.49315068493149816</v>
      </c>
      <c r="AB16" s="455">
        <f>AB$10</f>
        <v>12.690736975206329</v>
      </c>
      <c r="AD16" s="1252">
        <f>5.558+10.242</f>
        <v>15.8</v>
      </c>
      <c r="AE16" s="453">
        <f>(AD16/Z16-1)*100</f>
        <v>24.292007551919447</v>
      </c>
      <c r="AF16" s="455">
        <f>AF$10</f>
        <v>8.9219105382865713</v>
      </c>
      <c r="AH16" s="1252">
        <f>4.678+6.639</f>
        <v>11.317</v>
      </c>
      <c r="AI16" s="453">
        <f>(AH16/AD16-1)*100</f>
        <v>-28.37341772151899</v>
      </c>
      <c r="AJ16" s="455">
        <f>AJ$10</f>
        <v>30.960269510259764</v>
      </c>
      <c r="AL16" s="1252">
        <f>5.538+15.222</f>
        <v>20.759999999999998</v>
      </c>
      <c r="AM16" s="453">
        <f>(AL16/AH16-1)*100</f>
        <v>83.440841212335414</v>
      </c>
      <c r="AN16" s="455">
        <f>AN$10</f>
        <v>13.770010842528224</v>
      </c>
      <c r="AP16" s="1252">
        <v>16.959</v>
      </c>
      <c r="AQ16" s="453">
        <f>(AP16/AL16-1)*100</f>
        <v>-18.309248554913292</v>
      </c>
      <c r="AR16" s="455">
        <f>AR$10</f>
        <v>59.107896998916168</v>
      </c>
      <c r="AT16" s="1252">
        <f>21.82+13.754</f>
        <v>35.573999999999998</v>
      </c>
      <c r="AU16" s="453">
        <f>(AT16/AP16-1)*100</f>
        <v>109.76472669379089</v>
      </c>
      <c r="AV16" s="455">
        <f>AV$10</f>
        <v>35.841799283575071</v>
      </c>
      <c r="AX16" s="1252">
        <f>23.686+38.299</f>
        <v>61.984999999999999</v>
      </c>
      <c r="AY16" s="453">
        <f>(AX16/AT16-1)*100</f>
        <v>74.242424242424249</v>
      </c>
      <c r="AZ16" s="455">
        <f>AZ$10</f>
        <v>16.721928023343779</v>
      </c>
      <c r="BB16" s="1252">
        <f>22.037+33.927</f>
        <v>55.963999999999999</v>
      </c>
      <c r="BC16" s="453">
        <f>(BB16/AX16-1)*100</f>
        <v>-9.7136403968702147</v>
      </c>
      <c r="BD16" s="455">
        <f>BD$10</f>
        <v>16.494757543322947</v>
      </c>
      <c r="BF16" s="1252">
        <f>25.593+46.228</f>
        <v>71.820999999999998</v>
      </c>
      <c r="BG16" s="453">
        <f>(BF16/BB16-1)*100</f>
        <v>28.334286326924452</v>
      </c>
      <c r="BH16" s="455">
        <f>BH$10</f>
        <v>25.353527646370623</v>
      </c>
      <c r="BJ16" s="1252">
        <f>28.499+41.968</f>
        <v>70.466999999999999</v>
      </c>
      <c r="BK16" s="453">
        <f>(BJ16/BF16-1)*100</f>
        <v>-1.8852424778268206</v>
      </c>
      <c r="BL16" s="455">
        <f>BL$10</f>
        <v>-2.408367402838496</v>
      </c>
      <c r="BN16" s="1252">
        <f>35.448+79.84</f>
        <v>115.28800000000001</v>
      </c>
      <c r="BO16" s="453">
        <f>(BN16/BJ16-1)*100</f>
        <v>63.60565938666327</v>
      </c>
      <c r="BP16" s="455">
        <f>BP$10</f>
        <v>24.731286188006109</v>
      </c>
      <c r="BR16" s="1252">
        <f>46.539+77.846</f>
        <v>124.38500000000001</v>
      </c>
      <c r="BS16" s="453">
        <f>(BR16/BN16-1)*100</f>
        <v>7.8906737908541968</v>
      </c>
      <c r="BT16" s="455">
        <f>BT10</f>
        <v>9.1794958340365227</v>
      </c>
      <c r="BV16" s="1252">
        <f>84.738+43.882</f>
        <v>128.62</v>
      </c>
      <c r="BW16" s="453">
        <f>(BV16/BR16-1)*100</f>
        <v>3.4047513767737181</v>
      </c>
      <c r="BX16" s="455">
        <f>+BX10</f>
        <v>8.5704907646478432</v>
      </c>
      <c r="BZ16" s="1252">
        <f>91.829+48.868</f>
        <v>140.697</v>
      </c>
      <c r="CA16" s="453">
        <f>(BZ16/BV16-1)*100</f>
        <v>9.3896750116622574</v>
      </c>
      <c r="CB16" s="455">
        <f>+CB10</f>
        <v>13.92913012145609</v>
      </c>
      <c r="CD16" s="1252">
        <f>59.267+103.097</f>
        <v>162.364</v>
      </c>
      <c r="CE16" s="453">
        <f>(CD16/BZ16-1)*100</f>
        <v>15.399759767443522</v>
      </c>
      <c r="CF16" s="455">
        <f>+CF10</f>
        <v>5.8831152601835468</v>
      </c>
      <c r="CH16" s="1252">
        <f>54.283+119.083</f>
        <v>173.36599999999999</v>
      </c>
      <c r="CI16" s="453">
        <f>(CH16/CD16-1)*100</f>
        <v>6.7761326402404398</v>
      </c>
      <c r="CJ16" s="455">
        <f>+CJ10</f>
        <v>7.6787457562909056</v>
      </c>
      <c r="CL16" s="1252">
        <f>72.165+89.793</f>
        <v>161.95800000000003</v>
      </c>
      <c r="CM16" s="453">
        <f>(CL16/CH16-1)*100</f>
        <v>-6.5802983283919314</v>
      </c>
      <c r="CN16" s="455">
        <f>+CN10</f>
        <v>3.1889960893628055</v>
      </c>
      <c r="CP16" s="1252">
        <f>83.949+110.431</f>
        <v>194.38</v>
      </c>
      <c r="CQ16" s="453">
        <f>(CP16/CL16-1)*100</f>
        <v>20.018770298472411</v>
      </c>
      <c r="CR16" s="455">
        <f>+CR10</f>
        <v>-0.1818832721154684</v>
      </c>
      <c r="CT16" s="1252"/>
      <c r="CU16" s="453"/>
      <c r="CV16" s="455"/>
    </row>
    <row r="17" spans="1:100">
      <c r="A17" s="410" t="str">
        <f>$A$11</f>
        <v>2Q</v>
      </c>
      <c r="B17" s="410" t="str">
        <f>$B$11</f>
        <v>Jul</v>
      </c>
      <c r="D17" s="1254">
        <f>3.109+3.498</f>
        <v>6.6070000000000002</v>
      </c>
      <c r="E17" s="1253"/>
      <c r="F17" s="1254">
        <f>4.302+3.766</f>
        <v>8.0679999999999996</v>
      </c>
      <c r="G17" s="453">
        <f>(F17/D17-1)*100</f>
        <v>22.112910549417286</v>
      </c>
      <c r="H17" s="455">
        <f>H$11</f>
        <v>22.553523090804696</v>
      </c>
      <c r="I17" s="1253"/>
      <c r="J17" s="1254">
        <f>3.943+7.296</f>
        <v>11.239000000000001</v>
      </c>
      <c r="K17" s="453">
        <f>(J17/F17-1)*100</f>
        <v>39.303420922161635</v>
      </c>
      <c r="L17" s="455">
        <f>L$11</f>
        <v>20.203473779324653</v>
      </c>
      <c r="M17" s="1253"/>
      <c r="N17" s="1254">
        <f>4.782+6.613</f>
        <v>11.395</v>
      </c>
      <c r="O17" s="453">
        <f>(N17/J17-1)*100</f>
        <v>1.3880238455378446</v>
      </c>
      <c r="P17" s="455">
        <f>P$11</f>
        <v>15.140041204966881</v>
      </c>
      <c r="Q17" s="1253"/>
      <c r="R17" s="1254">
        <f>4.681+7.607</f>
        <v>12.288</v>
      </c>
      <c r="S17" s="453">
        <f>(R17/N17-1)*100</f>
        <v>7.8367705133830734</v>
      </c>
      <c r="T17" s="455">
        <f>T$11</f>
        <v>16.386981332817484</v>
      </c>
      <c r="U17" s="1253"/>
      <c r="V17" s="1254">
        <f>6.176+6.74</f>
        <v>12.916</v>
      </c>
      <c r="W17" s="453">
        <f>(V17/R17-1)*100</f>
        <v>5.1106770833333259</v>
      </c>
      <c r="X17" s="455">
        <f>X$11</f>
        <v>41.817464109862243</v>
      </c>
      <c r="Z17" s="1254">
        <f>5.922+7.841</f>
        <v>13.763</v>
      </c>
      <c r="AA17" s="453">
        <f>(Z17/V17-1)*100</f>
        <v>6.5577578197584252</v>
      </c>
      <c r="AB17" s="455">
        <f>AB$11</f>
        <v>-2.2457918870218752</v>
      </c>
      <c r="AD17" s="1254">
        <f>5.526+8.552</f>
        <v>14.077999999999999</v>
      </c>
      <c r="AE17" s="453">
        <f>(AD17/Z17-1)*100</f>
        <v>2.2887451863692565</v>
      </c>
      <c r="AF17" s="455">
        <f>AF$11</f>
        <v>20.481656875674382</v>
      </c>
      <c r="AH17" s="1254">
        <v>5.3330000000000002</v>
      </c>
      <c r="AI17" s="453">
        <f>(AH17/AD17-1)*100</f>
        <v>-62.118198607756781</v>
      </c>
      <c r="AJ17" s="455">
        <f>AJ$11</f>
        <v>25.630947198208865</v>
      </c>
      <c r="AL17" s="1254">
        <f>6.402+14.917</f>
        <v>21.318999999999999</v>
      </c>
      <c r="AM17" s="453">
        <f>(AL17/AH17-1)*100</f>
        <v>299.75623476467274</v>
      </c>
      <c r="AN17" s="455">
        <f>AN$11</f>
        <v>21.661171671567601</v>
      </c>
      <c r="AP17" s="1254">
        <v>10.42</v>
      </c>
      <c r="AQ17" s="453">
        <f>(AP17/AL17-1)*100</f>
        <v>-51.123411041793702</v>
      </c>
      <c r="AR17" s="455">
        <f>AR$11</f>
        <v>54.203728871491478</v>
      </c>
      <c r="AT17" s="1254">
        <f>19.195+29.097</f>
        <v>48.292000000000002</v>
      </c>
      <c r="AU17" s="453">
        <f>(AT17/AP17-1)*100</f>
        <v>363.45489443378119</v>
      </c>
      <c r="AV17" s="455">
        <f>AV$11</f>
        <v>33.727385953431408</v>
      </c>
      <c r="AX17" s="1254">
        <f>22.299+37.419</f>
        <v>59.717999999999996</v>
      </c>
      <c r="AY17" s="453">
        <f>(AX17/AT17-1)*100</f>
        <v>23.660233579060709</v>
      </c>
      <c r="AZ17" s="455">
        <f>AZ$11</f>
        <v>12.694560207109951</v>
      </c>
      <c r="BB17" s="1254">
        <f>24.516+28.981</f>
        <v>53.497</v>
      </c>
      <c r="BC17" s="453">
        <f>(BB17/AX17-1)*100</f>
        <v>-10.41729461803811</v>
      </c>
      <c r="BD17" s="455">
        <f>BD$11</f>
        <v>22.023469755812286</v>
      </c>
      <c r="BF17" s="1254">
        <f>32.468+47.762</f>
        <v>80.23</v>
      </c>
      <c r="BG17" s="453">
        <f>(BF17/BB17-1)*100</f>
        <v>49.971026412696041</v>
      </c>
      <c r="BH17" s="455">
        <f>BH$11</f>
        <v>30.376324799325015</v>
      </c>
      <c r="BJ17" s="1254">
        <f>32.039+46.005</f>
        <v>78.044000000000011</v>
      </c>
      <c r="BK17" s="453">
        <f>(BJ17/BF17-1)*100</f>
        <v>-2.7246665835722217</v>
      </c>
      <c r="BL17" s="455">
        <f>BL$11</f>
        <v>0.95334529325656892</v>
      </c>
      <c r="BN17" s="1254">
        <f>42.474+85.875</f>
        <v>128.34899999999999</v>
      </c>
      <c r="BO17" s="453">
        <f>(BN17/BJ17-1)*100</f>
        <v>64.45722925529185</v>
      </c>
      <c r="BP17" s="455">
        <f>BP$11</f>
        <v>20.394177390727954</v>
      </c>
      <c r="BR17" s="1254">
        <f>52.56+57.121</f>
        <v>109.68100000000001</v>
      </c>
      <c r="BS17" s="453">
        <f>(BR17/BN17-1)*100</f>
        <v>-14.544717917552907</v>
      </c>
      <c r="BT17" s="455">
        <f>BT11</f>
        <v>10.32709781059442</v>
      </c>
      <c r="BV17" s="1254">
        <f>48.222+61.612</f>
        <v>109.834</v>
      </c>
      <c r="BW17" s="453">
        <f>(BV17/BR17-1)*100</f>
        <v>0.13949544588396368</v>
      </c>
      <c r="BX17" s="455">
        <f>+BX11</f>
        <v>11.012818850226779</v>
      </c>
      <c r="BZ17" s="1254">
        <f>53.807+69.488</f>
        <v>123.295</v>
      </c>
      <c r="CA17" s="453">
        <f>(BZ17/BV17-1)*100</f>
        <v>12.255767795036142</v>
      </c>
      <c r="CB17" s="455">
        <f>+CB11</f>
        <v>12.163059374302243</v>
      </c>
      <c r="CD17" s="1254">
        <f>72.813+105.129</f>
        <v>177.94200000000001</v>
      </c>
      <c r="CE17" s="453">
        <f>(CD17/BZ17-1)*100</f>
        <v>44.322154183056895</v>
      </c>
      <c r="CF17" s="455">
        <f>+CF11</f>
        <v>6.9515269127937929</v>
      </c>
      <c r="CH17" s="1254">
        <f>70.014+118.678</f>
        <v>188.69200000000001</v>
      </c>
      <c r="CI17" s="453">
        <f>(CH17/CD17-1)*100</f>
        <v>6.0412943543401765</v>
      </c>
      <c r="CJ17" s="455">
        <f>+CJ11</f>
        <v>6.9284181383612697</v>
      </c>
      <c r="CL17" s="1254">
        <f>94.663+95.003</f>
        <v>189.666</v>
      </c>
      <c r="CM17" s="453">
        <f>(CL17/CH17-1)*100</f>
        <v>0.51618510588684607</v>
      </c>
      <c r="CN17" s="455">
        <f>+CN11</f>
        <v>2.6638692273995179</v>
      </c>
      <c r="CP17" s="1254">
        <f>75.53+110.017</f>
        <v>185.547</v>
      </c>
      <c r="CQ17" s="453">
        <f>(CP17/CL17-1)*100</f>
        <v>-2.1717123786023862</v>
      </c>
      <c r="CR17" s="455">
        <f>+CR11</f>
        <v>-1.9804214838170631</v>
      </c>
      <c r="CT17" s="1254"/>
      <c r="CU17" s="453"/>
      <c r="CV17" s="455"/>
    </row>
    <row r="18" spans="1:100">
      <c r="A18" s="410" t="str">
        <f>$A$12</f>
        <v>3Q</v>
      </c>
      <c r="B18" s="410" t="str">
        <f>$B$12</f>
        <v>Oct</v>
      </c>
      <c r="D18" s="1254">
        <f>3.498+2.734</f>
        <v>6.2320000000000002</v>
      </c>
      <c r="E18" s="1253"/>
      <c r="F18" s="1254">
        <f>4.174+4.616</f>
        <v>8.7899999999999991</v>
      </c>
      <c r="G18" s="453">
        <f>(F18/D18-1)*100</f>
        <v>41.046213093709859</v>
      </c>
      <c r="H18" s="455">
        <f>H$12</f>
        <v>23.59829440590595</v>
      </c>
      <c r="I18" s="1253"/>
      <c r="J18" s="1254">
        <f>5.862+5.636</f>
        <v>11.498000000000001</v>
      </c>
      <c r="K18" s="453">
        <f>(J18/F18-1)*100</f>
        <v>30.807736063708791</v>
      </c>
      <c r="L18" s="455">
        <f>L$12</f>
        <v>15.619690026260225</v>
      </c>
      <c r="M18" s="1253"/>
      <c r="N18" s="1254">
        <f>6.711+6.643</f>
        <v>13.353999999999999</v>
      </c>
      <c r="O18" s="453">
        <f>(N18/J18-1)*100</f>
        <v>16.141937728300547</v>
      </c>
      <c r="P18" s="455">
        <f>P$12</f>
        <v>7.7935380435992796</v>
      </c>
      <c r="Q18" s="1253"/>
      <c r="R18" s="1254">
        <f>6.939+6.758</f>
        <v>13.696999999999999</v>
      </c>
      <c r="S18" s="453">
        <f>(R18/N18-1)*100</f>
        <v>2.5685187958664146</v>
      </c>
      <c r="T18" s="455">
        <f>T$12</f>
        <v>25.604742919705025</v>
      </c>
      <c r="U18" s="1253"/>
      <c r="V18" s="1254">
        <f>8.914+15.501</f>
        <v>24.414999999999999</v>
      </c>
      <c r="W18" s="453">
        <f>(V18/R18-1)*100</f>
        <v>78.250711834708326</v>
      </c>
      <c r="X18" s="455">
        <f>X$12</f>
        <v>24.843760278929004</v>
      </c>
      <c r="Z18" s="1254">
        <f>4.777+8.18</f>
        <v>12.957000000000001</v>
      </c>
      <c r="AA18" s="453">
        <f>(Z18/V18-1)*100</f>
        <v>-46.930165881630138</v>
      </c>
      <c r="AB18" s="455">
        <f>AB$12</f>
        <v>1.5557897510209528</v>
      </c>
      <c r="AD18" s="1254">
        <f>5.352+7.774</f>
        <v>13.126000000000001</v>
      </c>
      <c r="AE18" s="453">
        <f>(AD18/Z18-1)*100</f>
        <v>1.304314270278617</v>
      </c>
      <c r="AF18" s="455">
        <f>AF$12</f>
        <v>20.45374946491809</v>
      </c>
      <c r="AH18" s="1254">
        <f>6.265+8.94</f>
        <v>15.204999999999998</v>
      </c>
      <c r="AI18" s="453">
        <f>(AH18/AD18-1)*100</f>
        <v>15.83879323480113</v>
      </c>
      <c r="AJ18" s="455">
        <f>AJ$12</f>
        <v>18.573320841275475</v>
      </c>
      <c r="AL18" s="1254">
        <f>6.478+14.771</f>
        <v>21.249000000000002</v>
      </c>
      <c r="AM18" s="453">
        <f>(AL18/AH18-1)*100</f>
        <v>39.75008220979943</v>
      </c>
      <c r="AN18" s="455">
        <f>AN$12</f>
        <v>29.267251557589958</v>
      </c>
      <c r="AP18" s="1254">
        <f>13.635+26.006</f>
        <v>39.640999999999998</v>
      </c>
      <c r="AQ18" s="453">
        <f>(AP18/AL18-1)*100</f>
        <v>86.554661395830365</v>
      </c>
      <c r="AR18" s="455">
        <f>AR12</f>
        <v>52.006941565786803</v>
      </c>
      <c r="AT18" s="1254">
        <f>18.509+27.17</f>
        <v>45.679000000000002</v>
      </c>
      <c r="AU18" s="453">
        <f>(AT18/AP18-1)*100</f>
        <v>15.23170454832119</v>
      </c>
      <c r="AV18" s="455">
        <f>AV$12</f>
        <v>33.486015909185454</v>
      </c>
      <c r="AX18" s="1254">
        <f>19.553+33.197</f>
        <v>52.75</v>
      </c>
      <c r="AY18" s="453">
        <f>(AX18/AT18-1)*100</f>
        <v>15.479760940475916</v>
      </c>
      <c r="AZ18" s="455">
        <f>AZ$12</f>
        <v>6.7707521788359593</v>
      </c>
      <c r="BB18" s="1254">
        <f>24.879+38.259</f>
        <v>63.138000000000005</v>
      </c>
      <c r="BC18" s="453">
        <f>(BB18/AX18-1)*100</f>
        <v>19.692890995260683</v>
      </c>
      <c r="BD18" s="455">
        <f>BD$12</f>
        <v>23.014058471566855</v>
      </c>
      <c r="BF18" s="1254">
        <f>33.822+64.079</f>
        <v>97.900999999999996</v>
      </c>
      <c r="BG18" s="453">
        <f>(BF18/BB18-1)*100</f>
        <v>55.058760176122121</v>
      </c>
      <c r="BH18" s="455">
        <f>BH$12</f>
        <v>26.002583570600013</v>
      </c>
      <c r="BJ18" s="1254">
        <f>37.592+46.987</f>
        <v>84.579000000000008</v>
      </c>
      <c r="BK18" s="453">
        <f>(BJ18/BF18-1)*100</f>
        <v>-13.607624028355158</v>
      </c>
      <c r="BL18" s="455">
        <f>BL$12</f>
        <v>5.847227656275833</v>
      </c>
      <c r="BN18" s="1254">
        <f>47.653+59.073</f>
        <v>106.726</v>
      </c>
      <c r="BO18" s="453">
        <f>(BN18/BJ18-1)*100</f>
        <v>26.184986817058586</v>
      </c>
      <c r="BP18" s="455">
        <f>+$BP$12</f>
        <v>13.38050998220992</v>
      </c>
      <c r="BR18" s="1254">
        <f>64.074+46.83</f>
        <v>110.904</v>
      </c>
      <c r="BS18" s="453">
        <f>(BR18/BN18-1)*100</f>
        <v>3.9146974495436915</v>
      </c>
      <c r="BT18" s="455">
        <f>BT12</f>
        <v>6.3391748838895978</v>
      </c>
      <c r="BV18" s="1254">
        <f>43.913+64.233</f>
        <v>108.146</v>
      </c>
      <c r="BW18" s="453">
        <f>(BV18/BR18-1)*100</f>
        <v>-2.4868354612998633</v>
      </c>
      <c r="BX18" s="455">
        <f>+BX12</f>
        <v>13.593014543743553</v>
      </c>
      <c r="BZ18" s="1254">
        <f>54.717+92.876</f>
        <v>147.59300000000002</v>
      </c>
      <c r="CA18" s="453">
        <f>(BZ18/BV18-1)*100</f>
        <v>36.475690270560193</v>
      </c>
      <c r="CB18" s="455">
        <f>+CB12</f>
        <v>11.717306715314969</v>
      </c>
      <c r="CD18" s="1254">
        <f>70.803+116.969</f>
        <v>187.77199999999999</v>
      </c>
      <c r="CE18" s="453">
        <f>(CD18/BZ18-1)*100</f>
        <v>27.222835771344144</v>
      </c>
      <c r="CF18" s="455">
        <f>+CF12</f>
        <v>5.2220208281387848</v>
      </c>
      <c r="CH18" s="1254">
        <f>68.332+118.202</f>
        <v>186.53399999999999</v>
      </c>
      <c r="CI18" s="453">
        <f>(CH18/CD18-1)*100</f>
        <v>-0.65931022729693867</v>
      </c>
      <c r="CJ18" s="455">
        <f>+CJ12</f>
        <v>1.3245423404177004</v>
      </c>
      <c r="CL18" s="1254">
        <f>68.896+107.767</f>
        <v>176.66300000000001</v>
      </c>
      <c r="CM18" s="453">
        <f>(CL18/CH18-1)*100</f>
        <v>-5.291796669776005</v>
      </c>
      <c r="CN18" s="455">
        <f>+CN12</f>
        <v>4.5116799837141786</v>
      </c>
      <c r="CP18" s="1254">
        <f>78.348+111.05</f>
        <v>189.398</v>
      </c>
      <c r="CQ18" s="453">
        <f>(CP18/CL18-1)*100</f>
        <v>7.208640179324477</v>
      </c>
      <c r="CR18" s="455">
        <f>+CR12</f>
        <v>3.5111091014283113</v>
      </c>
      <c r="CT18" s="1254"/>
      <c r="CU18" s="453"/>
      <c r="CV18" s="455"/>
    </row>
    <row r="19" spans="1:100">
      <c r="A19" s="410" t="str">
        <f>$A$13</f>
        <v>4Q</v>
      </c>
      <c r="B19" s="410" t="str">
        <f>$B$13</f>
        <v>Jan</v>
      </c>
      <c r="D19" s="1252">
        <f>1.172+4.665</f>
        <v>5.8369999999999997</v>
      </c>
      <c r="E19" s="1253"/>
      <c r="F19" s="1255">
        <f>+bal!G11+bal!G13+bal!G14</f>
        <v>6.4880000000000004</v>
      </c>
      <c r="G19" s="453">
        <f>(F19/D19-1)*100</f>
        <v>11.152989549426096</v>
      </c>
      <c r="H19" s="455">
        <f>H$13</f>
        <v>16.748468225708212</v>
      </c>
      <c r="I19" s="1253"/>
      <c r="J19" s="1255">
        <f>+bal!I11+bal!I13+bal!I14</f>
        <v>10.062999999999999</v>
      </c>
      <c r="K19" s="453">
        <f>(J19/F19-1)*100</f>
        <v>55.101726263871733</v>
      </c>
      <c r="L19" s="455">
        <f>L$13</f>
        <v>15.469582898279931</v>
      </c>
      <c r="M19" s="1253"/>
      <c r="N19" s="1255">
        <f>+bal!K11+bal!K13+bal!K14</f>
        <v>11.087999999999999</v>
      </c>
      <c r="O19" s="453">
        <f>(N19/J19-1)*100</f>
        <v>10.18582927556395</v>
      </c>
      <c r="P19" s="455">
        <f>P$13</f>
        <v>10.091852274890535</v>
      </c>
      <c r="Q19" s="1253"/>
      <c r="R19" s="1255">
        <f>+bal!M11+bal!M13+bal!M14</f>
        <v>11.477</v>
      </c>
      <c r="S19" s="453">
        <f>(R19/N19-1)*100</f>
        <v>3.508297258297266</v>
      </c>
      <c r="T19" s="455">
        <f>T$13</f>
        <v>32.826110450664636</v>
      </c>
      <c r="U19" s="1253"/>
      <c r="V19" s="1255">
        <f>+bal!O11+bal!O13+bal!O14</f>
        <v>15.257999999999999</v>
      </c>
      <c r="W19" s="453">
        <f>(V19/R19-1)*100</f>
        <v>32.944149167901003</v>
      </c>
      <c r="X19" s="455">
        <f>X$13</f>
        <v>22.72830827312373</v>
      </c>
      <c r="Z19" s="1255">
        <f>+bal!Q11+bal!Q13+bal!Q14</f>
        <v>13.587</v>
      </c>
      <c r="AA19" s="453">
        <f>(Z19/V19-1)*100</f>
        <v>-10.951631930790406</v>
      </c>
      <c r="AB19" s="455">
        <f>AB$13</f>
        <v>13.451517522109802</v>
      </c>
      <c r="AD19" s="1255">
        <f>+bal!S11+bal!S13+bal!S14</f>
        <v>12.78</v>
      </c>
      <c r="AE19" s="453">
        <f>(AD19/Z19-1)*100</f>
        <v>-5.939500993596825</v>
      </c>
      <c r="AF19" s="455">
        <f>AF$13</f>
        <v>21.394511710532484</v>
      </c>
      <c r="AH19" s="1254">
        <f>3.262+8.633+4.358</f>
        <v>16.253</v>
      </c>
      <c r="AI19" s="453">
        <f>(AH19/AD19-1)*100</f>
        <v>27.175273865414717</v>
      </c>
      <c r="AJ19" s="455">
        <f>AJ$13</f>
        <v>13.192452103591013</v>
      </c>
      <c r="AL19" s="1254">
        <f>6.711+13.872+4.832</f>
        <v>25.414999999999999</v>
      </c>
      <c r="AM19" s="453">
        <f>(AL19/AH19-1)*100</f>
        <v>56.371131483418438</v>
      </c>
      <c r="AN19" s="455">
        <f>AN$13</f>
        <v>49.798848375052088</v>
      </c>
      <c r="AP19" s="1254">
        <f>8.364+25.033</f>
        <v>33.397000000000006</v>
      </c>
      <c r="AQ19" s="453">
        <f>(AP19/AL19-1)*100</f>
        <v>31.40664961636832</v>
      </c>
      <c r="AR19" s="455">
        <f>AR13</f>
        <v>42.867768548116935</v>
      </c>
      <c r="AT19" s="1254">
        <f>14.324+38.687</f>
        <v>53.010999999999996</v>
      </c>
      <c r="AU19" s="453">
        <f>(AT19/AP19-1)*100</f>
        <v>58.729826032278297</v>
      </c>
      <c r="AV19" s="455">
        <f>AV$13</f>
        <v>26.61362435071517</v>
      </c>
      <c r="AX19" s="1254">
        <f>20.871+31.869</f>
        <v>52.739999999999995</v>
      </c>
      <c r="AY19" s="453">
        <f>(AX19/AT19-1)*100</f>
        <v>-0.51121465356247509</v>
      </c>
      <c r="AZ19" s="455">
        <f>AZ$13</f>
        <v>13.248103355734187</v>
      </c>
      <c r="BB19" s="1254">
        <f>26.365+49.922</f>
        <v>76.286999999999992</v>
      </c>
      <c r="BC19" s="453">
        <f>(BB19/AX19-1)*100</f>
        <v>44.647326507394759</v>
      </c>
      <c r="BD19" s="455">
        <f>BD$13</f>
        <v>28.995609707424698</v>
      </c>
      <c r="BF19" s="1254">
        <f>36.39+52.331</f>
        <v>88.721000000000004</v>
      </c>
      <c r="BG19" s="453">
        <f>(BF19/BB19-1)*100</f>
        <v>16.298976234482954</v>
      </c>
      <c r="BH19" s="455">
        <f>BH$13</f>
        <v>9.167595952824481</v>
      </c>
      <c r="BJ19" s="1254">
        <f>38.405+80.142</f>
        <v>118.547</v>
      </c>
      <c r="BK19" s="453">
        <f>(BJ19/BF19-1)*100</f>
        <v>33.617745516844934</v>
      </c>
      <c r="BL19" s="455">
        <f>BL$13</f>
        <v>15.827294234349853</v>
      </c>
      <c r="BN19" s="1254">
        <f>34.439+81.237</f>
        <v>115.67599999999999</v>
      </c>
      <c r="BO19" s="453">
        <f>(BN19/BJ19-1)*100</f>
        <v>-2.42182425535864</v>
      </c>
      <c r="BP19" s="455">
        <f>+$BP$13</f>
        <v>13.576542116898583</v>
      </c>
      <c r="BR19" s="1254">
        <f>36.673+75.119</f>
        <v>111.792</v>
      </c>
      <c r="BS19" s="453">
        <f>(BR19/BN19-1)*100</f>
        <v>-3.3576541374182978</v>
      </c>
      <c r="BT19" s="455">
        <f>BT13</f>
        <v>9.3146217028980072</v>
      </c>
      <c r="BV19" s="1254">
        <f>39.519+76.541</f>
        <v>116.06</v>
      </c>
      <c r="BW19" s="453">
        <f>(BV19/BR19-1)*100</f>
        <v>3.817804494060395</v>
      </c>
      <c r="BX19" s="455">
        <f>+BX13</f>
        <v>17.274255181701736</v>
      </c>
      <c r="BZ19" s="1254">
        <f>55.161+104.741</f>
        <v>159.90199999999999</v>
      </c>
      <c r="CA19" s="453">
        <f>(BZ19/BV19-1)*100</f>
        <v>37.775288643804906</v>
      </c>
      <c r="CB19" s="455">
        <f>+CB13</f>
        <v>5.7180736221234874</v>
      </c>
      <c r="CD19" s="1254">
        <f>70.458+117.795</f>
        <v>188.25299999999999</v>
      </c>
      <c r="CE19" s="453">
        <f>(CD19/BZ19-1)*100</f>
        <v>17.730234768795896</v>
      </c>
      <c r="CF19" s="455">
        <f>+CF13</f>
        <v>11.611753718573992</v>
      </c>
      <c r="CH19" s="1254">
        <f>75.723+102.078</f>
        <v>177.80099999999999</v>
      </c>
      <c r="CI19" s="453">
        <f>(CH19/CD19-1)*100</f>
        <v>-5.5521027553345759</v>
      </c>
      <c r="CJ19" s="455">
        <f>+CJ13</f>
        <v>0.23361990180446046</v>
      </c>
      <c r="CL19" s="1254">
        <f>54.505+129.095</f>
        <v>183.6</v>
      </c>
      <c r="CM19" s="453">
        <f>(CL19/CH19-1)*100</f>
        <v>3.2615114650648813</v>
      </c>
      <c r="CN19" s="455">
        <f>+CN13</f>
        <v>1.6530393544147204</v>
      </c>
      <c r="CP19" s="1254">
        <f>76.962+103.055</f>
        <v>180.017</v>
      </c>
      <c r="CQ19" s="453">
        <f>(CP19/CL19-1)*100</f>
        <v>-1.9515250544662299</v>
      </c>
      <c r="CR19" s="455">
        <f>+CR13</f>
        <v>5.7234909596391992</v>
      </c>
      <c r="CT19" s="1254"/>
      <c r="CV19" s="455"/>
    </row>
    <row r="20" spans="1:100">
      <c r="CM20" s="453"/>
      <c r="CN20" s="455"/>
    </row>
    <row r="21" spans="1:100">
      <c r="A21" s="1249" t="s">
        <v>386</v>
      </c>
      <c r="B21" s="1250"/>
      <c r="F21" s="416"/>
      <c r="G21" s="416"/>
      <c r="H21" s="416"/>
      <c r="I21" s="416"/>
      <c r="J21" s="416"/>
      <c r="K21" s="416"/>
      <c r="L21" s="416"/>
      <c r="M21" s="416"/>
      <c r="N21" s="1251"/>
      <c r="O21" s="416"/>
      <c r="P21" s="416"/>
      <c r="Q21" s="416"/>
      <c r="R21" s="416"/>
      <c r="S21" s="416"/>
      <c r="T21" s="416"/>
      <c r="U21" s="416"/>
      <c r="V21" s="416"/>
      <c r="W21" s="416"/>
      <c r="X21" s="416"/>
      <c r="Z21" s="416"/>
      <c r="AA21" s="416"/>
      <c r="AB21" s="416"/>
      <c r="AD21" s="416"/>
      <c r="AE21" s="416"/>
      <c r="AF21" s="416"/>
      <c r="AH21" s="416"/>
      <c r="AI21" s="416"/>
      <c r="AJ21" s="416"/>
      <c r="AL21" s="416"/>
      <c r="AM21" s="416"/>
      <c r="AN21" s="416"/>
      <c r="AP21" s="416"/>
      <c r="AQ21" s="416"/>
      <c r="AR21" s="416"/>
      <c r="AT21" s="416"/>
      <c r="AU21" s="416"/>
      <c r="AV21" s="416"/>
      <c r="AX21" s="416"/>
      <c r="AY21" s="416"/>
      <c r="AZ21" s="416"/>
      <c r="BB21" s="416"/>
      <c r="BC21" s="416"/>
      <c r="BD21" s="416"/>
      <c r="BF21" s="416"/>
      <c r="BG21" s="416"/>
      <c r="BH21" s="416"/>
      <c r="BJ21" s="416"/>
      <c r="BK21" s="416"/>
      <c r="BL21" s="416"/>
      <c r="BN21" s="416"/>
      <c r="BO21" s="416"/>
      <c r="BP21" s="416"/>
      <c r="BR21" s="416"/>
      <c r="BS21" s="416"/>
      <c r="BT21" s="416"/>
      <c r="BV21" s="416"/>
      <c r="BW21" s="416"/>
      <c r="BX21" s="416"/>
    </row>
    <row r="22" spans="1:100">
      <c r="A22" s="410" t="str">
        <f>$A$10</f>
        <v>1Q</v>
      </c>
      <c r="B22" s="410" t="str">
        <f>$B$10</f>
        <v>Apr</v>
      </c>
      <c r="D22" s="1252">
        <v>3.6259999999999999</v>
      </c>
      <c r="F22" s="1252">
        <v>5.3410000000000002</v>
      </c>
      <c r="G22" s="453">
        <f>(F22/D22-1)*100</f>
        <v>47.297297297297305</v>
      </c>
      <c r="H22" s="455">
        <f>H$10</f>
        <v>20.652549697493527</v>
      </c>
      <c r="I22" s="1253"/>
      <c r="J22" s="1252">
        <v>9.2100000000000009</v>
      </c>
      <c r="K22" s="453">
        <f>(J22/F22-1)*100</f>
        <v>72.439618049054502</v>
      </c>
      <c r="L22" s="455">
        <f>L$10</f>
        <v>20.516494143773055</v>
      </c>
      <c r="M22" s="1253"/>
      <c r="N22" s="1252">
        <v>8.9809999999999999</v>
      </c>
      <c r="O22" s="453">
        <f>(N22/J22-1)*100</f>
        <v>-2.4864277958740577</v>
      </c>
      <c r="P22" s="455">
        <f>P$10</f>
        <v>10.648794840550412</v>
      </c>
      <c r="Q22" s="1253"/>
      <c r="R22" s="1252">
        <v>14.542</v>
      </c>
      <c r="S22" s="453">
        <f>(R22/N22-1)*100</f>
        <v>61.91960806146308</v>
      </c>
      <c r="T22" s="455">
        <f>T$10</f>
        <v>6.0327692720923976</v>
      </c>
      <c r="U22" s="1253"/>
      <c r="V22" s="1252">
        <v>16.393999999999998</v>
      </c>
      <c r="W22" s="453">
        <f>(V22/R22-1)*100</f>
        <v>12.735524687113188</v>
      </c>
      <c r="X22" s="455">
        <f>X$10</f>
        <v>48.249569358597633</v>
      </c>
      <c r="Z22" s="1252">
        <v>17.379000000000001</v>
      </c>
      <c r="AA22" s="453">
        <f>(Z22/V22-1)*100</f>
        <v>6.0082957179456109</v>
      </c>
      <c r="AB22" s="455">
        <f>AB$10</f>
        <v>12.690736975206329</v>
      </c>
      <c r="AD22" s="1252">
        <v>22.242999999999999</v>
      </c>
      <c r="AE22" s="453">
        <f>(AD22/Z22-1)*100</f>
        <v>27.98780136946888</v>
      </c>
      <c r="AF22" s="455">
        <f>AF$10</f>
        <v>8.9219105382865713</v>
      </c>
      <c r="AH22" s="1252">
        <v>22.497</v>
      </c>
      <c r="AI22" s="453">
        <f>(AH22/AD22-1)*100</f>
        <v>1.1419322933057696</v>
      </c>
      <c r="AJ22" s="455">
        <f>AJ$10</f>
        <v>30.960269510259764</v>
      </c>
      <c r="AL22" s="1252">
        <v>21.603999999999999</v>
      </c>
      <c r="AM22" s="453">
        <f>(AL22/AH22-1)*100</f>
        <v>-3.9694181446415122</v>
      </c>
      <c r="AN22" s="455">
        <f>AN$10</f>
        <v>13.770010842528224</v>
      </c>
      <c r="AP22" s="1252">
        <v>37.929000000000002</v>
      </c>
      <c r="AQ22" s="453">
        <f>(AP22/AL22-1)*100</f>
        <v>75.564710238844683</v>
      </c>
      <c r="AR22" s="455">
        <f>AR$10</f>
        <v>59.107896998916168</v>
      </c>
      <c r="AT22" s="1252">
        <v>38.845999999999997</v>
      </c>
      <c r="AU22" s="453">
        <f>(AT22/AP22-1)*100</f>
        <v>2.4176751298478516</v>
      </c>
      <c r="AV22" s="455">
        <f>AV$10</f>
        <v>35.841799283575071</v>
      </c>
      <c r="AX22" s="1252">
        <v>57.468000000000004</v>
      </c>
      <c r="AY22" s="453">
        <f>(AX22/AT22-1)*100</f>
        <v>47.938011635689669</v>
      </c>
      <c r="AZ22" s="455">
        <f>AZ$10</f>
        <v>16.721928023343779</v>
      </c>
      <c r="BB22" s="1252">
        <v>61.793999999999997</v>
      </c>
      <c r="BC22" s="453">
        <f>(BB22/AX22-1)*100</f>
        <v>7.5276675715180597</v>
      </c>
      <c r="BD22" s="455">
        <f>BD$10</f>
        <v>16.494757543322947</v>
      </c>
      <c r="BF22" s="1252">
        <v>81.111999999999995</v>
      </c>
      <c r="BG22" s="453">
        <f>(BF22/BB22-1)*100</f>
        <v>31.261934815677893</v>
      </c>
      <c r="BH22" s="455">
        <f>BH$10</f>
        <v>25.353527646370623</v>
      </c>
      <c r="BJ22" s="1252">
        <v>81.436999999999998</v>
      </c>
      <c r="BK22" s="453">
        <f>(BJ22/BF22-1)*100</f>
        <v>0.40068054048723045</v>
      </c>
      <c r="BL22" s="455">
        <f>BL$10</f>
        <v>-2.408367402838496</v>
      </c>
      <c r="BN22" s="1252">
        <v>100.43899999999999</v>
      </c>
      <c r="BO22" s="453">
        <f>(BN22/BJ22-1)*100</f>
        <v>23.333374264769091</v>
      </c>
      <c r="BP22" s="455">
        <f>BP$10</f>
        <v>24.731286188006109</v>
      </c>
      <c r="BR22" s="1252">
        <v>109.444</v>
      </c>
      <c r="BS22" s="453">
        <f>(BR22/BN22-1)*100</f>
        <v>8.9656408367267737</v>
      </c>
      <c r="BT22" s="455">
        <f>BT10</f>
        <v>9.1794958340365227</v>
      </c>
      <c r="BV22" s="1252">
        <v>117.806</v>
      </c>
      <c r="BW22" s="453">
        <f>(BV22/BR22-1)*100</f>
        <v>7.6404371185263553</v>
      </c>
      <c r="BX22" s="455">
        <f>+BX16</f>
        <v>8.5704907646478432</v>
      </c>
      <c r="BZ22" s="1252">
        <v>128.52799999999999</v>
      </c>
      <c r="CA22" s="453">
        <f>(BZ22/BV22-1)*100</f>
        <v>9.1014040031916821</v>
      </c>
      <c r="CB22" s="455">
        <f>+CB16</f>
        <v>13.92913012145609</v>
      </c>
      <c r="CD22" s="1252">
        <v>172.51499999999999</v>
      </c>
      <c r="CE22" s="453">
        <f>(CD22/BZ22-1)*100</f>
        <v>34.223671106684918</v>
      </c>
      <c r="CF22" s="455">
        <f>+CF16</f>
        <v>5.8831152601835468</v>
      </c>
      <c r="CH22" s="1252">
        <v>145.37899999999999</v>
      </c>
      <c r="CI22" s="453">
        <f>(CH22/CD22-1)*100</f>
        <v>-15.729646697388633</v>
      </c>
      <c r="CJ22" s="455">
        <f>+CJ16</f>
        <v>7.6787457562909056</v>
      </c>
      <c r="CL22" s="1252">
        <v>151.983</v>
      </c>
      <c r="CM22" s="453">
        <f>(CL22/CH22-1)*100</f>
        <v>4.5426093177143967</v>
      </c>
      <c r="CN22" s="455">
        <f>+CN16</f>
        <v>3.1889960893628055</v>
      </c>
      <c r="CP22" s="1252">
        <v>157.15299999999999</v>
      </c>
      <c r="CQ22" s="453">
        <f>(CP22/CL22-1)*100</f>
        <v>3.4016962423428776</v>
      </c>
      <c r="CR22" s="455">
        <f>+CR16</f>
        <v>-0.1818832721154684</v>
      </c>
      <c r="CT22" s="1252"/>
      <c r="CU22" s="453"/>
      <c r="CV22" s="455"/>
    </row>
    <row r="23" spans="1:100">
      <c r="A23" s="410" t="str">
        <f>$A$11</f>
        <v>2Q</v>
      </c>
      <c r="B23" s="410" t="str">
        <f>$B$11</f>
        <v>Jul</v>
      </c>
      <c r="D23" s="1254">
        <v>4.5460000000000003</v>
      </c>
      <c r="E23" s="1253"/>
      <c r="F23" s="1254">
        <v>5.3959999999999999</v>
      </c>
      <c r="G23" s="453">
        <f>(F23/D23-1)*100</f>
        <v>18.697756269247677</v>
      </c>
      <c r="H23" s="455">
        <f>H$11</f>
        <v>22.553523090804696</v>
      </c>
      <c r="I23" s="1253"/>
      <c r="J23" s="1254">
        <v>9.9849999999999994</v>
      </c>
      <c r="K23" s="453">
        <f>(J23/F23-1)*100</f>
        <v>85.04447739065975</v>
      </c>
      <c r="L23" s="455">
        <f>L$11</f>
        <v>20.203473779324653</v>
      </c>
      <c r="M23" s="1253"/>
      <c r="N23" s="1254">
        <v>10.847</v>
      </c>
      <c r="O23" s="453">
        <f>(N23/J23-1)*100</f>
        <v>8.6329494241362159</v>
      </c>
      <c r="P23" s="455">
        <f>P$11</f>
        <v>15.140041204966881</v>
      </c>
      <c r="Q23" s="1253"/>
      <c r="R23" s="1254">
        <v>17.649999999999999</v>
      </c>
      <c r="S23" s="453">
        <f>(R23/N23-1)*100</f>
        <v>62.717802157278513</v>
      </c>
      <c r="T23" s="455">
        <f>T$11</f>
        <v>16.386981332817484</v>
      </c>
      <c r="U23" s="1253"/>
      <c r="V23" s="1254">
        <v>17.285</v>
      </c>
      <c r="W23" s="453">
        <f>(V23/R23-1)*100</f>
        <v>-2.0679886685552318</v>
      </c>
      <c r="X23" s="455">
        <f>X$11</f>
        <v>41.817464109862243</v>
      </c>
      <c r="Z23" s="1254">
        <v>22.420999999999999</v>
      </c>
      <c r="AA23" s="453">
        <f>(Z23/V23-1)*100</f>
        <v>29.713624529939242</v>
      </c>
      <c r="AB23" s="455">
        <f>AB$11</f>
        <v>-2.2457918870218752</v>
      </c>
      <c r="AD23" s="1254">
        <v>26.36</v>
      </c>
      <c r="AE23" s="453">
        <f>(AD23/Z23-1)*100</f>
        <v>17.568351099415725</v>
      </c>
      <c r="AF23" s="455">
        <f>AF$11</f>
        <v>20.481656875674382</v>
      </c>
      <c r="AH23" s="1254">
        <v>26.062000000000001</v>
      </c>
      <c r="AI23" s="453">
        <f>(AH23/AD23-1)*100</f>
        <v>-1.1305007587253391</v>
      </c>
      <c r="AJ23" s="455">
        <f>AJ$11</f>
        <v>25.630947198208865</v>
      </c>
      <c r="AL23" s="1254">
        <v>26.664000000000001</v>
      </c>
      <c r="AM23" s="453">
        <f>(AL23/AH23-1)*100</f>
        <v>2.3098764484690282</v>
      </c>
      <c r="AN23" s="455">
        <f>AN$11</f>
        <v>21.661171671567601</v>
      </c>
      <c r="AP23" s="1254">
        <v>37.213999999999999</v>
      </c>
      <c r="AQ23" s="453">
        <f>(AP23/AL23-1)*100</f>
        <v>39.566456645664559</v>
      </c>
      <c r="AR23" s="455">
        <f>AR$11</f>
        <v>54.203728871491478</v>
      </c>
      <c r="AT23" s="1254">
        <v>47.945</v>
      </c>
      <c r="AU23" s="453">
        <f>(AT23/AP23-1)*100</f>
        <v>28.835921964851941</v>
      </c>
      <c r="AV23" s="455">
        <f>AV$11</f>
        <v>33.727385953431408</v>
      </c>
      <c r="AX23" s="1254">
        <v>52.396000000000001</v>
      </c>
      <c r="AY23" s="453">
        <f>(AX23/AT23-1)*100</f>
        <v>9.2835540723745993</v>
      </c>
      <c r="AZ23" s="455">
        <f>AZ$11</f>
        <v>12.694560207109951</v>
      </c>
      <c r="BB23" s="1254">
        <v>61.058</v>
      </c>
      <c r="BC23" s="453">
        <f>(BB23/AX23-1)*100</f>
        <v>16.531796320329796</v>
      </c>
      <c r="BD23" s="455">
        <f>BD$11</f>
        <v>22.023469755812286</v>
      </c>
      <c r="BF23" s="1254">
        <v>88.521000000000001</v>
      </c>
      <c r="BG23" s="453">
        <f>(BF23/BB23-1)*100</f>
        <v>44.978544990009503</v>
      </c>
      <c r="BH23" s="455">
        <f>BH$11</f>
        <v>30.376324799325015</v>
      </c>
      <c r="BJ23" s="1254">
        <v>85.335999999999999</v>
      </c>
      <c r="BK23" s="453">
        <f>(BJ23/BF23-1)*100</f>
        <v>-3.5980162899199031</v>
      </c>
      <c r="BL23" s="455">
        <f>BL$11</f>
        <v>0.95334529325656892</v>
      </c>
      <c r="BN23" s="1254">
        <v>92.150999999999996</v>
      </c>
      <c r="BO23" s="453">
        <f>(BN23/BJ23-1)*100</f>
        <v>7.9860785600450068</v>
      </c>
      <c r="BP23" s="455">
        <f>BP$11</f>
        <v>20.394177390727954</v>
      </c>
      <c r="BR23" s="1254">
        <v>110.759</v>
      </c>
      <c r="BS23" s="453">
        <f>(BR23/BN23-1)*100</f>
        <v>20.192944189428232</v>
      </c>
      <c r="BT23" s="455">
        <f>BT11</f>
        <v>10.32709781059442</v>
      </c>
      <c r="BV23" s="1254">
        <v>105.786</v>
      </c>
      <c r="BW23" s="453">
        <f>(BV23/BR23-1)*100</f>
        <v>-4.4899285836816905</v>
      </c>
      <c r="BX23" s="455">
        <f>+BX17</f>
        <v>11.012818850226779</v>
      </c>
      <c r="BZ23" s="1254">
        <v>128.99299999999999</v>
      </c>
      <c r="CA23" s="453">
        <f>(BZ23/BV23-1)*100</f>
        <v>21.937685516041803</v>
      </c>
      <c r="CB23" s="455">
        <f>+CB17</f>
        <v>12.163059374302243</v>
      </c>
      <c r="CD23" s="1254">
        <v>156.81</v>
      </c>
      <c r="CE23" s="453">
        <f>(CD23/BZ23-1)*100</f>
        <v>21.564736070949596</v>
      </c>
      <c r="CF23" s="455">
        <f>+CF17</f>
        <v>6.9515269127937929</v>
      </c>
      <c r="CH23" s="1254">
        <v>134.673</v>
      </c>
      <c r="CI23" s="453">
        <f>(CH23/CD23-1)*100</f>
        <v>-14.117084369619281</v>
      </c>
      <c r="CJ23" s="455">
        <f>+CJ17</f>
        <v>6.9284181383612697</v>
      </c>
      <c r="CL23" s="1254">
        <f>134.825</f>
        <v>134.82499999999999</v>
      </c>
      <c r="CM23" s="453">
        <f>(CL23/CH23-1)*100</f>
        <v>0.11286597907522733</v>
      </c>
      <c r="CN23" s="455">
        <f>+CN17</f>
        <v>2.6638692273995179</v>
      </c>
      <c r="CP23" s="1254">
        <v>159.756</v>
      </c>
      <c r="CQ23" s="453">
        <f>(CP23/CL23-1)*100</f>
        <v>18.491377711848699</v>
      </c>
      <c r="CR23" s="455">
        <f>+CR17</f>
        <v>-1.9804214838170631</v>
      </c>
      <c r="CT23" s="1254"/>
      <c r="CU23" s="453"/>
      <c r="CV23" s="455"/>
    </row>
    <row r="24" spans="1:100">
      <c r="A24" s="410" t="str">
        <f>$A$12</f>
        <v>3Q</v>
      </c>
      <c r="B24" s="410" t="str">
        <f>$B$12</f>
        <v>Oct</v>
      </c>
      <c r="D24" s="1254">
        <v>4.9669999999999996</v>
      </c>
      <c r="E24" s="1253"/>
      <c r="F24" s="1254">
        <v>7.1950000000000003</v>
      </c>
      <c r="G24" s="453">
        <f>(F24/D24-1)*100</f>
        <v>44.856049929534933</v>
      </c>
      <c r="H24" s="455">
        <f>H$12</f>
        <v>23.59829440590595</v>
      </c>
      <c r="I24" s="1253"/>
      <c r="J24" s="1254">
        <v>12.135</v>
      </c>
      <c r="K24" s="453">
        <f>(J24/F24-1)*100</f>
        <v>68.658790826963155</v>
      </c>
      <c r="L24" s="455">
        <f>L$12</f>
        <v>15.619690026260225</v>
      </c>
      <c r="M24" s="1253"/>
      <c r="N24" s="1254">
        <v>9.8659999999999997</v>
      </c>
      <c r="O24" s="453">
        <f>(N24/J24-1)*100</f>
        <v>-18.697981046559541</v>
      </c>
      <c r="P24" s="455">
        <f>P$12</f>
        <v>7.7935380435992796</v>
      </c>
      <c r="Q24" s="1253"/>
      <c r="R24" s="1254">
        <v>17.471</v>
      </c>
      <c r="S24" s="453">
        <f>(R24/N24-1)*100</f>
        <v>77.082911007500513</v>
      </c>
      <c r="T24" s="455">
        <f>T$12</f>
        <v>25.604742919705025</v>
      </c>
      <c r="U24" s="1253"/>
      <c r="V24" s="1254">
        <v>19.687999999999999</v>
      </c>
      <c r="W24" s="453">
        <f>(V24/R24-1)*100</f>
        <v>12.68959990841967</v>
      </c>
      <c r="X24" s="455">
        <f>X$12</f>
        <v>24.843760278929004</v>
      </c>
      <c r="Z24" s="1254">
        <v>20.521000000000001</v>
      </c>
      <c r="AA24" s="453">
        <f>(Z24/V24-1)*100</f>
        <v>4.2310036570499809</v>
      </c>
      <c r="AB24" s="455">
        <f>AB$12</f>
        <v>1.5557897510209528</v>
      </c>
      <c r="AD24" s="1254">
        <v>23.439</v>
      </c>
      <c r="AE24" s="453">
        <f>(AD24/Z24-1)*100</f>
        <v>14.219579942497917</v>
      </c>
      <c r="AF24" s="455">
        <f>AF$12</f>
        <v>20.45374946491809</v>
      </c>
      <c r="AH24" s="1254">
        <v>26.213999999999999</v>
      </c>
      <c r="AI24" s="453">
        <f>(AH24/AD24-1)*100</f>
        <v>11.839242288493534</v>
      </c>
      <c r="AJ24" s="455">
        <f>AJ$12</f>
        <v>18.573320841275475</v>
      </c>
      <c r="AL24" s="1254">
        <v>31.26</v>
      </c>
      <c r="AM24" s="453">
        <f>(AL24/AH24-1)*100</f>
        <v>19.249256122682556</v>
      </c>
      <c r="AN24" s="455">
        <f>AN$12</f>
        <v>29.267251557589958</v>
      </c>
      <c r="AP24" s="1254">
        <v>43.744</v>
      </c>
      <c r="AQ24" s="453">
        <f>(AP24/AL24-1)*100</f>
        <v>39.936020473448487</v>
      </c>
      <c r="AR24" s="455">
        <f>AR18</f>
        <v>52.006941565786803</v>
      </c>
      <c r="AT24" s="1254">
        <v>53.298999999999999</v>
      </c>
      <c r="AU24" s="453">
        <f>(AT24/AP24-1)*100</f>
        <v>21.842995610826634</v>
      </c>
      <c r="AV24" s="455">
        <f>AV$12</f>
        <v>33.486015909185454</v>
      </c>
      <c r="AX24" s="1254">
        <v>61.988</v>
      </c>
      <c r="AY24" s="453">
        <f>(AX24/AT24-1)*100</f>
        <v>16.302369650462477</v>
      </c>
      <c r="AZ24" s="455">
        <f>AZ$12</f>
        <v>6.7707521788359593</v>
      </c>
      <c r="BB24" s="1254">
        <v>78.844999999999999</v>
      </c>
      <c r="BC24" s="453">
        <f>(BB24/AX24-1)*100</f>
        <v>27.193973027037501</v>
      </c>
      <c r="BD24" s="455">
        <f>BD$12</f>
        <v>23.014058471566855</v>
      </c>
      <c r="BF24" s="1254">
        <v>82.432000000000002</v>
      </c>
      <c r="BG24" s="453">
        <f>(BF24/BB24-1)*100</f>
        <v>4.549432430718503</v>
      </c>
      <c r="BH24" s="455">
        <f>BH$12</f>
        <v>26.002583570600013</v>
      </c>
      <c r="BJ24" s="1254">
        <v>93.263999999999996</v>
      </c>
      <c r="BK24" s="453">
        <f>(BJ24/BF24-1)*100</f>
        <v>13.140527950310554</v>
      </c>
      <c r="BL24" s="455">
        <f>BL$12</f>
        <v>5.847227656275833</v>
      </c>
      <c r="BN24" s="1254">
        <v>114.967</v>
      </c>
      <c r="BO24" s="453">
        <f>(BN24/BJ24-1)*100</f>
        <v>23.270500943558069</v>
      </c>
      <c r="BP24" s="455">
        <f>+$BP$12</f>
        <v>13.38050998220992</v>
      </c>
      <c r="BR24" s="1254">
        <v>134.47999999999999</v>
      </c>
      <c r="BS24" s="453">
        <f>(BR24/BN24-1)*100</f>
        <v>16.9726965129124</v>
      </c>
      <c r="BT24" s="455">
        <f>BT12</f>
        <v>6.3391748838895978</v>
      </c>
      <c r="BV24" s="1254">
        <v>162.542</v>
      </c>
      <c r="BW24" s="453">
        <f>(BV24/BR24-1)*100</f>
        <v>20.867043426531829</v>
      </c>
      <c r="BX24" s="455">
        <f>+BX18</f>
        <v>13.593014543743553</v>
      </c>
      <c r="BZ24" s="1254">
        <v>160.78700000000001</v>
      </c>
      <c r="CA24" s="453">
        <f>(BZ24/BV24-1)*100</f>
        <v>-1.0797209336663727</v>
      </c>
      <c r="CB24" s="455">
        <f>+CB18</f>
        <v>11.717306715314969</v>
      </c>
      <c r="CD24" s="1254">
        <v>218.251</v>
      </c>
      <c r="CE24" s="453">
        <f>(CD24/BZ24-1)*100</f>
        <v>35.739207771772598</v>
      </c>
      <c r="CF24" s="455">
        <f>+CF18</f>
        <v>5.2220208281387848</v>
      </c>
      <c r="CH24" s="1254">
        <v>190.542</v>
      </c>
      <c r="CI24" s="453">
        <f>(CH24/CD24-1)*100</f>
        <v>-12.695932664684239</v>
      </c>
      <c r="CJ24" s="455">
        <f>+CJ18</f>
        <v>1.3245423404177004</v>
      </c>
      <c r="CL24" s="1254">
        <v>199.42099999999999</v>
      </c>
      <c r="CM24" s="453">
        <f>(CL24/CH24-1)*100</f>
        <v>4.659865016636755</v>
      </c>
      <c r="CN24" s="455">
        <f>+CN18</f>
        <v>4.5116799837141786</v>
      </c>
      <c r="CP24" s="1254">
        <v>208.56700000000001</v>
      </c>
      <c r="CQ24" s="453">
        <f t="shared" ref="CQ24:CQ25" si="0">(CP24/CL24-1)*100</f>
        <v>4.5862772727044865</v>
      </c>
      <c r="CR24" s="455">
        <f t="shared" ref="CR24:CR25" si="1">+CR18</f>
        <v>3.5111091014283113</v>
      </c>
      <c r="CT24" s="1254"/>
      <c r="CU24" s="453"/>
      <c r="CV24" s="455"/>
    </row>
    <row r="25" spans="1:100">
      <c r="A25" s="410" t="str">
        <f>$A$13</f>
        <v>4Q</v>
      </c>
      <c r="B25" s="410" t="str">
        <f>$B$13</f>
        <v>Jan</v>
      </c>
      <c r="D25" s="1252">
        <v>4.431</v>
      </c>
      <c r="E25" s="1253"/>
      <c r="F25" s="1255">
        <f>bal!G34</f>
        <v>6.8979999999999997</v>
      </c>
      <c r="G25" s="453">
        <f>(F25/D25-1)*100</f>
        <v>55.6759196569623</v>
      </c>
      <c r="H25" s="455">
        <f>H$13</f>
        <v>16.748468225708212</v>
      </c>
      <c r="I25" s="1256"/>
      <c r="J25" s="1255">
        <f>bal!I34</f>
        <v>8.6989999999999998</v>
      </c>
      <c r="K25" s="453">
        <f>(J25/F25-1)*100</f>
        <v>26.109017106407649</v>
      </c>
      <c r="L25" s="455">
        <f>L$13</f>
        <v>15.469582898279931</v>
      </c>
      <c r="M25" s="1256"/>
      <c r="N25" s="1255">
        <f>bal!K34</f>
        <v>10.385999999999999</v>
      </c>
      <c r="O25" s="453">
        <f>(N25/J25-1)*100</f>
        <v>19.393033682032403</v>
      </c>
      <c r="P25" s="455">
        <f>P$13</f>
        <v>10.091852274890535</v>
      </c>
      <c r="Q25" s="1256"/>
      <c r="R25" s="1255">
        <f>bal!M34</f>
        <v>14.763</v>
      </c>
      <c r="S25" s="453">
        <f>(R25/N25-1)*100</f>
        <v>42.143269786250734</v>
      </c>
      <c r="T25" s="455">
        <f>T$13</f>
        <v>32.826110450664636</v>
      </c>
      <c r="U25" s="1256"/>
      <c r="V25" s="1255">
        <f>bal!O34</f>
        <v>16.760000000000002</v>
      </c>
      <c r="W25" s="453">
        <f>(V25/R25-1)*100</f>
        <v>13.527060895481968</v>
      </c>
      <c r="X25" s="455">
        <f>X$13</f>
        <v>22.72830827312373</v>
      </c>
      <c r="Z25" s="1255">
        <f>bal!Q34</f>
        <v>19.387</v>
      </c>
      <c r="AA25" s="453">
        <f>(Z25/V25-1)*100</f>
        <v>15.674224343675402</v>
      </c>
      <c r="AB25" s="455">
        <f>AB$13</f>
        <v>13.451517522109802</v>
      </c>
      <c r="AD25" s="1255">
        <f>+bal!S34</f>
        <v>20.838000000000001</v>
      </c>
      <c r="AE25" s="453">
        <f>(AD25/Z25-1)*100</f>
        <v>7.4843967607159501</v>
      </c>
      <c r="AF25" s="455">
        <f>AF$13</f>
        <v>21.394511710532484</v>
      </c>
      <c r="AH25" s="1254">
        <v>19.186</v>
      </c>
      <c r="AI25" s="453">
        <f>(AH25/AD25-1)*100</f>
        <v>-7.9278241673865102</v>
      </c>
      <c r="AJ25" s="455">
        <f>AJ$13</f>
        <v>13.192452103591013</v>
      </c>
      <c r="AL25" s="1254">
        <v>27.353000000000002</v>
      </c>
      <c r="AM25" s="453">
        <f>(AL25/AH25-1)*100</f>
        <v>42.567497133326391</v>
      </c>
      <c r="AN25" s="455">
        <f>AN$13</f>
        <v>49.798848375052088</v>
      </c>
      <c r="AP25" s="1254">
        <v>39.101999999999997</v>
      </c>
      <c r="AQ25" s="453">
        <f>(AP25/AL25-1)*100</f>
        <v>42.953240960772106</v>
      </c>
      <c r="AR25" s="455">
        <f>AR19</f>
        <v>42.867768548116935</v>
      </c>
      <c r="AT25" s="1254">
        <v>41.290999999999997</v>
      </c>
      <c r="AU25" s="453">
        <f>(AT25/AP25-1)*100</f>
        <v>5.5981791212725618</v>
      </c>
      <c r="AV25" s="455">
        <f>AV$13</f>
        <v>26.61362435071517</v>
      </c>
      <c r="AX25" s="1254">
        <v>57.933999999999997</v>
      </c>
      <c r="AY25" s="453">
        <f>(AX25/AT25-1)*100</f>
        <v>40.306604344772467</v>
      </c>
      <c r="AZ25" s="455">
        <f>AZ$13</f>
        <v>13.248103355734187</v>
      </c>
      <c r="BB25" s="1254">
        <v>74.02</v>
      </c>
      <c r="BC25" s="453">
        <f>(BB25/AX25-1)*100</f>
        <v>27.76607864121241</v>
      </c>
      <c r="BD25" s="455">
        <f>BD$13</f>
        <v>28.995609707424698</v>
      </c>
      <c r="BF25" s="1254">
        <v>62.954999999999998</v>
      </c>
      <c r="BG25" s="453">
        <f>(BF25/BB25-1)*100</f>
        <v>-14.948662523642254</v>
      </c>
      <c r="BH25" s="455">
        <f>BH$13</f>
        <v>9.167595952824481</v>
      </c>
      <c r="BJ25" s="1254">
        <v>78.040999999999997</v>
      </c>
      <c r="BK25" s="453">
        <f>(BJ25/BF25-1)*100</f>
        <v>23.963148280517821</v>
      </c>
      <c r="BL25" s="455">
        <f>BL$13</f>
        <v>15.827294234349853</v>
      </c>
      <c r="BN25" s="1254">
        <v>82.903999999999996</v>
      </c>
      <c r="BO25" s="453">
        <f>(BN25/BJ25-1)*100</f>
        <v>6.2313399366999311</v>
      </c>
      <c r="BP25" s="455">
        <f>+$BP$13</f>
        <v>13.576542116898583</v>
      </c>
      <c r="BR25" s="1254">
        <v>95.754000000000005</v>
      </c>
      <c r="BS25" s="453">
        <f>(BR25/BN25-1)*100</f>
        <v>15.499855254270001</v>
      </c>
      <c r="BT25" s="455">
        <f>BT13</f>
        <v>9.3146217028980072</v>
      </c>
      <c r="BV25" s="1254">
        <v>99.058999999999997</v>
      </c>
      <c r="BW25" s="453">
        <f>(BV25/BR25-1)*100</f>
        <v>3.4515529377362686</v>
      </c>
      <c r="BX25" s="455">
        <f>+BX19</f>
        <v>17.274255181701736</v>
      </c>
      <c r="BZ25" s="1254">
        <v>137.036</v>
      </c>
      <c r="CA25" s="453">
        <f>(BZ25/BV25-1)*100</f>
        <v>38.337758305656223</v>
      </c>
      <c r="CB25" s="455">
        <f>+CB19</f>
        <v>5.7180736221234874</v>
      </c>
      <c r="CD25" s="1254">
        <v>156.09</v>
      </c>
      <c r="CE25" s="453">
        <f>(CD25/BZ25-1)*100</f>
        <v>13.904375492571287</v>
      </c>
      <c r="CF25" s="455">
        <f>+CF19</f>
        <v>11.611753718573992</v>
      </c>
      <c r="CH25" s="1254">
        <v>118.035</v>
      </c>
      <c r="CI25" s="453">
        <f>(CH25/CD25-1)*100</f>
        <v>-24.380165289256205</v>
      </c>
      <c r="CJ25" s="455">
        <f>+CJ19</f>
        <v>0.23361990180446046</v>
      </c>
      <c r="CL25" s="1254">
        <v>119.53700000000001</v>
      </c>
      <c r="CM25" s="453">
        <f>(CL25/CH25-1)*100</f>
        <v>1.2725039183293152</v>
      </c>
      <c r="CN25" s="455">
        <f>+CN19</f>
        <v>1.6530393544147204</v>
      </c>
      <c r="CP25" s="1254">
        <v>128.24600000000001</v>
      </c>
      <c r="CQ25" s="453">
        <f t="shared" si="0"/>
        <v>7.2856103131248018</v>
      </c>
      <c r="CR25" s="455">
        <f t="shared" si="1"/>
        <v>5.7234909596391992</v>
      </c>
      <c r="CT25" s="1254"/>
      <c r="CV25" s="455"/>
    </row>
    <row r="27" spans="1:100">
      <c r="A27" s="1249" t="s">
        <v>387</v>
      </c>
      <c r="B27" s="1250"/>
      <c r="F27" s="634"/>
      <c r="G27" s="634"/>
      <c r="H27" s="634"/>
      <c r="I27" s="634"/>
      <c r="J27" s="634"/>
      <c r="K27" s="634"/>
      <c r="L27" s="634"/>
      <c r="M27" s="634"/>
      <c r="N27" s="1251"/>
      <c r="O27" s="634"/>
      <c r="P27" s="634"/>
      <c r="Q27" s="634"/>
      <c r="R27" s="634"/>
      <c r="S27" s="634"/>
      <c r="T27" s="634"/>
      <c r="U27" s="634"/>
      <c r="V27" s="634"/>
      <c r="W27" s="634"/>
      <c r="X27" s="634"/>
      <c r="Z27" s="634"/>
      <c r="AA27" s="634"/>
      <c r="AB27" s="634"/>
      <c r="AD27" s="634"/>
      <c r="AE27" s="634"/>
      <c r="AF27" s="634"/>
      <c r="AH27" s="634"/>
      <c r="AI27" s="634"/>
      <c r="AJ27" s="634"/>
      <c r="AL27" s="634"/>
      <c r="AM27" s="634"/>
      <c r="AN27" s="634"/>
      <c r="AP27" s="634"/>
      <c r="AQ27" s="634"/>
      <c r="AR27" s="634"/>
      <c r="AT27" s="634"/>
      <c r="AU27" s="634"/>
      <c r="AV27" s="634"/>
      <c r="AX27" s="634"/>
      <c r="AY27" s="634"/>
      <c r="AZ27" s="634"/>
      <c r="BB27" s="634"/>
      <c r="BC27" s="634"/>
      <c r="BD27" s="634"/>
      <c r="BF27" s="634"/>
      <c r="BG27" s="634"/>
      <c r="BH27" s="634"/>
      <c r="BJ27" s="634"/>
      <c r="BK27" s="634"/>
      <c r="BL27" s="634"/>
      <c r="BN27" s="634"/>
      <c r="BO27" s="634"/>
      <c r="BP27" s="634"/>
      <c r="BR27" s="634"/>
      <c r="BS27" s="634"/>
      <c r="BT27" s="634"/>
      <c r="BV27" s="634"/>
      <c r="BW27" s="634"/>
      <c r="BX27" s="634"/>
    </row>
    <row r="28" spans="1:100">
      <c r="A28" s="410" t="str">
        <f>$A$10</f>
        <v>1Q</v>
      </c>
      <c r="B28" s="410" t="str">
        <f>$B$10</f>
        <v>Apr</v>
      </c>
      <c r="D28" s="1252">
        <f>1.12+0.654+0.606+1.941</f>
        <v>4.3209999999999997</v>
      </c>
      <c r="F28" s="1252">
        <v>4.0229999999999997</v>
      </c>
      <c r="G28" s="453">
        <f>(F28/D28-1)*100</f>
        <v>-6.8965517241379342</v>
      </c>
      <c r="H28" s="455">
        <f>H$10</f>
        <v>20.652549697493527</v>
      </c>
      <c r="I28" s="1253"/>
      <c r="J28" s="1252">
        <f>1.129+3.708</f>
        <v>4.8369999999999997</v>
      </c>
      <c r="K28" s="453">
        <f>(J28/F28-1)*100</f>
        <v>20.233656475267225</v>
      </c>
      <c r="L28" s="455">
        <f>L$10</f>
        <v>20.516494143773055</v>
      </c>
      <c r="M28" s="1253"/>
      <c r="N28" s="1252">
        <f>1.23+3.179</f>
        <v>4.4089999999999998</v>
      </c>
      <c r="O28" s="453">
        <f>(N28/J28-1)*100</f>
        <v>-8.8484597891254957</v>
      </c>
      <c r="P28" s="455">
        <f>P$10</f>
        <v>10.648794840550412</v>
      </c>
      <c r="Q28" s="1253"/>
      <c r="R28" s="1252">
        <v>4.766</v>
      </c>
      <c r="S28" s="453">
        <f>(R28/N28-1)*100</f>
        <v>8.0970741664776682</v>
      </c>
      <c r="T28" s="455">
        <f>T$10</f>
        <v>6.0327692720923976</v>
      </c>
      <c r="U28" s="1253"/>
      <c r="V28" s="1252">
        <v>10.095000000000001</v>
      </c>
      <c r="W28" s="453">
        <f>(V28/R28-1)*100</f>
        <v>111.81284095677717</v>
      </c>
      <c r="X28" s="455">
        <f>X$10</f>
        <v>48.249569358597633</v>
      </c>
      <c r="Z28" s="1252">
        <v>11.177</v>
      </c>
      <c r="AA28" s="453">
        <f>(Z28/V28-1)*100</f>
        <v>10.718177315502707</v>
      </c>
      <c r="AB28" s="455">
        <f>AB$10</f>
        <v>12.690736975206329</v>
      </c>
      <c r="AD28" s="1252">
        <v>14.282999999999999</v>
      </c>
      <c r="AE28" s="453">
        <f>(AD28/Z28-1)*100</f>
        <v>27.789209984790197</v>
      </c>
      <c r="AF28" s="455">
        <f>AF$10</f>
        <v>8.9219105382865713</v>
      </c>
      <c r="AH28" s="1252">
        <f>18.493</f>
        <v>18.492999999999999</v>
      </c>
      <c r="AI28" s="453">
        <f>(AH28/AD28-1)*100</f>
        <v>29.475600364069177</v>
      </c>
      <c r="AJ28" s="455">
        <f>AJ$10</f>
        <v>30.960269510259764</v>
      </c>
      <c r="AL28" s="1252">
        <v>22.734000000000002</v>
      </c>
      <c r="AM28" s="453">
        <f>(AL28/AH28-1)*100</f>
        <v>22.933001676309985</v>
      </c>
      <c r="AN28" s="455">
        <f>AN$10</f>
        <v>13.770010842528224</v>
      </c>
      <c r="AP28" s="1252">
        <v>38.673000000000002</v>
      </c>
      <c r="AQ28" s="453">
        <f>(AP28/AL28-1)*100</f>
        <v>70.110847189231976</v>
      </c>
      <c r="AR28" s="455">
        <f>AR$10</f>
        <v>59.107896998916168</v>
      </c>
      <c r="AT28" s="1252">
        <v>52.14</v>
      </c>
      <c r="AU28" s="453">
        <f>(AT28/AP28-1)*100</f>
        <v>34.82274455046155</v>
      </c>
      <c r="AV28" s="455">
        <f>AV$10</f>
        <v>35.841799283575071</v>
      </c>
      <c r="AX28" s="1252">
        <v>77.641000000000005</v>
      </c>
      <c r="AY28" s="453">
        <f>(AX28/AT28-1)*100</f>
        <v>48.908707326428846</v>
      </c>
      <c r="AZ28" s="455">
        <f>AZ$10</f>
        <v>16.721928023343779</v>
      </c>
      <c r="BB28" s="1252">
        <v>72.075999999999993</v>
      </c>
      <c r="BC28" s="453">
        <f>(BB28/AX28-1)*100</f>
        <v>-7.1676047449157121</v>
      </c>
      <c r="BD28" s="455">
        <f>BD$10</f>
        <v>16.494757543322947</v>
      </c>
      <c r="BF28" s="1252">
        <v>92.311999999999998</v>
      </c>
      <c r="BG28" s="453">
        <f>(BF28/BB28-1)*100</f>
        <v>28.075919862367506</v>
      </c>
      <c r="BH28" s="455">
        <f>BH$10</f>
        <v>25.353527646370623</v>
      </c>
      <c r="BJ28" s="1252">
        <v>82.888000000000005</v>
      </c>
      <c r="BK28" s="453">
        <f>(BJ28/BF28-1)*100</f>
        <v>-10.20885692001039</v>
      </c>
      <c r="BL28" s="455">
        <f>BL$10</f>
        <v>-2.408367402838496</v>
      </c>
      <c r="BN28" s="1252">
        <v>96.738</v>
      </c>
      <c r="BO28" s="453">
        <f>(BN28/BJ28-1)*100</f>
        <v>16.709294469645776</v>
      </c>
      <c r="BP28" s="455">
        <f>BP$10</f>
        <v>24.731286188006109</v>
      </c>
      <c r="BR28" s="1252">
        <v>100.69</v>
      </c>
      <c r="BS28" s="453">
        <f>(BR28/BN28-1)*100</f>
        <v>4.0852612210299899</v>
      </c>
      <c r="BT28" s="455">
        <f>BT10</f>
        <v>9.1794958340365227</v>
      </c>
      <c r="BV28" s="1252">
        <v>137.398</v>
      </c>
      <c r="BW28" s="453">
        <f>(BV28/BR28-1)*100</f>
        <v>36.456450491607903</v>
      </c>
      <c r="BX28" s="455">
        <f>+BX22</f>
        <v>8.5704907646478432</v>
      </c>
      <c r="BZ28" s="1252">
        <v>121.506</v>
      </c>
      <c r="CA28" s="453">
        <f>(BZ28/BV28-1)*100</f>
        <v>-11.5663983464097</v>
      </c>
      <c r="CB28" s="455">
        <f>+CB22</f>
        <v>13.92913012145609</v>
      </c>
      <c r="CD28" s="1252">
        <v>189.58500000000001</v>
      </c>
      <c r="CE28" s="453">
        <f>(CD28/BZ28-1)*100</f>
        <v>56.029331884845199</v>
      </c>
      <c r="CF28" s="455">
        <f>+CF22</f>
        <v>5.8831152601835468</v>
      </c>
      <c r="CH28" s="1252">
        <v>175.262</v>
      </c>
      <c r="CI28" s="453">
        <f>(CH28/CD28-1)*100</f>
        <v>-7.5549225940870883</v>
      </c>
      <c r="CJ28" s="455">
        <f>+CJ22</f>
        <v>7.6787457562909056</v>
      </c>
      <c r="CL28" s="1252">
        <v>190.37799999999999</v>
      </c>
      <c r="CM28" s="453">
        <f>(CL28/CH28-1)*100</f>
        <v>8.6248017254167983</v>
      </c>
      <c r="CN28" s="455">
        <f>+CN22</f>
        <v>3.1889960893628055</v>
      </c>
      <c r="CP28" s="1252">
        <v>196.328</v>
      </c>
      <c r="CQ28" s="453">
        <f>(CP28/CL28-1)*100</f>
        <v>3.1253611236592649</v>
      </c>
      <c r="CR28" s="455">
        <f>+CR22</f>
        <v>-0.1818832721154684</v>
      </c>
      <c r="CT28" s="1252"/>
      <c r="CU28" s="453"/>
      <c r="CV28" s="455"/>
    </row>
    <row r="29" spans="1:100">
      <c r="A29" s="410" t="str">
        <f>$A$11</f>
        <v>2Q</v>
      </c>
      <c r="B29" s="410" t="str">
        <f>$B$11</f>
        <v>Jul</v>
      </c>
      <c r="D29" s="1254">
        <f>1.153+0.714+1.879</f>
        <v>3.746</v>
      </c>
      <c r="E29" s="1253"/>
      <c r="F29" s="1254">
        <v>3.5609999999999999</v>
      </c>
      <c r="G29" s="453">
        <f>(F29/D29-1)*100</f>
        <v>-4.9386011745862213</v>
      </c>
      <c r="H29" s="455">
        <f>H$11</f>
        <v>22.553523090804696</v>
      </c>
      <c r="I29" s="1253"/>
      <c r="J29" s="1254">
        <v>4.0990000000000002</v>
      </c>
      <c r="K29" s="453">
        <f>(J29/F29-1)*100</f>
        <v>15.108115697837698</v>
      </c>
      <c r="L29" s="455">
        <f>L$11</f>
        <v>20.203473779324653</v>
      </c>
      <c r="M29" s="1253"/>
      <c r="N29" s="1254">
        <f>1.201+3.258</f>
        <v>4.4589999999999996</v>
      </c>
      <c r="O29" s="453">
        <f>(N29/J29-1)*100</f>
        <v>8.7826299097340623</v>
      </c>
      <c r="P29" s="455">
        <f>P$11</f>
        <v>15.140041204966881</v>
      </c>
      <c r="Q29" s="1253"/>
      <c r="R29" s="1254">
        <v>7.1</v>
      </c>
      <c r="S29" s="453">
        <f>(R29/N29-1)*100</f>
        <v>59.228526575465359</v>
      </c>
      <c r="T29" s="455">
        <f>T$11</f>
        <v>16.386981332817484</v>
      </c>
      <c r="U29" s="1253"/>
      <c r="V29" s="1254">
        <v>8.7149999999999999</v>
      </c>
      <c r="W29" s="453">
        <f>(V29/R29-1)*100</f>
        <v>22.74647887323944</v>
      </c>
      <c r="X29" s="455">
        <f>X$11</f>
        <v>41.817464109862243</v>
      </c>
      <c r="Z29" s="1254">
        <v>9.2799999999999994</v>
      </c>
      <c r="AA29" s="453">
        <f>(Z29/V29-1)*100</f>
        <v>6.4830751577739543</v>
      </c>
      <c r="AB29" s="455">
        <f>AB$11</f>
        <v>-2.2457918870218752</v>
      </c>
      <c r="AD29" s="1254">
        <v>14.718</v>
      </c>
      <c r="AE29" s="453">
        <f>(AD29/Z29-1)*100</f>
        <v>58.599137931034484</v>
      </c>
      <c r="AF29" s="455">
        <f>AF$11</f>
        <v>20.481656875674382</v>
      </c>
      <c r="AH29" s="1254">
        <v>19.524000000000001</v>
      </c>
      <c r="AI29" s="453">
        <f>(AH29/AD29-1)*100</f>
        <v>32.653893192009797</v>
      </c>
      <c r="AJ29" s="455">
        <f>AJ$11</f>
        <v>25.630947198208865</v>
      </c>
      <c r="AL29" s="1254">
        <v>23.172000000000001</v>
      </c>
      <c r="AM29" s="453">
        <f>(AL29/AH29-1)*100</f>
        <v>18.684695759065772</v>
      </c>
      <c r="AN29" s="455">
        <f>AN$11</f>
        <v>21.661171671567601</v>
      </c>
      <c r="AP29" s="1254">
        <v>45.835999999999999</v>
      </c>
      <c r="AQ29" s="453">
        <f>(AP29/AL29-1)*100</f>
        <v>97.80769894700498</v>
      </c>
      <c r="AR29" s="455">
        <f>AR$11</f>
        <v>54.203728871491478</v>
      </c>
      <c r="AT29" s="1254">
        <f>53.778</f>
        <v>53.777999999999999</v>
      </c>
      <c r="AU29" s="453">
        <f>(AT29/AP29-1)*100</f>
        <v>17.326991884108555</v>
      </c>
      <c r="AV29" s="455">
        <f>AV$11</f>
        <v>33.727385953431408</v>
      </c>
      <c r="AX29" s="1254">
        <v>92.015000000000001</v>
      </c>
      <c r="AY29" s="453">
        <f>(AX29/AT29-1)*100</f>
        <v>71.101565696009516</v>
      </c>
      <c r="AZ29" s="455">
        <f>AZ$11</f>
        <v>12.694560207109951</v>
      </c>
      <c r="BB29" s="1254">
        <v>72.046999999999997</v>
      </c>
      <c r="BC29" s="453">
        <f>(BB29/AX29-1)*100</f>
        <v>-21.700809650600451</v>
      </c>
      <c r="BD29" s="455">
        <f>BD$11</f>
        <v>22.023469755812286</v>
      </c>
      <c r="BF29" s="1254">
        <v>83.477999999999994</v>
      </c>
      <c r="BG29" s="453">
        <f>(BF29/BB29-1)*100</f>
        <v>15.866031895845767</v>
      </c>
      <c r="BH29" s="455">
        <f>BH$11</f>
        <v>30.376324799325015</v>
      </c>
      <c r="BJ29" s="1254">
        <v>74.763999999999996</v>
      </c>
      <c r="BK29" s="453">
        <f>(BJ29/BF29-1)*100</f>
        <v>-10.438678454203497</v>
      </c>
      <c r="BL29" s="455">
        <f>BL$11</f>
        <v>0.95334529325656892</v>
      </c>
      <c r="BN29" s="1254">
        <v>106.26</v>
      </c>
      <c r="BO29" s="453">
        <f>(BN29/BJ29-1)*100</f>
        <v>42.127227007650745</v>
      </c>
      <c r="BP29" s="455">
        <f>BP$11</f>
        <v>20.394177390727954</v>
      </c>
      <c r="BR29" s="1254">
        <v>117.756</v>
      </c>
      <c r="BS29" s="453">
        <f>(BR29/BN29-1)*100</f>
        <v>10.818746470920381</v>
      </c>
      <c r="BT29" s="455">
        <f>BT11</f>
        <v>10.32709781059442</v>
      </c>
      <c r="BV29" s="1254">
        <v>125.95399999999999</v>
      </c>
      <c r="BW29" s="453">
        <f>(BV29/BR29-1)*100</f>
        <v>6.9618533238221314</v>
      </c>
      <c r="BX29" s="455">
        <f>+BX23</f>
        <v>11.012818850226779</v>
      </c>
      <c r="BZ29" s="1252">
        <v>149.304</v>
      </c>
      <c r="CA29" s="453">
        <f>(BZ29/BV29-1)*100</f>
        <v>18.538514060688826</v>
      </c>
      <c r="CB29" s="455">
        <f>+CB23</f>
        <v>12.163059374302243</v>
      </c>
      <c r="CD29" s="1254">
        <v>211.38800000000001</v>
      </c>
      <c r="CE29" s="453">
        <f>(CD29/BZ29-1)*100</f>
        <v>41.582275089749764</v>
      </c>
      <c r="CF29" s="455">
        <f>+CF23</f>
        <v>6.9515269127937929</v>
      </c>
      <c r="CH29" s="1254">
        <v>218.38800000000001</v>
      </c>
      <c r="CI29" s="453">
        <f>(CH29/CD29-1)*100</f>
        <v>3.3114462504967079</v>
      </c>
      <c r="CJ29" s="455">
        <f>+CJ23</f>
        <v>6.9284181383612697</v>
      </c>
      <c r="CL29" s="1254">
        <f>222.352</f>
        <v>222.352</v>
      </c>
      <c r="CM29" s="453">
        <f>(CL29/CH29-1)*100</f>
        <v>1.8151180467791184</v>
      </c>
      <c r="CN29" s="455">
        <f>+CN23</f>
        <v>2.6638692273995179</v>
      </c>
      <c r="CP29" s="1254">
        <v>210.399</v>
      </c>
      <c r="CQ29" s="453">
        <f>(CP29/CL29-1)*100</f>
        <v>-5.3757105850183446</v>
      </c>
      <c r="CR29" s="455">
        <f>+CR23</f>
        <v>-1.9804214838170631</v>
      </c>
      <c r="CT29" s="1254"/>
      <c r="CU29" s="453"/>
      <c r="CV29" s="455"/>
    </row>
    <row r="30" spans="1:100">
      <c r="A30" s="410" t="str">
        <f>$A$12</f>
        <v>3Q</v>
      </c>
      <c r="B30" s="410" t="str">
        <f>$B$12</f>
        <v>Oct</v>
      </c>
      <c r="D30" s="1254">
        <f>1.477+0.499+0.857+0.928+1.185</f>
        <v>4.9459999999999997</v>
      </c>
      <c r="E30" s="1253"/>
      <c r="F30" s="1254">
        <v>3.5419999999999998</v>
      </c>
      <c r="G30" s="453">
        <f>(F30/D30-1)*100</f>
        <v>-28.386575010109183</v>
      </c>
      <c r="H30" s="455">
        <f>H$12</f>
        <v>23.59829440590595</v>
      </c>
      <c r="I30" s="1253"/>
      <c r="J30" s="1254">
        <v>4.29</v>
      </c>
      <c r="K30" s="453">
        <f>(J30/F30-1)*100</f>
        <v>21.118012422360266</v>
      </c>
      <c r="L30" s="455">
        <f>L$12</f>
        <v>15.619690026260225</v>
      </c>
      <c r="M30" s="1253"/>
      <c r="N30" s="1254">
        <f>1.974+4.036</f>
        <v>6.01</v>
      </c>
      <c r="O30" s="453">
        <f>(N30/J30-1)*100</f>
        <v>40.093240093240091</v>
      </c>
      <c r="P30" s="455">
        <f>P$12</f>
        <v>7.7935380435992796</v>
      </c>
      <c r="Q30" s="1253"/>
      <c r="R30" s="1254">
        <v>8.2949999999999999</v>
      </c>
      <c r="S30" s="453">
        <f>(R30/N30-1)*100</f>
        <v>38.019966722129794</v>
      </c>
      <c r="T30" s="455">
        <f>T$12</f>
        <v>25.604742919705025</v>
      </c>
      <c r="U30" s="1253"/>
      <c r="V30" s="1254">
        <v>14.07</v>
      </c>
      <c r="W30" s="453">
        <f>(V30/R30-1)*100</f>
        <v>69.620253164556971</v>
      </c>
      <c r="X30" s="455">
        <f>X$12</f>
        <v>24.843760278929004</v>
      </c>
      <c r="Z30" s="1254">
        <v>10.635999999999999</v>
      </c>
      <c r="AA30" s="453">
        <f>(Z30/V30-1)*100</f>
        <v>-24.406538734896955</v>
      </c>
      <c r="AB30" s="455">
        <f>AB$12</f>
        <v>1.5557897510209528</v>
      </c>
      <c r="AD30" s="1254">
        <v>14.881</v>
      </c>
      <c r="AE30" s="453">
        <f>(AD30/Z30-1)*100</f>
        <v>39.911620910116596</v>
      </c>
      <c r="AF30" s="455">
        <f>AF$12</f>
        <v>20.45374946491809</v>
      </c>
      <c r="AH30" s="1254">
        <v>23.488</v>
      </c>
      <c r="AI30" s="453">
        <f>(AH30/AD30-1)*100</f>
        <v>57.838854915664271</v>
      </c>
      <c r="AJ30" s="455">
        <f>AJ$12</f>
        <v>18.573320841275475</v>
      </c>
      <c r="AL30" s="1254">
        <v>28.004000000000001</v>
      </c>
      <c r="AM30" s="453">
        <f>(AL30/AH30-1)*100</f>
        <v>19.226839237057234</v>
      </c>
      <c r="AN30" s="455">
        <f>AN$12</f>
        <v>29.267251557589958</v>
      </c>
      <c r="AP30" s="1254">
        <v>38.28</v>
      </c>
      <c r="AQ30" s="453">
        <f>(AP30/AL30-1)*100</f>
        <v>36.694757891729758</v>
      </c>
      <c r="AR30" s="455">
        <f>AR24</f>
        <v>52.006941565786803</v>
      </c>
      <c r="AT30" s="1254">
        <v>74.409000000000006</v>
      </c>
      <c r="AU30" s="453">
        <f>(AT30/AP30-1)*100</f>
        <v>94.380877742946723</v>
      </c>
      <c r="AV30" s="455">
        <f>AV$12</f>
        <v>33.486015909185454</v>
      </c>
      <c r="AX30" s="1254">
        <v>88.015000000000001</v>
      </c>
      <c r="AY30" s="453">
        <f>(AX30/AT30-1)*100</f>
        <v>18.28542246233653</v>
      </c>
      <c r="AZ30" s="455">
        <f>AZ$12</f>
        <v>6.7707521788359593</v>
      </c>
      <c r="BB30" s="1254">
        <v>81.302999999999997</v>
      </c>
      <c r="BC30" s="453">
        <f>(BB30/AX30-1)*100</f>
        <v>-7.6259728455376985</v>
      </c>
      <c r="BD30" s="455">
        <f>BD$12</f>
        <v>23.014058471566855</v>
      </c>
      <c r="BF30" s="1254">
        <v>93.843000000000004</v>
      </c>
      <c r="BG30" s="453">
        <f>(BF30/BB30-1)*100</f>
        <v>15.423785100180808</v>
      </c>
      <c r="BH30" s="455">
        <f>BH$12</f>
        <v>26.002583570600013</v>
      </c>
      <c r="BJ30" s="1254">
        <v>88.95</v>
      </c>
      <c r="BK30" s="453">
        <f>(BJ30/BF30-1)*100</f>
        <v>-5.2140276845369371</v>
      </c>
      <c r="BL30" s="455">
        <f>BL$12</f>
        <v>5.847227656275833</v>
      </c>
      <c r="BN30" s="1254">
        <v>123.06100000000001</v>
      </c>
      <c r="BO30" s="453">
        <f>(BN30/BJ30-1)*100</f>
        <v>38.348510399100633</v>
      </c>
      <c r="BP30" s="455">
        <f>+$BP$12</f>
        <v>13.38050998220992</v>
      </c>
      <c r="BR30" s="1254">
        <v>130.59</v>
      </c>
      <c r="BS30" s="453">
        <f>(BR30/BN30-1)*100</f>
        <v>6.1181040297088485</v>
      </c>
      <c r="BT30" s="455">
        <f>BT12</f>
        <v>6.3391748838895978</v>
      </c>
      <c r="BV30" s="1254">
        <v>132.547</v>
      </c>
      <c r="BW30" s="453">
        <f>(BV30/BR30-1)*100</f>
        <v>1.4985833524772119</v>
      </c>
      <c r="BX30" s="455">
        <f>+BX24</f>
        <v>13.593014543743553</v>
      </c>
      <c r="BZ30" s="1254">
        <v>165.12899999999999</v>
      </c>
      <c r="CA30" s="453">
        <f>(BZ30/BV30-1)*100</f>
        <v>24.581469214693641</v>
      </c>
      <c r="CB30" s="455">
        <f>+CB24</f>
        <v>11.717306715314969</v>
      </c>
      <c r="CD30" s="1254">
        <v>190.81899999999999</v>
      </c>
      <c r="CE30" s="453">
        <f>(CD30/BZ30-1)*100</f>
        <v>15.55753380690248</v>
      </c>
      <c r="CF30" s="455">
        <f>+CF24</f>
        <v>5.2220208281387848</v>
      </c>
      <c r="CH30" s="1254">
        <v>187.345</v>
      </c>
      <c r="CI30" s="453">
        <f>(CH30/CD30-1)*100</f>
        <v>-1.8205734229819859</v>
      </c>
      <c r="CJ30" s="455">
        <f>+CJ24</f>
        <v>1.3245423404177004</v>
      </c>
      <c r="CL30" s="1254">
        <v>205.81200000000001</v>
      </c>
      <c r="CM30" s="453">
        <f>(CL30/CH30-1)*100</f>
        <v>9.8572152979796712</v>
      </c>
      <c r="CN30" s="455">
        <f>+CN24</f>
        <v>4.5116799837141786</v>
      </c>
      <c r="CP30" s="1254">
        <v>214.506</v>
      </c>
      <c r="CQ30" s="453">
        <f t="shared" ref="CQ30:CQ31" si="2">(CP30/CL30-1)*100</f>
        <v>4.2242434843449361</v>
      </c>
      <c r="CR30" s="455">
        <f t="shared" ref="CR30:CR31" si="3">+CR24</f>
        <v>3.5111091014283113</v>
      </c>
      <c r="CT30" s="1254"/>
      <c r="CU30" s="453"/>
      <c r="CV30" s="455"/>
    </row>
    <row r="31" spans="1:100">
      <c r="A31" s="410" t="str">
        <f>$A$13</f>
        <v>4Q</v>
      </c>
      <c r="B31" s="410" t="str">
        <f>$B$13</f>
        <v>Jan</v>
      </c>
      <c r="D31" s="1255">
        <f>+bal!E35+bal!E36+bal!E37</f>
        <v>4.3</v>
      </c>
      <c r="E31" s="1253"/>
      <c r="F31" s="1255">
        <f>+bal!G35+bal!G36+bal!G37</f>
        <v>3.1740000000000004</v>
      </c>
      <c r="G31" s="453">
        <f>(F31/D31-1)*100</f>
        <v>-26.186046511627893</v>
      </c>
      <c r="H31" s="455">
        <f>H$13</f>
        <v>16.748468225708212</v>
      </c>
      <c r="I31" s="1253"/>
      <c r="J31" s="1255">
        <f>+bal!I35+bal!I36+bal!I37</f>
        <v>2.9260000000000002</v>
      </c>
      <c r="K31" s="453">
        <f>(J31/F31-1)*100</f>
        <v>-7.8134845620667974</v>
      </c>
      <c r="L31" s="455">
        <f>L$13</f>
        <v>15.469582898279931</v>
      </c>
      <c r="M31" s="1253"/>
      <c r="N31" s="1255">
        <f>+bal!K35+bal!K36+bal!K37</f>
        <v>3.274</v>
      </c>
      <c r="O31" s="453">
        <f>(N31/J31-1)*100</f>
        <v>11.893369788106622</v>
      </c>
      <c r="P31" s="455">
        <f>P$13</f>
        <v>10.091852274890535</v>
      </c>
      <c r="Q31" s="1253"/>
      <c r="R31" s="1255">
        <f>+bal!M35+bal!M36+bal!M37</f>
        <v>9.4499999999999993</v>
      </c>
      <c r="S31" s="453">
        <f>(R31/N31-1)*100</f>
        <v>188.63775198533901</v>
      </c>
      <c r="T31" s="455">
        <f>T$13</f>
        <v>32.826110450664636</v>
      </c>
      <c r="U31" s="1253"/>
      <c r="V31" s="1255">
        <f>+bal!O35+bal!O36+bal!O37</f>
        <v>11.311999999999999</v>
      </c>
      <c r="W31" s="453">
        <f>(V31/R31-1)*100</f>
        <v>19.703703703703713</v>
      </c>
      <c r="X31" s="455">
        <f>X$13</f>
        <v>22.72830827312373</v>
      </c>
      <c r="Z31" s="1255">
        <f>+bal!Q35+bal!Q36+bal!Q37</f>
        <v>13.931000000000001</v>
      </c>
      <c r="AA31" s="453">
        <f>(Z31/V31-1)*100</f>
        <v>23.152404526166915</v>
      </c>
      <c r="AB31" s="455">
        <f>AB$13</f>
        <v>13.451517522109802</v>
      </c>
      <c r="AD31" s="1255">
        <f>+bal!S35+bal!S36+bal!S37</f>
        <v>19.992000000000001</v>
      </c>
      <c r="AE31" s="453">
        <f>(AD31/Z31-1)*100</f>
        <v>43.507285909123539</v>
      </c>
      <c r="AF31" s="455">
        <f>AF$13</f>
        <v>21.394511710532484</v>
      </c>
      <c r="AH31" s="1254">
        <f>5.197+18.689</f>
        <v>23.885999999999999</v>
      </c>
      <c r="AI31" s="453">
        <f>(AH31/AD31-1)*100</f>
        <v>19.477791116446564</v>
      </c>
      <c r="AJ31" s="455">
        <f>AJ$13</f>
        <v>13.192452103591013</v>
      </c>
      <c r="AL31" s="1254">
        <f>7.756+22.653</f>
        <v>30.408999999999999</v>
      </c>
      <c r="AM31" s="453">
        <f>(AL31/AH31-1)*100</f>
        <v>27.308883865025546</v>
      </c>
      <c r="AN31" s="455">
        <f>AN$13</f>
        <v>49.798848375052088</v>
      </c>
      <c r="AP31" s="1254">
        <v>59.168999999999997</v>
      </c>
      <c r="AQ31" s="453">
        <f>(AP31/AL31-1)*100</f>
        <v>94.577263310204216</v>
      </c>
      <c r="AR31" s="455">
        <f>AR25</f>
        <v>42.867768548116935</v>
      </c>
      <c r="AT31" s="1254">
        <v>92.216999999999999</v>
      </c>
      <c r="AU31" s="453">
        <f>(AT31/AP31-1)*100</f>
        <v>55.853571971809579</v>
      </c>
      <c r="AV31" s="455">
        <f>AV$13</f>
        <v>26.61362435071517</v>
      </c>
      <c r="AX31" s="1254">
        <v>77.384</v>
      </c>
      <c r="AY31" s="453">
        <f>(AX31/AT31-1)*100</f>
        <v>-16.084886734550029</v>
      </c>
      <c r="AZ31" s="455">
        <f>AZ$13</f>
        <v>13.248103355734187</v>
      </c>
      <c r="BB31" s="1254">
        <v>93.358000000000004</v>
      </c>
      <c r="BC31" s="453">
        <f>(BB31/AX31-1)*100</f>
        <v>20.642510079603028</v>
      </c>
      <c r="BD31" s="455">
        <f>BD$13</f>
        <v>28.995609707424698</v>
      </c>
      <c r="BF31" s="1254">
        <v>78.194999999999993</v>
      </c>
      <c r="BG31" s="453">
        <f>(BF31/BB31-1)*100</f>
        <v>-16.241778958418141</v>
      </c>
      <c r="BH31" s="455">
        <f>BH$13</f>
        <v>9.167595952824481</v>
      </c>
      <c r="BJ31" s="1254">
        <v>110.508</v>
      </c>
      <c r="BK31" s="453">
        <f>(BJ31/BF31-1)*100</f>
        <v>41.323614041818544</v>
      </c>
      <c r="BL31" s="455">
        <f>BL$13</f>
        <v>15.827294234349853</v>
      </c>
      <c r="BN31" s="1254">
        <v>126.057</v>
      </c>
      <c r="BO31" s="453">
        <f>(BN31/BJ31-1)*100</f>
        <v>14.070474535780232</v>
      </c>
      <c r="BP31" s="455">
        <f>+$BP$13</f>
        <v>13.576542116898583</v>
      </c>
      <c r="BR31" s="1254">
        <v>137.71199999999999</v>
      </c>
      <c r="BS31" s="453">
        <f>(BR31/BN31-1)*100</f>
        <v>9.2458173683333644</v>
      </c>
      <c r="BT31" s="455">
        <f>BT13</f>
        <v>9.3146217028980072</v>
      </c>
      <c r="BV31" s="1254">
        <v>155.035</v>
      </c>
      <c r="BW31" s="453">
        <f>(BV31/BR31-1)*100</f>
        <v>12.57915069129778</v>
      </c>
      <c r="BX31" s="455">
        <f>+BX25</f>
        <v>17.274255181701736</v>
      </c>
      <c r="BZ31" s="1254">
        <v>194.79400000000001</v>
      </c>
      <c r="CA31" s="453">
        <f>(BZ31/BV31-1)*100</f>
        <v>25.645176895539734</v>
      </c>
      <c r="CB31" s="455">
        <f>+CB25</f>
        <v>5.7180736221234874</v>
      </c>
      <c r="CD31" s="1254">
        <v>197.65</v>
      </c>
      <c r="CE31" s="453">
        <f>(CD31/BZ31-1)*100</f>
        <v>1.4661642555725551</v>
      </c>
      <c r="CF31" s="455">
        <f>+CF25</f>
        <v>11.611753718573992</v>
      </c>
      <c r="CH31" s="1254">
        <v>211.196</v>
      </c>
      <c r="CI31" s="453">
        <f>(CH31/CD31-1)*100</f>
        <v>6.85352896534277</v>
      </c>
      <c r="CJ31" s="455">
        <f>+CJ25</f>
        <v>0.23361990180446046</v>
      </c>
      <c r="CL31" s="1254">
        <v>233.39099999999999</v>
      </c>
      <c r="CM31" s="453">
        <f>(CL31/CH31-1)*100</f>
        <v>10.509195249910031</v>
      </c>
      <c r="CN31" s="455">
        <f>+CN25</f>
        <v>1.6530393544147204</v>
      </c>
      <c r="CP31" s="1254">
        <v>231.96799999999999</v>
      </c>
      <c r="CQ31" s="453">
        <f t="shared" si="2"/>
        <v>-0.60970645826102787</v>
      </c>
      <c r="CR31" s="455">
        <f t="shared" si="3"/>
        <v>5.7234909596391992</v>
      </c>
      <c r="CT31" s="1254"/>
      <c r="CV31" s="455"/>
    </row>
    <row r="33" spans="1:100">
      <c r="A33" s="1257" t="s">
        <v>384</v>
      </c>
      <c r="B33" s="1250"/>
      <c r="N33" s="1258"/>
    </row>
    <row r="34" spans="1:100">
      <c r="A34" s="410" t="str">
        <f>$A$10</f>
        <v>1Q</v>
      </c>
      <c r="B34" s="410" t="str">
        <f>$B$10</f>
        <v>Apr</v>
      </c>
      <c r="D34" s="1259">
        <f>D10+D16-D22-D28</f>
        <v>5.0470000000000006</v>
      </c>
      <c r="F34" s="1259">
        <f>F10+F16-F22-F28</f>
        <v>10.553000000000001</v>
      </c>
      <c r="G34" s="453">
        <f>(F34/D34-1)*100</f>
        <v>109.09451159104418</v>
      </c>
      <c r="H34" s="455">
        <f>H$10</f>
        <v>20.652549697493527</v>
      </c>
      <c r="I34" s="1256"/>
      <c r="J34" s="1259">
        <f>J10+J16-J22-J28</f>
        <v>6.34</v>
      </c>
      <c r="K34" s="453">
        <f>(J34/F34-1)*100</f>
        <v>-39.922296977162894</v>
      </c>
      <c r="L34" s="455">
        <f>L$10</f>
        <v>20.516494143773055</v>
      </c>
      <c r="M34" s="1256"/>
      <c r="N34" s="1259">
        <f>N10+N16-N22-N28</f>
        <v>17.012</v>
      </c>
      <c r="O34" s="453">
        <f>(N34/J34-1)*100</f>
        <v>168.3280757097792</v>
      </c>
      <c r="P34" s="455">
        <f>P$10</f>
        <v>10.648794840550412</v>
      </c>
      <c r="Q34" s="1256"/>
      <c r="R34" s="1259">
        <f>R10+R16-R22-R28</f>
        <v>13.456999999999999</v>
      </c>
      <c r="S34" s="453">
        <f>(R34/N34-1)*100</f>
        <v>-20.897013872560557</v>
      </c>
      <c r="T34" s="455">
        <f>T$10</f>
        <v>6.0327692720923976</v>
      </c>
      <c r="U34" s="1256"/>
      <c r="V34" s="1259">
        <f>V10+V16-V22-V28</f>
        <v>11.578000000000001</v>
      </c>
      <c r="W34" s="453">
        <f>(V34/R34-1)*100</f>
        <v>-13.962993237720134</v>
      </c>
      <c r="X34" s="455">
        <f>X$10</f>
        <v>48.249569358597633</v>
      </c>
      <c r="Z34" s="1259">
        <f>Z10+Z16-Z22-Z28</f>
        <v>17.178999999999998</v>
      </c>
      <c r="AA34" s="453">
        <f>(Z34/V34-1)*100</f>
        <v>48.376230782518533</v>
      </c>
      <c r="AB34" s="455">
        <f>AB$10</f>
        <v>12.690736975206329</v>
      </c>
      <c r="AD34" s="1259">
        <f>AD10+AD16-AD22-AD28</f>
        <v>21.177000000000007</v>
      </c>
      <c r="AE34" s="453">
        <f>(AD34/Z34-1)*100</f>
        <v>23.27260026776883</v>
      </c>
      <c r="AF34" s="455">
        <f>AF$10</f>
        <v>8.9219105382865713</v>
      </c>
      <c r="AH34" s="1259">
        <f>AH10+AH16-AH22-AH28</f>
        <v>12.470000000000002</v>
      </c>
      <c r="AI34" s="453">
        <f>(AH34/AD34-1)*100</f>
        <v>-41.115361004863772</v>
      </c>
      <c r="AJ34" s="455">
        <f>AJ$10</f>
        <v>30.960269510259764</v>
      </c>
      <c r="AL34" s="1259">
        <f>AL10+AL16-AL22-AL28</f>
        <v>30.160999999999994</v>
      </c>
      <c r="AM34" s="453">
        <f>(AL34/AH34-1)*100</f>
        <v>141.86848436246984</v>
      </c>
      <c r="AN34" s="455">
        <f>AN$10</f>
        <v>13.770010842528224</v>
      </c>
      <c r="AP34" s="1259">
        <f>AP10+AP16-AP22-AP28</f>
        <v>18.756</v>
      </c>
      <c r="AQ34" s="453">
        <f>(AP34/AL34-1)*100</f>
        <v>-37.813732966413568</v>
      </c>
      <c r="AR34" s="455">
        <f>AR$10</f>
        <v>59.107896998916168</v>
      </c>
      <c r="AT34" s="1259">
        <f>AT10+AT16-AT22-AT28</f>
        <v>58.064999999999984</v>
      </c>
      <c r="AU34" s="453">
        <f>(AT34/AP34-1)*100</f>
        <v>209.58093410108756</v>
      </c>
      <c r="AV34" s="455">
        <f>AV$10</f>
        <v>35.841799283575071</v>
      </c>
      <c r="AX34" s="1259">
        <f>AX10+AX16-AX22-AX28</f>
        <v>67.60199999999999</v>
      </c>
      <c r="AY34" s="453">
        <f>(AX34/AT34-1)*100</f>
        <v>16.42469646086284</v>
      </c>
      <c r="AZ34" s="455">
        <f>AZ$10</f>
        <v>16.721928023343779</v>
      </c>
      <c r="BB34" s="1259">
        <f>BB10+BB16-BB22-BB28</f>
        <v>90.224999999999994</v>
      </c>
      <c r="BC34" s="453">
        <f>(BB34/AX34-1)*100</f>
        <v>33.464986243010571</v>
      </c>
      <c r="BD34" s="455">
        <f>BD$10</f>
        <v>16.494757543322947</v>
      </c>
      <c r="BF34" s="1259">
        <f>BF10+BF16-BF22-BF28</f>
        <v>89.684000000000012</v>
      </c>
      <c r="BG34" s="453">
        <f>(BF34/BB34-1)*100</f>
        <v>-0.5996120809088179</v>
      </c>
      <c r="BH34" s="455">
        <f>BH$10</f>
        <v>25.353527646370623</v>
      </c>
      <c r="BJ34" s="1259">
        <f>BJ10+BJ16-BJ22-BJ28</f>
        <v>96.022999999999996</v>
      </c>
      <c r="BK34" s="453">
        <f>(BJ34/BF34-1)*100</f>
        <v>7.0681503947192192</v>
      </c>
      <c r="BL34" s="455">
        <f>BL$10</f>
        <v>-2.408367402838496</v>
      </c>
      <c r="BN34" s="1259">
        <f>BN10+BN16-BN22-BN28</f>
        <v>140.09500000000006</v>
      </c>
      <c r="BO34" s="453">
        <f>(BN34/BJ34-1)*100</f>
        <v>45.897337096320733</v>
      </c>
      <c r="BP34" s="455">
        <f>BP$10</f>
        <v>24.731286188006109</v>
      </c>
      <c r="BR34" s="1259">
        <f>BR10+BR16-BR22-BR28</f>
        <v>178.529</v>
      </c>
      <c r="BS34" s="453">
        <f>(BR34/BN34-1)*100</f>
        <v>27.434241050715524</v>
      </c>
      <c r="BT34" s="455">
        <f>BT10</f>
        <v>9.1794958340365227</v>
      </c>
      <c r="BV34" s="1259">
        <f>BV10+BV16-BV22-BV28</f>
        <v>173.16600000000003</v>
      </c>
      <c r="BW34" s="453">
        <f>(BV34/BR34-1)*100</f>
        <v>-3.0039937489147239</v>
      </c>
      <c r="BX34" s="455">
        <f>BX10</f>
        <v>8.5704907646478432</v>
      </c>
      <c r="BZ34" s="1259">
        <f>BZ10+BZ16-BZ22-BZ28</f>
        <v>216.13399999999999</v>
      </c>
      <c r="CA34" s="453">
        <f>(BZ34/BV34-1)*100</f>
        <v>24.813185036323503</v>
      </c>
      <c r="CB34" s="455">
        <f>CB10</f>
        <v>13.92913012145609</v>
      </c>
      <c r="CD34" s="1259">
        <f>CD10+CD16-CD22-CD28</f>
        <v>149.309</v>
      </c>
      <c r="CE34" s="453">
        <f>(CD34/BZ34-1)*100</f>
        <v>-30.918319190872324</v>
      </c>
      <c r="CF34" s="455">
        <f>CF10</f>
        <v>5.8831152601835468</v>
      </c>
      <c r="CH34" s="1259">
        <f>CH10+CH16-CH22-CH28</f>
        <v>250.72300000000001</v>
      </c>
      <c r="CI34" s="453">
        <f>(CH34/CD34-1)*100</f>
        <v>67.922228398823933</v>
      </c>
      <c r="CJ34" s="455">
        <f>CJ10</f>
        <v>7.6787457562909056</v>
      </c>
      <c r="CL34" s="1259">
        <f>CL10+CL16-CL22-CL28</f>
        <v>179.4620000000001</v>
      </c>
      <c r="CM34" s="453">
        <f>(CL34/CH34-1)*100</f>
        <v>-28.422202988955902</v>
      </c>
      <c r="CN34" s="455">
        <f>CN10</f>
        <v>3.1889960893628055</v>
      </c>
      <c r="CP34" s="1259">
        <f>CP10+CP16-CP22-CP28</f>
        <v>200.39200000000002</v>
      </c>
      <c r="CQ34" s="453">
        <f>(CP34/CL34-1)*100</f>
        <v>11.662636101235858</v>
      </c>
      <c r="CR34" s="455">
        <f>CR10</f>
        <v>-0.1818832721154684</v>
      </c>
      <c r="CT34" s="1259"/>
      <c r="CU34" s="453"/>
      <c r="CV34" s="455"/>
    </row>
    <row r="35" spans="1:100">
      <c r="A35" s="410" t="str">
        <f>$A$11</f>
        <v>2Q</v>
      </c>
      <c r="B35" s="410" t="str">
        <f>$B$11</f>
        <v>Jul</v>
      </c>
      <c r="D35" s="1255">
        <f>D11+D17-D23-D29</f>
        <v>6.8430000000000017</v>
      </c>
      <c r="E35" s="1255"/>
      <c r="F35" s="1255">
        <f>F11+F17-F23-F29</f>
        <v>12.841999999999999</v>
      </c>
      <c r="G35" s="453">
        <f>(F35/D35-1)*100</f>
        <v>87.666228262457906</v>
      </c>
      <c r="H35" s="455">
        <f>H$11</f>
        <v>22.553523090804696</v>
      </c>
      <c r="I35" s="1256"/>
      <c r="J35" s="1255">
        <f>J11+J17-J23-J29</f>
        <v>13.450000000000003</v>
      </c>
      <c r="K35" s="453">
        <f>(J35/F35-1)*100</f>
        <v>4.7344650365986896</v>
      </c>
      <c r="L35" s="455">
        <f>L$11</f>
        <v>20.203473779324653</v>
      </c>
      <c r="M35" s="1256"/>
      <c r="N35" s="1255">
        <f>N11+N17-N23-N29</f>
        <v>16.388999999999999</v>
      </c>
      <c r="O35" s="453">
        <f>(N35/J35-1)*100</f>
        <v>21.851301115241604</v>
      </c>
      <c r="P35" s="455">
        <f>P$11</f>
        <v>15.140041204966881</v>
      </c>
      <c r="Q35" s="1256"/>
      <c r="R35" s="1255">
        <f>R11+R17-R23-R29</f>
        <v>14.611000000000006</v>
      </c>
      <c r="S35" s="453">
        <f>(R35/N35-1)*100</f>
        <v>-10.848740008542279</v>
      </c>
      <c r="T35" s="455">
        <f>T$11</f>
        <v>16.386981332817484</v>
      </c>
      <c r="U35" s="1256"/>
      <c r="V35" s="1255">
        <f>V11+V17-V23-V29</f>
        <v>17.998999999999995</v>
      </c>
      <c r="W35" s="453">
        <f>(V35/R35-1)*100</f>
        <v>23.188009034289149</v>
      </c>
      <c r="X35" s="455">
        <f>X$11</f>
        <v>41.817464109862243</v>
      </c>
      <c r="Z35" s="1255">
        <f>Z11+Z17-Z23-Z29</f>
        <v>23.61</v>
      </c>
      <c r="AA35" s="453">
        <f>(Z35/V35-1)*100</f>
        <v>31.17395410856161</v>
      </c>
      <c r="AB35" s="455">
        <f>AB$11</f>
        <v>-2.2457918870218752</v>
      </c>
      <c r="AD35" s="1255">
        <f>AD11+AD17-AD23-AD29</f>
        <v>20.446000000000002</v>
      </c>
      <c r="AE35" s="453">
        <f>(AD35/Z35-1)*100</f>
        <v>-13.401101228293088</v>
      </c>
      <c r="AF35" s="455">
        <f>AF$11</f>
        <v>20.481656875674382</v>
      </c>
      <c r="AH35" s="1255">
        <f>AH11+AH17-AH23-AH29</f>
        <v>11.433999999999994</v>
      </c>
      <c r="AI35" s="453">
        <f>(AH35/AD35-1)*100</f>
        <v>-44.077081091656098</v>
      </c>
      <c r="AJ35" s="455">
        <f>AJ$11</f>
        <v>25.630947198208865</v>
      </c>
      <c r="AL35" s="1255">
        <f>AL11+AL17-AL23-AL29</f>
        <v>32.950000000000003</v>
      </c>
      <c r="AM35" s="453">
        <f>(AL35/AH35-1)*100</f>
        <v>188.17561658212364</v>
      </c>
      <c r="AN35" s="455">
        <f>AN$11</f>
        <v>21.661171671567601</v>
      </c>
      <c r="AP35" s="1255">
        <f>AP11+AP17-AP23-AP29</f>
        <v>18.300000000000011</v>
      </c>
      <c r="AQ35" s="453">
        <f>(AP35/AL35-1)*100</f>
        <v>-44.461305007587228</v>
      </c>
      <c r="AR35" s="455">
        <f>AR$11</f>
        <v>54.203728871491478</v>
      </c>
      <c r="AT35" s="1255">
        <f>AT11+AT17-AT23-AT29</f>
        <v>79.16500000000002</v>
      </c>
      <c r="AU35" s="453">
        <f>(AT35/AP35-1)*100</f>
        <v>332.59562841530038</v>
      </c>
      <c r="AV35" s="455">
        <f>AV$11</f>
        <v>33.727385953431408</v>
      </c>
      <c r="AX35" s="1255">
        <f>AX11+AX17-AX23-AX29</f>
        <v>63.834999999999965</v>
      </c>
      <c r="AY35" s="453">
        <f>(AX35/AT35-1)*100</f>
        <v>-19.364618202488536</v>
      </c>
      <c r="AZ35" s="455">
        <f>AZ$11</f>
        <v>12.694560207109951</v>
      </c>
      <c r="BB35" s="1255">
        <f>BB11+BB17-BB23-BB29</f>
        <v>106.011</v>
      </c>
      <c r="BC35" s="453">
        <f>(BB35/AX35-1)*100</f>
        <v>66.070337589096965</v>
      </c>
      <c r="BD35" s="455">
        <f>BD$11</f>
        <v>22.023469755812286</v>
      </c>
      <c r="BF35" s="1255">
        <f>BF11+BF17-BF23-BF29</f>
        <v>119.43599999999999</v>
      </c>
      <c r="BG35" s="453">
        <f>(BF35/BB35-1)*100</f>
        <v>12.663780173755557</v>
      </c>
      <c r="BH35" s="455">
        <f>BH$11</f>
        <v>30.376324799325015</v>
      </c>
      <c r="BJ35" s="1255">
        <f>BJ11+BJ17-BJ23-BJ29</f>
        <v>134.99400000000003</v>
      </c>
      <c r="BK35" s="453">
        <f>(BJ35/BF35-1)*100</f>
        <v>13.026223249271606</v>
      </c>
      <c r="BL35" s="455">
        <f>BL$11</f>
        <v>0.95334529325656892</v>
      </c>
      <c r="BN35" s="1255">
        <f>BN11+BN17-BN23-BN29</f>
        <v>173.14100000000002</v>
      </c>
      <c r="BO35" s="453">
        <f>(BN35/BJ35-1)*100</f>
        <v>28.258292961168642</v>
      </c>
      <c r="BP35" s="455">
        <f>BP$11</f>
        <v>20.394177390727954</v>
      </c>
      <c r="BR35" s="1255">
        <f>BR11+BR17-BR23-BR29</f>
        <v>184.32500000000002</v>
      </c>
      <c r="BS35" s="453">
        <f>(BR35/BN35-1)*100</f>
        <v>6.4594752253943399</v>
      </c>
      <c r="BT35" s="455">
        <f>BT11</f>
        <v>10.32709781059442</v>
      </c>
      <c r="BV35" s="1255">
        <f>BV11+BV17-BV23-BV29</f>
        <v>200.91699999999997</v>
      </c>
      <c r="BW35" s="453">
        <f>(BV35/BR35-1)*100</f>
        <v>9.0014919300148932</v>
      </c>
      <c r="BX35" s="455">
        <f>BX11</f>
        <v>11.012818850226779</v>
      </c>
      <c r="BZ35" s="1255">
        <f>BZ11+BZ17-BZ23-BZ29</f>
        <v>192.06200000000004</v>
      </c>
      <c r="CA35" s="453">
        <f>(BZ35/BV35-1)*100</f>
        <v>-4.4072925635958775</v>
      </c>
      <c r="CB35" s="455">
        <f>CB11</f>
        <v>12.163059374302243</v>
      </c>
      <c r="CD35" s="1255">
        <f>CD11+CD17-CD23-CD29</f>
        <v>171.77200000000002</v>
      </c>
      <c r="CE35" s="453">
        <f>(CD35/BZ35-1)*100</f>
        <v>-10.564296945777929</v>
      </c>
      <c r="CF35" s="455">
        <f>CF11</f>
        <v>6.9515269127937929</v>
      </c>
      <c r="CH35" s="1255">
        <f>CH11+CH17-CH23-CH29</f>
        <v>220.035</v>
      </c>
      <c r="CI35" s="453">
        <f>(CH35/CD35-1)*100</f>
        <v>28.09712875206667</v>
      </c>
      <c r="CJ35" s="455">
        <f>CJ11</f>
        <v>6.9284181383612697</v>
      </c>
      <c r="CL35" s="1255">
        <f>CL11+CL17-CL23-CL29</f>
        <v>199.68600000000006</v>
      </c>
      <c r="CM35" s="453">
        <f>(CL35/CH35-1)*100</f>
        <v>-9.2480741700183717</v>
      </c>
      <c r="CN35" s="455">
        <f>CN11</f>
        <v>2.6638692273995179</v>
      </c>
      <c r="CP35" s="1255">
        <f>CP11+CP17-CP23-CP29</f>
        <v>180.56799999999998</v>
      </c>
      <c r="CQ35" s="453">
        <f>(CP35/CL35-1)*100</f>
        <v>-9.574031229029611</v>
      </c>
      <c r="CR35" s="455">
        <f>CR11</f>
        <v>-1.9804214838170631</v>
      </c>
      <c r="CT35" s="1255"/>
      <c r="CU35" s="453"/>
      <c r="CV35" s="455"/>
    </row>
    <row r="36" spans="1:100">
      <c r="A36" s="410" t="str">
        <f>$A$12</f>
        <v>3Q</v>
      </c>
      <c r="B36" s="410" t="str">
        <f>$B$12</f>
        <v>Oct</v>
      </c>
      <c r="D36" s="1255">
        <f>D12+D18-D24-D30</f>
        <v>7.3850000000000033</v>
      </c>
      <c r="E36" s="1255"/>
      <c r="F36" s="1255">
        <f>F12+F18-F24-F30</f>
        <v>13.145999999999999</v>
      </c>
      <c r="G36" s="453">
        <f>(F36/D36-1)*100</f>
        <v>78.009478672985693</v>
      </c>
      <c r="H36" s="455">
        <f>H$12</f>
        <v>23.59829440590595</v>
      </c>
      <c r="I36" s="1256"/>
      <c r="J36" s="1255">
        <f>J12+J18-J24-J30</f>
        <v>13.805</v>
      </c>
      <c r="K36" s="453">
        <f>(J36/F36-1)*100</f>
        <v>5.0129316902479903</v>
      </c>
      <c r="L36" s="455">
        <f>L$12</f>
        <v>15.619690026260225</v>
      </c>
      <c r="M36" s="1256"/>
      <c r="N36" s="1255">
        <f>N12+N18-N24-N30</f>
        <v>19.917999999999999</v>
      </c>
      <c r="O36" s="453">
        <f>(N36/J36-1)*100</f>
        <v>44.281057587830496</v>
      </c>
      <c r="P36" s="455">
        <f>P$12</f>
        <v>7.7935380435992796</v>
      </c>
      <c r="Q36" s="1256"/>
      <c r="R36" s="1255">
        <f>R12+R18-R24-R30</f>
        <v>14.431000000000003</v>
      </c>
      <c r="S36" s="453">
        <f>(R36/N36-1)*100</f>
        <v>-27.547946580982007</v>
      </c>
      <c r="T36" s="455">
        <f>T$12</f>
        <v>25.604742919705025</v>
      </c>
      <c r="U36" s="1256"/>
      <c r="V36" s="1255">
        <f>V12+V18-V24-V30</f>
        <v>23.184000000000005</v>
      </c>
      <c r="W36" s="453">
        <f>(V36/R36-1)*100</f>
        <v>60.654147321737931</v>
      </c>
      <c r="X36" s="455">
        <f>X$12</f>
        <v>24.843760278929004</v>
      </c>
      <c r="Z36" s="1255">
        <f>Z12+Z18-Z24-Z30</f>
        <v>26.785999999999998</v>
      </c>
      <c r="AA36" s="453">
        <f>(Z36/V36-1)*100</f>
        <v>15.536576949620407</v>
      </c>
      <c r="AB36" s="455">
        <f>AB$12</f>
        <v>1.5557897510209528</v>
      </c>
      <c r="AD36" s="1255">
        <f>AD12+AD18-AD24-AD30</f>
        <v>29.064</v>
      </c>
      <c r="AE36" s="453">
        <f>(AD36/Z36-1)*100</f>
        <v>8.5044426192787412</v>
      </c>
      <c r="AF36" s="455">
        <f>AF$12</f>
        <v>20.45374946491809</v>
      </c>
      <c r="AH36" s="1255">
        <f>AH12+AH18-AH24-AH30</f>
        <v>22.021000000000001</v>
      </c>
      <c r="AI36" s="453">
        <f>(AH36/AD36-1)*100</f>
        <v>-24.232727773190199</v>
      </c>
      <c r="AJ36" s="455">
        <f>AJ$12</f>
        <v>18.573320841275475</v>
      </c>
      <c r="AL36" s="1255">
        <f>AL12+AL18-AL24-AL30</f>
        <v>34.197999999999979</v>
      </c>
      <c r="AM36" s="453">
        <f>(AL36/AH36-1)*100</f>
        <v>55.297216293537879</v>
      </c>
      <c r="AN36" s="455">
        <f>AN$12</f>
        <v>29.267251557589958</v>
      </c>
      <c r="AP36" s="1255">
        <f>AP12+AP18-AP24-AP30</f>
        <v>70.513000000000005</v>
      </c>
      <c r="AQ36" s="453">
        <f>(AP36/AL36-1)*100</f>
        <v>106.19042049242663</v>
      </c>
      <c r="AR36" s="455">
        <f>AR30</f>
        <v>52.006941565786803</v>
      </c>
      <c r="AT36" s="1255">
        <f>AT12+AT18-AT24-AT30</f>
        <v>88.202999999999989</v>
      </c>
      <c r="AU36" s="453">
        <f>(AT36/AP36-1)*100</f>
        <v>25.087572504360867</v>
      </c>
      <c r="AV36" s="455">
        <f>AV$12</f>
        <v>33.486015909185454</v>
      </c>
      <c r="AX36" s="1255">
        <f>AX12+AX18-AX24-AX30</f>
        <v>82.339000000000013</v>
      </c>
      <c r="AY36" s="453">
        <f>(AX36/AT36-1)*100</f>
        <v>-6.648299944446312</v>
      </c>
      <c r="AZ36" s="455">
        <f>AZ$12</f>
        <v>6.7707521788359593</v>
      </c>
      <c r="BB36" s="1255">
        <f>BB12+BB18-BB24-BB30</f>
        <v>115.68600000000001</v>
      </c>
      <c r="BC36" s="453">
        <f>(BB36/AX36-1)*100</f>
        <v>40.499641725063441</v>
      </c>
      <c r="BD36" s="455">
        <f>BD$12</f>
        <v>23.014058471566855</v>
      </c>
      <c r="BF36" s="1255">
        <f>BF12+BF18-BF24-BF30</f>
        <v>173.93399999999997</v>
      </c>
      <c r="BG36" s="453">
        <f>(BF36/BB36-1)*100</f>
        <v>50.350085576474221</v>
      </c>
      <c r="BH36" s="455">
        <f>BH$12</f>
        <v>26.002583570600013</v>
      </c>
      <c r="BJ36" s="1255">
        <f>BJ12+BJ18-BJ24-BJ30</f>
        <v>136.88600000000002</v>
      </c>
      <c r="BK36" s="453">
        <f>(BJ36/BF36-1)*100</f>
        <v>-21.300033345981785</v>
      </c>
      <c r="BL36" s="455">
        <f>BL$12</f>
        <v>5.847227656275833</v>
      </c>
      <c r="BN36" s="1255">
        <f>BN12+BN18-BN24-BN30</f>
        <v>157.95399999999998</v>
      </c>
      <c r="BO36" s="453">
        <f>(BN36/BJ36-1)*100</f>
        <v>15.390909223733583</v>
      </c>
      <c r="BP36" s="455">
        <f>+$BP$12</f>
        <v>13.38050998220992</v>
      </c>
      <c r="BR36" s="1255">
        <f>BR12+BR18-BR24-BR30</f>
        <v>213.24100000000001</v>
      </c>
      <c r="BS36" s="453">
        <f>(BR36/BN36-1)*100</f>
        <v>35.001962596705404</v>
      </c>
      <c r="BT36" s="455">
        <f>BT12</f>
        <v>6.3391748838895978</v>
      </c>
      <c r="BV36" s="1255">
        <f>BV12+BV18-BV24-BV30</f>
        <v>208.46299999999999</v>
      </c>
      <c r="BW36" s="453">
        <f>(BV36/BR36-1)*100</f>
        <v>-2.2406572844809514</v>
      </c>
      <c r="BX36" s="455">
        <f>BX12</f>
        <v>13.593014543743553</v>
      </c>
      <c r="BZ36" s="1255">
        <f>BZ12+BZ18-BZ24-BZ30</f>
        <v>228.38900000000004</v>
      </c>
      <c r="CA36" s="453">
        <f>(BZ36/BV36-1)*100</f>
        <v>9.5585307704485025</v>
      </c>
      <c r="CB36" s="455">
        <f>CB12</f>
        <v>11.717306715314969</v>
      </c>
      <c r="CD36" s="1255">
        <f>CD12+CD18-CD24-CD30</f>
        <v>245.79899999999995</v>
      </c>
      <c r="CE36" s="453">
        <f>(CD36/BZ36-1)*100</f>
        <v>7.6229590742110664</v>
      </c>
      <c r="CF36" s="455">
        <f>CF12</f>
        <v>5.2220208281387848</v>
      </c>
      <c r="CH36" s="1255">
        <f>CH12+CH18-CH24-CH30</f>
        <v>250.19700000000003</v>
      </c>
      <c r="CI36" s="453">
        <f>(CH36/CD36-1)*100</f>
        <v>1.7892668399790423</v>
      </c>
      <c r="CJ36" s="455">
        <f>CJ12</f>
        <v>1.3245423404177004</v>
      </c>
      <c r="CL36" s="1255">
        <f>CL12+CL18-CL24-CL30</f>
        <v>225.25600000000003</v>
      </c>
      <c r="CM36" s="453">
        <f>(CL36/CH36-1)*100</f>
        <v>-9.9685447867080779</v>
      </c>
      <c r="CN36" s="455">
        <f>CN12</f>
        <v>4.5116799837141786</v>
      </c>
      <c r="CP36" s="1255">
        <f t="shared" ref="CP36:CP37" si="4">CP12+CP18-CP24-CP30</f>
        <v>216.28200000000001</v>
      </c>
      <c r="CQ36" s="453">
        <f t="shared" ref="CQ36:CQ37" si="5">(CP36/CL36-1)*100</f>
        <v>-3.9839116383137529</v>
      </c>
      <c r="CR36" s="455">
        <f t="shared" ref="CR36:CR37" si="6">CR12</f>
        <v>3.5111091014283113</v>
      </c>
      <c r="CU36" s="453"/>
      <c r="CV36" s="455"/>
    </row>
    <row r="37" spans="1:100">
      <c r="A37" s="410" t="str">
        <f>$A$13</f>
        <v>4Q</v>
      </c>
      <c r="B37" s="410" t="str">
        <f>$B$13</f>
        <v>Jan</v>
      </c>
      <c r="D37" s="1255">
        <f>D13+D19-D25-D31</f>
        <v>7.4869999999999992</v>
      </c>
      <c r="E37" s="1255"/>
      <c r="F37" s="1255">
        <f>F13+F19-F25-F31</f>
        <v>6.8929999999999998</v>
      </c>
      <c r="G37" s="453">
        <f>(F37/D37-1)*100</f>
        <v>-7.9337518365166222</v>
      </c>
      <c r="H37" s="455">
        <f>H$13</f>
        <v>16.748468225708212</v>
      </c>
      <c r="I37" s="1256"/>
      <c r="J37" s="1255">
        <f>J13+J19-J25-J31</f>
        <v>15.403</v>
      </c>
      <c r="K37" s="453">
        <f>(J37/F37-1)*100</f>
        <v>123.45858116930222</v>
      </c>
      <c r="L37" s="455">
        <f>L$13</f>
        <v>15.469582898279931</v>
      </c>
      <c r="M37" s="1256"/>
      <c r="N37" s="1255">
        <f>N13+N19-N25-N31</f>
        <v>14.556000000000001</v>
      </c>
      <c r="O37" s="453">
        <f>(N37/J37-1)*100</f>
        <v>-5.4989287801077698</v>
      </c>
      <c r="P37" s="455">
        <f>P$13</f>
        <v>10.091852274890535</v>
      </c>
      <c r="Q37" s="1256"/>
      <c r="R37" s="1255">
        <f>R13+R19-R25-R31</f>
        <v>9.1450000000000067</v>
      </c>
      <c r="S37" s="453">
        <f>(R37/N37-1)*100</f>
        <v>-37.173674086287399</v>
      </c>
      <c r="T37" s="455">
        <f>T$13</f>
        <v>32.826110450664636</v>
      </c>
      <c r="U37" s="1256"/>
      <c r="V37" s="1255">
        <f>V13+V19-V25-V31</f>
        <v>14.053999999999997</v>
      </c>
      <c r="W37" s="453">
        <f>(V37/R37-1)*100</f>
        <v>53.679606342263384</v>
      </c>
      <c r="X37" s="455">
        <f>X$13</f>
        <v>22.72830827312373</v>
      </c>
      <c r="Z37" s="1255">
        <f>Z13+Z19-Z25-Z31</f>
        <v>15.055000000000003</v>
      </c>
      <c r="AA37" s="453">
        <f>(Z37/V37-1)*100</f>
        <v>7.1225273943361866</v>
      </c>
      <c r="AB37" s="455">
        <f>AB$13</f>
        <v>13.451517522109802</v>
      </c>
      <c r="AD37" s="1255">
        <f>AD13+AD19-AD25-AD31</f>
        <v>13.035999999999998</v>
      </c>
      <c r="AE37" s="453">
        <f>(AD37/Z37-1)*100</f>
        <v>-13.410826967784828</v>
      </c>
      <c r="AF37" s="455">
        <f>AF$13</f>
        <v>21.394511710532484</v>
      </c>
      <c r="AH37" s="1255">
        <f>AH13+AH19-AH25-AH31</f>
        <v>22.006000000000004</v>
      </c>
      <c r="AI37" s="453">
        <f>(AH37/AD37-1)*100</f>
        <v>68.809450751764416</v>
      </c>
      <c r="AJ37" s="455">
        <f>AJ$13</f>
        <v>13.192452103591013</v>
      </c>
      <c r="AL37" s="1255">
        <f>AL13+AL19-AL25-AL31</f>
        <v>30.900000000000006</v>
      </c>
      <c r="AM37" s="453">
        <f>(AL37/AH37-1)*100</f>
        <v>40.416250113605386</v>
      </c>
      <c r="AN37" s="455">
        <f>AN$13</f>
        <v>49.798848375052088</v>
      </c>
      <c r="AP37" s="1255">
        <f>AP13+AP19-AP25-AP31</f>
        <v>34.122</v>
      </c>
      <c r="AQ37" s="453">
        <f>(AP37/AL37-1)*100</f>
        <v>10.427184466019401</v>
      </c>
      <c r="AR37" s="455">
        <f>AR$13</f>
        <v>42.867768548116935</v>
      </c>
      <c r="AT37" s="1255">
        <f>AT13+AT19-AT25-AT31</f>
        <v>59.88000000000001</v>
      </c>
      <c r="AU37" s="453">
        <f>(AT37/AP37-1)*100</f>
        <v>75.487954985053648</v>
      </c>
      <c r="AV37" s="455">
        <f>AV$13</f>
        <v>26.61362435071517</v>
      </c>
      <c r="AX37" s="1255">
        <f>AX13+AX19-AX25-AX31</f>
        <v>71.809000000000012</v>
      </c>
      <c r="AY37" s="453">
        <f>(AX37/AT37-1)*100</f>
        <v>19.921509686038739</v>
      </c>
      <c r="AZ37" s="455">
        <f>AZ$13</f>
        <v>13.248103355734187</v>
      </c>
      <c r="BB37" s="1255">
        <f>BB13+BB19-BB25-BB31</f>
        <v>80.834000000000003</v>
      </c>
      <c r="BC37" s="453">
        <f>(BB37/AX37-1)*100</f>
        <v>12.568062499129628</v>
      </c>
      <c r="BD37" s="455">
        <f>BD$13</f>
        <v>28.995609707424698</v>
      </c>
      <c r="BF37" s="1255">
        <f>BF13+BF19-BF25-BF31</f>
        <v>117.26900000000001</v>
      </c>
      <c r="BG37" s="453">
        <f>(BF37/BB37-1)*100</f>
        <v>45.073855060989196</v>
      </c>
      <c r="BH37" s="455">
        <f>BH$13</f>
        <v>9.167595952824481</v>
      </c>
      <c r="BJ37" s="1255">
        <f>BJ13+BJ19-BJ25-BJ31</f>
        <v>116.12800000000003</v>
      </c>
      <c r="BK37" s="453">
        <f>(BJ37/BF37-1)*100</f>
        <v>-0.97297666049849241</v>
      </c>
      <c r="BL37" s="455">
        <f>BL$13</f>
        <v>15.827294234349853</v>
      </c>
      <c r="BN37" s="1255">
        <f>BN13+BN19-BN25-BN31</f>
        <v>136.27599999999995</v>
      </c>
      <c r="BO37" s="453">
        <f>(BN37/BJ37-1)*100</f>
        <v>17.349820887296708</v>
      </c>
      <c r="BP37" s="455">
        <f>+$BP$13</f>
        <v>13.576542116898583</v>
      </c>
      <c r="BR37" s="1255">
        <f>BR13+BR19-BR25-BR31</f>
        <v>128.399</v>
      </c>
      <c r="BS37" s="453">
        <f>(BR37/BN37-1)*100</f>
        <v>-5.7801813965774995</v>
      </c>
      <c r="BT37" s="455">
        <f>BT13</f>
        <v>9.3146217028980072</v>
      </c>
      <c r="BV37" s="1255">
        <f>BV13+BV19-BV25-BV31</f>
        <v>144.37700000000004</v>
      </c>
      <c r="BW37" s="453">
        <f>(BV37/BR37-1)*100</f>
        <v>12.444022149705237</v>
      </c>
      <c r="BX37" s="455">
        <f>BX13</f>
        <v>17.274255181701736</v>
      </c>
      <c r="BZ37" s="1255">
        <f>BZ13+BZ19-BZ25-BZ31</f>
        <v>139.27899999999997</v>
      </c>
      <c r="CA37" s="453">
        <f>(BZ37/BV37-1)*100</f>
        <v>-3.5310333363347768</v>
      </c>
      <c r="CB37" s="455">
        <f>CB13</f>
        <v>5.7180736221234874</v>
      </c>
      <c r="CD37" s="1255">
        <f>CD13+CD19-CD25-CD31</f>
        <v>192.74999999999997</v>
      </c>
      <c r="CE37" s="453">
        <f>(CD37/BZ37-1)*100</f>
        <v>38.391286554326221</v>
      </c>
      <c r="CF37" s="455">
        <f>CF13</f>
        <v>11.611753718573992</v>
      </c>
      <c r="CH37" s="410">
        <f>CH13+CH19-CH25-CH31</f>
        <v>178.79300000000003</v>
      </c>
      <c r="CI37" s="453">
        <f>(CH37/CD37-1)*100</f>
        <v>-7.2409857328144973</v>
      </c>
      <c r="CJ37" s="455">
        <f>CJ13</f>
        <v>0.23361990180446046</v>
      </c>
      <c r="CL37" s="1255">
        <f>CL13+CL19-CL25-CL31</f>
        <v>169.26199999999992</v>
      </c>
      <c r="CM37" s="453">
        <f>(CL37/CH37-1)*100</f>
        <v>-5.3307456108461331</v>
      </c>
      <c r="CN37" s="455">
        <f>CN13</f>
        <v>1.6530393544147204</v>
      </c>
      <c r="CP37" s="1255">
        <f t="shared" si="4"/>
        <v>171.19800000000006</v>
      </c>
      <c r="CQ37" s="453">
        <f t="shared" si="5"/>
        <v>1.1437889189541472</v>
      </c>
      <c r="CR37" s="455">
        <f t="shared" si="6"/>
        <v>5.7234909596391992</v>
      </c>
      <c r="CV37" s="455"/>
    </row>
    <row r="39" spans="1:100">
      <c r="A39" s="1257" t="s">
        <v>357</v>
      </c>
      <c r="B39" s="1250"/>
      <c r="N39" s="1258"/>
    </row>
    <row r="40" spans="1:100">
      <c r="A40" s="410" t="str">
        <f>$A$10</f>
        <v>1Q</v>
      </c>
      <c r="B40" s="410" t="str">
        <f>$B$10</f>
        <v>Apr</v>
      </c>
      <c r="D40" s="1259"/>
      <c r="F40" s="1259">
        <f>F34-D34</f>
        <v>5.5060000000000002</v>
      </c>
      <c r="G40" s="453"/>
      <c r="H40" s="455"/>
      <c r="I40" s="1256"/>
      <c r="J40" s="1259">
        <f>J34-F34</f>
        <v>-4.213000000000001</v>
      </c>
      <c r="K40" s="453"/>
      <c r="L40" s="455"/>
      <c r="M40" s="1256"/>
      <c r="N40" s="1259">
        <f>N34-J34</f>
        <v>10.672000000000001</v>
      </c>
      <c r="O40" s="453"/>
      <c r="P40" s="455"/>
      <c r="Q40" s="1256"/>
      <c r="R40" s="1259">
        <f>R34-N34</f>
        <v>-3.5550000000000015</v>
      </c>
      <c r="S40" s="453"/>
      <c r="T40" s="455"/>
      <c r="U40" s="1256"/>
      <c r="V40" s="1259">
        <f>V34-R34</f>
        <v>-1.8789999999999978</v>
      </c>
      <c r="W40" s="453"/>
      <c r="X40" s="455"/>
      <c r="Z40" s="1259">
        <f>Z34-V34</f>
        <v>5.6009999999999973</v>
      </c>
      <c r="AA40" s="453"/>
      <c r="AB40" s="455"/>
      <c r="AD40" s="1259">
        <f>AD34-Z34</f>
        <v>3.9980000000000082</v>
      </c>
      <c r="AE40" s="453"/>
      <c r="AF40" s="455"/>
      <c r="AH40" s="1259">
        <f>AH34-AD34</f>
        <v>-8.7070000000000043</v>
      </c>
      <c r="AI40" s="453"/>
      <c r="AJ40" s="455"/>
      <c r="AL40" s="1259">
        <f>AL34-AH34</f>
        <v>17.690999999999992</v>
      </c>
      <c r="AM40" s="453"/>
      <c r="AN40" s="455"/>
      <c r="AP40" s="1259">
        <f>AP34-AL34</f>
        <v>-11.404999999999994</v>
      </c>
      <c r="AQ40" s="453"/>
      <c r="AR40" s="455"/>
      <c r="AT40" s="1259">
        <f>AT34-AP34</f>
        <v>39.308999999999983</v>
      </c>
      <c r="AU40" s="453"/>
      <c r="AV40" s="455"/>
      <c r="AX40" s="1259">
        <f>AX34-AT34</f>
        <v>9.5370000000000061</v>
      </c>
      <c r="AY40" s="453"/>
      <c r="AZ40" s="455"/>
      <c r="BB40" s="1259">
        <f>BB34-AX34</f>
        <v>22.623000000000005</v>
      </c>
      <c r="BC40" s="453"/>
      <c r="BD40" s="455"/>
      <c r="BF40" s="1259">
        <f>BF34-BB34</f>
        <v>-0.54099999999998261</v>
      </c>
      <c r="BG40" s="453"/>
      <c r="BH40" s="455"/>
      <c r="BJ40" s="1259">
        <f>BJ34-BF34</f>
        <v>6.3389999999999844</v>
      </c>
      <c r="BK40" s="453"/>
      <c r="BL40" s="455"/>
      <c r="BN40" s="1259">
        <f>BN34-BJ34</f>
        <v>44.07200000000006</v>
      </c>
      <c r="BO40" s="453"/>
      <c r="BP40" s="455"/>
      <c r="BR40" s="1259">
        <f>BR34-BN34</f>
        <v>38.433999999999941</v>
      </c>
      <c r="BS40" s="453"/>
      <c r="BT40" s="455"/>
      <c r="BV40" s="1259">
        <f>BV34-BR34</f>
        <v>-5.3629999999999711</v>
      </c>
      <c r="BW40" s="453"/>
      <c r="BX40" s="455"/>
      <c r="BZ40" s="1259">
        <f>BZ34-BV34</f>
        <v>42.967999999999961</v>
      </c>
      <c r="CD40" s="1259">
        <f>CD34-BZ34</f>
        <v>-66.824999999999989</v>
      </c>
      <c r="CH40" s="1259">
        <f>CH34-CD34</f>
        <v>101.41400000000002</v>
      </c>
      <c r="CL40" s="1259">
        <f>CL34-CH34</f>
        <v>-71.26099999999991</v>
      </c>
      <c r="CP40" s="1259">
        <f>CP34-CL34</f>
        <v>20.929999999999922</v>
      </c>
      <c r="CT40" s="1259"/>
    </row>
    <row r="41" spans="1:100">
      <c r="A41" s="410" t="str">
        <f>$A$11</f>
        <v>2Q</v>
      </c>
      <c r="B41" s="410" t="str">
        <f>$B$11</f>
        <v>Jul</v>
      </c>
      <c r="D41" s="1255"/>
      <c r="E41" s="1255"/>
      <c r="F41" s="1255">
        <f>F35-D35</f>
        <v>5.998999999999997</v>
      </c>
      <c r="G41" s="1255"/>
      <c r="H41" s="1255"/>
      <c r="I41" s="1255"/>
      <c r="J41" s="1255">
        <f>J35-F35</f>
        <v>0.60800000000000409</v>
      </c>
      <c r="K41" s="1255"/>
      <c r="L41" s="1255"/>
      <c r="M41" s="1255"/>
      <c r="N41" s="1255">
        <f>N35-J35</f>
        <v>2.9389999999999965</v>
      </c>
      <c r="O41" s="1255"/>
      <c r="P41" s="1255"/>
      <c r="Q41" s="1255"/>
      <c r="R41" s="1255">
        <f>R35-N35</f>
        <v>-1.7779999999999934</v>
      </c>
      <c r="S41" s="1255"/>
      <c r="T41" s="1255"/>
      <c r="U41" s="1255"/>
      <c r="V41" s="1255">
        <f>V35-R35</f>
        <v>3.3879999999999892</v>
      </c>
      <c r="W41" s="1256"/>
      <c r="X41" s="1256"/>
      <c r="Z41" s="1255">
        <f>Z35-V35</f>
        <v>5.6110000000000042</v>
      </c>
      <c r="AA41" s="1256"/>
      <c r="AB41" s="1256"/>
      <c r="AD41" s="1255">
        <f>AD35-Z35</f>
        <v>-3.1639999999999979</v>
      </c>
      <c r="AE41" s="1256"/>
      <c r="AF41" s="1256"/>
      <c r="AG41" s="1255"/>
      <c r="AH41" s="1255">
        <f>AH35-AD35</f>
        <v>-9.0120000000000076</v>
      </c>
      <c r="AI41" s="1256"/>
      <c r="AJ41" s="1256"/>
      <c r="AK41" s="1255"/>
      <c r="AL41" s="1255">
        <f>AL35-AH35</f>
        <v>21.516000000000009</v>
      </c>
      <c r="AM41" s="1256"/>
      <c r="AN41" s="1256"/>
      <c r="AO41" s="1255"/>
      <c r="AP41" s="1255">
        <f>AP35-AL35</f>
        <v>-14.649999999999991</v>
      </c>
      <c r="AQ41" s="1256"/>
      <c r="AR41" s="1256"/>
      <c r="AS41" s="1255"/>
      <c r="AT41" s="1255">
        <f>AT35-AP35</f>
        <v>60.865000000000009</v>
      </c>
      <c r="AU41" s="1256"/>
      <c r="AV41" s="1256"/>
      <c r="AW41" s="1255"/>
      <c r="AX41" s="1255">
        <f>AX35-AT35</f>
        <v>-15.330000000000055</v>
      </c>
      <c r="AY41" s="453"/>
      <c r="AZ41" s="455"/>
      <c r="BA41" s="1255"/>
      <c r="BB41" s="1255">
        <f>BB35-AX35</f>
        <v>42.17600000000003</v>
      </c>
      <c r="BC41" s="453"/>
      <c r="BD41" s="455"/>
      <c r="BE41" s="1255"/>
      <c r="BF41" s="1255">
        <f>BF35-BB35</f>
        <v>13.424999999999997</v>
      </c>
      <c r="BG41" s="453"/>
      <c r="BH41" s="455"/>
      <c r="BI41" s="1255"/>
      <c r="BJ41" s="1255">
        <f>BJ35-BF35</f>
        <v>15.558000000000035</v>
      </c>
      <c r="BK41" s="453"/>
      <c r="BL41" s="455"/>
      <c r="BM41" s="1255"/>
      <c r="BN41" s="1255">
        <f>BN35-BJ35</f>
        <v>38.146999999999991</v>
      </c>
      <c r="BO41" s="453"/>
      <c r="BP41" s="455"/>
      <c r="BQ41" s="1255"/>
      <c r="BR41" s="1255">
        <f>BR35-BN35</f>
        <v>11.183999999999997</v>
      </c>
      <c r="BS41" s="453"/>
      <c r="BT41" s="455"/>
      <c r="BU41" s="1255"/>
      <c r="BV41" s="1255">
        <f>BV35-BR35</f>
        <v>16.591999999999956</v>
      </c>
      <c r="BW41" s="453"/>
      <c r="BX41" s="455"/>
      <c r="BZ41" s="1255">
        <f>BZ35-BV35</f>
        <v>-8.8549999999999329</v>
      </c>
      <c r="CD41" s="1255">
        <f>CD35-BZ35</f>
        <v>-20.29000000000002</v>
      </c>
      <c r="CH41" s="1255">
        <f>CH35-CD35</f>
        <v>48.262999999999977</v>
      </c>
      <c r="CL41" s="1255">
        <f>CL35-CH35</f>
        <v>-20.348999999999933</v>
      </c>
      <c r="CP41" s="1255">
        <f>CP35-CL35</f>
        <v>-19.11800000000008</v>
      </c>
      <c r="CT41" s="1255"/>
    </row>
    <row r="42" spans="1:100">
      <c r="A42" s="410" t="str">
        <f>$A$12</f>
        <v>3Q</v>
      </c>
      <c r="B42" s="410" t="str">
        <f>$B$12</f>
        <v>Oct</v>
      </c>
      <c r="D42" s="1255"/>
      <c r="E42" s="1255"/>
      <c r="F42" s="1255">
        <f>F36-D36</f>
        <v>5.7609999999999957</v>
      </c>
      <c r="G42" s="1255"/>
      <c r="H42" s="1255"/>
      <c r="I42" s="1255"/>
      <c r="J42" s="1255">
        <f>J36-F36</f>
        <v>0.6590000000000007</v>
      </c>
      <c r="K42" s="1255"/>
      <c r="L42" s="1255"/>
      <c r="M42" s="1255"/>
      <c r="N42" s="1255">
        <f>N36-J36</f>
        <v>6.1129999999999995</v>
      </c>
      <c r="O42" s="1255"/>
      <c r="P42" s="1255"/>
      <c r="Q42" s="1255"/>
      <c r="R42" s="1255">
        <f>R36-N36</f>
        <v>-5.4869999999999965</v>
      </c>
      <c r="S42" s="1255"/>
      <c r="T42" s="1255"/>
      <c r="U42" s="1255"/>
      <c r="V42" s="1255">
        <f>V36-R36</f>
        <v>8.7530000000000019</v>
      </c>
      <c r="W42" s="1256"/>
      <c r="X42" s="1256"/>
      <c r="Z42" s="1255">
        <f>Z36-V36</f>
        <v>3.6019999999999932</v>
      </c>
      <c r="AA42" s="1256"/>
      <c r="AB42" s="1256"/>
      <c r="AD42" s="1255">
        <f>AD36-Z36</f>
        <v>2.2780000000000022</v>
      </c>
      <c r="AE42" s="1256"/>
      <c r="AF42" s="1256"/>
      <c r="AH42" s="1255">
        <f>AH36-AD36</f>
        <v>-7.0429999999999993</v>
      </c>
      <c r="AI42" s="1256"/>
      <c r="AJ42" s="1256"/>
      <c r="AL42" s="1255">
        <f>AL36-AH36</f>
        <v>12.176999999999978</v>
      </c>
      <c r="AM42" s="1256"/>
      <c r="AN42" s="1256"/>
      <c r="AP42" s="1255">
        <f>AP36-AL36</f>
        <v>36.315000000000026</v>
      </c>
      <c r="AQ42" s="1256"/>
      <c r="AR42" s="1256"/>
      <c r="AT42" s="1255">
        <f>AT36-AP36</f>
        <v>17.689999999999984</v>
      </c>
      <c r="AU42" s="1256"/>
      <c r="AV42" s="1256"/>
      <c r="AX42" s="1255">
        <f>AX36-AT36</f>
        <v>-5.8639999999999759</v>
      </c>
      <c r="AY42" s="1256"/>
      <c r="AZ42" s="1256"/>
      <c r="BB42" s="1255">
        <f>BB36-AX36</f>
        <v>33.346999999999994</v>
      </c>
      <c r="BC42" s="1256"/>
      <c r="BD42" s="1256"/>
      <c r="BF42" s="1255">
        <f>BF36-BB36</f>
        <v>58.247999999999962</v>
      </c>
      <c r="BG42" s="1256"/>
      <c r="BH42" s="1256"/>
      <c r="BJ42" s="1255">
        <f>BJ36-BF36</f>
        <v>-37.047999999999945</v>
      </c>
      <c r="BK42" s="1256"/>
      <c r="BL42" s="1256"/>
      <c r="BN42" s="1255">
        <f>BN36-BJ36</f>
        <v>21.067999999999955</v>
      </c>
      <c r="BO42" s="1256"/>
      <c r="BP42" s="1256"/>
      <c r="BR42" s="1255">
        <f>BR36-BN36</f>
        <v>55.287000000000035</v>
      </c>
      <c r="BS42" s="1256"/>
      <c r="BT42" s="1256"/>
      <c r="BV42" s="1255">
        <f>BV36-BR36</f>
        <v>-4.77800000000002</v>
      </c>
      <c r="BW42" s="1256"/>
      <c r="BX42" s="1256"/>
      <c r="BZ42" s="1255">
        <f>BZ36-BV36</f>
        <v>19.926000000000045</v>
      </c>
      <c r="CD42" s="1255">
        <f>CD36-BZ36</f>
        <v>17.409999999999911</v>
      </c>
      <c r="CH42" s="1255">
        <f>CH36-CD36</f>
        <v>4.3980000000000814</v>
      </c>
      <c r="CL42" s="1255">
        <f>CL36-CH36</f>
        <v>-24.941000000000003</v>
      </c>
      <c r="CP42" s="1255">
        <f t="shared" ref="CP42:CP43" si="7">CP36-CL36</f>
        <v>-8.974000000000018</v>
      </c>
    </row>
    <row r="43" spans="1:100">
      <c r="A43" s="410" t="str">
        <f>$A$13</f>
        <v>4Q</v>
      </c>
      <c r="B43" s="410" t="str">
        <f>$B$13</f>
        <v>Jan</v>
      </c>
      <c r="D43" s="1255"/>
      <c r="E43" s="1255"/>
      <c r="F43" s="1255">
        <f>F37-D37</f>
        <v>-0.59399999999999942</v>
      </c>
      <c r="G43" s="1255"/>
      <c r="H43" s="1255"/>
      <c r="I43" s="1255"/>
      <c r="J43" s="1255">
        <f>J37-F37</f>
        <v>8.5100000000000016</v>
      </c>
      <c r="K43" s="1255"/>
      <c r="L43" s="1255"/>
      <c r="M43" s="1255"/>
      <c r="N43" s="1255">
        <f>N37-J37</f>
        <v>-0.84699999999999953</v>
      </c>
      <c r="O43" s="1255"/>
      <c r="P43" s="1255"/>
      <c r="Q43" s="1255"/>
      <c r="R43" s="1255">
        <f>R37-N37</f>
        <v>-5.4109999999999943</v>
      </c>
      <c r="S43" s="1255"/>
      <c r="T43" s="1255"/>
      <c r="U43" s="1255"/>
      <c r="V43" s="1255">
        <f>V37-R37</f>
        <v>4.90899999999999</v>
      </c>
      <c r="W43" s="1256"/>
      <c r="X43" s="1256"/>
      <c r="Z43" s="1255">
        <f>Z37-V37</f>
        <v>1.0010000000000066</v>
      </c>
      <c r="AA43" s="1256"/>
      <c r="AB43" s="1256"/>
      <c r="AD43" s="1255">
        <f>AD37-Z37</f>
        <v>-2.0190000000000055</v>
      </c>
      <c r="AE43" s="1256"/>
      <c r="AF43" s="1256"/>
      <c r="AH43" s="1255">
        <f>AH37-AD37</f>
        <v>8.970000000000006</v>
      </c>
      <c r="AI43" s="1256"/>
      <c r="AJ43" s="1256"/>
      <c r="AL43" s="1255">
        <f>AL37-AH37</f>
        <v>8.8940000000000019</v>
      </c>
      <c r="AM43" s="1256"/>
      <c r="AN43" s="1256"/>
      <c r="AP43" s="1255">
        <f>AP37-AL37</f>
        <v>3.2219999999999942</v>
      </c>
      <c r="AQ43" s="1256"/>
      <c r="AR43" s="1256"/>
      <c r="AT43" s="1255">
        <f>AT37-AP37</f>
        <v>25.75800000000001</v>
      </c>
      <c r="AU43" s="1256"/>
      <c r="AV43" s="1256"/>
      <c r="AX43" s="1255">
        <f>AX37-AT37</f>
        <v>11.929000000000002</v>
      </c>
      <c r="AY43" s="1256"/>
      <c r="AZ43" s="1256"/>
      <c r="BB43" s="1255">
        <f>BB37-AX37</f>
        <v>9.0249999999999915</v>
      </c>
      <c r="BC43" s="1256"/>
      <c r="BD43" s="1256"/>
      <c r="BF43" s="1255">
        <f>BF37-BB37</f>
        <v>36.435000000000002</v>
      </c>
      <c r="BG43" s="1256"/>
      <c r="BH43" s="1256"/>
      <c r="BJ43" s="1255">
        <f>BJ37-BF37</f>
        <v>-1.1409999999999769</v>
      </c>
      <c r="BK43" s="1256"/>
      <c r="BL43" s="1256"/>
      <c r="BN43" s="1255">
        <f>BN37-BJ37</f>
        <v>20.147999999999925</v>
      </c>
      <c r="BO43" s="1256"/>
      <c r="BP43" s="1256"/>
      <c r="BR43" s="1255">
        <f>BR37-BN37</f>
        <v>-7.8769999999999527</v>
      </c>
      <c r="BS43" s="1256"/>
      <c r="BT43" s="1256"/>
      <c r="BV43" s="1255">
        <f>BV37-BR37</f>
        <v>15.978000000000037</v>
      </c>
      <c r="BW43" s="1256"/>
      <c r="BX43" s="1256"/>
      <c r="BZ43" s="1255">
        <f>BZ37-BV37</f>
        <v>-5.09800000000007</v>
      </c>
      <c r="CD43" s="1255">
        <f>CD37-BZ37</f>
        <v>53.471000000000004</v>
      </c>
      <c r="CH43" s="1255">
        <f>CH37-CD37</f>
        <v>-13.956999999999937</v>
      </c>
      <c r="CL43" s="1255">
        <f>CL37-CH37</f>
        <v>-9.5310000000001196</v>
      </c>
      <c r="CP43" s="1255">
        <f t="shared" si="7"/>
        <v>1.9360000000001492</v>
      </c>
    </row>
    <row r="48" spans="1:100">
      <c r="A48" s="541" t="s">
        <v>161</v>
      </c>
    </row>
  </sheetData>
  <phoneticPr fontId="0" type="noConversion"/>
  <printOptions horizontalCentered="1"/>
  <pageMargins left="0.25" right="0.25" top="0.75" bottom="0.25" header="0.5" footer="0.5"/>
  <pageSetup scale="80" orientation="landscape" r:id="rId1"/>
  <headerFooter alignWithMargins="0">
    <oddFooter>&amp;R&amp;8&amp;D/&amp;T
&amp;F/&amp;A</oddFooter>
  </headerFooter>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R2"/>
  <sheetViews>
    <sheetView workbookViewId="0"/>
  </sheetViews>
  <sheetFormatPr defaultRowHeight="12.75"/>
  <sheetData>
    <row r="1" spans="1:18">
      <c r="A1" t="s">
        <v>705</v>
      </c>
    </row>
    <row r="2" spans="1:18">
      <c r="A2" s="43" t="s">
        <v>117</v>
      </c>
      <c r="B2" s="43" t="s">
        <v>378</v>
      </c>
      <c r="C2" s="43" t="s">
        <v>119</v>
      </c>
      <c r="D2" s="43" t="s">
        <v>115</v>
      </c>
      <c r="E2" s="43" t="s">
        <v>118</v>
      </c>
      <c r="F2" s="43" t="s">
        <v>378</v>
      </c>
      <c r="G2" s="43" t="s">
        <v>113</v>
      </c>
      <c r="H2" s="43" t="s">
        <v>775</v>
      </c>
      <c r="I2" s="43" t="s">
        <v>110</v>
      </c>
      <c r="J2" s="43" t="s">
        <v>114</v>
      </c>
      <c r="K2" s="43" t="s">
        <v>109</v>
      </c>
      <c r="L2" s="43" t="s">
        <v>12</v>
      </c>
      <c r="M2" s="43" t="s">
        <v>704</v>
      </c>
      <c r="N2" s="43" t="s">
        <v>12</v>
      </c>
      <c r="O2" s="43" t="s">
        <v>683</v>
      </c>
      <c r="P2" s="43" t="s">
        <v>684</v>
      </c>
      <c r="Q2" s="43" t="s">
        <v>116</v>
      </c>
      <c r="R2" s="43" t="s">
        <v>378</v>
      </c>
    </row>
  </sheetData>
  <phoneticPr fontId="36" type="noConversion"/>
  <pageMargins left="0.75" right="0.75" top="1" bottom="1" header="0.5" footer="0.5"/>
  <pageSetup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W61"/>
  <sheetViews>
    <sheetView zoomScale="85" zoomScaleNormal="85" workbookViewId="0"/>
  </sheetViews>
  <sheetFormatPr defaultRowHeight="12.75" outlineLevelRow="1"/>
  <cols>
    <col min="1" max="1" width="2" style="1642" customWidth="1"/>
    <col min="2" max="2" width="32.140625" style="1712" customWidth="1"/>
    <col min="3" max="3" width="10.5703125" style="1642" customWidth="1"/>
    <col min="4" max="10" width="10.28515625" style="1642" bestFit="1" customWidth="1"/>
    <col min="11" max="11" width="11.28515625" style="1642" bestFit="1" customWidth="1"/>
    <col min="12" max="16384" width="9.140625" style="1642"/>
  </cols>
  <sheetData>
    <row r="1" spans="1:23">
      <c r="A1" s="1640"/>
      <c r="B1" s="1641"/>
      <c r="C1" s="1795" t="s">
        <v>733</v>
      </c>
      <c r="D1" s="1795"/>
      <c r="E1" s="1795"/>
      <c r="F1" s="1795"/>
      <c r="G1" s="1795"/>
      <c r="H1" s="1796" t="s">
        <v>734</v>
      </c>
      <c r="I1" s="1796"/>
      <c r="J1" s="1796"/>
      <c r="K1" s="1640"/>
      <c r="L1" s="1640"/>
      <c r="M1" s="1640"/>
      <c r="N1" s="1640"/>
      <c r="O1" s="1640"/>
      <c r="P1" s="1640"/>
      <c r="Q1" s="1640"/>
      <c r="R1" s="1640"/>
      <c r="S1" s="1640"/>
      <c r="T1" s="1640"/>
      <c r="U1" s="1640"/>
      <c r="V1" s="1640"/>
      <c r="W1" s="1640"/>
    </row>
    <row r="2" spans="1:23" s="1647" customFormat="1">
      <c r="A2" s="1643"/>
      <c r="B2" s="1644" t="s">
        <v>703</v>
      </c>
      <c r="C2" s="940">
        <v>2017</v>
      </c>
      <c r="D2" s="940">
        <v>2018</v>
      </c>
      <c r="E2" s="940">
        <v>2019</v>
      </c>
      <c r="F2" s="940">
        <v>2020</v>
      </c>
      <c r="G2" s="940">
        <v>2021</v>
      </c>
      <c r="H2" s="1645">
        <f>G2+1</f>
        <v>2022</v>
      </c>
      <c r="I2" s="1645">
        <f>H2+1</f>
        <v>2023</v>
      </c>
      <c r="J2" s="1645">
        <f>I2+1</f>
        <v>2024</v>
      </c>
      <c r="K2" s="1643"/>
      <c r="L2" s="1646"/>
      <c r="M2" s="1646"/>
      <c r="N2" s="1646"/>
      <c r="O2" s="1646"/>
      <c r="P2" s="1643"/>
      <c r="Q2" s="1643"/>
      <c r="R2" s="1643"/>
      <c r="S2" s="1643"/>
      <c r="T2" s="1643"/>
      <c r="U2" s="1643"/>
      <c r="V2" s="1643"/>
      <c r="W2" s="1643"/>
    </row>
    <row r="3" spans="1:23" s="1647" customFormat="1">
      <c r="A3" s="1643"/>
      <c r="B3" s="1648"/>
      <c r="C3" s="1646"/>
      <c r="D3" s="1646"/>
      <c r="E3" s="1646"/>
      <c r="F3" s="1646"/>
      <c r="G3" s="1646"/>
      <c r="H3" s="1649"/>
      <c r="I3" s="1649"/>
      <c r="J3" s="1649"/>
      <c r="K3" s="1643"/>
      <c r="L3" s="1646"/>
      <c r="M3" s="1646"/>
      <c r="N3" s="1646"/>
      <c r="O3" s="1646"/>
      <c r="P3" s="1643"/>
      <c r="Q3" s="1643"/>
      <c r="R3" s="1643"/>
      <c r="S3" s="1643"/>
      <c r="T3" s="1643"/>
      <c r="U3" s="1643"/>
      <c r="V3" s="1643"/>
      <c r="W3" s="1643"/>
    </row>
    <row r="4" spans="1:23">
      <c r="A4" s="1640"/>
      <c r="B4" s="1641" t="s">
        <v>735</v>
      </c>
      <c r="C4" s="1650">
        <f>'yrP&amp;L'!Y7</f>
        <v>3616.0140000000001</v>
      </c>
      <c r="D4" s="1650">
        <f>'yrP&amp;L'!Z7</f>
        <v>3780.8670300681124</v>
      </c>
      <c r="E4" s="1650">
        <f>'yrP&amp;L'!AA7</f>
        <v>3842.0676519982039</v>
      </c>
      <c r="F4" s="1650">
        <f>'yrP&amp;L'!AB7</f>
        <v>3916.705838467351</v>
      </c>
      <c r="G4" s="1650">
        <f>'yrP&amp;L'!AC7</f>
        <v>3984.0831573459695</v>
      </c>
      <c r="H4" s="1651">
        <f>G4*(1+H5)</f>
        <v>4023.9239889194291</v>
      </c>
      <c r="I4" s="1651">
        <f>H4*(1+I5)</f>
        <v>4064.1632288086234</v>
      </c>
      <c r="J4" s="1651">
        <f>I4*(1+J5)</f>
        <v>4104.8048610967098</v>
      </c>
      <c r="K4" s="1640"/>
      <c r="L4" s="1640"/>
      <c r="M4" s="1640"/>
      <c r="N4" s="1640"/>
      <c r="O4" s="1640"/>
      <c r="P4" s="1640"/>
      <c r="Q4" s="1640"/>
      <c r="R4" s="1640"/>
      <c r="S4" s="1640"/>
      <c r="T4" s="1640"/>
      <c r="U4" s="1640"/>
      <c r="V4" s="1640"/>
      <c r="W4" s="1640"/>
    </row>
    <row r="5" spans="1:23">
      <c r="A5" s="1640"/>
      <c r="B5" s="1641" t="s">
        <v>736</v>
      </c>
      <c r="C5" s="1652">
        <f>'yrP&amp;L'!Y8</f>
        <v>1.9803744944009792E-2</v>
      </c>
      <c r="D5" s="1652">
        <f>D4/C4-1</f>
        <v>4.5589710125047089E-2</v>
      </c>
      <c r="E5" s="1652">
        <f>E4/D4-1</f>
        <v>1.6186927877489765E-2</v>
      </c>
      <c r="F5" s="1652">
        <f>F4/E4-1</f>
        <v>1.9426567470858691E-2</v>
      </c>
      <c r="G5" s="1652">
        <f>G4/F4-1</f>
        <v>1.720254766566387E-2</v>
      </c>
      <c r="H5" s="1653">
        <v>0.01</v>
      </c>
      <c r="I5" s="1653">
        <v>0.01</v>
      </c>
      <c r="J5" s="1653">
        <v>0.01</v>
      </c>
      <c r="K5" s="1640"/>
      <c r="L5" s="1640"/>
      <c r="M5" s="1640"/>
      <c r="N5" s="1640"/>
      <c r="O5" s="1640"/>
      <c r="P5" s="1640"/>
      <c r="Q5" s="1640"/>
      <c r="R5" s="1640"/>
      <c r="S5" s="1640"/>
      <c r="T5" s="1640"/>
      <c r="U5" s="1640"/>
      <c r="V5" s="1640"/>
      <c r="W5" s="1640"/>
    </row>
    <row r="6" spans="1:23">
      <c r="A6" s="1640"/>
      <c r="B6" s="1641" t="s">
        <v>544</v>
      </c>
      <c r="C6" s="1650">
        <f>'yrP&amp;L'!Y33</f>
        <v>273.36299999999983</v>
      </c>
      <c r="D6" s="1650">
        <f>'yrP&amp;L'!Z33</f>
        <v>304.24367565408249</v>
      </c>
      <c r="E6" s="1650">
        <f>'yrP&amp;L'!AA33</f>
        <v>305.82858509905702</v>
      </c>
      <c r="F6" s="1650">
        <f>'yrP&amp;L'!AB33</f>
        <v>312.16145532584801</v>
      </c>
      <c r="G6" s="1650">
        <f>'yrP&amp;L'!AC33</f>
        <v>317.92983595620797</v>
      </c>
      <c r="H6" s="1651">
        <f>H4*H7</f>
        <v>269.60290725760177</v>
      </c>
      <c r="I6" s="1651">
        <f>I4*I7</f>
        <v>260.10644664375189</v>
      </c>
      <c r="J6" s="1651">
        <f>J4*J7</f>
        <v>250.39309652689928</v>
      </c>
      <c r="K6" s="1640"/>
      <c r="L6" s="1640"/>
      <c r="M6" s="1640"/>
      <c r="N6" s="1640"/>
      <c r="O6" s="1640"/>
      <c r="P6" s="1640"/>
      <c r="Q6" s="1640"/>
      <c r="R6" s="1640"/>
      <c r="S6" s="1640"/>
      <c r="T6" s="1640"/>
      <c r="U6" s="1640"/>
      <c r="V6" s="1640"/>
      <c r="W6" s="1640"/>
    </row>
    <row r="7" spans="1:23">
      <c r="A7" s="1640"/>
      <c r="B7" s="1641" t="s">
        <v>685</v>
      </c>
      <c r="C7" s="1652">
        <f>C6/C4</f>
        <v>7.5597882087845847E-2</v>
      </c>
      <c r="D7" s="1652">
        <f>D6/D4</f>
        <v>8.0469287397446909E-2</v>
      </c>
      <c r="E7" s="1652">
        <f>E6/E4</f>
        <v>7.9600000000000004E-2</v>
      </c>
      <c r="F7" s="1652">
        <f>F6/F4</f>
        <v>7.9700000000000035E-2</v>
      </c>
      <c r="G7" s="1652">
        <f>G6/G4</f>
        <v>7.9799999999999899E-2</v>
      </c>
      <c r="H7" s="1653">
        <v>6.7000000000000004E-2</v>
      </c>
      <c r="I7" s="1653">
        <v>6.4000000000000001E-2</v>
      </c>
      <c r="J7" s="1653">
        <v>6.0999999999999999E-2</v>
      </c>
      <c r="K7" s="1640"/>
      <c r="L7" s="1640"/>
      <c r="M7" s="1640"/>
      <c r="N7" s="1640"/>
      <c r="O7" s="1640"/>
      <c r="P7" s="1640"/>
      <c r="Q7" s="1640"/>
      <c r="R7" s="1640"/>
      <c r="S7" s="1640"/>
      <c r="T7" s="1640"/>
      <c r="U7" s="1640"/>
      <c r="V7" s="1640"/>
      <c r="W7" s="1640"/>
    </row>
    <row r="8" spans="1:23" s="1658" customFormat="1">
      <c r="A8" s="1654"/>
      <c r="B8" s="1655" t="s">
        <v>422</v>
      </c>
      <c r="C8" s="1656">
        <v>0.38</v>
      </c>
      <c r="D8" s="1656">
        <v>0.38</v>
      </c>
      <c r="E8" s="1656">
        <v>0.38</v>
      </c>
      <c r="F8" s="1656">
        <v>0.38</v>
      </c>
      <c r="G8" s="1656">
        <v>0.38</v>
      </c>
      <c r="H8" s="1657">
        <f>G8</f>
        <v>0.38</v>
      </c>
      <c r="I8" s="1657">
        <f>H8</f>
        <v>0.38</v>
      </c>
      <c r="J8" s="1657">
        <f>I8</f>
        <v>0.38</v>
      </c>
      <c r="K8" s="1654"/>
      <c r="L8" s="1654"/>
      <c r="M8" s="1654"/>
      <c r="N8" s="1654"/>
      <c r="O8" s="1654"/>
      <c r="P8" s="1654"/>
      <c r="Q8" s="1654"/>
      <c r="R8" s="1654"/>
      <c r="S8" s="1654"/>
      <c r="T8" s="1654"/>
      <c r="U8" s="1654"/>
      <c r="V8" s="1654"/>
      <c r="W8" s="1654"/>
    </row>
    <row r="9" spans="1:23">
      <c r="A9" s="1640"/>
      <c r="B9" s="1641" t="s">
        <v>737</v>
      </c>
      <c r="C9" s="1659">
        <f t="shared" ref="C9:J9" si="0">-C6*C8</f>
        <v>-103.87793999999994</v>
      </c>
      <c r="D9" s="1659">
        <f t="shared" si="0"/>
        <v>-115.61259674855135</v>
      </c>
      <c r="E9" s="1659">
        <f t="shared" si="0"/>
        <v>-116.21486233764168</v>
      </c>
      <c r="F9" s="1659">
        <f t="shared" si="0"/>
        <v>-118.62135302382225</v>
      </c>
      <c r="G9" s="1659">
        <f t="shared" si="0"/>
        <v>-120.81333766335902</v>
      </c>
      <c r="H9" s="1660">
        <f t="shared" si="0"/>
        <v>-102.44910475788868</v>
      </c>
      <c r="I9" s="1660">
        <f t="shared" si="0"/>
        <v>-98.840449724625728</v>
      </c>
      <c r="J9" s="1660">
        <f t="shared" si="0"/>
        <v>-95.149376680221735</v>
      </c>
      <c r="K9" s="1640"/>
      <c r="L9" s="1640"/>
      <c r="M9" s="1640"/>
      <c r="N9" s="1640"/>
      <c r="O9" s="1640"/>
      <c r="P9" s="1640"/>
      <c r="Q9" s="1640"/>
      <c r="R9" s="1640"/>
      <c r="S9" s="1640"/>
      <c r="T9" s="1640"/>
      <c r="U9" s="1640"/>
      <c r="V9" s="1640"/>
      <c r="W9" s="1640"/>
    </row>
    <row r="10" spans="1:23">
      <c r="A10" s="1640"/>
      <c r="B10" s="1641" t="s">
        <v>682</v>
      </c>
      <c r="C10" s="1661">
        <f>C6+C9</f>
        <v>169.48505999999989</v>
      </c>
      <c r="D10" s="1661">
        <f t="shared" ref="D10:J10" si="1">D6+D9</f>
        <v>188.63107890553113</v>
      </c>
      <c r="E10" s="1661">
        <f t="shared" si="1"/>
        <v>189.61372276141535</v>
      </c>
      <c r="F10" s="1661">
        <f t="shared" si="1"/>
        <v>193.54010230202576</v>
      </c>
      <c r="G10" s="1661">
        <f>G6+G9</f>
        <v>197.11649829284895</v>
      </c>
      <c r="H10" s="1662">
        <f t="shared" si="1"/>
        <v>167.15380249971309</v>
      </c>
      <c r="I10" s="1662">
        <f t="shared" si="1"/>
        <v>161.26599691912617</v>
      </c>
      <c r="J10" s="1662">
        <f t="shared" si="1"/>
        <v>155.24371984667755</v>
      </c>
      <c r="K10" s="1640"/>
      <c r="L10" s="1640"/>
      <c r="M10" s="1640"/>
      <c r="N10" s="1640"/>
      <c r="O10" s="1640"/>
      <c r="P10" s="1640"/>
      <c r="Q10" s="1640"/>
      <c r="R10" s="1640"/>
      <c r="S10" s="1640"/>
      <c r="T10" s="1640"/>
      <c r="U10" s="1640"/>
      <c r="V10" s="1640"/>
      <c r="W10" s="1640"/>
    </row>
    <row r="11" spans="1:23" s="1667" customFormat="1" hidden="1">
      <c r="A11" s="1663"/>
      <c r="B11" s="1664" t="s">
        <v>738</v>
      </c>
      <c r="C11" s="1665">
        <f t="shared" ref="C11:J11" si="2">C10/C4</f>
        <v>4.6870686894464428E-2</v>
      </c>
      <c r="D11" s="1665">
        <f t="shared" si="2"/>
        <v>4.9890958186417082E-2</v>
      </c>
      <c r="E11" s="1665">
        <f t="shared" si="2"/>
        <v>4.9351999999999993E-2</v>
      </c>
      <c r="F11" s="1665">
        <f t="shared" si="2"/>
        <v>4.941400000000002E-2</v>
      </c>
      <c r="G11" s="1665">
        <f t="shared" si="2"/>
        <v>4.9475999999999937E-2</v>
      </c>
      <c r="H11" s="1666">
        <f t="shared" si="2"/>
        <v>4.1540000000000001E-2</v>
      </c>
      <c r="I11" s="1666">
        <f t="shared" si="2"/>
        <v>3.968E-2</v>
      </c>
      <c r="J11" s="1666">
        <f t="shared" si="2"/>
        <v>3.7819999999999999E-2</v>
      </c>
      <c r="K11" s="1663"/>
      <c r="L11" s="1663"/>
      <c r="M11" s="1663"/>
      <c r="N11" s="1663"/>
      <c r="O11" s="1663"/>
      <c r="P11" s="1663"/>
      <c r="Q11" s="1663"/>
      <c r="R11" s="1663"/>
      <c r="S11" s="1663"/>
      <c r="T11" s="1663"/>
      <c r="U11" s="1663"/>
      <c r="V11" s="1663"/>
      <c r="W11" s="1663"/>
    </row>
    <row r="12" spans="1:23" ht="6.75" customHeight="1">
      <c r="A12" s="1640"/>
      <c r="B12" s="1641"/>
      <c r="C12" s="1640"/>
      <c r="D12" s="1640"/>
      <c r="E12" s="1640"/>
      <c r="F12" s="1640"/>
      <c r="G12" s="1640"/>
      <c r="H12" s="1668"/>
      <c r="I12" s="1668"/>
      <c r="J12" s="1668"/>
      <c r="K12" s="1640"/>
      <c r="L12" s="1640"/>
      <c r="M12" s="1640"/>
      <c r="N12" s="1640"/>
      <c r="O12" s="1640"/>
      <c r="P12" s="1640"/>
      <c r="Q12" s="1640"/>
      <c r="R12" s="1640"/>
      <c r="S12" s="1640"/>
      <c r="T12" s="1640"/>
      <c r="U12" s="1640"/>
      <c r="V12" s="1640"/>
      <c r="W12" s="1640"/>
    </row>
    <row r="13" spans="1:23">
      <c r="A13" s="1640"/>
      <c r="B13" s="1669" t="s">
        <v>739</v>
      </c>
      <c r="C13" s="1659">
        <f>'yrP&amp;L'!Y18</f>
        <v>131.66999999999999</v>
      </c>
      <c r="D13" s="1659">
        <f>'yrP&amp;L'!Z18</f>
        <v>132.99</v>
      </c>
      <c r="E13" s="1659">
        <f>'yrP&amp;L'!AA18</f>
        <v>134.64000000000001</v>
      </c>
      <c r="F13" s="1659">
        <f>'yrP&amp;L'!AB18</f>
        <v>137.28</v>
      </c>
      <c r="G13" s="1659">
        <f>'yrP&amp;L'!AC18</f>
        <v>139.26</v>
      </c>
      <c r="H13" s="1660">
        <f>H14*H4</f>
        <v>152.90911157893831</v>
      </c>
      <c r="I13" s="1660">
        <f>I14*I4</f>
        <v>154.43820269472769</v>
      </c>
      <c r="J13" s="1660">
        <f>J14*J4</f>
        <v>155.98258472167498</v>
      </c>
      <c r="K13" s="1640"/>
      <c r="L13" s="1640"/>
      <c r="M13" s="1640"/>
      <c r="N13" s="1640"/>
      <c r="O13" s="1640"/>
      <c r="P13" s="1640"/>
      <c r="Q13" s="1640"/>
      <c r="R13" s="1640"/>
      <c r="S13" s="1640"/>
      <c r="T13" s="1640"/>
      <c r="U13" s="1640"/>
      <c r="V13" s="1640"/>
      <c r="W13" s="1640"/>
    </row>
    <row r="14" spans="1:23">
      <c r="A14" s="1640"/>
      <c r="B14" s="1641"/>
      <c r="C14" s="1652">
        <f>C13/C4</f>
        <v>3.6413022737190728E-2</v>
      </c>
      <c r="D14" s="1652">
        <f>D13/D4</f>
        <v>3.5174471607271572E-2</v>
      </c>
      <c r="E14" s="1652">
        <f>E13/E4</f>
        <v>3.5043630720551132E-2</v>
      </c>
      <c r="F14" s="1652">
        <f>F13/F4</f>
        <v>3.504986222139142E-2</v>
      </c>
      <c r="G14" s="1652">
        <f>G13/G4</f>
        <v>3.4954089686413378E-2</v>
      </c>
      <c r="H14" s="1670">
        <v>3.7999999999999999E-2</v>
      </c>
      <c r="I14" s="1670">
        <v>3.7999999999999999E-2</v>
      </c>
      <c r="J14" s="1670">
        <v>3.7999999999999999E-2</v>
      </c>
      <c r="K14" s="1640"/>
      <c r="L14" s="1640"/>
      <c r="M14" s="1640"/>
      <c r="N14" s="1640"/>
      <c r="O14" s="1640"/>
      <c r="P14" s="1640"/>
      <c r="Q14" s="1640"/>
      <c r="R14" s="1640"/>
      <c r="S14" s="1640"/>
      <c r="T14" s="1640"/>
      <c r="U14" s="1640"/>
      <c r="V14" s="1640"/>
      <c r="W14" s="1640"/>
    </row>
    <row r="15" spans="1:23">
      <c r="A15" s="1640"/>
      <c r="B15" s="1669" t="s">
        <v>740</v>
      </c>
      <c r="C15" s="1650">
        <f>-flow!AV20</f>
        <v>-90</v>
      </c>
      <c r="D15" s="1650">
        <f>-flow!AX20</f>
        <v>-110</v>
      </c>
      <c r="E15" s="1650">
        <f>-flow!AZ20</f>
        <v>-80</v>
      </c>
      <c r="F15" s="1650">
        <f>-flow!BB20</f>
        <v>-80</v>
      </c>
      <c r="G15" s="1650">
        <f>-flow!BD20</f>
        <v>-80</v>
      </c>
      <c r="H15" s="1651">
        <f>G15</f>
        <v>-80</v>
      </c>
      <c r="I15" s="1651">
        <f>H15</f>
        <v>-80</v>
      </c>
      <c r="J15" s="1651">
        <f>I15</f>
        <v>-80</v>
      </c>
      <c r="K15" s="1640"/>
      <c r="L15" s="1640"/>
      <c r="M15" s="1640"/>
      <c r="N15" s="1640"/>
      <c r="O15" s="1640"/>
      <c r="P15" s="1640"/>
      <c r="Q15" s="1640"/>
      <c r="R15" s="1640"/>
      <c r="S15" s="1640"/>
      <c r="T15" s="1640"/>
      <c r="U15" s="1640"/>
      <c r="V15" s="1640"/>
      <c r="W15" s="1640"/>
    </row>
    <row r="16" spans="1:23">
      <c r="A16" s="1640"/>
      <c r="B16" s="1669"/>
      <c r="C16" s="1650"/>
      <c r="D16" s="1650"/>
      <c r="E16" s="1650"/>
      <c r="F16" s="1650"/>
      <c r="G16" s="1650"/>
      <c r="H16" s="1672"/>
      <c r="I16" s="1672"/>
      <c r="J16" s="1672"/>
      <c r="K16" s="1640"/>
      <c r="L16" s="1640"/>
      <c r="M16" s="1640"/>
      <c r="N16" s="1640"/>
      <c r="O16" s="1640"/>
      <c r="P16" s="1640"/>
      <c r="Q16" s="1640"/>
      <c r="R16" s="1640"/>
      <c r="S16" s="1640"/>
      <c r="T16" s="1640"/>
      <c r="U16" s="1640"/>
      <c r="V16" s="1640"/>
      <c r="W16" s="1640"/>
    </row>
    <row r="17" spans="1:23">
      <c r="A17" s="1640"/>
      <c r="B17" s="1669" t="s">
        <v>741</v>
      </c>
      <c r="C17" s="1659">
        <f>flow!AV29</f>
        <v>-53.101999999999997</v>
      </c>
      <c r="D17" s="1659">
        <f>flow!AX29</f>
        <v>4.2117840535145774</v>
      </c>
      <c r="E17" s="1659">
        <f>flow!AZ29</f>
        <v>-1.4726033321190783</v>
      </c>
      <c r="F17" s="1659">
        <f>flow!BB29</f>
        <v>1.1780928760745866</v>
      </c>
      <c r="G17" s="1659">
        <f>flow!BD29</f>
        <v>0.22798901193689858</v>
      </c>
      <c r="H17" s="1660">
        <f>G17</f>
        <v>0.22798901193689858</v>
      </c>
      <c r="I17" s="1660">
        <f>H17</f>
        <v>0.22798901193689858</v>
      </c>
      <c r="J17" s="1660">
        <f>I17</f>
        <v>0.22798901193689858</v>
      </c>
      <c r="K17" s="1640"/>
      <c r="L17" s="1640"/>
      <c r="M17" s="1640"/>
      <c r="N17" s="1640"/>
      <c r="O17" s="1640"/>
      <c r="P17" s="1640"/>
      <c r="Q17" s="1640"/>
      <c r="R17" s="1640"/>
      <c r="S17" s="1640"/>
      <c r="T17" s="1640"/>
      <c r="U17" s="1640"/>
      <c r="V17" s="1640"/>
      <c r="W17" s="1640"/>
    </row>
    <row r="18" spans="1:23">
      <c r="A18" s="1640"/>
      <c r="B18" s="1641" t="s">
        <v>742</v>
      </c>
      <c r="C18" s="1661">
        <f t="shared" ref="C18:J18" si="3">SUM(C15:C17)</f>
        <v>-143.102</v>
      </c>
      <c r="D18" s="1661">
        <f t="shared" si="3"/>
        <v>-105.78821594648542</v>
      </c>
      <c r="E18" s="1661">
        <f t="shared" si="3"/>
        <v>-81.472603332119078</v>
      </c>
      <c r="F18" s="1661">
        <f t="shared" si="3"/>
        <v>-78.821907123925413</v>
      </c>
      <c r="G18" s="1661">
        <f t="shared" si="3"/>
        <v>-79.772010988063101</v>
      </c>
      <c r="H18" s="1662">
        <f t="shared" si="3"/>
        <v>-79.772010988063101</v>
      </c>
      <c r="I18" s="1662">
        <f t="shared" si="3"/>
        <v>-79.772010988063101</v>
      </c>
      <c r="J18" s="1662">
        <f t="shared" si="3"/>
        <v>-79.772010988063101</v>
      </c>
      <c r="K18" s="1640"/>
      <c r="L18" s="1640"/>
      <c r="M18" s="1640"/>
      <c r="N18" s="1640"/>
      <c r="O18" s="1640"/>
      <c r="P18" s="1640"/>
      <c r="Q18" s="1640"/>
      <c r="R18" s="1640"/>
      <c r="S18" s="1640"/>
      <c r="T18" s="1640"/>
      <c r="U18" s="1640"/>
      <c r="V18" s="1640"/>
      <c r="W18" s="1640"/>
    </row>
    <row r="19" spans="1:23" s="1667" customFormat="1">
      <c r="A19" s="1663"/>
      <c r="B19" s="1663" t="s">
        <v>743</v>
      </c>
      <c r="C19" s="1673"/>
      <c r="D19" s="1673"/>
      <c r="E19" s="1673"/>
      <c r="F19" s="1673"/>
      <c r="G19" s="1673"/>
      <c r="H19" s="1674"/>
      <c r="I19" s="1674"/>
      <c r="J19" s="1674"/>
      <c r="K19" s="1663"/>
      <c r="L19" s="1663"/>
      <c r="M19" s="1663"/>
      <c r="N19" s="1663"/>
      <c r="O19" s="1663"/>
      <c r="P19" s="1663"/>
      <c r="Q19" s="1663"/>
      <c r="R19" s="1663"/>
      <c r="S19" s="1663"/>
      <c r="T19" s="1663"/>
      <c r="U19" s="1663"/>
      <c r="V19" s="1663"/>
      <c r="W19" s="1663"/>
    </row>
    <row r="20" spans="1:23" ht="9" customHeight="1">
      <c r="A20" s="1640"/>
      <c r="B20" s="1641"/>
      <c r="C20" s="1675"/>
      <c r="D20" s="1675"/>
      <c r="E20" s="1675"/>
      <c r="F20" s="1675"/>
      <c r="G20" s="1675"/>
      <c r="H20" s="1676"/>
      <c r="I20" s="1676"/>
      <c r="J20" s="1676"/>
      <c r="K20" s="1640"/>
      <c r="L20" s="1640"/>
      <c r="M20" s="1640"/>
      <c r="N20" s="1640"/>
      <c r="O20" s="1640"/>
      <c r="P20" s="1640"/>
      <c r="Q20" s="1640"/>
      <c r="R20" s="1640"/>
      <c r="S20" s="1640"/>
      <c r="T20" s="1640"/>
      <c r="U20" s="1640"/>
      <c r="V20" s="1640"/>
      <c r="W20" s="1640"/>
    </row>
    <row r="21" spans="1:23">
      <c r="A21" s="1640"/>
      <c r="B21" s="1648" t="s">
        <v>744</v>
      </c>
      <c r="C21" s="1677">
        <f t="shared" ref="C21:J21" si="4">C10+C13+C18</f>
        <v>158.05305999999987</v>
      </c>
      <c r="D21" s="1677">
        <f t="shared" si="4"/>
        <v>215.83286295904571</v>
      </c>
      <c r="E21" s="1677">
        <f t="shared" si="4"/>
        <v>242.78111942929627</v>
      </c>
      <c r="F21" s="1677">
        <f t="shared" si="4"/>
        <v>251.99819517810033</v>
      </c>
      <c r="G21" s="1677">
        <f t="shared" si="4"/>
        <v>256.60448730478583</v>
      </c>
      <c r="H21" s="1678">
        <f t="shared" si="4"/>
        <v>240.29090309058827</v>
      </c>
      <c r="I21" s="1678">
        <f t="shared" si="4"/>
        <v>235.93218862579076</v>
      </c>
      <c r="J21" s="1678">
        <f t="shared" si="4"/>
        <v>231.45429358028943</v>
      </c>
      <c r="K21" s="1640"/>
      <c r="L21" s="1640"/>
      <c r="M21" s="1640"/>
      <c r="N21" s="1640"/>
      <c r="O21" s="1640"/>
      <c r="P21" s="1640"/>
      <c r="Q21" s="1640"/>
      <c r="R21" s="1640"/>
      <c r="S21" s="1640"/>
      <c r="T21" s="1640"/>
      <c r="U21" s="1640"/>
      <c r="V21" s="1640"/>
      <c r="W21" s="1640"/>
    </row>
    <row r="22" spans="1:23" s="1680" customFormat="1">
      <c r="A22" s="1679"/>
      <c r="B22" s="1673"/>
      <c r="C22" s="1673"/>
      <c r="D22" s="1673"/>
      <c r="E22" s="1673"/>
      <c r="F22" s="1673"/>
      <c r="G22" s="1673"/>
      <c r="H22" s="1674"/>
      <c r="I22" s="1674"/>
      <c r="J22" s="1674"/>
      <c r="K22" s="1679"/>
      <c r="L22" s="1679"/>
      <c r="M22" s="1679"/>
      <c r="N22" s="1679"/>
      <c r="O22" s="1679"/>
      <c r="P22" s="1679"/>
      <c r="Q22" s="1679"/>
      <c r="R22" s="1679"/>
      <c r="S22" s="1679"/>
      <c r="T22" s="1679"/>
      <c r="U22" s="1679"/>
      <c r="V22" s="1679"/>
      <c r="W22" s="1679"/>
    </row>
    <row r="23" spans="1:23" s="1684" customFormat="1" ht="11.25">
      <c r="A23" s="1681"/>
      <c r="B23" s="1682"/>
      <c r="C23" s="1683">
        <v>0</v>
      </c>
      <c r="D23" s="1683">
        <v>1</v>
      </c>
      <c r="E23" s="1683">
        <f t="shared" ref="E23:J23" si="5">D23+1</f>
        <v>2</v>
      </c>
      <c r="F23" s="1683">
        <f t="shared" si="5"/>
        <v>3</v>
      </c>
      <c r="G23" s="1683">
        <f t="shared" si="5"/>
        <v>4</v>
      </c>
      <c r="H23" s="1683">
        <f t="shared" si="5"/>
        <v>5</v>
      </c>
      <c r="I23" s="1683">
        <f t="shared" si="5"/>
        <v>6</v>
      </c>
      <c r="J23" s="1683">
        <f t="shared" si="5"/>
        <v>7</v>
      </c>
      <c r="K23" s="1681"/>
      <c r="L23" s="1681"/>
      <c r="M23" s="1681"/>
      <c r="N23" s="1681"/>
      <c r="O23" s="1681"/>
      <c r="P23" s="1681"/>
      <c r="Q23" s="1681"/>
      <c r="R23" s="1681"/>
      <c r="S23" s="1681"/>
      <c r="T23" s="1681"/>
      <c r="U23" s="1681"/>
      <c r="V23" s="1681"/>
      <c r="W23" s="1681"/>
    </row>
    <row r="24" spans="1:23">
      <c r="A24" s="1640"/>
      <c r="B24" s="1685" t="s">
        <v>745</v>
      </c>
      <c r="C24" s="1686">
        <f>1/(1+$H$39)^C23</f>
        <v>1</v>
      </c>
      <c r="D24" s="1686">
        <f t="shared" ref="D24:J24" si="6">1/(1+$H$39)^D23</f>
        <v>0.92397804332496081</v>
      </c>
      <c r="E24" s="1686">
        <f t="shared" si="6"/>
        <v>0.8537354245466231</v>
      </c>
      <c r="F24" s="1686">
        <f t="shared" si="6"/>
        <v>0.78883278708979365</v>
      </c>
      <c r="G24" s="1686">
        <f t="shared" si="6"/>
        <v>0.72886417512580293</v>
      </c>
      <c r="H24" s="1686">
        <f t="shared" si="6"/>
        <v>0.67345449438240101</v>
      </c>
      <c r="I24" s="1686">
        <f>1/(1+$H$39)^I23</f>
        <v>0.62225716598785163</v>
      </c>
      <c r="J24" s="1686">
        <f t="shared" si="6"/>
        <v>0.57495195867439053</v>
      </c>
      <c r="K24" s="1640"/>
      <c r="L24" s="1640"/>
      <c r="M24" s="1640"/>
      <c r="N24" s="1640"/>
      <c r="O24" s="1640"/>
      <c r="P24" s="1640"/>
      <c r="Q24" s="1640"/>
      <c r="R24" s="1640"/>
      <c r="S24" s="1640"/>
      <c r="T24" s="1640"/>
      <c r="U24" s="1640"/>
      <c r="V24" s="1640"/>
      <c r="W24" s="1640"/>
    </row>
    <row r="25" spans="1:23">
      <c r="B25" s="1687" t="s">
        <v>746</v>
      </c>
      <c r="C25" s="1688">
        <f t="shared" ref="C25:J25" si="7">C21*C24</f>
        <v>158.05305999999987</v>
      </c>
      <c r="D25" s="1688">
        <f t="shared" si="7"/>
        <v>199.42482640212347</v>
      </c>
      <c r="E25" s="1688">
        <f t="shared" si="7"/>
        <v>207.27084206787467</v>
      </c>
      <c r="F25" s="1688">
        <f t="shared" si="7"/>
        <v>198.78443864393867</v>
      </c>
      <c r="G25" s="1688">
        <f t="shared" si="7"/>
        <v>187.0298179729823</v>
      </c>
      <c r="H25" s="1688">
        <f t="shared" si="7"/>
        <v>161.82498864556266</v>
      </c>
      <c r="I25" s="1688">
        <f t="shared" si="7"/>
        <v>146.81049505959581</v>
      </c>
      <c r="J25" s="1689">
        <f t="shared" si="7"/>
        <v>133.07509943758481</v>
      </c>
      <c r="K25" s="1640"/>
      <c r="L25" s="1640"/>
      <c r="M25" s="1640"/>
      <c r="N25" s="1640"/>
      <c r="O25" s="1640"/>
      <c r="P25" s="1640"/>
      <c r="Q25" s="1640"/>
      <c r="R25" s="1640"/>
      <c r="S25" s="1640"/>
      <c r="T25" s="1640"/>
      <c r="U25" s="1640"/>
      <c r="V25" s="1640"/>
      <c r="W25" s="1640"/>
    </row>
    <row r="26" spans="1:23">
      <c r="A26" s="1640"/>
      <c r="B26" s="1685" t="s">
        <v>747</v>
      </c>
      <c r="C26" s="1640"/>
      <c r="D26" s="1640"/>
      <c r="E26" s="1640"/>
      <c r="F26" s="1640"/>
      <c r="G26" s="1640"/>
      <c r="H26" s="1640"/>
      <c r="I26" s="1640"/>
      <c r="J26" s="1685">
        <f>(J21*(1+C28))/(H39-C28)</f>
        <v>2638.6969058488398</v>
      </c>
      <c r="K26" s="1640"/>
      <c r="L26" s="1640"/>
      <c r="M26" s="1640"/>
      <c r="N26" s="1640"/>
      <c r="O26" s="1640"/>
      <c r="P26" s="1640"/>
      <c r="Q26" s="1640"/>
      <c r="R26" s="1640"/>
      <c r="S26" s="1640"/>
      <c r="T26" s="1640"/>
      <c r="U26" s="1640"/>
      <c r="V26" s="1640"/>
      <c r="W26" s="1640"/>
    </row>
    <row r="27" spans="1:23">
      <c r="B27" s="1690" t="s">
        <v>748</v>
      </c>
      <c r="C27" s="1691"/>
      <c r="D27" s="1691"/>
      <c r="E27" s="1691"/>
      <c r="F27" s="1691"/>
      <c r="G27" s="1691"/>
      <c r="H27" s="1691"/>
      <c r="I27" s="1691"/>
      <c r="J27" s="1689">
        <f>J26*J24</f>
        <v>1517.1239543658444</v>
      </c>
      <c r="K27" s="1640"/>
      <c r="L27" s="1640"/>
      <c r="M27" s="1640"/>
      <c r="N27" s="1640"/>
      <c r="O27" s="1640"/>
      <c r="P27" s="1640"/>
      <c r="Q27" s="1640"/>
      <c r="R27" s="1640"/>
      <c r="S27" s="1640"/>
      <c r="T27" s="1640"/>
      <c r="U27" s="1640"/>
      <c r="V27" s="1640"/>
      <c r="W27" s="1640"/>
    </row>
    <row r="28" spans="1:23">
      <c r="A28" s="1640"/>
      <c r="B28" s="1685" t="s">
        <v>749</v>
      </c>
      <c r="C28" s="1692">
        <v>-5.0000000000000001E-3</v>
      </c>
      <c r="D28" s="1640"/>
      <c r="E28" s="1640"/>
      <c r="F28" s="1640"/>
      <c r="G28" s="1640"/>
      <c r="H28" s="1640"/>
      <c r="I28" s="1640"/>
      <c r="J28" s="1640"/>
      <c r="K28" s="1640"/>
      <c r="L28" s="1640"/>
      <c r="M28" s="1640"/>
      <c r="N28" s="1640"/>
      <c r="O28" s="1640"/>
      <c r="P28" s="1640"/>
      <c r="Q28" s="1640"/>
      <c r="R28" s="1640"/>
      <c r="S28" s="1640"/>
      <c r="T28" s="1640"/>
      <c r="U28" s="1640"/>
      <c r="V28" s="1640"/>
      <c r="W28" s="1640"/>
    </row>
    <row r="29" spans="1:23">
      <c r="A29" s="1640"/>
      <c r="B29" s="1685"/>
      <c r="C29" s="1640"/>
      <c r="D29" s="1640"/>
      <c r="E29" s="1640"/>
      <c r="F29" s="1640"/>
      <c r="G29" s="1640"/>
      <c r="H29" s="1652"/>
      <c r="I29" s="1640"/>
      <c r="J29" s="1640"/>
      <c r="K29" s="1640"/>
      <c r="L29" s="1640"/>
      <c r="M29" s="1640"/>
      <c r="N29" s="1640"/>
      <c r="O29" s="1640"/>
      <c r="P29" s="1640"/>
      <c r="Q29" s="1640"/>
      <c r="R29" s="1640"/>
      <c r="S29" s="1640"/>
      <c r="T29" s="1640"/>
      <c r="U29" s="1640"/>
      <c r="V29" s="1640"/>
      <c r="W29" s="1640"/>
    </row>
    <row r="30" spans="1:23">
      <c r="A30" s="1640"/>
      <c r="B30" s="1685" t="s">
        <v>750</v>
      </c>
      <c r="C30" s="1685">
        <f>bal!BA39</f>
        <v>0</v>
      </c>
      <c r="D30" s="1685"/>
      <c r="E30" s="1685" t="s">
        <v>751</v>
      </c>
      <c r="F30" s="1685"/>
      <c r="G30" s="1640"/>
      <c r="H30" s="1693">
        <v>2.4E-2</v>
      </c>
      <c r="I30" s="1640"/>
      <c r="J30" s="1640"/>
      <c r="K30" s="1640"/>
      <c r="L30" s="1640"/>
      <c r="M30" s="1640"/>
      <c r="N30" s="1640"/>
      <c r="O30" s="1640"/>
      <c r="P30" s="1640"/>
      <c r="Q30" s="1640"/>
      <c r="R30" s="1640"/>
      <c r="S30" s="1640"/>
      <c r="T30" s="1640"/>
      <c r="U30" s="1640"/>
      <c r="V30" s="1640"/>
      <c r="W30" s="1640"/>
    </row>
    <row r="31" spans="1:23">
      <c r="A31" s="1640"/>
      <c r="B31" s="1685" t="s">
        <v>752</v>
      </c>
      <c r="C31" s="1694">
        <f>bal!BA9</f>
        <v>621.10628369581059</v>
      </c>
      <c r="D31" s="1685"/>
      <c r="E31" s="1685" t="s">
        <v>753</v>
      </c>
      <c r="F31" s="1685"/>
      <c r="G31" s="1640"/>
      <c r="H31" s="1693">
        <v>5.1299999999999998E-2</v>
      </c>
      <c r="I31" s="1640"/>
      <c r="J31" s="1640"/>
      <c r="K31" s="1640"/>
      <c r="L31" s="1640"/>
      <c r="M31" s="1640"/>
      <c r="N31" s="1640"/>
      <c r="O31" s="1640"/>
      <c r="P31" s="1640"/>
      <c r="Q31" s="1640"/>
      <c r="R31" s="1640"/>
      <c r="S31" s="1640"/>
      <c r="T31" s="1640"/>
      <c r="U31" s="1640"/>
      <c r="V31" s="1640"/>
      <c r="W31" s="1640"/>
    </row>
    <row r="32" spans="1:23">
      <c r="A32" s="1640"/>
      <c r="B32" s="1695" t="s">
        <v>754</v>
      </c>
      <c r="C32" s="1695">
        <f>C30-C31</f>
        <v>-621.10628369581059</v>
      </c>
      <c r="D32" s="1695"/>
      <c r="E32" s="1685" t="s">
        <v>755</v>
      </c>
      <c r="F32" s="1695"/>
      <c r="G32" s="1640"/>
      <c r="H32" s="1713">
        <v>1.1359999999999999</v>
      </c>
      <c r="I32" s="1640"/>
      <c r="J32" s="1640"/>
      <c r="K32" s="1640"/>
      <c r="L32" s="1640"/>
      <c r="M32" s="1640"/>
      <c r="N32" s="1640"/>
      <c r="O32" s="1640"/>
      <c r="P32" s="1640"/>
      <c r="Q32" s="1640"/>
      <c r="R32" s="1640"/>
      <c r="S32" s="1640"/>
      <c r="T32" s="1640"/>
      <c r="U32" s="1640"/>
      <c r="V32" s="1640"/>
      <c r="W32" s="1640"/>
    </row>
    <row r="33" spans="1:23">
      <c r="A33" s="1640"/>
      <c r="B33" s="1696" t="s">
        <v>756</v>
      </c>
      <c r="C33" s="1697">
        <v>0.04</v>
      </c>
      <c r="D33" s="1685"/>
      <c r="E33" s="1685" t="s">
        <v>757</v>
      </c>
      <c r="F33" s="1685"/>
      <c r="G33" s="1640"/>
      <c r="H33" s="1698">
        <f>H30+H32*(H31)</f>
        <v>8.2276799999999983E-2</v>
      </c>
      <c r="I33" s="1640"/>
      <c r="J33" s="1640"/>
      <c r="K33" s="1640"/>
      <c r="L33" s="1640"/>
      <c r="M33" s="1640"/>
      <c r="N33" s="1640"/>
      <c r="O33" s="1640"/>
      <c r="P33" s="1640"/>
      <c r="Q33" s="1640"/>
      <c r="R33" s="1640"/>
      <c r="S33" s="1640"/>
      <c r="T33" s="1640"/>
      <c r="U33" s="1640"/>
      <c r="V33" s="1640"/>
      <c r="W33" s="1640"/>
    </row>
    <row r="34" spans="1:23">
      <c r="A34" s="1640"/>
      <c r="B34" s="1696" t="s">
        <v>758</v>
      </c>
      <c r="C34" s="1699">
        <f>C33*(1-0.35)</f>
        <v>2.6000000000000002E-2</v>
      </c>
      <c r="D34" s="1685"/>
      <c r="E34" s="1685"/>
      <c r="F34" s="1685"/>
      <c r="G34" s="1685"/>
      <c r="H34" s="1685"/>
      <c r="I34" s="1640"/>
      <c r="J34" s="1640"/>
      <c r="K34" s="1640"/>
      <c r="L34" s="1640"/>
      <c r="M34" s="1640"/>
      <c r="N34" s="1640"/>
      <c r="O34" s="1640"/>
      <c r="P34" s="1640"/>
      <c r="Q34" s="1640"/>
      <c r="R34" s="1640"/>
      <c r="S34" s="1640"/>
      <c r="T34" s="1640"/>
      <c r="U34" s="1640"/>
      <c r="V34" s="1640"/>
      <c r="W34" s="1640"/>
    </row>
    <row r="35" spans="1:23">
      <c r="A35" s="1640"/>
      <c r="B35" s="1685"/>
      <c r="C35" s="1685"/>
      <c r="D35" s="1685"/>
      <c r="E35" s="1685"/>
      <c r="F35" s="1685"/>
      <c r="G35" s="1685"/>
      <c r="H35" s="1685"/>
      <c r="I35" s="1640"/>
      <c r="J35" s="1640"/>
      <c r="K35" s="1640"/>
      <c r="L35" s="1640"/>
      <c r="M35" s="1640"/>
      <c r="N35" s="1640"/>
      <c r="O35" s="1640"/>
      <c r="P35" s="1640"/>
      <c r="Q35" s="1640"/>
      <c r="R35" s="1640"/>
      <c r="S35" s="1640"/>
      <c r="T35" s="1640"/>
      <c r="U35" s="1640"/>
      <c r="V35" s="1640"/>
      <c r="W35" s="1640"/>
    </row>
    <row r="36" spans="1:23">
      <c r="A36" s="1640"/>
      <c r="B36" s="1685" t="s">
        <v>759</v>
      </c>
      <c r="C36" s="1685">
        <f>'yrP&amp;L'!Z54</f>
        <v>107.65813391036312</v>
      </c>
      <c r="D36" s="1685"/>
      <c r="E36" s="1685"/>
      <c r="F36" s="1700"/>
      <c r="G36" s="1701"/>
      <c r="H36" s="1701"/>
      <c r="I36" s="1640"/>
      <c r="J36" s="1640"/>
      <c r="K36" s="1640"/>
      <c r="L36" s="1640"/>
      <c r="M36" s="1640"/>
      <c r="N36" s="1640"/>
      <c r="O36" s="1640"/>
      <c r="P36" s="1640"/>
      <c r="Q36" s="1640"/>
      <c r="R36" s="1640"/>
      <c r="S36" s="1640"/>
      <c r="T36" s="1640"/>
      <c r="U36" s="1640"/>
      <c r="V36" s="1640"/>
      <c r="W36" s="1640"/>
    </row>
    <row r="37" spans="1:23">
      <c r="A37" s="1640"/>
      <c r="B37" s="1685" t="s">
        <v>760</v>
      </c>
      <c r="C37" s="1702">
        <v>17.760000000000002</v>
      </c>
      <c r="D37" s="1685"/>
      <c r="E37" s="1703"/>
      <c r="F37" s="1704"/>
      <c r="G37" s="1701"/>
      <c r="H37" s="1701"/>
      <c r="I37" s="1640"/>
      <c r="J37" s="1640"/>
      <c r="K37" s="1640"/>
      <c r="L37" s="1640"/>
      <c r="M37" s="1640"/>
      <c r="N37" s="1640"/>
      <c r="O37" s="1640"/>
      <c r="P37" s="1640"/>
      <c r="Q37" s="1640"/>
      <c r="R37" s="1640"/>
      <c r="S37" s="1640"/>
      <c r="T37" s="1640"/>
      <c r="U37" s="1640"/>
      <c r="V37" s="1640"/>
      <c r="W37" s="1640"/>
    </row>
    <row r="38" spans="1:23">
      <c r="A38" s="1640"/>
      <c r="B38" s="1695" t="s">
        <v>442</v>
      </c>
      <c r="C38" s="1695">
        <f>C36*C37</f>
        <v>1912.0084582480492</v>
      </c>
      <c r="D38" s="1685"/>
      <c r="E38" s="1701"/>
      <c r="F38" s="1704"/>
      <c r="G38" s="1701"/>
      <c r="H38" s="1701"/>
      <c r="I38" s="1640"/>
      <c r="J38" s="1640"/>
      <c r="K38" s="1640"/>
      <c r="L38" s="1640"/>
      <c r="M38" s="1640"/>
      <c r="N38" s="1640"/>
      <c r="O38" s="1640"/>
      <c r="P38" s="1640"/>
      <c r="Q38" s="1640"/>
      <c r="R38" s="1640"/>
      <c r="S38" s="1640"/>
      <c r="T38" s="1640"/>
      <c r="U38" s="1640"/>
      <c r="V38" s="1640"/>
      <c r="W38" s="1640"/>
    </row>
    <row r="39" spans="1:23">
      <c r="A39" s="1640"/>
      <c r="B39" s="1695" t="s">
        <v>761</v>
      </c>
      <c r="C39" s="1695">
        <f>C32+C38</f>
        <v>1290.9021745522386</v>
      </c>
      <c r="D39" s="1685"/>
      <c r="E39" s="1687" t="s">
        <v>681</v>
      </c>
      <c r="F39" s="1705"/>
      <c r="G39" s="1705"/>
      <c r="H39" s="1706">
        <f>(C30/(C30+C38))*C34 + (C38/(C30+C38))*H33</f>
        <v>8.2276799999999983E-2</v>
      </c>
      <c r="I39" s="1640"/>
      <c r="J39" s="1640"/>
      <c r="K39" s="1640"/>
      <c r="L39" s="1640"/>
      <c r="M39" s="1640"/>
      <c r="N39" s="1640"/>
      <c r="O39" s="1640"/>
      <c r="P39" s="1640"/>
      <c r="Q39" s="1640"/>
      <c r="R39" s="1640"/>
      <c r="S39" s="1640"/>
      <c r="T39" s="1640"/>
      <c r="U39" s="1640"/>
      <c r="V39" s="1640"/>
      <c r="W39" s="1640"/>
    </row>
    <row r="40" spans="1:23">
      <c r="A40" s="1640"/>
      <c r="B40" s="1685"/>
      <c r="C40" s="1685"/>
      <c r="D40" s="1685"/>
      <c r="E40" s="1685"/>
      <c r="F40" s="1685"/>
      <c r="G40" s="1685"/>
      <c r="H40" s="1685"/>
      <c r="I40" s="1640"/>
      <c r="J40" s="1640"/>
      <c r="K40" s="1640"/>
      <c r="L40" s="1640"/>
      <c r="M40" s="1640"/>
      <c r="N40" s="1640"/>
      <c r="O40" s="1640"/>
      <c r="P40" s="1640"/>
      <c r="Q40" s="1640"/>
      <c r="R40" s="1640"/>
      <c r="S40" s="1640"/>
      <c r="T40" s="1640"/>
      <c r="U40" s="1640"/>
      <c r="V40" s="1640"/>
      <c r="W40" s="1640"/>
    </row>
    <row r="41" spans="1:23">
      <c r="A41" s="1640"/>
      <c r="B41" s="1685" t="s">
        <v>762</v>
      </c>
      <c r="C41" s="1685">
        <f>SUM(C25:J25)</f>
        <v>1392.2735682296623</v>
      </c>
      <c r="D41" s="1685"/>
      <c r="E41" s="1685"/>
      <c r="F41" s="1685"/>
      <c r="G41" s="1685"/>
      <c r="H41" s="1685"/>
      <c r="I41" s="1640"/>
      <c r="J41" s="1640"/>
      <c r="K41" s="1640"/>
      <c r="L41" s="1640"/>
      <c r="M41" s="1640"/>
      <c r="N41" s="1640"/>
      <c r="O41" s="1640"/>
      <c r="P41" s="1640"/>
      <c r="Q41" s="1640"/>
      <c r="R41" s="1640"/>
      <c r="S41" s="1640"/>
      <c r="T41" s="1640"/>
      <c r="U41" s="1640"/>
      <c r="V41" s="1640"/>
      <c r="W41" s="1640"/>
    </row>
    <row r="42" spans="1:23">
      <c r="A42" s="1640"/>
      <c r="B42" s="1685" t="s">
        <v>748</v>
      </c>
      <c r="C42" s="1694">
        <f>J27</f>
        <v>1517.1239543658444</v>
      </c>
      <c r="D42" s="1685"/>
      <c r="E42" s="1685"/>
      <c r="F42" s="1685"/>
      <c r="G42" s="1685"/>
      <c r="H42" s="1685"/>
      <c r="I42" s="1640"/>
      <c r="J42" s="1640"/>
      <c r="K42" s="1640"/>
      <c r="L42" s="1640"/>
      <c r="M42" s="1640"/>
      <c r="N42" s="1640"/>
      <c r="O42" s="1640"/>
      <c r="P42" s="1640"/>
      <c r="Q42" s="1640"/>
      <c r="R42" s="1640"/>
      <c r="S42" s="1640"/>
      <c r="T42" s="1640"/>
      <c r="U42" s="1640"/>
      <c r="V42" s="1640"/>
      <c r="W42" s="1640"/>
    </row>
    <row r="43" spans="1:23">
      <c r="A43" s="1640"/>
      <c r="B43" s="1695" t="s">
        <v>763</v>
      </c>
      <c r="C43" s="1695">
        <f>SUM(C41:C42)</f>
        <v>2909.3975225955064</v>
      </c>
      <c r="D43" s="1685"/>
      <c r="E43" s="1685"/>
      <c r="F43" s="1685"/>
      <c r="G43" s="1685"/>
      <c r="H43" s="1685"/>
      <c r="I43" s="1640"/>
      <c r="J43" s="1640"/>
      <c r="K43" s="1640"/>
      <c r="L43" s="1640"/>
      <c r="M43" s="1640"/>
      <c r="N43" s="1640"/>
      <c r="O43" s="1640"/>
      <c r="P43" s="1640"/>
      <c r="Q43" s="1640"/>
      <c r="R43" s="1640"/>
      <c r="S43" s="1640"/>
      <c r="T43" s="1640"/>
      <c r="U43" s="1640"/>
      <c r="V43" s="1640"/>
      <c r="W43" s="1640"/>
    </row>
    <row r="44" spans="1:23">
      <c r="A44" s="1640"/>
      <c r="B44" s="1685" t="s">
        <v>764</v>
      </c>
      <c r="C44" s="1685">
        <f>-C30</f>
        <v>0</v>
      </c>
      <c r="D44" s="1703"/>
      <c r="E44" s="1703"/>
      <c r="F44" s="1703"/>
      <c r="G44" s="1703"/>
      <c r="H44" s="1703"/>
      <c r="I44" s="1703"/>
      <c r="J44" s="1703"/>
      <c r="K44" s="1703"/>
      <c r="L44" s="1640"/>
      <c r="M44" s="1640"/>
      <c r="N44" s="1640"/>
      <c r="O44" s="1640"/>
      <c r="P44" s="1640"/>
      <c r="Q44" s="1640"/>
      <c r="R44" s="1640"/>
      <c r="S44" s="1640"/>
      <c r="T44" s="1640"/>
      <c r="U44" s="1640"/>
      <c r="V44" s="1640"/>
      <c r="W44" s="1640"/>
    </row>
    <row r="45" spans="1:23">
      <c r="A45" s="1640"/>
      <c r="B45" s="1685" t="s">
        <v>765</v>
      </c>
      <c r="C45" s="1707">
        <f>+C31</f>
        <v>621.10628369581059</v>
      </c>
      <c r="D45" s="1685"/>
      <c r="E45" s="1685"/>
      <c r="F45" s="1685"/>
      <c r="G45" s="1685"/>
      <c r="H45" s="1685"/>
      <c r="I45" s="1640"/>
      <c r="J45" s="1640"/>
      <c r="K45" s="1640"/>
      <c r="L45" s="1640"/>
      <c r="M45" s="1640"/>
      <c r="N45" s="1640"/>
      <c r="O45" s="1640"/>
      <c r="P45" s="1640"/>
      <c r="Q45" s="1640"/>
      <c r="R45" s="1640"/>
      <c r="S45" s="1640"/>
      <c r="T45" s="1640"/>
      <c r="U45" s="1640"/>
      <c r="V45" s="1640"/>
      <c r="W45" s="1640"/>
    </row>
    <row r="46" spans="1:23" hidden="1" outlineLevel="1">
      <c r="A46" s="1640"/>
      <c r="B46" s="1685" t="s">
        <v>766</v>
      </c>
      <c r="C46" s="1707">
        <v>0</v>
      </c>
      <c r="D46" s="1685"/>
      <c r="E46" s="1685"/>
      <c r="F46" s="1685"/>
      <c r="G46" s="1685"/>
      <c r="H46" s="1685"/>
      <c r="I46" s="1640"/>
      <c r="J46" s="1640"/>
      <c r="K46" s="1640"/>
      <c r="L46" s="1640"/>
      <c r="M46" s="1640"/>
      <c r="N46" s="1640"/>
      <c r="O46" s="1640"/>
      <c r="P46" s="1640"/>
      <c r="Q46" s="1640"/>
      <c r="R46" s="1640"/>
      <c r="S46" s="1640"/>
      <c r="T46" s="1640"/>
      <c r="U46" s="1640"/>
      <c r="V46" s="1640"/>
      <c r="W46" s="1640"/>
    </row>
    <row r="47" spans="1:23" hidden="1" outlineLevel="1">
      <c r="A47" s="1640"/>
      <c r="B47" s="1685" t="s">
        <v>767</v>
      </c>
      <c r="C47" s="1708" t="s">
        <v>378</v>
      </c>
      <c r="D47" s="1685"/>
      <c r="E47" s="1685"/>
      <c r="F47" s="1685"/>
      <c r="G47" s="1685"/>
      <c r="H47" s="1685"/>
      <c r="I47" s="1640"/>
      <c r="J47" s="1640"/>
      <c r="K47" s="1640"/>
      <c r="L47" s="1640"/>
      <c r="M47" s="1640"/>
      <c r="N47" s="1640"/>
      <c r="O47" s="1640"/>
      <c r="P47" s="1640"/>
      <c r="Q47" s="1640"/>
      <c r="R47" s="1640"/>
      <c r="S47" s="1640"/>
      <c r="T47" s="1640"/>
      <c r="U47" s="1640"/>
      <c r="V47" s="1640"/>
      <c r="W47" s="1640"/>
    </row>
    <row r="48" spans="1:23" collapsed="1">
      <c r="A48" s="1640"/>
      <c r="B48" s="1695" t="s">
        <v>768</v>
      </c>
      <c r="C48" s="1695">
        <f>SUM(C43:C47)</f>
        <v>3530.5038062913172</v>
      </c>
      <c r="D48" s="1685"/>
      <c r="E48" s="1685"/>
      <c r="F48" s="1685"/>
      <c r="G48" s="1685"/>
      <c r="H48" s="1685"/>
      <c r="I48" s="1640"/>
      <c r="J48" s="1640"/>
      <c r="K48" s="1640"/>
      <c r="L48" s="1640"/>
      <c r="M48" s="1640"/>
      <c r="N48" s="1640"/>
      <c r="O48" s="1640"/>
      <c r="P48" s="1640"/>
      <c r="Q48" s="1640"/>
      <c r="R48" s="1640"/>
      <c r="S48" s="1640"/>
      <c r="T48" s="1640"/>
      <c r="U48" s="1640"/>
      <c r="V48" s="1640"/>
      <c r="W48" s="1640"/>
    </row>
    <row r="49" spans="1:23">
      <c r="A49" s="1640"/>
      <c r="B49" s="1709" t="s">
        <v>769</v>
      </c>
      <c r="C49" s="1710">
        <f>C48/C36</f>
        <v>32.793655974297664</v>
      </c>
      <c r="D49" s="1711"/>
      <c r="E49" s="1685"/>
      <c r="F49" s="1685"/>
      <c r="G49" s="1685"/>
      <c r="H49" s="1685"/>
      <c r="I49" s="1640"/>
      <c r="J49" s="1640"/>
      <c r="K49" s="1640"/>
      <c r="L49" s="1640"/>
      <c r="M49" s="1640"/>
      <c r="N49" s="1640"/>
      <c r="O49" s="1640"/>
      <c r="P49" s="1640"/>
      <c r="Q49" s="1640"/>
      <c r="R49" s="1640"/>
      <c r="S49" s="1640"/>
      <c r="T49" s="1640"/>
      <c r="U49" s="1640"/>
      <c r="V49" s="1640"/>
      <c r="W49" s="1640"/>
    </row>
    <row r="50" spans="1:23">
      <c r="A50" s="1640"/>
      <c r="B50" s="1685"/>
      <c r="C50" s="1671"/>
      <c r="D50" s="1640"/>
      <c r="E50" s="1640"/>
      <c r="F50" s="1640"/>
      <c r="G50" s="1640"/>
      <c r="H50" s="1640"/>
      <c r="I50" s="1640"/>
      <c r="J50" s="1640"/>
      <c r="K50" s="1640"/>
      <c r="L50" s="1640"/>
      <c r="M50" s="1640"/>
      <c r="N50" s="1640"/>
      <c r="O50" s="1640"/>
      <c r="P50" s="1640"/>
      <c r="Q50" s="1640"/>
      <c r="R50" s="1640"/>
      <c r="S50" s="1640"/>
      <c r="T50" s="1640"/>
      <c r="U50" s="1640"/>
      <c r="V50" s="1640"/>
      <c r="W50" s="1640"/>
    </row>
    <row r="51" spans="1:23">
      <c r="A51" s="1640"/>
      <c r="B51" s="1685"/>
      <c r="C51" s="1640"/>
      <c r="D51" s="1640"/>
      <c r="E51" s="1640"/>
      <c r="F51" s="1640"/>
      <c r="G51" s="1640"/>
      <c r="H51" s="1640"/>
      <c r="I51" s="1640"/>
      <c r="J51" s="1640"/>
      <c r="K51" s="1640"/>
      <c r="L51" s="1640"/>
      <c r="M51" s="1640"/>
      <c r="N51" s="1640"/>
      <c r="O51" s="1640"/>
      <c r="P51" s="1640"/>
      <c r="Q51" s="1640"/>
      <c r="R51" s="1640"/>
      <c r="S51" s="1640"/>
      <c r="T51" s="1640"/>
      <c r="U51" s="1640"/>
      <c r="V51" s="1640"/>
      <c r="W51" s="1640"/>
    </row>
    <row r="52" spans="1:23">
      <c r="A52" s="1640"/>
      <c r="B52" s="1685"/>
      <c r="C52" s="1640"/>
      <c r="D52" s="1640"/>
      <c r="E52" s="1640"/>
      <c r="F52" s="1640"/>
      <c r="G52" s="1640"/>
      <c r="H52" s="1640"/>
      <c r="I52" s="1640"/>
      <c r="J52" s="1640"/>
      <c r="K52" s="1640"/>
      <c r="L52" s="1640"/>
      <c r="M52" s="1640"/>
      <c r="N52" s="1640"/>
      <c r="O52" s="1640"/>
      <c r="P52" s="1640"/>
      <c r="Q52" s="1640"/>
      <c r="R52" s="1640"/>
      <c r="S52" s="1640"/>
      <c r="T52" s="1640"/>
      <c r="U52" s="1640"/>
      <c r="V52" s="1640"/>
      <c r="W52" s="1640"/>
    </row>
    <row r="53" spans="1:23">
      <c r="A53" s="1640"/>
      <c r="B53" s="1685"/>
      <c r="C53" s="1652"/>
      <c r="D53" s="1652"/>
      <c r="E53" s="1652"/>
      <c r="F53" s="1652"/>
      <c r="G53" s="1652"/>
      <c r="H53" s="1652"/>
      <c r="I53" s="1652"/>
      <c r="J53" s="1652"/>
      <c r="K53" s="1652"/>
      <c r="L53" s="1640"/>
      <c r="M53" s="1640"/>
      <c r="N53" s="1640"/>
      <c r="O53" s="1640"/>
      <c r="P53" s="1640"/>
      <c r="Q53" s="1640"/>
      <c r="R53" s="1640"/>
      <c r="S53" s="1640"/>
      <c r="T53" s="1640"/>
      <c r="U53" s="1640"/>
      <c r="V53" s="1640"/>
      <c r="W53" s="1640"/>
    </row>
    <row r="54" spans="1:23">
      <c r="A54" s="1640"/>
      <c r="B54" s="1685"/>
      <c r="C54" s="1640"/>
      <c r="D54" s="1640"/>
      <c r="E54" s="1640"/>
      <c r="F54" s="1640"/>
      <c r="G54" s="1640"/>
      <c r="H54" s="1640"/>
      <c r="I54" s="1640"/>
      <c r="J54" s="1640"/>
      <c r="K54" s="1640"/>
      <c r="L54" s="1640"/>
      <c r="M54" s="1640"/>
      <c r="N54" s="1640"/>
      <c r="O54" s="1640"/>
      <c r="P54" s="1640"/>
      <c r="Q54" s="1640"/>
      <c r="R54" s="1640"/>
      <c r="S54" s="1640"/>
      <c r="T54" s="1640"/>
      <c r="U54" s="1640"/>
      <c r="V54" s="1640"/>
      <c r="W54" s="1640"/>
    </row>
    <row r="55" spans="1:23">
      <c r="A55" s="1640"/>
      <c r="B55" s="1711"/>
    </row>
    <row r="56" spans="1:23">
      <c r="B56" s="1711"/>
    </row>
    <row r="57" spans="1:23">
      <c r="B57" s="1711"/>
    </row>
    <row r="58" spans="1:23">
      <c r="B58" s="1711"/>
    </row>
    <row r="59" spans="1:23">
      <c r="B59" s="1711"/>
    </row>
    <row r="60" spans="1:23">
      <c r="B60" s="1711"/>
    </row>
    <row r="61" spans="1:23">
      <c r="B61" s="1711"/>
    </row>
  </sheetData>
  <mergeCells count="2">
    <mergeCell ref="C1:G1"/>
    <mergeCell ref="H1:J1"/>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AM203"/>
  <sheetViews>
    <sheetView showGridLines="0" zoomScale="85" workbookViewId="0">
      <selection activeCell="M16" sqref="M16"/>
    </sheetView>
  </sheetViews>
  <sheetFormatPr defaultColWidth="6.7109375" defaultRowHeight="12.75" outlineLevelRow="1" outlineLevelCol="1"/>
  <cols>
    <col min="1" max="1" width="1" style="1036" customWidth="1"/>
    <col min="2" max="2" width="1.140625" style="1037" customWidth="1"/>
    <col min="3" max="4" width="13.42578125" style="1046" customWidth="1"/>
    <col min="5" max="5" width="13.28515625" style="1046" customWidth="1"/>
    <col min="6" max="6" width="12.42578125" style="1046" customWidth="1"/>
    <col min="7" max="7" width="9.42578125" style="1046" customWidth="1"/>
    <col min="8" max="8" width="9.5703125" style="1043" customWidth="1"/>
    <col min="9" max="9" width="12" style="1043" customWidth="1"/>
    <col min="10" max="19" width="9.5703125" style="1043" customWidth="1"/>
    <col min="20" max="23" width="9.5703125" style="1021" customWidth="1"/>
    <col min="24" max="26" width="6.7109375" style="1021" customWidth="1"/>
    <col min="27" max="27" width="46.5703125" hidden="1" customWidth="1" outlineLevel="1"/>
    <col min="28" max="28" width="6.7109375" hidden="1" customWidth="1" outlineLevel="1"/>
    <col min="29" max="29" width="32.85546875" hidden="1" customWidth="1" outlineLevel="1"/>
    <col min="30" max="32" width="6.7109375" hidden="1" customWidth="1" outlineLevel="1"/>
    <col min="33" max="33" width="6.7109375" style="1021" collapsed="1"/>
    <col min="34" max="35" width="6.7109375" style="1021"/>
    <col min="36" max="36" width="6.7109375" style="1022"/>
    <col min="37" max="16384" width="6.7109375" style="1021"/>
  </cols>
  <sheetData>
    <row r="1" spans="1:36" s="1013" customFormat="1" ht="45" customHeight="1" thickBot="1">
      <c r="A1" s="1006"/>
      <c r="B1" s="1007"/>
      <c r="C1" s="1008"/>
      <c r="D1" s="1009"/>
      <c r="E1" s="1009"/>
      <c r="F1" s="1008"/>
      <c r="G1" s="1008" t="s">
        <v>17</v>
      </c>
      <c r="H1" s="1010"/>
      <c r="I1" s="1010"/>
      <c r="J1" s="1010"/>
      <c r="K1" s="1010"/>
      <c r="L1" s="1010"/>
      <c r="M1" s="1010"/>
      <c r="N1" s="1011"/>
      <c r="O1" s="1010"/>
      <c r="P1" s="1010"/>
      <c r="Q1" s="1010"/>
      <c r="R1" s="1010"/>
      <c r="S1" s="1010"/>
      <c r="T1" s="1009"/>
      <c r="U1" s="1009"/>
      <c r="V1" s="1009"/>
      <c r="W1" s="1012"/>
      <c r="AA1"/>
      <c r="AB1"/>
      <c r="AC1"/>
      <c r="AD1"/>
      <c r="AE1"/>
      <c r="AF1"/>
      <c r="AJ1" s="1014"/>
    </row>
    <row r="2" spans="1:36" ht="32.25" customHeight="1" thickBot="1">
      <c r="A2" s="1015"/>
      <c r="B2" s="1016"/>
      <c r="C2" s="1017"/>
      <c r="D2" s="1017"/>
      <c r="E2" s="1017"/>
      <c r="F2" s="1017"/>
      <c r="G2" s="1017"/>
      <c r="H2" s="1018"/>
      <c r="I2" s="1018"/>
      <c r="J2" s="1018"/>
      <c r="K2" s="1018"/>
      <c r="L2" s="1018"/>
      <c r="M2" s="1018"/>
      <c r="N2" s="1019"/>
      <c r="O2" s="1019"/>
      <c r="P2" s="1019" t="s">
        <v>12</v>
      </c>
      <c r="Q2" s="1019"/>
      <c r="R2" s="1018"/>
      <c r="S2" s="1018"/>
      <c r="T2" s="1020"/>
      <c r="U2" s="1020"/>
      <c r="V2" s="1020"/>
      <c r="W2" s="1020"/>
    </row>
    <row r="3" spans="1:36" s="1029" customFormat="1" ht="15.75" customHeight="1" thickBot="1">
      <c r="A3" s="1023"/>
      <c r="B3" s="1024"/>
      <c r="C3" s="1025"/>
      <c r="D3" s="1025"/>
      <c r="E3" s="1025"/>
      <c r="F3" s="1025"/>
      <c r="G3" s="1025"/>
      <c r="H3" s="1026"/>
      <c r="I3" s="1027" t="s">
        <v>459</v>
      </c>
      <c r="J3" s="1028" t="s">
        <v>12</v>
      </c>
      <c r="L3" s="1030"/>
      <c r="M3" s="1031"/>
      <c r="N3" s="1032"/>
      <c r="O3" s="1033"/>
      <c r="P3" s="1034"/>
      <c r="Q3" s="1026"/>
      <c r="R3" s="1026"/>
      <c r="S3" s="1026"/>
      <c r="AA3"/>
      <c r="AB3"/>
      <c r="AC3"/>
      <c r="AD3"/>
      <c r="AE3"/>
      <c r="AF3"/>
      <c r="AJ3" s="1035"/>
    </row>
    <row r="4" spans="1:36" ht="15.75" customHeight="1">
      <c r="C4" s="1038" t="str">
        <f>_xll.ThomsonONEAddinShim.SpreadsheetFormulas.TF($F$4,"TextAv(TF.CompanyName(sdate=0D),-)")</f>
        <v>Urban Outfitters Inc</v>
      </c>
      <c r="D4" s="1039"/>
      <c r="E4" s="1025"/>
      <c r="F4" s="1040" t="s">
        <v>114</v>
      </c>
      <c r="G4" s="1041"/>
      <c r="H4" s="1042" t="str">
        <f>MONTH(I4)&amp;"/"&amp;YEAR(I4)</f>
        <v>1/2017</v>
      </c>
      <c r="I4" s="1042">
        <f>_xll.ThomsonONEAddinShim.SpreadsheetFormulas.TF($F$4,"TF.FN.FiscalYearEndDate(period=FY0)")</f>
        <v>42766</v>
      </c>
      <c r="K4" s="1026"/>
      <c r="AJ4" s="1022" t="s">
        <v>690</v>
      </c>
    </row>
    <row r="5" spans="1:36" ht="15.75" customHeight="1">
      <c r="C5" s="1044" t="s">
        <v>18</v>
      </c>
      <c r="D5" s="1045"/>
      <c r="F5" s="1047">
        <f>H8</f>
        <v>2009</v>
      </c>
      <c r="H5" s="1048" t="str">
        <f t="shared" ref="H5:P5" si="0">"FY"&amp;H7</f>
        <v>FY-8</v>
      </c>
      <c r="I5" s="1048" t="str">
        <f t="shared" si="0"/>
        <v>FY-7</v>
      </c>
      <c r="J5" s="1048" t="str">
        <f t="shared" si="0"/>
        <v>FY-6</v>
      </c>
      <c r="K5" s="1048" t="str">
        <f t="shared" si="0"/>
        <v>FY-5</v>
      </c>
      <c r="L5" s="1048" t="str">
        <f t="shared" si="0"/>
        <v>FY-4</v>
      </c>
      <c r="M5" s="1048" t="str">
        <f t="shared" si="0"/>
        <v>FY-3</v>
      </c>
      <c r="N5" s="1048" t="str">
        <f t="shared" si="0"/>
        <v>FY-2</v>
      </c>
      <c r="O5" s="1048" t="str">
        <f t="shared" si="0"/>
        <v>FY-1</v>
      </c>
      <c r="P5" s="1048" t="str">
        <f t="shared" si="0"/>
        <v>FY0</v>
      </c>
      <c r="AJ5" s="1049"/>
    </row>
    <row r="6" spans="1:36" customFormat="1" ht="13.5" customHeight="1"/>
    <row r="7" spans="1:36">
      <c r="C7" s="1051"/>
      <c r="H7" s="1052">
        <f t="shared" ref="H7:O7" si="1">I7-1</f>
        <v>-8</v>
      </c>
      <c r="I7" s="1052">
        <f t="shared" si="1"/>
        <v>-7</v>
      </c>
      <c r="J7" s="1052">
        <f t="shared" si="1"/>
        <v>-6</v>
      </c>
      <c r="K7" s="1052">
        <f t="shared" si="1"/>
        <v>-5</v>
      </c>
      <c r="L7" s="1052">
        <f t="shared" si="1"/>
        <v>-4</v>
      </c>
      <c r="M7" s="1052">
        <f t="shared" si="1"/>
        <v>-3</v>
      </c>
      <c r="N7" s="1052">
        <f t="shared" si="1"/>
        <v>-2</v>
      </c>
      <c r="O7" s="1052">
        <f t="shared" si="1"/>
        <v>-1</v>
      </c>
      <c r="P7" s="1052">
        <v>0</v>
      </c>
      <c r="Q7" s="1052">
        <f t="shared" ref="Q7:W7" si="2">P7+1</f>
        <v>1</v>
      </c>
      <c r="R7" s="1052">
        <f t="shared" si="2"/>
        <v>2</v>
      </c>
      <c r="S7" s="1052">
        <f t="shared" si="2"/>
        <v>3</v>
      </c>
      <c r="T7" s="1052">
        <f t="shared" si="2"/>
        <v>4</v>
      </c>
      <c r="U7" s="1052">
        <f t="shared" si="2"/>
        <v>5</v>
      </c>
      <c r="V7" s="1052">
        <f t="shared" si="2"/>
        <v>6</v>
      </c>
      <c r="W7" s="1052">
        <f t="shared" si="2"/>
        <v>7</v>
      </c>
    </row>
    <row r="8" spans="1:36" s="1037" customFormat="1" outlineLevel="1">
      <c r="A8" s="1053"/>
      <c r="C8" s="1050"/>
      <c r="D8" s="1050"/>
      <c r="E8" s="1050"/>
      <c r="F8" s="1050"/>
      <c r="G8" s="1050"/>
      <c r="H8" s="1054">
        <f t="shared" ref="H8:W8" si="3">YEAR(H9)</f>
        <v>2009</v>
      </c>
      <c r="I8" s="1054">
        <f t="shared" si="3"/>
        <v>2010</v>
      </c>
      <c r="J8" s="1054">
        <f t="shared" si="3"/>
        <v>2011</v>
      </c>
      <c r="K8" s="1054">
        <f t="shared" si="3"/>
        <v>2012</v>
      </c>
      <c r="L8" s="1054">
        <f t="shared" si="3"/>
        <v>2013</v>
      </c>
      <c r="M8" s="1054">
        <f t="shared" si="3"/>
        <v>2014</v>
      </c>
      <c r="N8" s="1054">
        <f t="shared" si="3"/>
        <v>2015</v>
      </c>
      <c r="O8" s="1054">
        <f t="shared" si="3"/>
        <v>2016</v>
      </c>
      <c r="P8" s="1054">
        <f t="shared" si="3"/>
        <v>2017</v>
      </c>
      <c r="Q8" s="1054">
        <f t="shared" si="3"/>
        <v>2018</v>
      </c>
      <c r="R8" s="1054">
        <f t="shared" si="3"/>
        <v>2019</v>
      </c>
      <c r="S8" s="1054">
        <f t="shared" si="3"/>
        <v>2020</v>
      </c>
      <c r="T8" s="1054">
        <f t="shared" si="3"/>
        <v>2021</v>
      </c>
      <c r="U8" s="1054">
        <f t="shared" si="3"/>
        <v>2022</v>
      </c>
      <c r="V8" s="1054">
        <f t="shared" si="3"/>
        <v>2023</v>
      </c>
      <c r="W8" s="1054">
        <f t="shared" si="3"/>
        <v>2024</v>
      </c>
      <c r="AA8"/>
      <c r="AB8"/>
      <c r="AC8"/>
      <c r="AD8"/>
      <c r="AE8"/>
      <c r="AF8"/>
      <c r="AJ8" s="1022"/>
    </row>
    <row r="9" spans="1:36" ht="14.25" customHeight="1">
      <c r="C9" s="1055" t="s">
        <v>408</v>
      </c>
      <c r="D9" s="1056"/>
      <c r="E9" s="1056"/>
      <c r="F9" s="1056"/>
      <c r="G9" s="1056"/>
      <c r="H9" s="1057">
        <f>DATE(YEAR($I$4)+H7,MONTH($I$4),DAY($I$4))</f>
        <v>39844</v>
      </c>
      <c r="I9" s="1057">
        <f t="shared" ref="I9:W9" si="4">DATE(YEAR($I$4)+I7,MONTH($I$4),DAY($I$4))</f>
        <v>40209</v>
      </c>
      <c r="J9" s="1057">
        <f t="shared" si="4"/>
        <v>40574</v>
      </c>
      <c r="K9" s="1057">
        <f t="shared" si="4"/>
        <v>40939</v>
      </c>
      <c r="L9" s="1057">
        <f t="shared" si="4"/>
        <v>41305</v>
      </c>
      <c r="M9" s="1057">
        <f t="shared" si="4"/>
        <v>41670</v>
      </c>
      <c r="N9" s="1057">
        <f t="shared" si="4"/>
        <v>42035</v>
      </c>
      <c r="O9" s="1057">
        <f t="shared" si="4"/>
        <v>42400</v>
      </c>
      <c r="P9" s="1057">
        <f t="shared" si="4"/>
        <v>42766</v>
      </c>
      <c r="Q9" s="1057">
        <f t="shared" si="4"/>
        <v>43131</v>
      </c>
      <c r="R9" s="1057">
        <f t="shared" si="4"/>
        <v>43496</v>
      </c>
      <c r="S9" s="1057">
        <f t="shared" si="4"/>
        <v>43861</v>
      </c>
      <c r="T9" s="1057">
        <f t="shared" si="4"/>
        <v>44227</v>
      </c>
      <c r="U9" s="1057">
        <f t="shared" si="4"/>
        <v>44592</v>
      </c>
      <c r="V9" s="1057">
        <f t="shared" si="4"/>
        <v>44957</v>
      </c>
      <c r="W9" s="1057">
        <f t="shared" si="4"/>
        <v>45322</v>
      </c>
    </row>
    <row r="10" spans="1:36">
      <c r="C10" s="1058"/>
      <c r="D10" s="1056"/>
      <c r="E10" s="1056"/>
      <c r="F10" s="1056"/>
      <c r="G10" s="1059"/>
      <c r="N10" s="1060"/>
      <c r="T10" s="1043"/>
      <c r="U10" s="1043"/>
      <c r="V10" s="1043"/>
      <c r="W10" s="1043"/>
    </row>
    <row r="11" spans="1:36">
      <c r="C11" s="1061" t="s">
        <v>571</v>
      </c>
      <c r="D11" s="1061"/>
      <c r="E11" s="1061"/>
      <c r="F11" s="1061"/>
      <c r="G11" s="1061"/>
      <c r="H11" s="1062"/>
      <c r="I11" s="1063">
        <f t="shared" ref="I11:W11" si="5">IF(I8&gt;$F$5,I76,0)</f>
        <v>128.97800000000001</v>
      </c>
      <c r="J11" s="1063">
        <f t="shared" si="5"/>
        <v>149.755</v>
      </c>
      <c r="K11" s="1063">
        <f t="shared" si="5"/>
        <v>171.304</v>
      </c>
      <c r="L11" s="1063">
        <f t="shared" si="5"/>
        <v>192.518</v>
      </c>
      <c r="M11" s="1063">
        <f t="shared" si="5"/>
        <v>211.30099999999999</v>
      </c>
      <c r="N11" s="1063">
        <f t="shared" si="5"/>
        <v>238.88300000000001</v>
      </c>
      <c r="O11" s="1063">
        <f t="shared" si="5"/>
        <v>248.178</v>
      </c>
      <c r="P11" s="1063">
        <f t="shared" si="5"/>
        <v>262.66500000000002</v>
      </c>
      <c r="Q11" s="1063">
        <f t="shared" si="5"/>
        <v>267.91830000000004</v>
      </c>
      <c r="R11" s="1063">
        <f t="shared" si="5"/>
        <v>273.27666600000003</v>
      </c>
      <c r="S11" s="1063">
        <f t="shared" si="5"/>
        <v>278.74219932000005</v>
      </c>
      <c r="T11" s="1063">
        <f t="shared" si="5"/>
        <v>284.31704330640008</v>
      </c>
      <c r="U11" s="1063">
        <f t="shared" si="5"/>
        <v>290.00338417252811</v>
      </c>
      <c r="V11" s="1063">
        <f t="shared" si="5"/>
        <v>295.80345185597866</v>
      </c>
      <c r="W11" s="1063">
        <f t="shared" si="5"/>
        <v>301.71952089309826</v>
      </c>
    </row>
    <row r="12" spans="1:36">
      <c r="C12" s="1064" t="s">
        <v>572</v>
      </c>
      <c r="D12" s="1064"/>
      <c r="E12" s="1064"/>
      <c r="F12" s="1064"/>
      <c r="G12" s="1064"/>
      <c r="H12" s="1062"/>
      <c r="I12" s="1065">
        <f t="shared" ref="I12:W12" si="6">IF(I8&gt;$F$5,I23,0)</f>
        <v>-198.65280057682668</v>
      </c>
      <c r="J12" s="1065">
        <f t="shared" si="6"/>
        <v>-323.69647199756253</v>
      </c>
      <c r="K12" s="1065">
        <f t="shared" si="6"/>
        <v>-242.10287363653597</v>
      </c>
      <c r="L12" s="1065">
        <f t="shared" si="6"/>
        <v>-272.98275544407534</v>
      </c>
      <c r="M12" s="1065">
        <f t="shared" si="6"/>
        <v>-181.00211309447968</v>
      </c>
      <c r="N12" s="1065">
        <f t="shared" si="6"/>
        <v>-170.28817112199869</v>
      </c>
      <c r="O12" s="1065">
        <f t="shared" si="6"/>
        <v>-206.91880156407154</v>
      </c>
      <c r="P12" s="1065">
        <f t="shared" si="6"/>
        <v>-231.86318616922847</v>
      </c>
      <c r="Q12" s="1065">
        <f t="shared" si="6"/>
        <v>-260.26856569096498</v>
      </c>
      <c r="R12" s="1065">
        <f t="shared" si="6"/>
        <v>-289.24205280313623</v>
      </c>
      <c r="S12" s="1065">
        <f t="shared" si="6"/>
        <v>-300.46351317257529</v>
      </c>
      <c r="T12" s="1065">
        <f t="shared" si="6"/>
        <v>-201.95743166150547</v>
      </c>
      <c r="U12" s="1065">
        <f t="shared" si="6"/>
        <v>-310.76362877366472</v>
      </c>
      <c r="V12" s="1065">
        <f t="shared" si="6"/>
        <v>-307.7819695946888</v>
      </c>
      <c r="W12" s="1065">
        <f t="shared" si="6"/>
        <v>-298.10630545716344</v>
      </c>
    </row>
    <row r="13" spans="1:36">
      <c r="C13" s="1066" t="s">
        <v>19</v>
      </c>
      <c r="D13" s="1061"/>
      <c r="E13" s="1061"/>
      <c r="F13" s="1061"/>
      <c r="G13" s="1061"/>
      <c r="H13" s="1062"/>
      <c r="I13" s="1067">
        <f t="shared" ref="I13:W13" si="7">SUM(I11:I12)</f>
        <v>-69.674800576826669</v>
      </c>
      <c r="J13" s="1067">
        <f t="shared" si="7"/>
        <v>-173.94147199756253</v>
      </c>
      <c r="K13" s="1067">
        <f t="shared" si="7"/>
        <v>-70.798873636535973</v>
      </c>
      <c r="L13" s="1067">
        <f t="shared" si="7"/>
        <v>-80.464755444075337</v>
      </c>
      <c r="M13" s="1067">
        <f t="shared" si="7"/>
        <v>30.298886905520305</v>
      </c>
      <c r="N13" s="1067">
        <f t="shared" si="7"/>
        <v>68.594828878001323</v>
      </c>
      <c r="O13" s="1067">
        <f t="shared" si="7"/>
        <v>41.259198435928454</v>
      </c>
      <c r="P13" s="1067">
        <f t="shared" si="7"/>
        <v>30.80181383077155</v>
      </c>
      <c r="Q13" s="1067">
        <f t="shared" si="7"/>
        <v>7.6497343090350682</v>
      </c>
      <c r="R13" s="1067">
        <f t="shared" si="7"/>
        <v>-15.965386803136198</v>
      </c>
      <c r="S13" s="1067">
        <f t="shared" si="7"/>
        <v>-21.721313852575236</v>
      </c>
      <c r="T13" s="1067">
        <f t="shared" si="7"/>
        <v>82.359611644894613</v>
      </c>
      <c r="U13" s="1067">
        <f t="shared" si="7"/>
        <v>-20.760244601136606</v>
      </c>
      <c r="V13" s="1067">
        <f t="shared" si="7"/>
        <v>-11.978517738710138</v>
      </c>
      <c r="W13" s="1067">
        <f t="shared" si="7"/>
        <v>3.6132154359348192</v>
      </c>
    </row>
    <row r="14" spans="1:36">
      <c r="C14" s="1061"/>
      <c r="D14" s="1061"/>
      <c r="E14" s="1061"/>
      <c r="F14" s="1061"/>
      <c r="G14" s="1061"/>
      <c r="H14" s="1062"/>
      <c r="I14" s="1062"/>
      <c r="J14" s="1062"/>
      <c r="K14" s="1062"/>
      <c r="L14" s="1062"/>
      <c r="M14" s="1062"/>
      <c r="N14" s="1062"/>
      <c r="O14" s="1062"/>
      <c r="P14" s="1062"/>
      <c r="Q14" s="1062"/>
      <c r="R14" s="1062"/>
      <c r="S14" s="1062"/>
      <c r="T14" s="1062"/>
      <c r="U14" s="1062"/>
      <c r="V14" s="1062"/>
      <c r="W14" s="1062"/>
    </row>
    <row r="15" spans="1:36">
      <c r="C15" s="1061" t="s">
        <v>573</v>
      </c>
      <c r="D15" s="1061"/>
      <c r="E15" s="1061"/>
      <c r="F15" s="1061"/>
      <c r="G15" s="1061"/>
      <c r="H15" s="1062"/>
      <c r="I15" s="1065">
        <f t="shared" ref="I15:W15" si="8">IF(OR(I8&gt;$F$5,I8=$F$5),-I30,0)</f>
        <v>-12.170303058945342</v>
      </c>
      <c r="J15" s="1065">
        <f t="shared" si="8"/>
        <v>-23.86723583979208</v>
      </c>
      <c r="K15" s="1065">
        <f t="shared" si="8"/>
        <v>-14.802428118107379</v>
      </c>
      <c r="L15" s="1065">
        <f t="shared" si="8"/>
        <v>-16.67176174094201</v>
      </c>
      <c r="M15" s="1065">
        <f t="shared" si="8"/>
        <v>-19.079772864335062</v>
      </c>
      <c r="N15" s="1065">
        <f t="shared" si="8"/>
        <v>-19.693325538868866</v>
      </c>
      <c r="O15" s="1065">
        <f t="shared" si="8"/>
        <v>-21.164491838464844</v>
      </c>
      <c r="P15" s="1065">
        <f t="shared" si="8"/>
        <v>-21.388795217365185</v>
      </c>
      <c r="Q15" s="1065">
        <f t="shared" si="8"/>
        <v>-21.816571121712489</v>
      </c>
      <c r="R15" s="1065">
        <f t="shared" si="8"/>
        <v>-22.252902544146739</v>
      </c>
      <c r="S15" s="1065">
        <f t="shared" si="8"/>
        <v>-22.697960595029677</v>
      </c>
      <c r="T15" s="1065">
        <f t="shared" si="8"/>
        <v>-23.151919806930266</v>
      </c>
      <c r="U15" s="1065">
        <f t="shared" si="8"/>
        <v>-23.61495820306887</v>
      </c>
      <c r="V15" s="1065">
        <f t="shared" si="8"/>
        <v>-24.087257367130249</v>
      </c>
      <c r="W15" s="1065">
        <f t="shared" si="8"/>
        <v>-24.56900251447286</v>
      </c>
    </row>
    <row r="16" spans="1:36">
      <c r="C16" s="1066" t="s">
        <v>574</v>
      </c>
      <c r="D16" s="1066"/>
      <c r="E16" s="1066"/>
      <c r="F16" s="1066"/>
      <c r="G16" s="1066"/>
      <c r="H16" s="1062"/>
      <c r="I16" s="1067">
        <f t="shared" ref="I16:W16" si="9">I13+I15</f>
        <v>-81.845103635772006</v>
      </c>
      <c r="J16" s="1067">
        <f t="shared" si="9"/>
        <v>-197.8087078373546</v>
      </c>
      <c r="K16" s="1067">
        <f t="shared" si="9"/>
        <v>-85.601301754643345</v>
      </c>
      <c r="L16" s="1067">
        <f t="shared" si="9"/>
        <v>-97.13651718501734</v>
      </c>
      <c r="M16" s="1067">
        <f t="shared" si="9"/>
        <v>11.219114041185243</v>
      </c>
      <c r="N16" s="1067">
        <f t="shared" si="9"/>
        <v>48.901503339132461</v>
      </c>
      <c r="O16" s="1067">
        <f t="shared" si="9"/>
        <v>20.09470659746361</v>
      </c>
      <c r="P16" s="1067">
        <f t="shared" si="9"/>
        <v>9.4130186134063649</v>
      </c>
      <c r="Q16" s="1067">
        <f t="shared" si="9"/>
        <v>-14.16683681267742</v>
      </c>
      <c r="R16" s="1067">
        <f t="shared" si="9"/>
        <v>-38.218289347282933</v>
      </c>
      <c r="S16" s="1067">
        <f t="shared" si="9"/>
        <v>-44.419274447604913</v>
      </c>
      <c r="T16" s="1067">
        <f t="shared" si="9"/>
        <v>59.207691837964347</v>
      </c>
      <c r="U16" s="1067">
        <f t="shared" si="9"/>
        <v>-44.375202804205472</v>
      </c>
      <c r="V16" s="1067">
        <f t="shared" si="9"/>
        <v>-36.065775105840387</v>
      </c>
      <c r="W16" s="1067">
        <f t="shared" si="9"/>
        <v>-20.955787078538041</v>
      </c>
    </row>
    <row r="17" spans="1:36">
      <c r="C17" s="1061"/>
      <c r="D17" s="1061"/>
      <c r="E17" s="1061"/>
      <c r="F17" s="1061"/>
      <c r="G17" s="1061"/>
      <c r="H17" s="1062"/>
      <c r="I17" s="1063"/>
      <c r="J17" s="1063"/>
      <c r="K17" s="1063"/>
      <c r="L17" s="1063"/>
      <c r="M17" s="1063"/>
      <c r="N17" s="1063"/>
      <c r="O17" s="1063"/>
      <c r="P17" s="1063"/>
      <c r="Q17" s="1063"/>
      <c r="R17" s="1063"/>
      <c r="S17" s="1063"/>
      <c r="T17" s="1063"/>
      <c r="U17" s="1063"/>
      <c r="V17" s="1063"/>
      <c r="W17" s="1063"/>
    </row>
    <row r="18" spans="1:36">
      <c r="C18" s="1061"/>
      <c r="D18" s="1061"/>
      <c r="E18" s="1061"/>
      <c r="F18" s="1061"/>
      <c r="G18" s="1061"/>
      <c r="H18" s="1068"/>
      <c r="I18" s="1069"/>
      <c r="J18" s="1069"/>
      <c r="K18" s="1069"/>
      <c r="L18" s="1069"/>
      <c r="M18" s="1069"/>
      <c r="N18" s="1069"/>
      <c r="O18" s="1069"/>
      <c r="P18" s="1069"/>
      <c r="Q18" s="1069"/>
      <c r="R18" s="1069"/>
      <c r="S18" s="1069"/>
      <c r="T18" s="1069"/>
      <c r="U18" s="1069"/>
      <c r="V18" s="1069"/>
      <c r="W18" s="1069"/>
    </row>
    <row r="19" spans="1:36" s="1046" customFormat="1" ht="14.25" customHeight="1">
      <c r="A19" s="1070"/>
      <c r="C19" s="1055" t="s">
        <v>259</v>
      </c>
      <c r="D19" s="1071"/>
      <c r="E19" s="1071"/>
      <c r="F19" s="1071"/>
      <c r="G19" s="1071"/>
      <c r="H19" s="1072"/>
      <c r="I19" s="1072"/>
      <c r="J19" s="1072"/>
      <c r="K19" s="1072"/>
      <c r="L19" s="1072"/>
      <c r="M19" s="1072"/>
      <c r="N19" s="1072"/>
      <c r="O19" s="1072"/>
      <c r="P19" s="1073"/>
      <c r="Q19" s="1073"/>
      <c r="R19" s="1073"/>
      <c r="S19" s="1073"/>
      <c r="T19" s="1073"/>
      <c r="U19" s="1073"/>
      <c r="V19" s="1073"/>
      <c r="W19" s="1073"/>
      <c r="AA19"/>
      <c r="AB19"/>
      <c r="AC19"/>
      <c r="AD19"/>
      <c r="AE19"/>
      <c r="AF19"/>
      <c r="AJ19" s="1022"/>
    </row>
    <row r="20" spans="1:36" s="1046" customFormat="1">
      <c r="A20" s="1070"/>
      <c r="B20" s="1074"/>
      <c r="C20" s="1058"/>
      <c r="D20" s="1071"/>
      <c r="E20" s="1071"/>
      <c r="F20" s="1071"/>
      <c r="G20" s="1071"/>
      <c r="H20" s="1072"/>
      <c r="I20" s="1072"/>
      <c r="J20" s="1072"/>
      <c r="K20" s="1072"/>
      <c r="L20" s="1072"/>
      <c r="M20" s="1072"/>
      <c r="N20" s="1072"/>
      <c r="O20" s="1072"/>
      <c r="P20" s="1073"/>
      <c r="Q20" s="1073"/>
      <c r="R20" s="1073"/>
      <c r="S20" s="1073"/>
      <c r="T20" s="1073"/>
      <c r="U20" s="1073"/>
      <c r="V20" s="1073"/>
      <c r="W20" s="1073"/>
      <c r="AA20"/>
      <c r="AB20"/>
      <c r="AC20"/>
      <c r="AD20"/>
      <c r="AE20"/>
      <c r="AF20"/>
      <c r="AJ20" s="1022"/>
    </row>
    <row r="21" spans="1:36">
      <c r="C21" s="1075" t="s">
        <v>20</v>
      </c>
      <c r="D21" s="1075"/>
      <c r="E21" s="1075"/>
      <c r="F21" s="1075"/>
      <c r="G21" s="1075"/>
      <c r="H21" s="1076"/>
      <c r="I21" s="1076">
        <f t="shared" ref="I21:W21" si="10">H24</f>
        <v>920.00665352985231</v>
      </c>
      <c r="J21" s="1076">
        <f t="shared" si="10"/>
        <v>904.66881780278186</v>
      </c>
      <c r="K21" s="1076">
        <f t="shared" si="10"/>
        <v>1867.4733208309476</v>
      </c>
      <c r="L21" s="1076">
        <f t="shared" si="10"/>
        <v>844.77743918614954</v>
      </c>
      <c r="M21" s="1076">
        <f t="shared" si="10"/>
        <v>915.22961790743011</v>
      </c>
      <c r="N21" s="1076">
        <f t="shared" si="10"/>
        <v>1150.8748554113138</v>
      </c>
      <c r="O21" s="1076">
        <f t="shared" si="10"/>
        <v>1234.1631788783604</v>
      </c>
      <c r="P21" s="1076">
        <f t="shared" si="10"/>
        <v>1393.5506817350176</v>
      </c>
      <c r="Q21" s="1076">
        <f t="shared" si="10"/>
        <v>1411.1313416173584</v>
      </c>
      <c r="R21" s="1076">
        <f t="shared" si="10"/>
        <v>1434.9165711437586</v>
      </c>
      <c r="S21" s="1076">
        <f t="shared" si="10"/>
        <v>1435.4093894623352</v>
      </c>
      <c r="T21" s="1076">
        <f t="shared" si="10"/>
        <v>1430.4754448339067</v>
      </c>
      <c r="U21" s="1076">
        <f t="shared" si="10"/>
        <v>1529.9581730874311</v>
      </c>
      <c r="V21" s="1076">
        <f t="shared" si="10"/>
        <v>1526.6635074270969</v>
      </c>
      <c r="W21" s="1076">
        <f t="shared" si="10"/>
        <v>1532.4998802080049</v>
      </c>
    </row>
    <row r="22" spans="1:36">
      <c r="B22" s="1077"/>
      <c r="C22" s="1078" t="s">
        <v>576</v>
      </c>
      <c r="D22" s="1078"/>
      <c r="E22" s="1078"/>
      <c r="F22" s="1078"/>
      <c r="G22" s="1078"/>
      <c r="H22" s="1076"/>
      <c r="I22" s="1076">
        <f t="shared" ref="I22:W22" si="11">IF((I8&gt;$F$5),I143,0)</f>
        <v>183.31496484975625</v>
      </c>
      <c r="J22" s="1076">
        <f t="shared" si="11"/>
        <v>1286.5009750257284</v>
      </c>
      <c r="K22" s="1076">
        <f t="shared" si="11"/>
        <v>-780.59300800826202</v>
      </c>
      <c r="L22" s="1076">
        <f t="shared" si="11"/>
        <v>343.43493416535586</v>
      </c>
      <c r="M22" s="1076">
        <f t="shared" si="11"/>
        <v>416.64735059836329</v>
      </c>
      <c r="N22" s="1076">
        <f t="shared" si="11"/>
        <v>253.5764945890453</v>
      </c>
      <c r="O22" s="1076">
        <f t="shared" si="11"/>
        <v>366.30630442072874</v>
      </c>
      <c r="P22" s="1076">
        <f t="shared" si="11"/>
        <v>249.44384605156927</v>
      </c>
      <c r="Q22" s="1076">
        <f t="shared" si="11"/>
        <v>284.05379521736518</v>
      </c>
      <c r="R22" s="1076">
        <f t="shared" si="11"/>
        <v>289.73487112171267</v>
      </c>
      <c r="S22" s="1076">
        <f t="shared" si="11"/>
        <v>295.52956854414685</v>
      </c>
      <c r="T22" s="1076">
        <f t="shared" si="11"/>
        <v>301.44015991502982</v>
      </c>
      <c r="U22" s="1076">
        <f t="shared" si="11"/>
        <v>307.46896311333046</v>
      </c>
      <c r="V22" s="1076">
        <f t="shared" si="11"/>
        <v>313.61834237559702</v>
      </c>
      <c r="W22" s="1076">
        <f t="shared" si="11"/>
        <v>319.89070922310907</v>
      </c>
    </row>
    <row r="23" spans="1:36">
      <c r="C23" s="1078" t="s">
        <v>577</v>
      </c>
      <c r="D23" s="1025"/>
      <c r="E23" s="1025"/>
      <c r="F23" s="1025"/>
      <c r="G23" s="1025"/>
      <c r="H23" s="1079"/>
      <c r="I23" s="1079">
        <f t="shared" ref="I23:W23" si="12">IF(I8&gt;$F$5,-I171,0)</f>
        <v>-198.65280057682668</v>
      </c>
      <c r="J23" s="1079">
        <f t="shared" si="12"/>
        <v>-323.69647199756253</v>
      </c>
      <c r="K23" s="1079">
        <f t="shared" si="12"/>
        <v>-242.10287363653597</v>
      </c>
      <c r="L23" s="1079">
        <f t="shared" si="12"/>
        <v>-272.98275544407534</v>
      </c>
      <c r="M23" s="1079">
        <f t="shared" si="12"/>
        <v>-181.00211309447968</v>
      </c>
      <c r="N23" s="1079">
        <f t="shared" si="12"/>
        <v>-170.28817112199869</v>
      </c>
      <c r="O23" s="1079">
        <f t="shared" si="12"/>
        <v>-206.91880156407154</v>
      </c>
      <c r="P23" s="1079">
        <f t="shared" si="12"/>
        <v>-231.86318616922847</v>
      </c>
      <c r="Q23" s="1079">
        <f t="shared" si="12"/>
        <v>-260.26856569096498</v>
      </c>
      <c r="R23" s="1079">
        <f t="shared" si="12"/>
        <v>-289.24205280313623</v>
      </c>
      <c r="S23" s="1079">
        <f t="shared" si="12"/>
        <v>-300.46351317257529</v>
      </c>
      <c r="T23" s="1079">
        <f t="shared" si="12"/>
        <v>-201.95743166150547</v>
      </c>
      <c r="U23" s="1079">
        <f t="shared" si="12"/>
        <v>-310.76362877366472</v>
      </c>
      <c r="V23" s="1079">
        <f t="shared" si="12"/>
        <v>-307.7819695946888</v>
      </c>
      <c r="W23" s="1079">
        <f t="shared" si="12"/>
        <v>-298.10630545716344</v>
      </c>
    </row>
    <row r="24" spans="1:36">
      <c r="C24" s="1071" t="s">
        <v>21</v>
      </c>
      <c r="D24" s="1071"/>
      <c r="E24" s="1071"/>
      <c r="F24" s="1071"/>
      <c r="G24" s="1071"/>
      <c r="H24" s="1080">
        <f t="shared" ref="H24:W24" si="13">IF(H8=$F$5,H33*H35,IF(H8&gt;$F$5,SUM(H21:H23),0))</f>
        <v>920.00665352985231</v>
      </c>
      <c r="I24" s="1080">
        <f t="shared" si="13"/>
        <v>904.66881780278186</v>
      </c>
      <c r="J24" s="1080">
        <f t="shared" si="13"/>
        <v>1867.4733208309476</v>
      </c>
      <c r="K24" s="1080">
        <f t="shared" si="13"/>
        <v>844.77743918614954</v>
      </c>
      <c r="L24" s="1080">
        <f t="shared" si="13"/>
        <v>915.22961790743011</v>
      </c>
      <c r="M24" s="1080">
        <f t="shared" si="13"/>
        <v>1150.8748554113138</v>
      </c>
      <c r="N24" s="1080">
        <f t="shared" si="13"/>
        <v>1234.1631788783604</v>
      </c>
      <c r="O24" s="1080">
        <f t="shared" si="13"/>
        <v>1393.5506817350176</v>
      </c>
      <c r="P24" s="1080">
        <f t="shared" si="13"/>
        <v>1411.1313416173584</v>
      </c>
      <c r="Q24" s="1080">
        <f t="shared" si="13"/>
        <v>1434.9165711437586</v>
      </c>
      <c r="R24" s="1080">
        <f t="shared" si="13"/>
        <v>1435.4093894623352</v>
      </c>
      <c r="S24" s="1080">
        <f t="shared" si="13"/>
        <v>1430.4754448339067</v>
      </c>
      <c r="T24" s="1080">
        <f t="shared" si="13"/>
        <v>1529.9581730874311</v>
      </c>
      <c r="U24" s="1080">
        <f t="shared" si="13"/>
        <v>1526.6635074270969</v>
      </c>
      <c r="V24" s="1080">
        <f t="shared" si="13"/>
        <v>1532.4998802080049</v>
      </c>
      <c r="W24" s="1080">
        <f t="shared" si="13"/>
        <v>1554.2842839739506</v>
      </c>
    </row>
    <row r="25" spans="1:36">
      <c r="C25" s="1025"/>
      <c r="D25" s="1025"/>
      <c r="E25" s="1025"/>
      <c r="F25" s="1025"/>
      <c r="G25" s="1025"/>
      <c r="I25" s="1076"/>
      <c r="J25" s="1076"/>
      <c r="K25" s="1076"/>
      <c r="L25" s="1076"/>
      <c r="M25" s="1076"/>
      <c r="N25" s="1076"/>
      <c r="O25" s="1076"/>
      <c r="P25" s="1076"/>
      <c r="Q25" s="1076"/>
      <c r="R25" s="1076"/>
      <c r="S25" s="1076"/>
      <c r="T25" s="1076"/>
      <c r="U25" s="1076"/>
      <c r="V25" s="1076"/>
      <c r="W25" s="1076"/>
    </row>
    <row r="26" spans="1:36">
      <c r="C26" s="1025"/>
      <c r="D26" s="1025"/>
      <c r="E26" s="1025"/>
      <c r="F26" s="1025"/>
      <c r="G26" s="1025"/>
      <c r="H26" s="1076"/>
      <c r="I26" s="1076"/>
      <c r="J26" s="1076"/>
      <c r="K26" s="1076"/>
      <c r="L26" s="1076"/>
      <c r="M26" s="1076"/>
      <c r="N26" s="1076"/>
      <c r="O26" s="1076"/>
      <c r="P26" s="1076"/>
      <c r="Q26" s="1076"/>
      <c r="R26" s="1076"/>
      <c r="S26" s="1076"/>
      <c r="T26" s="1076"/>
      <c r="U26" s="1076"/>
      <c r="V26" s="1076"/>
      <c r="W26" s="1076"/>
    </row>
    <row r="27" spans="1:36" s="1046" customFormat="1" ht="14.25" customHeight="1">
      <c r="A27" s="1070"/>
      <c r="B27" s="1074"/>
      <c r="C27" s="1055" t="s">
        <v>22</v>
      </c>
      <c r="D27" s="1071"/>
      <c r="E27" s="1071"/>
      <c r="F27" s="1071"/>
      <c r="G27" s="1071"/>
      <c r="H27" s="1081"/>
      <c r="I27" s="1081"/>
      <c r="J27" s="1081"/>
      <c r="K27" s="1081"/>
      <c r="L27" s="1081"/>
      <c r="M27" s="1081"/>
      <c r="N27" s="1081"/>
      <c r="O27" s="1081"/>
      <c r="P27" s="1082"/>
      <c r="Q27" s="1082"/>
      <c r="R27" s="1082"/>
      <c r="S27" s="1082"/>
      <c r="T27" s="1082"/>
      <c r="U27" s="1082"/>
      <c r="V27" s="1082"/>
      <c r="W27" s="1082"/>
      <c r="AA27"/>
      <c r="AB27"/>
      <c r="AC27"/>
      <c r="AD27"/>
      <c r="AE27"/>
      <c r="AF27"/>
      <c r="AJ27" s="1022"/>
    </row>
    <row r="28" spans="1:36" s="1046" customFormat="1">
      <c r="A28" s="1070"/>
      <c r="B28" s="1074"/>
      <c r="C28" s="1058"/>
      <c r="D28" s="1071"/>
      <c r="E28" s="1071"/>
      <c r="F28" s="1071"/>
      <c r="G28" s="1071"/>
      <c r="H28" s="1081"/>
      <c r="I28" s="1081"/>
      <c r="J28" s="1081"/>
      <c r="K28" s="1081"/>
      <c r="L28" s="1081"/>
      <c r="M28" s="1081"/>
      <c r="N28" s="1081"/>
      <c r="O28" s="1081"/>
      <c r="P28" s="1082"/>
      <c r="Q28" s="1082"/>
      <c r="R28" s="1082"/>
      <c r="S28" s="1082"/>
      <c r="T28" s="1082"/>
      <c r="U28" s="1082"/>
      <c r="V28" s="1082"/>
      <c r="W28" s="1082"/>
      <c r="AA28"/>
      <c r="AB28"/>
      <c r="AC28"/>
      <c r="AD28"/>
      <c r="AE28"/>
      <c r="AF28"/>
      <c r="AJ28" s="1022"/>
    </row>
    <row r="29" spans="1:36">
      <c r="C29" s="1075" t="s">
        <v>23</v>
      </c>
      <c r="D29" s="1083"/>
      <c r="E29" s="1083"/>
      <c r="F29" s="1083"/>
      <c r="G29" s="1083"/>
      <c r="H29" s="1076"/>
      <c r="I29" s="1076">
        <f t="shared" ref="I29:W29" si="14">H33</f>
        <v>1033.7153410447779</v>
      </c>
      <c r="J29" s="1076">
        <f t="shared" si="14"/>
        <v>1100.2226089534795</v>
      </c>
      <c r="K29" s="1076">
        <f t="shared" si="14"/>
        <v>2260.8358198189999</v>
      </c>
      <c r="L29" s="1076">
        <f t="shared" si="14"/>
        <v>1323.7412399288451</v>
      </c>
      <c r="M29" s="1076">
        <f t="shared" si="14"/>
        <v>1491.3299358351428</v>
      </c>
      <c r="N29" s="1076">
        <f t="shared" si="14"/>
        <v>1715.7560592978414</v>
      </c>
      <c r="O29" s="1076">
        <f t="shared" si="14"/>
        <v>1750.1428794257556</v>
      </c>
      <c r="P29" s="1076">
        <f t="shared" si="14"/>
        <v>1889.4356756849493</v>
      </c>
      <c r="Q29" s="1076">
        <f t="shared" si="14"/>
        <v>1897.6033169538837</v>
      </c>
      <c r="R29" s="1076">
        <f t="shared" si="14"/>
        <v>1935.5553832929613</v>
      </c>
      <c r="S29" s="1076">
        <f t="shared" si="14"/>
        <v>1974.2664909588207</v>
      </c>
      <c r="T29" s="1076">
        <f t="shared" si="14"/>
        <v>2013.7518207779972</v>
      </c>
      <c r="U29" s="1076">
        <f t="shared" si="14"/>
        <v>2054.0268571935571</v>
      </c>
      <c r="V29" s="1076">
        <f t="shared" si="14"/>
        <v>2095.1073943374286</v>
      </c>
      <c r="W29" s="1076">
        <f t="shared" si="14"/>
        <v>2137.0095422241775</v>
      </c>
    </row>
    <row r="30" spans="1:36">
      <c r="C30" s="1078" t="s">
        <v>578</v>
      </c>
      <c r="D30" s="1084"/>
      <c r="E30" s="1084"/>
      <c r="F30" s="1084"/>
      <c r="G30" s="1084"/>
      <c r="H30" s="1076">
        <f t="shared" ref="H30:W30" si="15">IF(H8=$F$5,0,IF(H8&gt;$F$5,H29*G44+H45*H32,0))</f>
        <v>0</v>
      </c>
      <c r="I30" s="1076">
        <f t="shared" si="15"/>
        <v>12.170303058945342</v>
      </c>
      <c r="J30" s="1076">
        <f t="shared" si="15"/>
        <v>23.86723583979208</v>
      </c>
      <c r="K30" s="1076">
        <f t="shared" si="15"/>
        <v>14.802428118107379</v>
      </c>
      <c r="L30" s="1076">
        <f t="shared" si="15"/>
        <v>16.67176174094201</v>
      </c>
      <c r="M30" s="1076">
        <f t="shared" si="15"/>
        <v>19.079772864335062</v>
      </c>
      <c r="N30" s="1076">
        <f t="shared" si="15"/>
        <v>19.693325538868866</v>
      </c>
      <c r="O30" s="1076">
        <f t="shared" si="15"/>
        <v>21.164491838464844</v>
      </c>
      <c r="P30" s="1076">
        <f t="shared" si="15"/>
        <v>21.388795217365185</v>
      </c>
      <c r="Q30" s="1076">
        <f t="shared" si="15"/>
        <v>21.816571121712489</v>
      </c>
      <c r="R30" s="1076">
        <f t="shared" si="15"/>
        <v>22.252902544146739</v>
      </c>
      <c r="S30" s="1076">
        <f t="shared" si="15"/>
        <v>22.697960595029677</v>
      </c>
      <c r="T30" s="1076">
        <f t="shared" si="15"/>
        <v>23.151919806930266</v>
      </c>
      <c r="U30" s="1076">
        <f t="shared" si="15"/>
        <v>23.61495820306887</v>
      </c>
      <c r="V30" s="1076">
        <f t="shared" si="15"/>
        <v>24.087257367130249</v>
      </c>
      <c r="W30" s="1076">
        <f t="shared" si="15"/>
        <v>24.56900251447286</v>
      </c>
    </row>
    <row r="31" spans="1:36">
      <c r="C31" s="1078" t="s">
        <v>579</v>
      </c>
      <c r="D31" s="1084"/>
      <c r="E31" s="1084"/>
      <c r="F31" s="1084"/>
      <c r="G31" s="1084"/>
      <c r="H31" s="1076"/>
      <c r="I31" s="1076">
        <f t="shared" ref="I31:W31" si="16">-I11</f>
        <v>-128.97800000000001</v>
      </c>
      <c r="J31" s="1076">
        <f t="shared" si="16"/>
        <v>-149.755</v>
      </c>
      <c r="K31" s="1076">
        <f t="shared" si="16"/>
        <v>-171.304</v>
      </c>
      <c r="L31" s="1076">
        <f t="shared" si="16"/>
        <v>-192.518</v>
      </c>
      <c r="M31" s="1076">
        <f t="shared" si="16"/>
        <v>-211.30099999999999</v>
      </c>
      <c r="N31" s="1076">
        <f t="shared" si="16"/>
        <v>-238.88300000000001</v>
      </c>
      <c r="O31" s="1076">
        <f t="shared" si="16"/>
        <v>-248.178</v>
      </c>
      <c r="P31" s="1076">
        <f t="shared" si="16"/>
        <v>-262.66500000000002</v>
      </c>
      <c r="Q31" s="1076">
        <f t="shared" si="16"/>
        <v>-267.91830000000004</v>
      </c>
      <c r="R31" s="1076">
        <f t="shared" si="16"/>
        <v>-273.27666600000003</v>
      </c>
      <c r="S31" s="1076">
        <f t="shared" si="16"/>
        <v>-278.74219932000005</v>
      </c>
      <c r="T31" s="1076">
        <f t="shared" si="16"/>
        <v>-284.31704330640008</v>
      </c>
      <c r="U31" s="1076">
        <f t="shared" si="16"/>
        <v>-290.00338417252811</v>
      </c>
      <c r="V31" s="1076">
        <f t="shared" si="16"/>
        <v>-295.80345185597866</v>
      </c>
      <c r="W31" s="1076">
        <f t="shared" si="16"/>
        <v>-301.71952089309826</v>
      </c>
    </row>
    <row r="32" spans="1:36">
      <c r="C32" s="1078" t="s">
        <v>580</v>
      </c>
      <c r="D32" s="1084"/>
      <c r="E32" s="1084"/>
      <c r="F32" s="1084"/>
      <c r="G32" s="1084"/>
      <c r="H32" s="1079"/>
      <c r="I32" s="1079">
        <f t="shared" ref="I32:W32" si="17">IF(I8&gt;$F$5,I22,0)</f>
        <v>183.31496484975625</v>
      </c>
      <c r="J32" s="1079">
        <f t="shared" si="17"/>
        <v>1286.5009750257284</v>
      </c>
      <c r="K32" s="1079">
        <f t="shared" si="17"/>
        <v>-780.59300800826202</v>
      </c>
      <c r="L32" s="1079">
        <f t="shared" si="17"/>
        <v>343.43493416535586</v>
      </c>
      <c r="M32" s="1079">
        <f t="shared" si="17"/>
        <v>416.64735059836329</v>
      </c>
      <c r="N32" s="1079">
        <f t="shared" si="17"/>
        <v>253.5764945890453</v>
      </c>
      <c r="O32" s="1079">
        <f t="shared" si="17"/>
        <v>366.30630442072874</v>
      </c>
      <c r="P32" s="1079">
        <f t="shared" si="17"/>
        <v>249.44384605156927</v>
      </c>
      <c r="Q32" s="1079">
        <f t="shared" si="17"/>
        <v>284.05379521736518</v>
      </c>
      <c r="R32" s="1079">
        <f t="shared" si="17"/>
        <v>289.73487112171267</v>
      </c>
      <c r="S32" s="1079">
        <f t="shared" si="17"/>
        <v>295.52956854414685</v>
      </c>
      <c r="T32" s="1079">
        <f t="shared" si="17"/>
        <v>301.44015991502982</v>
      </c>
      <c r="U32" s="1079">
        <f t="shared" si="17"/>
        <v>307.46896311333046</v>
      </c>
      <c r="V32" s="1079">
        <f t="shared" si="17"/>
        <v>313.61834237559702</v>
      </c>
      <c r="W32" s="1079">
        <f t="shared" si="17"/>
        <v>319.89070922310907</v>
      </c>
    </row>
    <row r="33" spans="1:36" s="1088" customFormat="1">
      <c r="A33" s="1085"/>
      <c r="B33" s="1086"/>
      <c r="C33" s="1071" t="s">
        <v>24</v>
      </c>
      <c r="D33" s="1087"/>
      <c r="E33" s="1087"/>
      <c r="F33" s="1087"/>
      <c r="G33" s="1087"/>
      <c r="H33" s="1080">
        <f t="shared" ref="H33:W33" si="18">IF(H8=$F$5,NPV(H44,H77:H95),IF(H8&lt;$F$5,0,SUM(H29:H32)))</f>
        <v>1033.7153410447779</v>
      </c>
      <c r="I33" s="1080">
        <f t="shared" si="18"/>
        <v>1100.2226089534795</v>
      </c>
      <c r="J33" s="1080">
        <f t="shared" si="18"/>
        <v>2260.8358198189999</v>
      </c>
      <c r="K33" s="1080">
        <f t="shared" si="18"/>
        <v>1323.7412399288451</v>
      </c>
      <c r="L33" s="1080">
        <f t="shared" si="18"/>
        <v>1491.3299358351428</v>
      </c>
      <c r="M33" s="1080">
        <f t="shared" si="18"/>
        <v>1715.7560592978414</v>
      </c>
      <c r="N33" s="1080">
        <f t="shared" si="18"/>
        <v>1750.1428794257556</v>
      </c>
      <c r="O33" s="1080">
        <f t="shared" si="18"/>
        <v>1889.4356756849493</v>
      </c>
      <c r="P33" s="1080">
        <f t="shared" si="18"/>
        <v>1897.6033169538837</v>
      </c>
      <c r="Q33" s="1080">
        <f t="shared" si="18"/>
        <v>1935.5553832929613</v>
      </c>
      <c r="R33" s="1080">
        <f t="shared" si="18"/>
        <v>1974.2664909588207</v>
      </c>
      <c r="S33" s="1080">
        <f t="shared" si="18"/>
        <v>2013.7518207779972</v>
      </c>
      <c r="T33" s="1080">
        <f t="shared" si="18"/>
        <v>2054.0268571935571</v>
      </c>
      <c r="U33" s="1080">
        <f t="shared" si="18"/>
        <v>2095.1073943374286</v>
      </c>
      <c r="V33" s="1080">
        <f t="shared" si="18"/>
        <v>2137.0095422241775</v>
      </c>
      <c r="W33" s="1080">
        <f t="shared" si="18"/>
        <v>2179.749733068661</v>
      </c>
      <c r="AA33"/>
      <c r="AB33"/>
      <c r="AC33"/>
      <c r="AD33"/>
      <c r="AE33"/>
      <c r="AF33"/>
      <c r="AJ33" s="1089"/>
    </row>
    <row r="34" spans="1:36">
      <c r="C34" s="1083"/>
      <c r="D34" s="1083"/>
      <c r="E34" s="1083"/>
      <c r="F34" s="1083"/>
      <c r="G34" s="1083"/>
      <c r="H34" s="1090"/>
      <c r="I34" s="1090"/>
      <c r="J34" s="1090"/>
      <c r="K34" s="1090"/>
      <c r="L34" s="1090"/>
      <c r="M34" s="1090"/>
      <c r="N34" s="1090"/>
      <c r="O34" s="1090"/>
      <c r="P34" s="1090"/>
      <c r="Q34" s="1090"/>
      <c r="R34" s="1090"/>
      <c r="S34" s="1090"/>
      <c r="T34" s="1090"/>
      <c r="U34" s="1090"/>
      <c r="V34" s="1090"/>
      <c r="W34" s="1090"/>
    </row>
    <row r="35" spans="1:36" s="1098" customFormat="1">
      <c r="A35" s="1091"/>
      <c r="B35" s="1092"/>
      <c r="C35" s="1093" t="s">
        <v>25</v>
      </c>
      <c r="D35" s="1094"/>
      <c r="E35" s="1094"/>
      <c r="F35" s="1094"/>
      <c r="G35" s="1095">
        <v>0.89</v>
      </c>
      <c r="H35" s="1096">
        <f t="shared" ref="H35:W35" si="19">IF(ISERROR(IF($F$5=H8,$G$35,IF(H8&gt;$F$5,H24/H33,""))),0,IF($F$5=H8,$G$35,IF(H8&gt;$F$5,H24/H33,"")))</f>
        <v>0.89</v>
      </c>
      <c r="I35" s="1096">
        <f t="shared" si="19"/>
        <v>0.82225979582740405</v>
      </c>
      <c r="J35" s="1096">
        <f t="shared" si="19"/>
        <v>0.8260101438858376</v>
      </c>
      <c r="K35" s="1096">
        <f t="shared" si="19"/>
        <v>0.63817414892321311</v>
      </c>
      <c r="L35" s="1096">
        <f t="shared" si="19"/>
        <v>0.6137002925478745</v>
      </c>
      <c r="M35" s="1096">
        <f t="shared" si="19"/>
        <v>0.67076834680234176</v>
      </c>
      <c r="N35" s="1096">
        <f t="shared" si="19"/>
        <v>0.70517852764301459</v>
      </c>
      <c r="O35" s="1096">
        <f t="shared" si="19"/>
        <v>0.73754862346919237</v>
      </c>
      <c r="P35" s="1096">
        <f t="shared" si="19"/>
        <v>0.74363874104234207</v>
      </c>
      <c r="Q35" s="1096">
        <f t="shared" si="19"/>
        <v>0.74134617047357965</v>
      </c>
      <c r="R35" s="1096">
        <f t="shared" si="19"/>
        <v>0.72705959202357495</v>
      </c>
      <c r="S35" s="1096">
        <f t="shared" si="19"/>
        <v>0.71035339612070658</v>
      </c>
      <c r="T35" s="1096">
        <f t="shared" si="19"/>
        <v>0.74485792029897424</v>
      </c>
      <c r="U35" s="1096">
        <f t="shared" si="19"/>
        <v>0.72868031087728546</v>
      </c>
      <c r="V35" s="1096">
        <f t="shared" si="19"/>
        <v>0.71712355510261072</v>
      </c>
      <c r="W35" s="1096">
        <f t="shared" si="19"/>
        <v>0.71305630201216841</v>
      </c>
      <c r="X35" s="1097"/>
      <c r="AA35"/>
      <c r="AB35"/>
      <c r="AC35"/>
      <c r="AD35"/>
      <c r="AE35"/>
      <c r="AF35"/>
      <c r="AJ35" s="1099"/>
    </row>
    <row r="36" spans="1:36">
      <c r="H36" s="1100"/>
      <c r="I36" s="1100"/>
      <c r="J36" s="1100"/>
      <c r="K36" s="1100"/>
      <c r="L36" s="1100"/>
      <c r="M36" s="1100"/>
      <c r="N36" s="1100"/>
      <c r="O36" s="1100"/>
      <c r="P36" s="1100"/>
      <c r="Q36" s="1100"/>
      <c r="R36" s="1100"/>
      <c r="S36" s="1100"/>
      <c r="T36" s="1100"/>
      <c r="U36" s="1100"/>
      <c r="V36" s="1100"/>
      <c r="W36" s="1100"/>
    </row>
    <row r="37" spans="1:36">
      <c r="C37" s="1101" t="s">
        <v>26</v>
      </c>
      <c r="D37" s="1101"/>
      <c r="E37" s="1101"/>
      <c r="F37" s="1101"/>
      <c r="G37" s="1101"/>
      <c r="H37" s="1080">
        <f t="shared" ref="H37:W37" si="20">(H24-H33)*(1-$G$56)</f>
        <v>-113.7086875149256</v>
      </c>
      <c r="I37" s="1080">
        <f t="shared" si="20"/>
        <v>-195.55379115069763</v>
      </c>
      <c r="J37" s="1080">
        <f t="shared" si="20"/>
        <v>-393.36249898805227</v>
      </c>
      <c r="K37" s="1080">
        <f t="shared" si="20"/>
        <v>-478.96380074269553</v>
      </c>
      <c r="L37" s="1080">
        <f t="shared" si="20"/>
        <v>-576.10031792771269</v>
      </c>
      <c r="M37" s="1080">
        <f t="shared" si="20"/>
        <v>-564.8812038865276</v>
      </c>
      <c r="N37" s="1080">
        <f t="shared" si="20"/>
        <v>-515.97970054739517</v>
      </c>
      <c r="O37" s="1080">
        <f t="shared" si="20"/>
        <v>-495.88499394993164</v>
      </c>
      <c r="P37" s="1080">
        <f t="shared" si="20"/>
        <v>-486.47197533652525</v>
      </c>
      <c r="Q37" s="1080">
        <f t="shared" si="20"/>
        <v>-500.63881214920275</v>
      </c>
      <c r="R37" s="1080">
        <f t="shared" si="20"/>
        <v>-538.85710149648548</v>
      </c>
      <c r="S37" s="1080">
        <f t="shared" si="20"/>
        <v>-583.27637594409043</v>
      </c>
      <c r="T37" s="1080">
        <f t="shared" si="20"/>
        <v>-524.06868410612606</v>
      </c>
      <c r="U37" s="1080">
        <f t="shared" si="20"/>
        <v>-568.44388691033168</v>
      </c>
      <c r="V37" s="1080">
        <f t="shared" si="20"/>
        <v>-604.50966201617257</v>
      </c>
      <c r="W37" s="1080">
        <f t="shared" si="20"/>
        <v>-625.46544909471049</v>
      </c>
    </row>
    <row r="38" spans="1:36">
      <c r="C38" s="1102" t="s">
        <v>575</v>
      </c>
      <c r="D38" s="1061"/>
      <c r="E38" s="1061"/>
      <c r="F38" s="1061"/>
      <c r="G38" s="1061"/>
      <c r="H38" s="1062"/>
      <c r="I38" s="1067">
        <f t="shared" ref="I38:W38" si="21">I11+I15</f>
        <v>116.80769694105467</v>
      </c>
      <c r="J38" s="1067">
        <f t="shared" si="21"/>
        <v>125.88776416020792</v>
      </c>
      <c r="K38" s="1067">
        <f t="shared" si="21"/>
        <v>156.50157188189263</v>
      </c>
      <c r="L38" s="1067">
        <f t="shared" si="21"/>
        <v>175.846238259058</v>
      </c>
      <c r="M38" s="1067">
        <f t="shared" si="21"/>
        <v>192.22122713566492</v>
      </c>
      <c r="N38" s="1067">
        <f t="shared" si="21"/>
        <v>219.18967446113115</v>
      </c>
      <c r="O38" s="1067">
        <f t="shared" si="21"/>
        <v>227.01350816153516</v>
      </c>
      <c r="P38" s="1067">
        <f t="shared" si="21"/>
        <v>241.27620478263484</v>
      </c>
      <c r="Q38" s="1067">
        <f t="shared" si="21"/>
        <v>246.10172887828756</v>
      </c>
      <c r="R38" s="1067">
        <f t="shared" si="21"/>
        <v>251.0237634558533</v>
      </c>
      <c r="S38" s="1067">
        <f t="shared" si="21"/>
        <v>256.0442387249704</v>
      </c>
      <c r="T38" s="1067">
        <f t="shared" si="21"/>
        <v>261.16512349946981</v>
      </c>
      <c r="U38" s="1067">
        <f t="shared" si="21"/>
        <v>266.38842596945926</v>
      </c>
      <c r="V38" s="1067">
        <f t="shared" si="21"/>
        <v>271.71619448884843</v>
      </c>
      <c r="W38" s="1067">
        <f t="shared" si="21"/>
        <v>277.15051837862541</v>
      </c>
    </row>
    <row r="39" spans="1:36">
      <c r="C39" s="1103" t="s">
        <v>581</v>
      </c>
      <c r="D39" s="1102"/>
      <c r="E39" s="1102"/>
      <c r="F39" s="1102"/>
      <c r="G39" s="1102"/>
      <c r="H39" s="1076"/>
      <c r="I39" s="1076">
        <f t="shared" ref="I39:W39" si="22">I37-H37</f>
        <v>-81.845103635772034</v>
      </c>
      <c r="J39" s="1076">
        <f t="shared" si="22"/>
        <v>-197.80870783735463</v>
      </c>
      <c r="K39" s="1076">
        <f t="shared" si="22"/>
        <v>-85.601301754643259</v>
      </c>
      <c r="L39" s="1076">
        <f t="shared" si="22"/>
        <v>-97.136517185017169</v>
      </c>
      <c r="M39" s="1076">
        <f t="shared" si="22"/>
        <v>11.219114041185094</v>
      </c>
      <c r="N39" s="1076">
        <f t="shared" si="22"/>
        <v>48.901503339132432</v>
      </c>
      <c r="O39" s="1076">
        <f t="shared" si="22"/>
        <v>20.094706597463528</v>
      </c>
      <c r="P39" s="1076">
        <f t="shared" si="22"/>
        <v>9.4130186134063933</v>
      </c>
      <c r="Q39" s="1076">
        <f t="shared" si="22"/>
        <v>-14.166836812677502</v>
      </c>
      <c r="R39" s="1076">
        <f t="shared" si="22"/>
        <v>-38.218289347282735</v>
      </c>
      <c r="S39" s="1076">
        <f t="shared" si="22"/>
        <v>-44.419274447604948</v>
      </c>
      <c r="T39" s="1076">
        <f t="shared" si="22"/>
        <v>59.207691837964376</v>
      </c>
      <c r="U39" s="1076">
        <f t="shared" si="22"/>
        <v>-44.375202804205628</v>
      </c>
      <c r="V39" s="1076">
        <f t="shared" si="22"/>
        <v>-36.065775105840885</v>
      </c>
      <c r="W39" s="1076">
        <f t="shared" si="22"/>
        <v>-20.955787078537924</v>
      </c>
    </row>
    <row r="40" spans="1:36">
      <c r="Q40" s="1100"/>
      <c r="R40" s="1100"/>
      <c r="S40" s="1100"/>
      <c r="T40" s="1100"/>
      <c r="U40" s="1100"/>
      <c r="V40" s="1100"/>
      <c r="W40" s="1100"/>
    </row>
    <row r="41" spans="1:36">
      <c r="Q41" s="1104"/>
      <c r="R41" s="1100"/>
      <c r="S41" s="1100"/>
      <c r="T41" s="1100"/>
      <c r="U41" s="1100"/>
      <c r="V41" s="1100"/>
      <c r="W41" s="1100"/>
    </row>
    <row r="42" spans="1:36" s="1046" customFormat="1" ht="14.25" customHeight="1">
      <c r="A42" s="1070"/>
      <c r="B42" s="1074"/>
      <c r="C42" s="1105" t="s">
        <v>27</v>
      </c>
      <c r="D42" s="1106"/>
      <c r="Q42" s="1082"/>
      <c r="R42" s="1082"/>
      <c r="S42" s="1082"/>
      <c r="T42" s="1082"/>
      <c r="U42" s="1082"/>
      <c r="V42" s="1082"/>
      <c r="W42" s="1082"/>
      <c r="AA42"/>
      <c r="AB42"/>
      <c r="AC42"/>
      <c r="AD42"/>
      <c r="AE42"/>
      <c r="AF42"/>
      <c r="AJ42" s="1022"/>
    </row>
    <row r="43" spans="1:36" s="1110" customFormat="1">
      <c r="A43" s="1107"/>
      <c r="B43" s="1108"/>
      <c r="C43" s="1109"/>
      <c r="D43" s="1109"/>
      <c r="Q43" s="1109"/>
      <c r="R43" s="1109"/>
      <c r="S43" s="1109"/>
      <c r="T43" s="1109"/>
      <c r="U43" s="1109"/>
      <c r="V43" s="1109"/>
      <c r="W43" s="1109"/>
      <c r="AA43"/>
      <c r="AB43"/>
      <c r="AC43"/>
      <c r="AD43"/>
      <c r="AE43"/>
      <c r="AF43"/>
      <c r="AJ43" s="1111"/>
    </row>
    <row r="44" spans="1:36" s="1098" customFormat="1" ht="14.25" customHeight="1">
      <c r="A44" s="1112"/>
      <c r="B44" s="1112"/>
      <c r="C44" s="1113" t="s">
        <v>582</v>
      </c>
      <c r="D44" s="1114"/>
      <c r="E44" s="1114"/>
      <c r="F44" s="1114"/>
      <c r="G44" s="1112"/>
      <c r="H44" s="1115">
        <v>0.01</v>
      </c>
      <c r="I44" s="1115">
        <v>0.01</v>
      </c>
      <c r="J44" s="1115">
        <v>0.01</v>
      </c>
      <c r="K44" s="1115">
        <v>0.01</v>
      </c>
      <c r="L44" s="1115">
        <v>0.01</v>
      </c>
      <c r="M44" s="1115">
        <v>0.01</v>
      </c>
      <c r="N44" s="1115">
        <v>0.01</v>
      </c>
      <c r="O44" s="1115">
        <v>0.01</v>
      </c>
      <c r="P44" s="1115">
        <v>0.01</v>
      </c>
      <c r="Q44" s="1116">
        <f t="shared" ref="Q44:W44" si="23">(P44*(Q29+Q30+Q31)+Q45*Q32)/Q33</f>
        <v>9.9999999999999985E-3</v>
      </c>
      <c r="R44" s="1116">
        <f t="shared" si="23"/>
        <v>0.01</v>
      </c>
      <c r="S44" s="1116">
        <f t="shared" si="23"/>
        <v>9.9999999999999985E-3</v>
      </c>
      <c r="T44" s="1116">
        <f t="shared" si="23"/>
        <v>9.9999999999999985E-3</v>
      </c>
      <c r="U44" s="1116">
        <f t="shared" si="23"/>
        <v>9.9999999999999967E-3</v>
      </c>
      <c r="V44" s="1116">
        <f t="shared" si="23"/>
        <v>9.9999999999999967E-3</v>
      </c>
      <c r="W44" s="1116">
        <f t="shared" si="23"/>
        <v>9.9999999999999985E-3</v>
      </c>
      <c r="AA44"/>
      <c r="AB44"/>
      <c r="AC44"/>
      <c r="AD44"/>
      <c r="AE44"/>
      <c r="AF44"/>
      <c r="AJ44" s="1049" t="s">
        <v>691</v>
      </c>
    </row>
    <row r="45" spans="1:36" s="1098" customFormat="1" ht="15" customHeight="1">
      <c r="A45" s="1112"/>
      <c r="B45" s="1112"/>
      <c r="C45" s="1113" t="s">
        <v>583</v>
      </c>
      <c r="D45" s="1114"/>
      <c r="E45" s="1114"/>
      <c r="F45" s="1114"/>
      <c r="G45" s="1112"/>
      <c r="H45" s="1117"/>
      <c r="I45" s="1115">
        <v>0.01</v>
      </c>
      <c r="J45" s="1115">
        <v>0.01</v>
      </c>
      <c r="K45" s="1115">
        <v>0.01</v>
      </c>
      <c r="L45" s="1115">
        <v>0.01</v>
      </c>
      <c r="M45" s="1115">
        <v>0.01</v>
      </c>
      <c r="N45" s="1115">
        <v>0.01</v>
      </c>
      <c r="O45" s="1115">
        <v>0.01</v>
      </c>
      <c r="P45" s="1115">
        <v>0.01</v>
      </c>
      <c r="Q45" s="1118">
        <f t="shared" ref="Q45:W45" si="24">P45</f>
        <v>0.01</v>
      </c>
      <c r="R45" s="1118">
        <f t="shared" si="24"/>
        <v>0.01</v>
      </c>
      <c r="S45" s="1118">
        <f t="shared" si="24"/>
        <v>0.01</v>
      </c>
      <c r="T45" s="1118">
        <f t="shared" si="24"/>
        <v>0.01</v>
      </c>
      <c r="U45" s="1118">
        <f t="shared" si="24"/>
        <v>0.01</v>
      </c>
      <c r="V45" s="1118">
        <f t="shared" si="24"/>
        <v>0.01</v>
      </c>
      <c r="W45" s="1118">
        <f t="shared" si="24"/>
        <v>0.01</v>
      </c>
      <c r="AA45"/>
      <c r="AB45"/>
      <c r="AC45"/>
      <c r="AD45"/>
      <c r="AE45"/>
      <c r="AF45"/>
      <c r="AJ45" s="1049" t="s">
        <v>692</v>
      </c>
    </row>
    <row r="46" spans="1:36">
      <c r="C46" s="1119"/>
      <c r="I46" s="1120"/>
      <c r="J46" s="1120"/>
      <c r="K46" s="1120"/>
      <c r="L46" s="1120"/>
      <c r="M46" s="1120"/>
      <c r="N46" s="1120"/>
      <c r="O46" s="1120"/>
      <c r="P46" s="1120"/>
      <c r="Q46" s="1121"/>
      <c r="R46" s="1026"/>
      <c r="T46" s="1043"/>
      <c r="U46" s="1043"/>
      <c r="V46" s="1043"/>
      <c r="W46" s="1043"/>
    </row>
    <row r="47" spans="1:36">
      <c r="C47" s="1025" t="s">
        <v>584</v>
      </c>
      <c r="D47" s="1106"/>
      <c r="E47" s="1106"/>
      <c r="F47" s="1106"/>
      <c r="G47" s="1106"/>
      <c r="H47" s="1122">
        <v>10</v>
      </c>
      <c r="I47" s="1122">
        <v>10</v>
      </c>
      <c r="J47" s="1122">
        <v>10</v>
      </c>
      <c r="K47" s="1122">
        <v>10</v>
      </c>
      <c r="L47" s="1122">
        <v>10</v>
      </c>
      <c r="M47" s="1122">
        <v>10</v>
      </c>
      <c r="N47" s="1122">
        <v>10</v>
      </c>
      <c r="O47" s="1122">
        <v>10</v>
      </c>
      <c r="P47" s="1122">
        <v>10</v>
      </c>
      <c r="Q47" s="1123">
        <f t="shared" ref="Q47:W47" si="25">P47*(1+Q48)</f>
        <v>10.1</v>
      </c>
      <c r="R47" s="1123">
        <f t="shared" si="25"/>
        <v>10.201000000000001</v>
      </c>
      <c r="S47" s="1123">
        <f t="shared" si="25"/>
        <v>10.30301</v>
      </c>
      <c r="T47" s="1123">
        <f t="shared" si="25"/>
        <v>10.4060401</v>
      </c>
      <c r="U47" s="1123">
        <f t="shared" si="25"/>
        <v>10.510100501</v>
      </c>
      <c r="V47" s="1123">
        <f t="shared" si="25"/>
        <v>10.615201506010001</v>
      </c>
      <c r="W47" s="1123">
        <f t="shared" si="25"/>
        <v>10.721353521070101</v>
      </c>
    </row>
    <row r="48" spans="1:36">
      <c r="B48" s="1074"/>
      <c r="C48" s="1046" t="s">
        <v>585</v>
      </c>
      <c r="H48" s="1124"/>
      <c r="I48" s="1124">
        <f t="shared" ref="I48:P48" si="26">I47/H47-1</f>
        <v>0</v>
      </c>
      <c r="J48" s="1124">
        <f t="shared" si="26"/>
        <v>0</v>
      </c>
      <c r="K48" s="1124">
        <f t="shared" si="26"/>
        <v>0</v>
      </c>
      <c r="L48" s="1124">
        <f t="shared" si="26"/>
        <v>0</v>
      </c>
      <c r="M48" s="1124">
        <f t="shared" si="26"/>
        <v>0</v>
      </c>
      <c r="N48" s="1124">
        <f t="shared" si="26"/>
        <v>0</v>
      </c>
      <c r="O48" s="1124">
        <f t="shared" si="26"/>
        <v>0</v>
      </c>
      <c r="P48" s="1124">
        <f t="shared" si="26"/>
        <v>0</v>
      </c>
      <c r="Q48" s="1125">
        <v>0.01</v>
      </c>
      <c r="R48" s="1125">
        <v>0.01</v>
      </c>
      <c r="S48" s="1125">
        <v>0.01</v>
      </c>
      <c r="T48" s="1125">
        <v>0.01</v>
      </c>
      <c r="U48" s="1125">
        <v>0.01</v>
      </c>
      <c r="V48" s="1125">
        <v>0.01</v>
      </c>
      <c r="W48" s="1125">
        <v>0.01</v>
      </c>
    </row>
    <row r="49" spans="1:36">
      <c r="B49" s="1074"/>
      <c r="C49" s="1046" t="s">
        <v>586</v>
      </c>
      <c r="H49" s="1126"/>
      <c r="I49" s="1127"/>
      <c r="J49" s="1126"/>
      <c r="K49" s="1126"/>
      <c r="L49" s="1126"/>
      <c r="M49" s="1126"/>
      <c r="N49" s="1128"/>
      <c r="O49" s="1128"/>
      <c r="P49" s="1128"/>
      <c r="Q49" s="1128"/>
      <c r="R49" s="1128"/>
      <c r="S49" s="1128"/>
      <c r="T49" s="1128"/>
      <c r="U49" s="1128"/>
      <c r="V49" s="1128"/>
      <c r="W49" s="1128"/>
    </row>
    <row r="50" spans="1:36">
      <c r="B50" s="1074"/>
      <c r="H50" s="1126"/>
      <c r="I50" s="1127"/>
      <c r="J50" s="1126"/>
      <c r="K50" s="1126"/>
      <c r="L50" s="1126"/>
      <c r="M50" s="1126"/>
      <c r="N50" s="1128"/>
      <c r="O50" s="1128"/>
      <c r="P50" s="1128"/>
      <c r="Q50" s="1128"/>
      <c r="R50" s="1128"/>
      <c r="S50" s="1128"/>
      <c r="T50" s="1128"/>
      <c r="U50" s="1128"/>
      <c r="V50" s="1128"/>
      <c r="W50" s="1128"/>
    </row>
    <row r="51" spans="1:36">
      <c r="B51" s="1074"/>
      <c r="C51" s="1046" t="s">
        <v>587</v>
      </c>
      <c r="H51" s="1129"/>
      <c r="I51" s="1129">
        <f t="shared" ref="I51:W51" si="27">IF(ISERROR(I54/I47),0,I54/I47)</f>
        <v>18.331496484975624</v>
      </c>
      <c r="J51" s="1129">
        <f t="shared" si="27"/>
        <v>128.65009750257283</v>
      </c>
      <c r="K51" s="1129">
        <f t="shared" si="27"/>
        <v>-78.059300800826207</v>
      </c>
      <c r="L51" s="1129">
        <f t="shared" si="27"/>
        <v>34.343493416535587</v>
      </c>
      <c r="M51" s="1129">
        <f t="shared" si="27"/>
        <v>41.664735059836332</v>
      </c>
      <c r="N51" s="1129">
        <f t="shared" si="27"/>
        <v>25.357649458904529</v>
      </c>
      <c r="O51" s="1129">
        <f t="shared" si="27"/>
        <v>36.630630442072871</v>
      </c>
      <c r="P51" s="1129">
        <f t="shared" si="27"/>
        <v>24.944384605156927</v>
      </c>
      <c r="Q51" s="1129">
        <f t="shared" si="27"/>
        <v>28.124138140333187</v>
      </c>
      <c r="R51" s="1129">
        <f t="shared" si="27"/>
        <v>28.402594953603828</v>
      </c>
      <c r="S51" s="1129">
        <f t="shared" si="27"/>
        <v>28.683808765025642</v>
      </c>
      <c r="T51" s="1129">
        <f t="shared" si="27"/>
        <v>28.967806871610058</v>
      </c>
      <c r="U51" s="1129">
        <f t="shared" si="27"/>
        <v>29.254616840635904</v>
      </c>
      <c r="V51" s="1129">
        <f t="shared" si="27"/>
        <v>29.544266512325361</v>
      </c>
      <c r="W51" s="1129">
        <f t="shared" si="27"/>
        <v>29.836784002546413</v>
      </c>
    </row>
    <row r="52" spans="1:36">
      <c r="B52" s="1074"/>
      <c r="C52" s="1046" t="s">
        <v>588</v>
      </c>
      <c r="H52" s="1124"/>
      <c r="I52" s="1130"/>
      <c r="J52" s="1130">
        <f t="shared" ref="J52:W52" si="28">IF(ISERROR(J51/I51-1),0,J51/I51-1)</f>
        <v>6.0179811892615325</v>
      </c>
      <c r="K52" s="1130">
        <f t="shared" si="28"/>
        <v>-1.60675663925762</v>
      </c>
      <c r="L52" s="1130">
        <f t="shared" si="28"/>
        <v>-1.4399667056225038</v>
      </c>
      <c r="M52" s="1130">
        <f t="shared" si="28"/>
        <v>0.21317696352275384</v>
      </c>
      <c r="N52" s="1130">
        <f t="shared" si="28"/>
        <v>-0.39138819861718954</v>
      </c>
      <c r="O52" s="1130">
        <f t="shared" si="28"/>
        <v>0.44455938242374238</v>
      </c>
      <c r="P52" s="1130">
        <f t="shared" si="28"/>
        <v>-0.31902933954129997</v>
      </c>
      <c r="Q52" s="1130">
        <f t="shared" si="28"/>
        <v>0.12747372146109748</v>
      </c>
      <c r="R52" s="1130">
        <f t="shared" si="28"/>
        <v>9.9009900990103539E-3</v>
      </c>
      <c r="S52" s="1130">
        <f t="shared" si="28"/>
        <v>9.9009900990096877E-3</v>
      </c>
      <c r="T52" s="1130">
        <f t="shared" si="28"/>
        <v>9.9009900990101318E-3</v>
      </c>
      <c r="U52" s="1130">
        <f t="shared" si="28"/>
        <v>9.9009900990101318E-3</v>
      </c>
      <c r="V52" s="1130">
        <f t="shared" si="28"/>
        <v>9.9009900990096877E-3</v>
      </c>
      <c r="W52" s="1130">
        <f t="shared" si="28"/>
        <v>9.9009900990101318E-3</v>
      </c>
    </row>
    <row r="53" spans="1:36">
      <c r="B53" s="1074"/>
      <c r="H53" s="1124"/>
      <c r="I53" s="1124"/>
      <c r="J53" s="1124"/>
      <c r="K53" s="1124"/>
      <c r="L53" s="1124"/>
      <c r="M53" s="1124"/>
      <c r="N53" s="1124"/>
      <c r="O53" s="1124"/>
      <c r="P53" s="1124"/>
      <c r="Q53" s="1124"/>
      <c r="R53" s="1124"/>
      <c r="S53" s="1124"/>
      <c r="T53" s="1124"/>
      <c r="U53" s="1124"/>
      <c r="V53" s="1124"/>
      <c r="W53" s="1124"/>
    </row>
    <row r="54" spans="1:36">
      <c r="B54" s="1074"/>
      <c r="C54" s="1046" t="s">
        <v>589</v>
      </c>
      <c r="H54" s="1131"/>
      <c r="I54" s="1131">
        <f t="shared" ref="I54:W54" si="29">IF(ISERROR(I143),0,I143)</f>
        <v>183.31496484975625</v>
      </c>
      <c r="J54" s="1131">
        <f t="shared" si="29"/>
        <v>1286.5009750257284</v>
      </c>
      <c r="K54" s="1131">
        <f t="shared" si="29"/>
        <v>-780.59300800826202</v>
      </c>
      <c r="L54" s="1131">
        <f t="shared" si="29"/>
        <v>343.43493416535586</v>
      </c>
      <c r="M54" s="1131">
        <f t="shared" si="29"/>
        <v>416.64735059836329</v>
      </c>
      <c r="N54" s="1131">
        <f t="shared" si="29"/>
        <v>253.5764945890453</v>
      </c>
      <c r="O54" s="1131">
        <f t="shared" si="29"/>
        <v>366.30630442072874</v>
      </c>
      <c r="P54" s="1131">
        <f t="shared" si="29"/>
        <v>249.44384605156927</v>
      </c>
      <c r="Q54" s="1131">
        <f t="shared" si="29"/>
        <v>284.05379521736518</v>
      </c>
      <c r="R54" s="1131">
        <f t="shared" si="29"/>
        <v>289.73487112171267</v>
      </c>
      <c r="S54" s="1131">
        <f t="shared" si="29"/>
        <v>295.52956854414685</v>
      </c>
      <c r="T54" s="1131">
        <f t="shared" si="29"/>
        <v>301.44015991502982</v>
      </c>
      <c r="U54" s="1131">
        <f t="shared" si="29"/>
        <v>307.46896311333046</v>
      </c>
      <c r="V54" s="1131">
        <f t="shared" si="29"/>
        <v>313.61834237559702</v>
      </c>
      <c r="W54" s="1131">
        <f t="shared" si="29"/>
        <v>319.89070922310907</v>
      </c>
    </row>
    <row r="55" spans="1:36">
      <c r="B55" s="1074"/>
      <c r="H55" s="1021"/>
      <c r="I55" s="1132"/>
      <c r="J55" s="1130">
        <f t="shared" ref="J55:W55" si="30">IF(ISERROR(J54/I54-1),0,J54/I54-1)</f>
        <v>6.0179811892615325</v>
      </c>
      <c r="K55" s="1130">
        <f t="shared" si="30"/>
        <v>-1.6067566392576198</v>
      </c>
      <c r="L55" s="1130">
        <f t="shared" si="30"/>
        <v>-1.4399667056225038</v>
      </c>
      <c r="M55" s="1130">
        <f t="shared" si="30"/>
        <v>0.21317696352275384</v>
      </c>
      <c r="N55" s="1130">
        <f t="shared" si="30"/>
        <v>-0.39138819861718943</v>
      </c>
      <c r="O55" s="1130">
        <f t="shared" si="30"/>
        <v>0.44455938242374238</v>
      </c>
      <c r="P55" s="1130">
        <f t="shared" si="30"/>
        <v>-0.31902933954129997</v>
      </c>
      <c r="Q55" s="1130">
        <f t="shared" si="30"/>
        <v>0.1387484586757084</v>
      </c>
      <c r="R55" s="1130">
        <f t="shared" si="30"/>
        <v>2.0000000000000684E-2</v>
      </c>
      <c r="S55" s="1130">
        <f t="shared" si="30"/>
        <v>1.9999999999999796E-2</v>
      </c>
      <c r="T55" s="1130">
        <f t="shared" si="30"/>
        <v>2.0000000000000018E-2</v>
      </c>
      <c r="U55" s="1130">
        <f t="shared" si="30"/>
        <v>2.000000000000024E-2</v>
      </c>
      <c r="V55" s="1130">
        <f t="shared" si="30"/>
        <v>1.9999999999999796E-2</v>
      </c>
      <c r="W55" s="1130">
        <f t="shared" si="30"/>
        <v>2.000000000000024E-2</v>
      </c>
    </row>
    <row r="56" spans="1:36" ht="12" customHeight="1">
      <c r="B56" s="1074"/>
      <c r="C56" s="1025" t="s">
        <v>590</v>
      </c>
      <c r="D56" s="1071"/>
      <c r="E56" s="1071"/>
      <c r="F56" s="1071"/>
      <c r="G56" s="1133">
        <f>_xll.ThomsonONEAddinShim.SpreadsheetFormulas.TF(SedolTicker,"ZAV(TF.FN.TaxRate(period=FY0))")/100</f>
        <v>0</v>
      </c>
      <c r="I56" s="1134"/>
      <c r="J56" s="1132"/>
      <c r="K56" s="1132"/>
      <c r="L56" s="1132"/>
      <c r="M56" s="1132"/>
      <c r="N56" s="1132"/>
      <c r="O56" s="1132"/>
      <c r="P56" s="1132"/>
      <c r="Q56" s="1132"/>
      <c r="R56" s="1132"/>
      <c r="S56" s="1132"/>
      <c r="T56" s="1132"/>
      <c r="U56" s="1132"/>
      <c r="V56" s="1132"/>
      <c r="W56" s="1132"/>
    </row>
    <row r="57" spans="1:36">
      <c r="B57" s="1074"/>
      <c r="D57" s="1106"/>
      <c r="E57" s="1106"/>
      <c r="F57" s="1106"/>
      <c r="G57" s="1106"/>
      <c r="H57" s="1132"/>
      <c r="I57" s="1132"/>
      <c r="J57" s="1135"/>
      <c r="K57" s="1135"/>
      <c r="L57" s="1135"/>
      <c r="M57" s="1135"/>
      <c r="N57" s="1135"/>
      <c r="O57" s="1135"/>
      <c r="P57" s="1135"/>
      <c r="Q57" s="1135"/>
      <c r="R57" s="1135"/>
      <c r="S57" s="1135"/>
      <c r="T57" s="1135"/>
      <c r="U57" s="1135"/>
      <c r="V57" s="1135"/>
      <c r="W57" s="1135"/>
    </row>
    <row r="58" spans="1:36">
      <c r="B58" s="1074"/>
      <c r="C58" s="1046" t="s">
        <v>28</v>
      </c>
      <c r="D58" s="1106"/>
      <c r="E58" s="1106"/>
      <c r="F58" s="1106"/>
      <c r="G58" s="1106"/>
      <c r="H58" s="1132"/>
      <c r="I58" s="1132"/>
      <c r="J58" s="1136">
        <v>0.8</v>
      </c>
      <c r="K58" s="1136">
        <v>0.8</v>
      </c>
      <c r="L58" s="1136">
        <v>0.8</v>
      </c>
      <c r="M58" s="1136">
        <v>0.8</v>
      </c>
      <c r="N58" s="1136">
        <v>0.8</v>
      </c>
      <c r="O58" s="1136">
        <v>0.8</v>
      </c>
      <c r="P58" s="1136">
        <v>0.8</v>
      </c>
      <c r="Q58" s="1136">
        <v>0.8</v>
      </c>
      <c r="R58" s="1136">
        <v>0.8</v>
      </c>
      <c r="S58" s="1136">
        <v>0.8</v>
      </c>
      <c r="T58" s="1136">
        <v>0.8</v>
      </c>
      <c r="U58" s="1136">
        <v>0.8</v>
      </c>
      <c r="V58" s="1136">
        <v>0.8</v>
      </c>
      <c r="W58" s="1136">
        <v>0.8</v>
      </c>
    </row>
    <row r="59" spans="1:36" s="1088" customFormat="1">
      <c r="A59" s="1085"/>
      <c r="B59" s="1137"/>
      <c r="C59" s="1025" t="s">
        <v>591</v>
      </c>
      <c r="D59" s="1071"/>
      <c r="E59" s="1071"/>
      <c r="F59" s="1071"/>
      <c r="G59" s="1071"/>
      <c r="H59" s="1138"/>
      <c r="I59" s="1139"/>
      <c r="J59" s="1062">
        <f t="shared" ref="J59:W59" si="31">J54*J58</f>
        <v>1029.2007800205827</v>
      </c>
      <c r="K59" s="1062">
        <f t="shared" si="31"/>
        <v>-624.47440640660966</v>
      </c>
      <c r="L59" s="1062">
        <f t="shared" si="31"/>
        <v>274.7479473322847</v>
      </c>
      <c r="M59" s="1062">
        <f t="shared" si="31"/>
        <v>333.31788047869065</v>
      </c>
      <c r="N59" s="1062">
        <f t="shared" si="31"/>
        <v>202.86119567123626</v>
      </c>
      <c r="O59" s="1062">
        <f t="shared" si="31"/>
        <v>293.04504353658302</v>
      </c>
      <c r="P59" s="1062">
        <f t="shared" si="31"/>
        <v>199.55507684125541</v>
      </c>
      <c r="Q59" s="1062">
        <f t="shared" si="31"/>
        <v>227.24303617389216</v>
      </c>
      <c r="R59" s="1062">
        <f t="shared" si="31"/>
        <v>231.78789689737016</v>
      </c>
      <c r="S59" s="1062">
        <f t="shared" si="31"/>
        <v>236.42365483531751</v>
      </c>
      <c r="T59" s="1062">
        <f t="shared" si="31"/>
        <v>241.15212793202386</v>
      </c>
      <c r="U59" s="1062">
        <f t="shared" si="31"/>
        <v>245.97517049066437</v>
      </c>
      <c r="V59" s="1062">
        <f t="shared" si="31"/>
        <v>250.89467390047764</v>
      </c>
      <c r="W59" s="1062">
        <f t="shared" si="31"/>
        <v>255.91256737848727</v>
      </c>
      <c r="X59" s="1140"/>
      <c r="Y59" s="1140"/>
      <c r="Z59" s="1140"/>
      <c r="AA59"/>
      <c r="AB59"/>
      <c r="AC59"/>
      <c r="AD59"/>
      <c r="AE59"/>
      <c r="AF59"/>
      <c r="AJ59" s="1089"/>
    </row>
    <row r="60" spans="1:36" s="1088" customFormat="1">
      <c r="A60" s="1085"/>
      <c r="B60" s="1137"/>
      <c r="C60" s="1025" t="s">
        <v>592</v>
      </c>
      <c r="D60" s="1071"/>
      <c r="E60" s="1071"/>
      <c r="F60" s="1071"/>
      <c r="G60" s="1071"/>
      <c r="H60" s="1138"/>
      <c r="I60" s="1139"/>
      <c r="J60" s="1131">
        <f t="shared" ref="J60:W60" si="32">J54-J59</f>
        <v>257.30019500514572</v>
      </c>
      <c r="K60" s="1131">
        <f t="shared" si="32"/>
        <v>-156.11860160165236</v>
      </c>
      <c r="L60" s="1131">
        <f t="shared" si="32"/>
        <v>68.68698683307116</v>
      </c>
      <c r="M60" s="1131">
        <f t="shared" si="32"/>
        <v>83.329470119672635</v>
      </c>
      <c r="N60" s="1131">
        <f t="shared" si="32"/>
        <v>50.715298917809037</v>
      </c>
      <c r="O60" s="1131">
        <f t="shared" si="32"/>
        <v>73.261260884145713</v>
      </c>
      <c r="P60" s="1131">
        <f t="shared" si="32"/>
        <v>49.888769210313853</v>
      </c>
      <c r="Q60" s="1131">
        <f t="shared" si="32"/>
        <v>56.810759043473013</v>
      </c>
      <c r="R60" s="1131">
        <f t="shared" si="32"/>
        <v>57.946974224342512</v>
      </c>
      <c r="S60" s="1131">
        <f t="shared" si="32"/>
        <v>59.105913708829348</v>
      </c>
      <c r="T60" s="1131">
        <f t="shared" si="32"/>
        <v>60.288031983005965</v>
      </c>
      <c r="U60" s="1131">
        <f t="shared" si="32"/>
        <v>61.493792622666092</v>
      </c>
      <c r="V60" s="1131">
        <f t="shared" si="32"/>
        <v>62.723668475119382</v>
      </c>
      <c r="W60" s="1131">
        <f t="shared" si="32"/>
        <v>63.978141844621803</v>
      </c>
      <c r="X60" s="1071"/>
      <c r="Y60" s="1071"/>
      <c r="Z60" s="1071"/>
      <c r="AA60"/>
      <c r="AB60"/>
      <c r="AC60"/>
      <c r="AD60"/>
      <c r="AE60"/>
      <c r="AF60"/>
      <c r="AJ60" s="1089"/>
    </row>
    <row r="61" spans="1:36">
      <c r="B61" s="1074"/>
      <c r="D61" s="1106"/>
      <c r="E61" s="1106"/>
      <c r="F61" s="1106"/>
      <c r="G61" s="1106"/>
      <c r="H61" s="1138"/>
      <c r="I61" s="1132"/>
      <c r="J61" s="1132"/>
      <c r="K61" s="1132"/>
      <c r="L61" s="1132"/>
      <c r="M61" s="1132"/>
      <c r="N61" s="1132"/>
      <c r="O61" s="1132"/>
      <c r="P61" s="1132"/>
      <c r="Q61" s="1132"/>
      <c r="R61" s="1132"/>
      <c r="S61" s="1132"/>
      <c r="T61" s="1132"/>
      <c r="U61" s="1132"/>
      <c r="V61" s="1132"/>
      <c r="W61" s="1132"/>
    </row>
    <row r="62" spans="1:36">
      <c r="B62" s="1074"/>
      <c r="H62" s="1141"/>
      <c r="I62" s="1141"/>
      <c r="J62" s="1141"/>
      <c r="K62" s="1141"/>
      <c r="L62" s="1141"/>
      <c r="M62" s="1141"/>
      <c r="N62" s="1142"/>
      <c r="O62" s="1142"/>
      <c r="P62" s="1142"/>
      <c r="Q62" s="1143"/>
      <c r="R62" s="1143"/>
      <c r="S62" s="1143"/>
      <c r="T62" s="1143"/>
      <c r="U62" s="1143"/>
      <c r="V62" s="1143"/>
      <c r="W62" s="1143"/>
    </row>
    <row r="63" spans="1:36">
      <c r="B63" s="1074"/>
      <c r="C63" s="1046" t="s">
        <v>593</v>
      </c>
      <c r="H63" s="1131">
        <f t="shared" ref="H63:P63" si="33">IF(ISERROR(H76),0,H76)</f>
        <v>115</v>
      </c>
      <c r="I63" s="1131">
        <f t="shared" si="33"/>
        <v>128.97800000000001</v>
      </c>
      <c r="J63" s="1131">
        <f t="shared" si="33"/>
        <v>149.755</v>
      </c>
      <c r="K63" s="1131">
        <f t="shared" si="33"/>
        <v>171.304</v>
      </c>
      <c r="L63" s="1131">
        <f t="shared" si="33"/>
        <v>192.518</v>
      </c>
      <c r="M63" s="1131">
        <f t="shared" si="33"/>
        <v>211.30099999999999</v>
      </c>
      <c r="N63" s="1131">
        <f t="shared" si="33"/>
        <v>238.88300000000001</v>
      </c>
      <c r="O63" s="1131">
        <f t="shared" si="33"/>
        <v>248.178</v>
      </c>
      <c r="P63" s="1131">
        <f t="shared" si="33"/>
        <v>262.66500000000002</v>
      </c>
      <c r="Q63" s="1131">
        <f t="shared" ref="Q63:W63" si="34">P63*(1+Q64)</f>
        <v>267.91830000000004</v>
      </c>
      <c r="R63" s="1131">
        <f t="shared" si="34"/>
        <v>273.27666600000003</v>
      </c>
      <c r="S63" s="1131">
        <f t="shared" si="34"/>
        <v>278.74219932000005</v>
      </c>
      <c r="T63" s="1131">
        <f t="shared" si="34"/>
        <v>284.31704330640008</v>
      </c>
      <c r="U63" s="1131">
        <f t="shared" si="34"/>
        <v>290.00338417252811</v>
      </c>
      <c r="V63" s="1131">
        <f t="shared" si="34"/>
        <v>295.80345185597866</v>
      </c>
      <c r="W63" s="1131">
        <f t="shared" si="34"/>
        <v>301.71952089309826</v>
      </c>
    </row>
    <row r="64" spans="1:36">
      <c r="B64" s="1074"/>
      <c r="C64" s="1103" t="s">
        <v>594</v>
      </c>
      <c r="D64" s="1103"/>
      <c r="E64" s="1103"/>
      <c r="F64" s="1103"/>
      <c r="G64" s="1103"/>
      <c r="H64" s="1132"/>
      <c r="I64" s="1130">
        <f t="shared" ref="I64:P64" si="35">IF(ISERROR(I63/H63-1),0,I63/H63-1)</f>
        <v>0.12154782608695669</v>
      </c>
      <c r="J64" s="1130">
        <f t="shared" si="35"/>
        <v>0.16108948812975843</v>
      </c>
      <c r="K64" s="1130">
        <f t="shared" si="35"/>
        <v>0.14389502854662628</v>
      </c>
      <c r="L64" s="1130">
        <f t="shared" si="35"/>
        <v>0.12383832251436044</v>
      </c>
      <c r="M64" s="1130">
        <f t="shared" si="35"/>
        <v>9.7564903022055116E-2</v>
      </c>
      <c r="N64" s="1130">
        <f t="shared" si="35"/>
        <v>0.13053416689935227</v>
      </c>
      <c r="O64" s="1130">
        <f t="shared" si="35"/>
        <v>3.8910261508771971E-2</v>
      </c>
      <c r="P64" s="1130">
        <f t="shared" si="35"/>
        <v>5.8373425525227951E-2</v>
      </c>
      <c r="Q64" s="1125">
        <v>0.02</v>
      </c>
      <c r="R64" s="1125">
        <v>0.02</v>
      </c>
      <c r="S64" s="1125">
        <v>0.02</v>
      </c>
      <c r="T64" s="1125">
        <v>0.02</v>
      </c>
      <c r="U64" s="1125">
        <v>0.02</v>
      </c>
      <c r="V64" s="1125">
        <v>0.02</v>
      </c>
      <c r="W64" s="1125">
        <v>0.02</v>
      </c>
      <c r="X64" s="1144"/>
      <c r="Y64" s="1144"/>
      <c r="Z64" s="1144"/>
    </row>
    <row r="65" spans="1:36">
      <c r="B65" s="1074"/>
      <c r="H65" s="1145"/>
      <c r="I65" s="1145"/>
      <c r="J65" s="1145"/>
      <c r="K65" s="1145"/>
      <c r="L65" s="1145"/>
      <c r="M65" s="1145"/>
      <c r="N65" s="1145"/>
      <c r="O65" s="1145"/>
      <c r="P65" s="1145"/>
      <c r="Q65" s="1145"/>
      <c r="R65" s="1145"/>
      <c r="S65" s="1145"/>
      <c r="T65" s="1145"/>
      <c r="U65" s="1145"/>
      <c r="V65" s="1145"/>
      <c r="W65" s="1145"/>
    </row>
    <row r="66" spans="1:36">
      <c r="B66" s="1074"/>
      <c r="C66" s="1106" t="s">
        <v>595</v>
      </c>
      <c r="H66" s="1146">
        <f t="shared" ref="H66:W66" si="36">IF(ISERROR(H$68+SUM(H77:H81)),0,H$68+SUM(H77:H81))</f>
        <v>1086</v>
      </c>
      <c r="I66" s="1146">
        <f t="shared" si="36"/>
        <v>1155.8430000000001</v>
      </c>
      <c r="J66" s="1146">
        <f t="shared" si="36"/>
        <v>2397.6210000000001</v>
      </c>
      <c r="K66" s="1146">
        <f t="shared" si="36"/>
        <v>1389.0030000000002</v>
      </c>
      <c r="L66" s="1146">
        <f t="shared" si="36"/>
        <v>1563.7640000000001</v>
      </c>
      <c r="M66" s="1146">
        <f t="shared" si="36"/>
        <v>1801.125</v>
      </c>
      <c r="N66" s="1146">
        <f t="shared" si="36"/>
        <v>1836.239</v>
      </c>
      <c r="O66" s="1146">
        <f t="shared" si="36"/>
        <v>1982.1759999999999</v>
      </c>
      <c r="P66" s="1146">
        <f t="shared" si="36"/>
        <v>1990.6880000000001</v>
      </c>
      <c r="Q66" s="1146">
        <f t="shared" si="36"/>
        <v>2030.5017600000001</v>
      </c>
      <c r="R66" s="1146">
        <f t="shared" si="36"/>
        <v>2071.1117952000004</v>
      </c>
      <c r="S66" s="1146">
        <f t="shared" si="36"/>
        <v>2112.5340311040004</v>
      </c>
      <c r="T66" s="1146">
        <f t="shared" si="36"/>
        <v>2154.7847117260803</v>
      </c>
      <c r="U66" s="1146">
        <f t="shared" si="36"/>
        <v>2197.8804059606018</v>
      </c>
      <c r="V66" s="1146">
        <f t="shared" si="36"/>
        <v>2241.838014079814</v>
      </c>
      <c r="W66" s="1146">
        <f t="shared" si="36"/>
        <v>2286.6747743614105</v>
      </c>
    </row>
    <row r="67" spans="1:36">
      <c r="C67" s="1147" t="s">
        <v>596</v>
      </c>
      <c r="D67" s="1147"/>
      <c r="E67" s="1147"/>
      <c r="F67" s="1147"/>
      <c r="G67" s="1147"/>
      <c r="H67" s="1148"/>
      <c r="I67" s="1130">
        <f t="shared" ref="I67:W67" si="37">IF(ISERROR(I66/H66-1),0,I66/H66-1)</f>
        <v>6.4312154696132717E-2</v>
      </c>
      <c r="J67" s="1130">
        <f t="shared" si="37"/>
        <v>1.074348332775299</v>
      </c>
      <c r="K67" s="1130">
        <f t="shared" si="37"/>
        <v>-0.42067449359177278</v>
      </c>
      <c r="L67" s="1130">
        <f t="shared" si="37"/>
        <v>0.12581758282739486</v>
      </c>
      <c r="M67" s="1130">
        <f t="shared" si="37"/>
        <v>0.15178824937778335</v>
      </c>
      <c r="N67" s="1130">
        <f t="shared" si="37"/>
        <v>1.9495593032132774E-2</v>
      </c>
      <c r="O67" s="1130">
        <f t="shared" si="37"/>
        <v>7.9476037705331404E-2</v>
      </c>
      <c r="P67" s="1130">
        <f t="shared" si="37"/>
        <v>4.2942705390440761E-3</v>
      </c>
      <c r="Q67" s="1130">
        <f t="shared" si="37"/>
        <v>2.0000000000000018E-2</v>
      </c>
      <c r="R67" s="1130">
        <f t="shared" si="37"/>
        <v>2.000000000000024E-2</v>
      </c>
      <c r="S67" s="1130">
        <f t="shared" si="37"/>
        <v>2.0000000000000018E-2</v>
      </c>
      <c r="T67" s="1130">
        <f t="shared" si="37"/>
        <v>2.0000000000000018E-2</v>
      </c>
      <c r="U67" s="1130">
        <f t="shared" si="37"/>
        <v>2.0000000000000018E-2</v>
      </c>
      <c r="V67" s="1130">
        <f t="shared" si="37"/>
        <v>2.0000000000000018E-2</v>
      </c>
      <c r="W67" s="1130">
        <f t="shared" si="37"/>
        <v>2.0000000000000018E-2</v>
      </c>
    </row>
    <row r="68" spans="1:36" s="1029" customFormat="1" ht="12.75" customHeight="1">
      <c r="A68" s="1023"/>
      <c r="B68" s="1024"/>
      <c r="C68" s="1025" t="s">
        <v>597</v>
      </c>
      <c r="D68" s="1025"/>
      <c r="E68" s="1025"/>
      <c r="F68" s="1025"/>
      <c r="G68" s="1025"/>
      <c r="H68" s="1149">
        <f>_xll.ThomsonONEAddinShim.SpreadsheetFormulas.TF(SedolTicker,"ZAV(TF.FN.LeaseCommitmentsOver5Yrs(period=FY0,sdate=FY-8,edate=FY0,,curn=#1,scale=6))","dataDir=across",$J$3)</f>
        <v>440</v>
      </c>
      <c r="I68" s="1149">
        <v>468.28199999999998</v>
      </c>
      <c r="J68" s="1149">
        <v>1280.9549999999999</v>
      </c>
      <c r="K68" s="1149">
        <v>544.11300000000006</v>
      </c>
      <c r="L68" s="1149">
        <v>597.91600000000005</v>
      </c>
      <c r="M68" s="1149">
        <v>725.27599999999995</v>
      </c>
      <c r="N68" s="1149">
        <v>720.57399999999996</v>
      </c>
      <c r="O68" s="1149">
        <v>772.226</v>
      </c>
      <c r="P68" s="1149">
        <v>784.83900000000006</v>
      </c>
      <c r="Q68" s="1062">
        <f t="shared" ref="Q68:W68" si="38">SUM(Q82:Q95)</f>
        <v>800.53578000000005</v>
      </c>
      <c r="R68" s="1062">
        <f t="shared" si="38"/>
        <v>816.54649560000007</v>
      </c>
      <c r="S68" s="1062">
        <f t="shared" si="38"/>
        <v>832.87742551200017</v>
      </c>
      <c r="T68" s="1062">
        <f t="shared" si="38"/>
        <v>849.53497402224014</v>
      </c>
      <c r="U68" s="1062">
        <f t="shared" si="38"/>
        <v>866.52567350268498</v>
      </c>
      <c r="V68" s="1062">
        <f t="shared" si="38"/>
        <v>883.85618697273867</v>
      </c>
      <c r="W68" s="1062">
        <f t="shared" si="38"/>
        <v>901.5333107121935</v>
      </c>
      <c r="AA68"/>
      <c r="AB68"/>
      <c r="AC68"/>
      <c r="AD68"/>
      <c r="AE68"/>
      <c r="AF68"/>
      <c r="AJ68" s="1035"/>
    </row>
    <row r="69" spans="1:36">
      <c r="H69" s="1150"/>
      <c r="I69" s="1150"/>
      <c r="J69" s="1150"/>
      <c r="K69" s="1150"/>
      <c r="L69" s="1150"/>
      <c r="M69" s="1150"/>
      <c r="N69" s="1151"/>
      <c r="O69" s="1151"/>
      <c r="P69" s="1151"/>
      <c r="Q69" s="1151"/>
      <c r="R69" s="1151"/>
      <c r="S69" s="1151"/>
      <c r="T69" s="1151"/>
      <c r="U69" s="1151"/>
      <c r="V69" s="1151"/>
      <c r="W69" s="1151"/>
    </row>
    <row r="70" spans="1:36">
      <c r="C70" s="1025" t="s">
        <v>29</v>
      </c>
      <c r="H70" s="1140">
        <v>10</v>
      </c>
      <c r="I70" s="1140">
        <v>10</v>
      </c>
      <c r="J70" s="1140">
        <v>10</v>
      </c>
      <c r="K70" s="1140">
        <v>10</v>
      </c>
      <c r="L70" s="1140">
        <v>10</v>
      </c>
      <c r="M70" s="1140">
        <v>10</v>
      </c>
      <c r="N70" s="1140">
        <v>10</v>
      </c>
      <c r="O70" s="1140">
        <v>10</v>
      </c>
      <c r="P70" s="1140">
        <v>10</v>
      </c>
      <c r="Q70" s="1025"/>
      <c r="R70" s="1025"/>
      <c r="S70" s="1025"/>
      <c r="T70" s="1025"/>
      <c r="U70" s="1025"/>
      <c r="V70" s="1025"/>
      <c r="W70" s="1025"/>
    </row>
    <row r="71" spans="1:36">
      <c r="C71" s="1046" t="s">
        <v>30</v>
      </c>
      <c r="H71" s="1140">
        <v>5</v>
      </c>
      <c r="I71" s="1140">
        <v>5</v>
      </c>
      <c r="J71" s="1140">
        <v>5</v>
      </c>
      <c r="K71" s="1140">
        <v>5</v>
      </c>
      <c r="L71" s="1140">
        <v>5</v>
      </c>
      <c r="M71" s="1140">
        <v>5</v>
      </c>
      <c r="N71" s="1140">
        <v>5</v>
      </c>
      <c r="O71" s="1140">
        <v>5</v>
      </c>
      <c r="P71" s="1140">
        <v>5</v>
      </c>
      <c r="Q71" s="1025"/>
      <c r="R71" s="1025"/>
      <c r="S71" s="1025"/>
      <c r="T71" s="1025"/>
      <c r="U71" s="1025"/>
      <c r="V71" s="1025"/>
      <c r="W71" s="1025"/>
    </row>
    <row r="72" spans="1:36">
      <c r="C72" s="1046" t="s">
        <v>31</v>
      </c>
      <c r="H72" s="1152">
        <f t="shared" ref="H72:P72" si="39">1-H71/H70</f>
        <v>0.5</v>
      </c>
      <c r="I72" s="1152">
        <f t="shared" si="39"/>
        <v>0.5</v>
      </c>
      <c r="J72" s="1152">
        <f t="shared" si="39"/>
        <v>0.5</v>
      </c>
      <c r="K72" s="1152">
        <f t="shared" si="39"/>
        <v>0.5</v>
      </c>
      <c r="L72" s="1152">
        <f t="shared" si="39"/>
        <v>0.5</v>
      </c>
      <c r="M72" s="1152">
        <f t="shared" si="39"/>
        <v>0.5</v>
      </c>
      <c r="N72" s="1152">
        <f t="shared" si="39"/>
        <v>0.5</v>
      </c>
      <c r="O72" s="1152">
        <f t="shared" si="39"/>
        <v>0.5</v>
      </c>
      <c r="P72" s="1152">
        <f t="shared" si="39"/>
        <v>0.5</v>
      </c>
      <c r="Q72" s="1153"/>
      <c r="R72" s="1153"/>
      <c r="S72" s="1153"/>
      <c r="T72" s="1153"/>
      <c r="U72" s="1153"/>
      <c r="V72" s="1153"/>
      <c r="W72" s="1153"/>
    </row>
    <row r="73" spans="1:36">
      <c r="H73" s="1154"/>
      <c r="I73" s="1154"/>
      <c r="J73" s="1154"/>
      <c r="K73" s="1144"/>
      <c r="L73" s="1144"/>
      <c r="M73" s="1144"/>
      <c r="N73" s="1144"/>
      <c r="O73" s="1153"/>
      <c r="P73" s="1153"/>
      <c r="Q73" s="1153"/>
      <c r="R73" s="1153"/>
      <c r="S73" s="1153"/>
      <c r="T73" s="1153"/>
      <c r="U73" s="1153"/>
      <c r="V73" s="1153"/>
      <c r="W73" s="1153"/>
    </row>
    <row r="74" spans="1:36" outlineLevel="1">
      <c r="B74" s="1074"/>
      <c r="C74" s="1106" t="s">
        <v>598</v>
      </c>
      <c r="D74" s="1106"/>
      <c r="E74" s="1106"/>
      <c r="F74" s="1106"/>
      <c r="G74" s="1106"/>
      <c r="H74" s="1155">
        <f t="shared" ref="H74:W74" si="40">H9</f>
        <v>39844</v>
      </c>
      <c r="I74" s="1155">
        <f t="shared" si="40"/>
        <v>40209</v>
      </c>
      <c r="J74" s="1155">
        <f t="shared" si="40"/>
        <v>40574</v>
      </c>
      <c r="K74" s="1155">
        <f t="shared" si="40"/>
        <v>40939</v>
      </c>
      <c r="L74" s="1155">
        <f t="shared" si="40"/>
        <v>41305</v>
      </c>
      <c r="M74" s="1155">
        <f t="shared" si="40"/>
        <v>41670</v>
      </c>
      <c r="N74" s="1155">
        <f t="shared" si="40"/>
        <v>42035</v>
      </c>
      <c r="O74" s="1155">
        <f t="shared" si="40"/>
        <v>42400</v>
      </c>
      <c r="P74" s="1155">
        <f t="shared" si="40"/>
        <v>42766</v>
      </c>
      <c r="Q74" s="1155">
        <f t="shared" si="40"/>
        <v>43131</v>
      </c>
      <c r="R74" s="1155">
        <f t="shared" si="40"/>
        <v>43496</v>
      </c>
      <c r="S74" s="1155">
        <f t="shared" si="40"/>
        <v>43861</v>
      </c>
      <c r="T74" s="1155">
        <f t="shared" si="40"/>
        <v>44227</v>
      </c>
      <c r="U74" s="1155">
        <f t="shared" si="40"/>
        <v>44592</v>
      </c>
      <c r="V74" s="1155">
        <f t="shared" si="40"/>
        <v>44957</v>
      </c>
      <c r="W74" s="1155">
        <f t="shared" si="40"/>
        <v>45322</v>
      </c>
    </row>
    <row r="75" spans="1:36" outlineLevel="1">
      <c r="B75" s="1074"/>
      <c r="C75" s="1156"/>
      <c r="D75" s="1156"/>
      <c r="E75" s="1156"/>
      <c r="F75" s="1156"/>
      <c r="G75" s="1156"/>
      <c r="H75" s="1157"/>
      <c r="I75" s="1157"/>
      <c r="J75" s="1157"/>
      <c r="K75" s="1157"/>
      <c r="L75" s="1157"/>
      <c r="M75" s="1157"/>
      <c r="N75" s="1157"/>
      <c r="O75" s="1157"/>
      <c r="P75" s="1157"/>
      <c r="Q75" s="1157"/>
      <c r="R75" s="1157"/>
      <c r="S75" s="1157"/>
      <c r="T75" s="1157"/>
      <c r="U75" s="1157"/>
      <c r="V75" s="1157"/>
      <c r="W75" s="1157"/>
    </row>
    <row r="76" spans="1:36" s="1163" customFormat="1" ht="12" customHeight="1" outlineLevel="1">
      <c r="A76" s="1158"/>
      <c r="B76" s="1037"/>
      <c r="C76" s="1064" t="s">
        <v>599</v>
      </c>
      <c r="D76" s="1159"/>
      <c r="E76" s="1159"/>
      <c r="F76" s="1159"/>
      <c r="G76" s="1159"/>
      <c r="H76" s="1160">
        <f>_xll.ThomsonONEAddinShim.SpreadsheetFormulas.TF(SedolTicker,"ZAV(TF.FN.RentalAndOperLeaseExpense(period=FY0,sdate=FY-8,edate=FY0,curn=#1,Scale=6)@TF.RF.RentalExpenseSupplemental(period=FY0,sdate=FY-8,edate=FY0,curn=#1,Scale=6))","dataDir=across",$J$3)</f>
        <v>115</v>
      </c>
      <c r="I76" s="1161">
        <v>128.97800000000001</v>
      </c>
      <c r="J76" s="1161">
        <v>149.755</v>
      </c>
      <c r="K76" s="1161">
        <v>171.304</v>
      </c>
      <c r="L76" s="1161">
        <v>192.518</v>
      </c>
      <c r="M76" s="1161">
        <v>211.30099999999999</v>
      </c>
      <c r="N76" s="1161">
        <v>238.88300000000001</v>
      </c>
      <c r="O76" s="1161">
        <v>248.178</v>
      </c>
      <c r="P76" s="1162">
        <v>262.66500000000002</v>
      </c>
      <c r="Q76" s="1062">
        <f t="shared" ref="Q76:W91" si="41">P76*(1+Q$64)</f>
        <v>267.91830000000004</v>
      </c>
      <c r="R76" s="1062">
        <f t="shared" si="41"/>
        <v>273.27666600000003</v>
      </c>
      <c r="S76" s="1062">
        <f t="shared" si="41"/>
        <v>278.74219932000005</v>
      </c>
      <c r="T76" s="1062">
        <f t="shared" si="41"/>
        <v>284.31704330640008</v>
      </c>
      <c r="U76" s="1062">
        <f t="shared" si="41"/>
        <v>290.00338417252811</v>
      </c>
      <c r="V76" s="1062">
        <f t="shared" si="41"/>
        <v>295.80345185597866</v>
      </c>
      <c r="W76" s="1062">
        <f t="shared" si="41"/>
        <v>301.71952089309826</v>
      </c>
      <c r="AA76"/>
      <c r="AB76"/>
      <c r="AC76"/>
      <c r="AD76"/>
      <c r="AE76"/>
      <c r="AF76"/>
      <c r="AJ76" s="1164"/>
    </row>
    <row r="77" spans="1:36" s="1163" customFormat="1" ht="12" customHeight="1" outlineLevel="1">
      <c r="A77" s="1158"/>
      <c r="B77" s="1037"/>
      <c r="C77" s="1064" t="s">
        <v>600</v>
      </c>
      <c r="D77" s="1159"/>
      <c r="E77" s="1159"/>
      <c r="F77" s="1159"/>
      <c r="G77" s="1159"/>
      <c r="H77" s="1165">
        <f>_xll.ThomsonONEAddinShim.SpreadsheetFormulas.TF(SedolTicker,"ZAV(TF.FN.LeaseCommitmentsYr1(period=FY0,sdate=FY-8,edate=FY0,curn=#1,Scale=6))","dataDir=across",$J$3)</f>
        <v>132</v>
      </c>
      <c r="I77" s="1140">
        <v>139.56200000000001</v>
      </c>
      <c r="J77" s="1140">
        <v>166.29</v>
      </c>
      <c r="K77" s="1140">
        <v>185.047</v>
      </c>
      <c r="L77" s="1140">
        <v>217.726</v>
      </c>
      <c r="M77" s="1140">
        <v>244.14500000000001</v>
      </c>
      <c r="N77" s="1140">
        <v>254.733</v>
      </c>
      <c r="O77" s="1140">
        <v>272.255</v>
      </c>
      <c r="P77" s="1166">
        <v>281.24900000000002</v>
      </c>
      <c r="Q77" s="1062">
        <f t="shared" si="41"/>
        <v>286.87398000000002</v>
      </c>
      <c r="R77" s="1062">
        <f t="shared" si="41"/>
        <v>292.61145960000005</v>
      </c>
      <c r="S77" s="1062">
        <f t="shared" si="41"/>
        <v>298.46368879200003</v>
      </c>
      <c r="T77" s="1062">
        <f t="shared" si="41"/>
        <v>304.43296256784004</v>
      </c>
      <c r="U77" s="1062">
        <f t="shared" si="41"/>
        <v>310.52162181919687</v>
      </c>
      <c r="V77" s="1062">
        <f t="shared" si="41"/>
        <v>316.73205425558081</v>
      </c>
      <c r="W77" s="1062">
        <f t="shared" si="41"/>
        <v>323.06669534069243</v>
      </c>
      <c r="AA77"/>
      <c r="AB77"/>
      <c r="AC77"/>
      <c r="AD77"/>
      <c r="AE77"/>
      <c r="AF77"/>
      <c r="AJ77" s="1164"/>
    </row>
    <row r="78" spans="1:36" s="1163" customFormat="1" ht="12" customHeight="1" outlineLevel="1">
      <c r="A78" s="1158"/>
      <c r="B78" s="1037"/>
      <c r="C78" s="1064" t="s">
        <v>601</v>
      </c>
      <c r="D78" s="1159"/>
      <c r="E78" s="1159"/>
      <c r="F78" s="1159"/>
      <c r="G78" s="1159"/>
      <c r="H78" s="1165">
        <f>_xll.ThomsonONEAddinShim.SpreadsheetFormulas.TF(SedolTicker,"ZAV(TF.FN.LeaseCommitmentsYr2(period=FY0,sdate=FY-8,edate=FY0,curn=#1,Scale=6))","dataDir=across",$J$3)</f>
        <v>134</v>
      </c>
      <c r="I78" s="1140">
        <v>142.791</v>
      </c>
      <c r="J78" s="1140">
        <v>160.899</v>
      </c>
      <c r="K78" s="1140">
        <v>183.374</v>
      </c>
      <c r="L78" s="1140">
        <v>217.518</v>
      </c>
      <c r="M78" s="1140">
        <v>236.81399999999999</v>
      </c>
      <c r="N78" s="1140">
        <v>241.63900000000001</v>
      </c>
      <c r="O78" s="1140">
        <v>263.87599999999998</v>
      </c>
      <c r="P78" s="1166">
        <v>267.82499999999999</v>
      </c>
      <c r="Q78" s="1062">
        <f t="shared" si="41"/>
        <v>273.18149999999997</v>
      </c>
      <c r="R78" s="1062">
        <f t="shared" si="41"/>
        <v>278.64512999999999</v>
      </c>
      <c r="S78" s="1062">
        <f t="shared" si="41"/>
        <v>284.21803260000002</v>
      </c>
      <c r="T78" s="1062">
        <f t="shared" si="41"/>
        <v>289.90239325200002</v>
      </c>
      <c r="U78" s="1062">
        <f t="shared" si="41"/>
        <v>295.70044111704004</v>
      </c>
      <c r="V78" s="1062">
        <f t="shared" si="41"/>
        <v>301.61444993938085</v>
      </c>
      <c r="W78" s="1062">
        <f t="shared" si="41"/>
        <v>307.64673893816848</v>
      </c>
      <c r="AA78"/>
      <c r="AB78"/>
      <c r="AC78"/>
      <c r="AD78"/>
      <c r="AE78"/>
      <c r="AF78"/>
      <c r="AJ78" s="1164"/>
    </row>
    <row r="79" spans="1:36" s="1163" customFormat="1" ht="12" customHeight="1" outlineLevel="1">
      <c r="A79" s="1158"/>
      <c r="B79" s="1037"/>
      <c r="C79" s="1064" t="s">
        <v>602</v>
      </c>
      <c r="D79" s="1159"/>
      <c r="E79" s="1159"/>
      <c r="F79" s="1159"/>
      <c r="G79" s="1159"/>
      <c r="H79" s="1165">
        <f>_xll.ThomsonONEAddinShim.SpreadsheetFormulas.TF(SedolTicker,"ZAV(TF.FN.LeaseCommitmentsYr3(period=FY0,sdate=FY-8,edate=FY0,curn=#1,Scale=6))","dataDir=across",$J$3)</f>
        <v>132</v>
      </c>
      <c r="I79" s="1140">
        <v>143.54900000000001</v>
      </c>
      <c r="J79" s="1140">
        <v>153.74199999999999</v>
      </c>
      <c r="K79" s="1140">
        <v>175.947</v>
      </c>
      <c r="L79" s="1140">
        <v>198.50399999999999</v>
      </c>
      <c r="M79" s="1140">
        <v>215.15700000000001</v>
      </c>
      <c r="N79" s="1140">
        <v>226.88399999999999</v>
      </c>
      <c r="O79" s="1140">
        <v>246.04300000000001</v>
      </c>
      <c r="P79" s="1166">
        <v>247.80600000000001</v>
      </c>
      <c r="Q79" s="1062">
        <f t="shared" si="41"/>
        <v>252.76212000000001</v>
      </c>
      <c r="R79" s="1062">
        <f t="shared" si="41"/>
        <v>257.81736240000004</v>
      </c>
      <c r="S79" s="1062">
        <f t="shared" si="41"/>
        <v>262.97370964800007</v>
      </c>
      <c r="T79" s="1062">
        <f t="shared" si="41"/>
        <v>268.23318384096007</v>
      </c>
      <c r="U79" s="1062">
        <f t="shared" si="41"/>
        <v>273.59784751777926</v>
      </c>
      <c r="V79" s="1062">
        <f t="shared" si="41"/>
        <v>279.06980446813486</v>
      </c>
      <c r="W79" s="1062">
        <f t="shared" si="41"/>
        <v>284.65120055749759</v>
      </c>
      <c r="AA79"/>
      <c r="AB79"/>
      <c r="AC79"/>
      <c r="AD79"/>
      <c r="AE79"/>
      <c r="AF79"/>
      <c r="AJ79" s="1164"/>
    </row>
    <row r="80" spans="1:36" s="1163" customFormat="1" ht="12" customHeight="1" outlineLevel="1">
      <c r="A80" s="1158"/>
      <c r="B80" s="1037"/>
      <c r="C80" s="1064" t="s">
        <v>603</v>
      </c>
      <c r="D80" s="1159"/>
      <c r="E80" s="1159"/>
      <c r="F80" s="1159"/>
      <c r="G80" s="1159"/>
      <c r="H80" s="1165">
        <f>_xll.ThomsonONEAddinShim.SpreadsheetFormulas.TF(SedolTicker,"ZAV(TF.FN.LeaseCommitmentsYr4(period=FY0,sdate=FY-8,edate=FY0,curn=#1,Scale=6))","dataDir=across",$J$3)</f>
        <v>127</v>
      </c>
      <c r="I80" s="1140">
        <v>135.03</v>
      </c>
      <c r="J80" s="1140">
        <v>137.21100000000001</v>
      </c>
      <c r="K80" s="1140">
        <v>160.57400000000001</v>
      </c>
      <c r="L80" s="1140">
        <v>174.44200000000001</v>
      </c>
      <c r="M80" s="1140">
        <v>199.88</v>
      </c>
      <c r="N80" s="1140">
        <v>207.60300000000001</v>
      </c>
      <c r="O80" s="1140">
        <v>228.09100000000001</v>
      </c>
      <c r="P80" s="1166">
        <v>220.26300000000001</v>
      </c>
      <c r="Q80" s="1062">
        <f t="shared" si="41"/>
        <v>224.66826</v>
      </c>
      <c r="R80" s="1062">
        <f t="shared" si="41"/>
        <v>229.1616252</v>
      </c>
      <c r="S80" s="1062">
        <f t="shared" si="41"/>
        <v>233.744857704</v>
      </c>
      <c r="T80" s="1062">
        <f t="shared" si="41"/>
        <v>238.41975485808001</v>
      </c>
      <c r="U80" s="1062">
        <f t="shared" si="41"/>
        <v>243.18814995524161</v>
      </c>
      <c r="V80" s="1062">
        <f t="shared" si="41"/>
        <v>248.05191295434645</v>
      </c>
      <c r="W80" s="1062">
        <f t="shared" si="41"/>
        <v>253.01295121343338</v>
      </c>
      <c r="AA80"/>
      <c r="AB80"/>
      <c r="AC80"/>
      <c r="AD80"/>
      <c r="AE80"/>
      <c r="AF80"/>
      <c r="AJ80" s="1164"/>
    </row>
    <row r="81" spans="1:36" s="1163" customFormat="1" ht="12" customHeight="1" outlineLevel="1">
      <c r="A81" s="1158"/>
      <c r="B81" s="1037"/>
      <c r="C81" s="1064" t="s">
        <v>604</v>
      </c>
      <c r="D81" s="1159"/>
      <c r="E81" s="1159"/>
      <c r="F81" s="1159"/>
      <c r="G81" s="1159"/>
      <c r="H81" s="1167">
        <f>_xll.ThomsonONEAddinShim.SpreadsheetFormulas.TF(SedolTicker,"ZAV(TF.FN.LeaseCommitmentsYr5(period=FY0,sdate=FY-8,edate=FY0,curn=#1,Scale=6))","dataDir=across",$J$3)</f>
        <v>121</v>
      </c>
      <c r="I81" s="1168">
        <v>126.629</v>
      </c>
      <c r="J81" s="1168">
        <v>498.524</v>
      </c>
      <c r="K81" s="1168">
        <v>139.94800000000001</v>
      </c>
      <c r="L81" s="1168">
        <v>157.65799999999999</v>
      </c>
      <c r="M81" s="1168">
        <v>179.85300000000001</v>
      </c>
      <c r="N81" s="1168">
        <v>184.80600000000001</v>
      </c>
      <c r="O81" s="1168">
        <v>199.685</v>
      </c>
      <c r="P81" s="1169">
        <v>188.70599999999999</v>
      </c>
      <c r="Q81" s="1062">
        <f t="shared" si="41"/>
        <v>192.48012</v>
      </c>
      <c r="R81" s="1062">
        <f t="shared" si="41"/>
        <v>196.32972240000001</v>
      </c>
      <c r="S81" s="1062">
        <f t="shared" si="41"/>
        <v>200.25631684800001</v>
      </c>
      <c r="T81" s="1062">
        <f t="shared" si="41"/>
        <v>204.26144318496003</v>
      </c>
      <c r="U81" s="1062">
        <f t="shared" si="41"/>
        <v>208.34667204865923</v>
      </c>
      <c r="V81" s="1062">
        <f t="shared" si="41"/>
        <v>212.51360548963243</v>
      </c>
      <c r="W81" s="1062">
        <f t="shared" si="41"/>
        <v>216.76387759942509</v>
      </c>
      <c r="AA81"/>
      <c r="AB81"/>
      <c r="AC81"/>
      <c r="AD81"/>
      <c r="AE81"/>
      <c r="AF81"/>
      <c r="AJ81" s="1164"/>
    </row>
    <row r="82" spans="1:36" s="1163" customFormat="1" outlineLevel="1">
      <c r="A82" s="1158"/>
      <c r="B82" s="1037"/>
      <c r="C82" s="1159" t="s">
        <v>605</v>
      </c>
      <c r="D82" s="1159"/>
      <c r="E82" s="1159"/>
      <c r="F82" s="1159"/>
      <c r="G82" s="1159"/>
      <c r="H82" s="1063">
        <f t="shared" ref="H82:P82" si="42">IF(ISERROR(H68/H71),"NA",H68/H71)</f>
        <v>88</v>
      </c>
      <c r="I82" s="1063">
        <f t="shared" si="42"/>
        <v>93.656399999999991</v>
      </c>
      <c r="J82" s="1063">
        <f t="shared" si="42"/>
        <v>256.19099999999997</v>
      </c>
      <c r="K82" s="1063">
        <f t="shared" si="42"/>
        <v>108.82260000000001</v>
      </c>
      <c r="L82" s="1063">
        <f t="shared" si="42"/>
        <v>119.58320000000001</v>
      </c>
      <c r="M82" s="1063">
        <f t="shared" si="42"/>
        <v>145.05519999999999</v>
      </c>
      <c r="N82" s="1063">
        <f t="shared" si="42"/>
        <v>144.1148</v>
      </c>
      <c r="O82" s="1063">
        <f t="shared" si="42"/>
        <v>154.4452</v>
      </c>
      <c r="P82" s="1063">
        <f t="shared" si="42"/>
        <v>156.96780000000001</v>
      </c>
      <c r="Q82" s="1062">
        <f t="shared" si="41"/>
        <v>160.107156</v>
      </c>
      <c r="R82" s="1062">
        <f t="shared" si="41"/>
        <v>163.30929912000002</v>
      </c>
      <c r="S82" s="1062">
        <f t="shared" si="41"/>
        <v>166.57548510240002</v>
      </c>
      <c r="T82" s="1062">
        <f t="shared" si="41"/>
        <v>169.90699480444803</v>
      </c>
      <c r="U82" s="1062">
        <f t="shared" si="41"/>
        <v>173.305134700537</v>
      </c>
      <c r="V82" s="1062">
        <f t="shared" si="41"/>
        <v>176.77123739454774</v>
      </c>
      <c r="W82" s="1062">
        <f t="shared" si="41"/>
        <v>180.30666214243871</v>
      </c>
      <c r="AA82"/>
      <c r="AB82"/>
      <c r="AC82"/>
      <c r="AD82"/>
      <c r="AE82"/>
      <c r="AF82"/>
      <c r="AJ82" s="1164"/>
    </row>
    <row r="83" spans="1:36" s="1163" customFormat="1" outlineLevel="1">
      <c r="A83" s="1158"/>
      <c r="B83" s="1037"/>
      <c r="C83" s="1159" t="s">
        <v>606</v>
      </c>
      <c r="D83" s="1159"/>
      <c r="E83" s="1159"/>
      <c r="F83" s="1159"/>
      <c r="G83" s="1159"/>
      <c r="H83" s="1063">
        <f>IF(ISERROR(IF(ROUND(SUM(H$82:H82),3)&gt;=ROUND(H$68,3),0,H$68/H$71)),"NA",IF(ROUND(SUM(H$82:H82),3)&gt;=ROUND(H$68,3),0,H$68/H$71))</f>
        <v>88</v>
      </c>
      <c r="I83" s="1063">
        <f>IF(ISERROR(IF(ROUND(SUM(I$82:I82),3)&gt;=ROUND(I$68,3),0,I$68/I$71)),"NA",IF(ROUND(SUM(I$82:I82),3)&gt;=ROUND(I$68,3),0,I$68/I$71))</f>
        <v>93.656399999999991</v>
      </c>
      <c r="J83" s="1063">
        <f>IF(ISERROR(IF(ROUND(SUM(J$82:J82),3)&gt;=ROUND(J$68,3),0,J$68/J$71)),"NA",IF(ROUND(SUM(J$82:J82),3)&gt;=ROUND(J$68,3),0,J$68/J$71))</f>
        <v>256.19099999999997</v>
      </c>
      <c r="K83" s="1063">
        <f>IF(ISERROR(IF(ROUND(SUM(K$82:K82),3)&gt;=ROUND(K$68,3),0,K$68/K$71)),"NA",IF(ROUND(SUM(K$82:K82),3)&gt;=ROUND(K$68,3),0,K$68/K$71))</f>
        <v>108.82260000000001</v>
      </c>
      <c r="L83" s="1063">
        <f>IF(ISERROR(IF(ROUND(SUM(L$82:L82),3)&gt;=ROUND(L$68,3),0,L$68/L$71)),"NA",IF(ROUND(SUM(L$82:L82),3)&gt;=ROUND(L$68,3),0,L$68/L$71))</f>
        <v>119.58320000000001</v>
      </c>
      <c r="M83" s="1063">
        <f>IF(ISERROR(IF(ROUND(SUM(M$82:M82),3)&gt;=ROUND(M$68,3),0,M$68/M$71)),"NA",IF(ROUND(SUM(M$82:M82),3)&gt;=ROUND(M$68,3),0,M$68/M$71))</f>
        <v>145.05519999999999</v>
      </c>
      <c r="N83" s="1063">
        <f>IF(ISERROR(IF(ROUND(SUM(N$82:N82),3)&gt;=ROUND(N$68,3),0,N$68/N$71)),"NA",IF(ROUND(SUM(N$82:N82),3)&gt;=ROUND(N$68,3),0,N$68/N$71))</f>
        <v>144.1148</v>
      </c>
      <c r="O83" s="1063">
        <f>IF(ISERROR(IF(ROUND(SUM(O$82:O82),3)&gt;=ROUND(O$68,3),0,O$68/O$71)),"NA",IF(ROUND(SUM(O$82:O82),3)&gt;=ROUND(O$68,3),0,O$68/O$71))</f>
        <v>154.4452</v>
      </c>
      <c r="P83" s="1063">
        <f>IF(ISERROR(IF(ROUND(SUM(P$82:P82),3)&gt;=ROUND(P$68,3),0,P$68/P$71)),"NA",IF(ROUND(SUM(P$82:P82),3)&gt;=ROUND(P$68,3),0,P$68/P$71))</f>
        <v>156.96780000000001</v>
      </c>
      <c r="Q83" s="1062">
        <f t="shared" si="41"/>
        <v>160.107156</v>
      </c>
      <c r="R83" s="1062">
        <f t="shared" si="41"/>
        <v>163.30929912000002</v>
      </c>
      <c r="S83" s="1062">
        <f t="shared" si="41"/>
        <v>166.57548510240002</v>
      </c>
      <c r="T83" s="1062">
        <f t="shared" si="41"/>
        <v>169.90699480444803</v>
      </c>
      <c r="U83" s="1062">
        <f t="shared" si="41"/>
        <v>173.305134700537</v>
      </c>
      <c r="V83" s="1062">
        <f t="shared" si="41"/>
        <v>176.77123739454774</v>
      </c>
      <c r="W83" s="1062">
        <f t="shared" si="41"/>
        <v>180.30666214243871</v>
      </c>
      <c r="AA83"/>
      <c r="AB83"/>
      <c r="AC83"/>
      <c r="AD83"/>
      <c r="AE83"/>
      <c r="AF83"/>
      <c r="AJ83" s="1164"/>
    </row>
    <row r="84" spans="1:36" s="1163" customFormat="1" outlineLevel="1">
      <c r="A84" s="1158"/>
      <c r="B84" s="1037"/>
      <c r="C84" s="1159" t="s">
        <v>607</v>
      </c>
      <c r="D84" s="1159"/>
      <c r="E84" s="1159"/>
      <c r="F84" s="1159"/>
      <c r="G84" s="1159"/>
      <c r="H84" s="1063">
        <f>IF(ISERROR(IF(ROUND(SUM(H$82:H83),3)&gt;=ROUND(H$68,3),0,H$68/H$71)),"NA",IF(ROUND(SUM(H$82:H83),3)&gt;=ROUND(H$68,3),0,H$68/H$71))</f>
        <v>88</v>
      </c>
      <c r="I84" s="1063">
        <f>IF(ISERROR(IF(ROUND(SUM(I$82:I83),3)&gt;=ROUND(I$68,3),0,I$68/I$71)),"NA",IF(ROUND(SUM(I$82:I83),3)&gt;=ROUND(I$68,3),0,I$68/I$71))</f>
        <v>93.656399999999991</v>
      </c>
      <c r="J84" s="1063">
        <f>IF(ISERROR(IF(ROUND(SUM(J$82:J83),3)&gt;=ROUND(J$68,3),0,J$68/J$71)),"NA",IF(ROUND(SUM(J$82:J83),3)&gt;=ROUND(J$68,3),0,J$68/J$71))</f>
        <v>256.19099999999997</v>
      </c>
      <c r="K84" s="1063">
        <f>IF(ISERROR(IF(ROUND(SUM(K$82:K83),3)&gt;=ROUND(K$68,3),0,K$68/K$71)),"NA",IF(ROUND(SUM(K$82:K83),3)&gt;=ROUND(K$68,3),0,K$68/K$71))</f>
        <v>108.82260000000001</v>
      </c>
      <c r="L84" s="1063">
        <f>IF(ISERROR(IF(ROUND(SUM(L$82:L83),3)&gt;=ROUND(L$68,3),0,L$68/L$71)),"NA",IF(ROUND(SUM(L$82:L83),3)&gt;=ROUND(L$68,3),0,L$68/L$71))</f>
        <v>119.58320000000001</v>
      </c>
      <c r="M84" s="1063">
        <f>IF(ISERROR(IF(ROUND(SUM(M$82:M83),3)&gt;=ROUND(M$68,3),0,M$68/M$71)),"NA",IF(ROUND(SUM(M$82:M83),3)&gt;=ROUND(M$68,3),0,M$68/M$71))</f>
        <v>145.05519999999999</v>
      </c>
      <c r="N84" s="1063">
        <f>IF(ISERROR(IF(ROUND(SUM(N$82:N83),3)&gt;=ROUND(N$68,3),0,N$68/N$71)),"NA",IF(ROUND(SUM(N$82:N83),3)&gt;=ROUND(N$68,3),0,N$68/N$71))</f>
        <v>144.1148</v>
      </c>
      <c r="O84" s="1063">
        <f>IF(ISERROR(IF(ROUND(SUM(O$82:O83),3)&gt;=ROUND(O$68,3),0,O$68/O$71)),"NA",IF(ROUND(SUM(O$82:O83),3)&gt;=ROUND(O$68,3),0,O$68/O$71))</f>
        <v>154.4452</v>
      </c>
      <c r="P84" s="1063">
        <f>IF(ISERROR(IF(ROUND(SUM(P$82:P83),3)&gt;=ROUND(P$68,3),0,P$68/P$71)),"NA",IF(ROUND(SUM(P$82:P83),3)&gt;=ROUND(P$68,3),0,P$68/P$71))</f>
        <v>156.96780000000001</v>
      </c>
      <c r="Q84" s="1062">
        <f t="shared" si="41"/>
        <v>160.107156</v>
      </c>
      <c r="R84" s="1062">
        <f t="shared" si="41"/>
        <v>163.30929912000002</v>
      </c>
      <c r="S84" s="1062">
        <f t="shared" si="41"/>
        <v>166.57548510240002</v>
      </c>
      <c r="T84" s="1062">
        <f t="shared" si="41"/>
        <v>169.90699480444803</v>
      </c>
      <c r="U84" s="1062">
        <f t="shared" si="41"/>
        <v>173.305134700537</v>
      </c>
      <c r="V84" s="1062">
        <f t="shared" si="41"/>
        <v>176.77123739454774</v>
      </c>
      <c r="W84" s="1062">
        <f t="shared" si="41"/>
        <v>180.30666214243871</v>
      </c>
      <c r="AA84"/>
      <c r="AB84"/>
      <c r="AC84"/>
      <c r="AD84"/>
      <c r="AE84"/>
      <c r="AF84"/>
      <c r="AJ84" s="1164"/>
    </row>
    <row r="85" spans="1:36" s="1163" customFormat="1" outlineLevel="1">
      <c r="A85" s="1158"/>
      <c r="B85" s="1037"/>
      <c r="C85" s="1159" t="s">
        <v>608</v>
      </c>
      <c r="D85" s="1159"/>
      <c r="E85" s="1159"/>
      <c r="F85" s="1159"/>
      <c r="G85" s="1159"/>
      <c r="H85" s="1063">
        <f>IF(ISERROR(IF(ROUND(SUM(H$82:H84),3)&gt;=ROUND(H$68,3),0,H$68/H$71)),"NA",IF(ROUND(SUM(H$82:H84),3)&gt;=ROUND(H$68,3),0,H$68/H$71))</f>
        <v>88</v>
      </c>
      <c r="I85" s="1063">
        <f>IF(ISERROR(IF(ROUND(SUM(I$82:I84),3)&gt;=ROUND(I$68,3),0,I$68/I$71)),"NA",IF(ROUND(SUM(I$82:I84),3)&gt;=ROUND(I$68,3),0,I$68/I$71))</f>
        <v>93.656399999999991</v>
      </c>
      <c r="J85" s="1063">
        <f>IF(ISERROR(IF(ROUND(SUM(J$82:J84),3)&gt;=ROUND(J$68,3),0,J$68/J$71)),"NA",IF(ROUND(SUM(J$82:J84),3)&gt;=ROUND(J$68,3),0,J$68/J$71))</f>
        <v>256.19099999999997</v>
      </c>
      <c r="K85" s="1063">
        <f>IF(ISERROR(IF(ROUND(SUM(K$82:K84),3)&gt;=ROUND(K$68,3),0,K$68/K$71)),"NA",IF(ROUND(SUM(K$82:K84),3)&gt;=ROUND(K$68,3),0,K$68/K$71))</f>
        <v>108.82260000000001</v>
      </c>
      <c r="L85" s="1063">
        <f>IF(ISERROR(IF(ROUND(SUM(L$82:L84),3)&gt;=ROUND(L$68,3),0,L$68/L$71)),"NA",IF(ROUND(SUM(L$82:L84),3)&gt;=ROUND(L$68,3),0,L$68/L$71))</f>
        <v>119.58320000000001</v>
      </c>
      <c r="M85" s="1063">
        <f>IF(ISERROR(IF(ROUND(SUM(M$82:M84),3)&gt;=ROUND(M$68,3),0,M$68/M$71)),"NA",IF(ROUND(SUM(M$82:M84),3)&gt;=ROUND(M$68,3),0,M$68/M$71))</f>
        <v>145.05519999999999</v>
      </c>
      <c r="N85" s="1063">
        <f>IF(ISERROR(IF(ROUND(SUM(N$82:N84),3)&gt;=ROUND(N$68,3),0,N$68/N$71)),"NA",IF(ROUND(SUM(N$82:N84),3)&gt;=ROUND(N$68,3),0,N$68/N$71))</f>
        <v>144.1148</v>
      </c>
      <c r="O85" s="1063">
        <f>IF(ISERROR(IF(ROUND(SUM(O$82:O84),3)&gt;=ROUND(O$68,3),0,O$68/O$71)),"NA",IF(ROUND(SUM(O$82:O84),3)&gt;=ROUND(O$68,3),0,O$68/O$71))</f>
        <v>154.4452</v>
      </c>
      <c r="P85" s="1063">
        <f>IF(ISERROR(IF(ROUND(SUM(P$82:P84),3)&gt;=ROUND(P$68,3),0,P$68/P$71)),"NA",IF(ROUND(SUM(P$82:P84),3)&gt;=ROUND(P$68,3),0,P$68/P$71))</f>
        <v>156.96780000000001</v>
      </c>
      <c r="Q85" s="1062">
        <f t="shared" si="41"/>
        <v>160.107156</v>
      </c>
      <c r="R85" s="1062">
        <f t="shared" si="41"/>
        <v>163.30929912000002</v>
      </c>
      <c r="S85" s="1062">
        <f t="shared" si="41"/>
        <v>166.57548510240002</v>
      </c>
      <c r="T85" s="1062">
        <f t="shared" si="41"/>
        <v>169.90699480444803</v>
      </c>
      <c r="U85" s="1062">
        <f t="shared" si="41"/>
        <v>173.305134700537</v>
      </c>
      <c r="V85" s="1062">
        <f t="shared" si="41"/>
        <v>176.77123739454774</v>
      </c>
      <c r="W85" s="1062">
        <f t="shared" si="41"/>
        <v>180.30666214243871</v>
      </c>
      <c r="AA85"/>
      <c r="AB85"/>
      <c r="AC85"/>
      <c r="AD85"/>
      <c r="AE85"/>
      <c r="AF85"/>
      <c r="AJ85" s="1164"/>
    </row>
    <row r="86" spans="1:36" s="1163" customFormat="1" outlineLevel="1">
      <c r="A86" s="1158"/>
      <c r="B86" s="1037"/>
      <c r="C86" s="1159" t="s">
        <v>609</v>
      </c>
      <c r="D86" s="1159"/>
      <c r="E86" s="1159"/>
      <c r="F86" s="1159"/>
      <c r="G86" s="1159"/>
      <c r="H86" s="1063">
        <f>IF(ISERROR(IF(ROUND(SUM(H$82:H85),3)&gt;=ROUND(H$68,3),0,H$68/H$71)),"NA",IF(ROUND(SUM(H$82:H85),3)&gt;=ROUND(H$68,3),0,H$68/H$71))</f>
        <v>88</v>
      </c>
      <c r="I86" s="1063">
        <f>IF(ISERROR(IF(ROUND(SUM(I$82:I85),3)&gt;=ROUND(I$68,3),0,I$68/I$71)),"NA",IF(ROUND(SUM(I$82:I85),3)&gt;=ROUND(I$68,3),0,I$68/I$71))</f>
        <v>93.656399999999991</v>
      </c>
      <c r="J86" s="1063">
        <f>IF(ISERROR(IF(ROUND(SUM(J$82:J85),3)&gt;=ROUND(J$68,3),0,J$68/J$71)),"NA",IF(ROUND(SUM(J$82:J85),3)&gt;=ROUND(J$68,3),0,J$68/J$71))</f>
        <v>256.19099999999997</v>
      </c>
      <c r="K86" s="1063">
        <f>IF(ISERROR(IF(ROUND(SUM(K$82:K85),3)&gt;=ROUND(K$68,3),0,K$68/K$71)),"NA",IF(ROUND(SUM(K$82:K85),3)&gt;=ROUND(K$68,3),0,K$68/K$71))</f>
        <v>108.82260000000001</v>
      </c>
      <c r="L86" s="1063">
        <f>IF(ISERROR(IF(ROUND(SUM(L$82:L85),3)&gt;=ROUND(L$68,3),0,L$68/L$71)),"NA",IF(ROUND(SUM(L$82:L85),3)&gt;=ROUND(L$68,3),0,L$68/L$71))</f>
        <v>119.58320000000001</v>
      </c>
      <c r="M86" s="1063">
        <f>IF(ISERROR(IF(ROUND(SUM(M$82:M85),3)&gt;=ROUND(M$68,3),0,M$68/M$71)),"NA",IF(ROUND(SUM(M$82:M85),3)&gt;=ROUND(M$68,3),0,M$68/M$71))</f>
        <v>145.05519999999999</v>
      </c>
      <c r="N86" s="1063">
        <f>IF(ISERROR(IF(ROUND(SUM(N$82:N85),3)&gt;=ROUND(N$68,3),0,N$68/N$71)),"NA",IF(ROUND(SUM(N$82:N85),3)&gt;=ROUND(N$68,3),0,N$68/N$71))</f>
        <v>144.1148</v>
      </c>
      <c r="O86" s="1063">
        <f>IF(ISERROR(IF(ROUND(SUM(O$82:O85),3)&gt;=ROUND(O$68,3),0,O$68/O$71)),"NA",IF(ROUND(SUM(O$82:O85),3)&gt;=ROUND(O$68,3),0,O$68/O$71))</f>
        <v>154.4452</v>
      </c>
      <c r="P86" s="1063">
        <f>IF(ISERROR(IF(ROUND(SUM(P$82:P85),3)&gt;=ROUND(P$68,3),0,P$68/P$71)),"NA",IF(ROUND(SUM(P$82:P85),3)&gt;=ROUND(P$68,3),0,P$68/P$71))</f>
        <v>156.96780000000001</v>
      </c>
      <c r="Q86" s="1062">
        <f t="shared" si="41"/>
        <v>160.107156</v>
      </c>
      <c r="R86" s="1062">
        <f t="shared" si="41"/>
        <v>163.30929912000002</v>
      </c>
      <c r="S86" s="1062">
        <f t="shared" si="41"/>
        <v>166.57548510240002</v>
      </c>
      <c r="T86" s="1062">
        <f t="shared" si="41"/>
        <v>169.90699480444803</v>
      </c>
      <c r="U86" s="1062">
        <f t="shared" si="41"/>
        <v>173.305134700537</v>
      </c>
      <c r="V86" s="1062">
        <f t="shared" si="41"/>
        <v>176.77123739454774</v>
      </c>
      <c r="W86" s="1062">
        <f t="shared" si="41"/>
        <v>180.30666214243871</v>
      </c>
      <c r="AA86"/>
      <c r="AB86"/>
      <c r="AC86"/>
      <c r="AD86"/>
      <c r="AE86"/>
      <c r="AF86"/>
      <c r="AJ86" s="1164"/>
    </row>
    <row r="87" spans="1:36" s="1163" customFormat="1" outlineLevel="1">
      <c r="A87" s="1158"/>
      <c r="B87" s="1037"/>
      <c r="C87" s="1159" t="s">
        <v>610</v>
      </c>
      <c r="D87" s="1159"/>
      <c r="E87" s="1159"/>
      <c r="F87" s="1159"/>
      <c r="G87" s="1159"/>
      <c r="H87" s="1063">
        <f>IF(ISERROR(IF(ROUND(SUM(H$82:H86),3)&gt;=ROUND(H$68,3),0,H$68/H$71)),"NA",IF(ROUND(SUM(H$82:H86),3)&gt;=ROUND(H$68,3),0,H$68/H$71))</f>
        <v>0</v>
      </c>
      <c r="I87" s="1063">
        <f>IF(ISERROR(IF(ROUND(SUM(I$82:I86),3)&gt;=ROUND(I$68,3),0,I$68/I$71)),"NA",IF(ROUND(SUM(I$82:I86),3)&gt;=ROUND(I$68,3),0,I$68/I$71))</f>
        <v>0</v>
      </c>
      <c r="J87" s="1063">
        <f>IF(ISERROR(IF(ROUND(SUM(J$82:J86),3)&gt;=ROUND(J$68,3),0,J$68/J$71)),"NA",IF(ROUND(SUM(J$82:J86),3)&gt;=ROUND(J$68,3),0,J$68/J$71))</f>
        <v>0</v>
      </c>
      <c r="K87" s="1063">
        <f>IF(ISERROR(IF(ROUND(SUM(K$82:K86),3)&gt;=ROUND(K$68,3),0,K$68/K$71)),"NA",IF(ROUND(SUM(K$82:K86),3)&gt;=ROUND(K$68,3),0,K$68/K$71))</f>
        <v>0</v>
      </c>
      <c r="L87" s="1063">
        <f>IF(ISERROR(IF(ROUND(SUM(L$82:L86),3)&gt;=ROUND(L$68,3),0,L$68/L$71)),"NA",IF(ROUND(SUM(L$82:L86),3)&gt;=ROUND(L$68,3),0,L$68/L$71))</f>
        <v>0</v>
      </c>
      <c r="M87" s="1063">
        <f>IF(ISERROR(IF(ROUND(SUM(M$82:M86),3)&gt;=ROUND(M$68,3),0,M$68/M$71)),"NA",IF(ROUND(SUM(M$82:M86),3)&gt;=ROUND(M$68,3),0,M$68/M$71))</f>
        <v>0</v>
      </c>
      <c r="N87" s="1063">
        <f>IF(ISERROR(IF(ROUND(SUM(N$82:N86),3)&gt;=ROUND(N$68,3),0,N$68/N$71)),"NA",IF(ROUND(SUM(N$82:N86),3)&gt;=ROUND(N$68,3),0,N$68/N$71))</f>
        <v>0</v>
      </c>
      <c r="O87" s="1063">
        <f>IF(ISERROR(IF(ROUND(SUM(O$82:O86),3)&gt;=ROUND(O$68,3),0,O$68/O$71)),"NA",IF(ROUND(SUM(O$82:O86),3)&gt;=ROUND(O$68,3),0,O$68/O$71))</f>
        <v>0</v>
      </c>
      <c r="P87" s="1063">
        <f>IF(ISERROR(IF(ROUND(SUM(P$82:P86),3)&gt;=ROUND(P$68,3),0,P$68/P$71)),"NA",IF(ROUND(SUM(P$82:P86),3)&gt;=ROUND(P$68,3),0,P$68/P$71))</f>
        <v>0</v>
      </c>
      <c r="Q87" s="1062">
        <f t="shared" si="41"/>
        <v>0</v>
      </c>
      <c r="R87" s="1062">
        <f t="shared" si="41"/>
        <v>0</v>
      </c>
      <c r="S87" s="1062">
        <f t="shared" si="41"/>
        <v>0</v>
      </c>
      <c r="T87" s="1062">
        <f t="shared" si="41"/>
        <v>0</v>
      </c>
      <c r="U87" s="1062">
        <f t="shared" si="41"/>
        <v>0</v>
      </c>
      <c r="V87" s="1062">
        <f t="shared" si="41"/>
        <v>0</v>
      </c>
      <c r="W87" s="1062">
        <f t="shared" si="41"/>
        <v>0</v>
      </c>
      <c r="AA87"/>
      <c r="AB87"/>
      <c r="AC87"/>
      <c r="AD87"/>
      <c r="AE87"/>
      <c r="AF87"/>
      <c r="AJ87" s="1164"/>
    </row>
    <row r="88" spans="1:36" s="1163" customFormat="1" outlineLevel="1">
      <c r="A88" s="1158"/>
      <c r="B88" s="1037"/>
      <c r="C88" s="1159" t="s">
        <v>611</v>
      </c>
      <c r="D88" s="1159"/>
      <c r="E88" s="1159"/>
      <c r="F88" s="1159"/>
      <c r="G88" s="1159"/>
      <c r="H88" s="1063">
        <f>IF(ISERROR(IF(ROUND(SUM(H$82:H87),3)&gt;=ROUND(H$68,3),0,H$68/H$71)),"NA",IF(ROUND(SUM(H$82:H87),3)&gt;=ROUND(H$68,3),0,H$68/H$71))</f>
        <v>0</v>
      </c>
      <c r="I88" s="1063">
        <f>IF(ISERROR(IF(ROUND(SUM(I$82:I87),3)&gt;=ROUND(I$68,3),0,I$68/I$71)),"NA",IF(ROUND(SUM(I$82:I87),3)&gt;=ROUND(I$68,3),0,I$68/I$71))</f>
        <v>0</v>
      </c>
      <c r="J88" s="1063">
        <f>IF(ISERROR(IF(ROUND(SUM(J$82:J87),3)&gt;=ROUND(J$68,3),0,J$68/J$71)),"NA",IF(ROUND(SUM(J$82:J87),3)&gt;=ROUND(J$68,3),0,J$68/J$71))</f>
        <v>0</v>
      </c>
      <c r="K88" s="1063">
        <f>IF(ISERROR(IF(ROUND(SUM(K$82:K87),3)&gt;=ROUND(K$68,3),0,K$68/K$71)),"NA",IF(ROUND(SUM(K$82:K87),3)&gt;=ROUND(K$68,3),0,K$68/K$71))</f>
        <v>0</v>
      </c>
      <c r="L88" s="1063">
        <f>IF(ISERROR(IF(ROUND(SUM(L$82:L87),3)&gt;=ROUND(L$68,3),0,L$68/L$71)),"NA",IF(ROUND(SUM(L$82:L87),3)&gt;=ROUND(L$68,3),0,L$68/L$71))</f>
        <v>0</v>
      </c>
      <c r="M88" s="1063">
        <f>IF(ISERROR(IF(ROUND(SUM(M$82:M87),3)&gt;=ROUND(M$68,3),0,M$68/M$71)),"NA",IF(ROUND(SUM(M$82:M87),3)&gt;=ROUND(M$68,3),0,M$68/M$71))</f>
        <v>0</v>
      </c>
      <c r="N88" s="1063">
        <f>IF(ISERROR(IF(ROUND(SUM(N$82:N87),3)&gt;=ROUND(N$68,3),0,N$68/N$71)),"NA",IF(ROUND(SUM(N$82:N87),3)&gt;=ROUND(N$68,3),0,N$68/N$71))</f>
        <v>0</v>
      </c>
      <c r="O88" s="1063">
        <f>IF(ISERROR(IF(ROUND(SUM(O$82:O87),3)&gt;=ROUND(O$68,3),0,O$68/O$71)),"NA",IF(ROUND(SUM(O$82:O87),3)&gt;=ROUND(O$68,3),0,O$68/O$71))</f>
        <v>0</v>
      </c>
      <c r="P88" s="1063">
        <f>IF(ISERROR(IF(ROUND(SUM(P$82:P87),3)&gt;=ROUND(P$68,3),0,P$68/P$71)),"NA",IF(ROUND(SUM(P$82:P87),3)&gt;=ROUND(P$68,3),0,P$68/P$71))</f>
        <v>0</v>
      </c>
      <c r="Q88" s="1062">
        <f t="shared" si="41"/>
        <v>0</v>
      </c>
      <c r="R88" s="1062">
        <f t="shared" si="41"/>
        <v>0</v>
      </c>
      <c r="S88" s="1062">
        <f t="shared" si="41"/>
        <v>0</v>
      </c>
      <c r="T88" s="1062">
        <f t="shared" si="41"/>
        <v>0</v>
      </c>
      <c r="U88" s="1062">
        <f t="shared" si="41"/>
        <v>0</v>
      </c>
      <c r="V88" s="1062">
        <f t="shared" si="41"/>
        <v>0</v>
      </c>
      <c r="W88" s="1062">
        <f t="shared" si="41"/>
        <v>0</v>
      </c>
      <c r="AA88"/>
      <c r="AB88"/>
      <c r="AC88"/>
      <c r="AD88"/>
      <c r="AE88"/>
      <c r="AF88"/>
      <c r="AJ88" s="1164"/>
    </row>
    <row r="89" spans="1:36" s="1163" customFormat="1" outlineLevel="1">
      <c r="A89" s="1158"/>
      <c r="B89" s="1037"/>
      <c r="C89" s="1159" t="s">
        <v>612</v>
      </c>
      <c r="D89" s="1159"/>
      <c r="E89" s="1159"/>
      <c r="F89" s="1159"/>
      <c r="G89" s="1159"/>
      <c r="H89" s="1063">
        <f>IF(ISERROR(IF(ROUND(SUM(H$82:H88),3)&gt;=ROUND(H$68,3),0,H$68/H$71)),"NA",IF(ROUND(SUM(H$82:H88),3)&gt;=ROUND(H$68,3),0,H$68/H$71))</f>
        <v>0</v>
      </c>
      <c r="I89" s="1063">
        <f>IF(ISERROR(IF(ROUND(SUM(I$82:I88),3)&gt;=ROUND(I$68,3),0,I$68/I$71)),"NA",IF(ROUND(SUM(I$82:I88),3)&gt;=ROUND(I$68,3),0,I$68/I$71))</f>
        <v>0</v>
      </c>
      <c r="J89" s="1063">
        <f>IF(ISERROR(IF(ROUND(SUM(J$82:J88),3)&gt;=ROUND(J$68,3),0,J$68/J$71)),"NA",IF(ROUND(SUM(J$82:J88),3)&gt;=ROUND(J$68,3),0,J$68/J$71))</f>
        <v>0</v>
      </c>
      <c r="K89" s="1063">
        <f>IF(ISERROR(IF(ROUND(SUM(K$82:K88),3)&gt;=ROUND(K$68,3),0,K$68/K$71)),"NA",IF(ROUND(SUM(K$82:K88),3)&gt;=ROUND(K$68,3),0,K$68/K$71))</f>
        <v>0</v>
      </c>
      <c r="L89" s="1063">
        <f>IF(ISERROR(IF(ROUND(SUM(L$82:L88),3)&gt;=ROUND(L$68,3),0,L$68/L$71)),"NA",IF(ROUND(SUM(L$82:L88),3)&gt;=ROUND(L$68,3),0,L$68/L$71))</f>
        <v>0</v>
      </c>
      <c r="M89" s="1063">
        <f>IF(ISERROR(IF(ROUND(SUM(M$82:M88),3)&gt;=ROUND(M$68,3),0,M$68/M$71)),"NA",IF(ROUND(SUM(M$82:M88),3)&gt;=ROUND(M$68,3),0,M$68/M$71))</f>
        <v>0</v>
      </c>
      <c r="N89" s="1063">
        <f>IF(ISERROR(IF(ROUND(SUM(N$82:N88),3)&gt;=ROUND(N$68,3),0,N$68/N$71)),"NA",IF(ROUND(SUM(N$82:N88),3)&gt;=ROUND(N$68,3),0,N$68/N$71))</f>
        <v>0</v>
      </c>
      <c r="O89" s="1063">
        <f>IF(ISERROR(IF(ROUND(SUM(O$82:O88),3)&gt;=ROUND(O$68,3),0,O$68/O$71)),"NA",IF(ROUND(SUM(O$82:O88),3)&gt;=ROUND(O$68,3),0,O$68/O$71))</f>
        <v>0</v>
      </c>
      <c r="P89" s="1063">
        <f>IF(ISERROR(IF(ROUND(SUM(P$82:P88),3)&gt;=ROUND(P$68,3),0,P$68/P$71)),"NA",IF(ROUND(SUM(P$82:P88),3)&gt;=ROUND(P$68,3),0,P$68/P$71))</f>
        <v>0</v>
      </c>
      <c r="Q89" s="1062">
        <f t="shared" si="41"/>
        <v>0</v>
      </c>
      <c r="R89" s="1062">
        <f t="shared" si="41"/>
        <v>0</v>
      </c>
      <c r="S89" s="1062">
        <f t="shared" si="41"/>
        <v>0</v>
      </c>
      <c r="T89" s="1062">
        <f t="shared" si="41"/>
        <v>0</v>
      </c>
      <c r="U89" s="1062">
        <f t="shared" si="41"/>
        <v>0</v>
      </c>
      <c r="V89" s="1062">
        <f t="shared" si="41"/>
        <v>0</v>
      </c>
      <c r="W89" s="1062">
        <f t="shared" si="41"/>
        <v>0</v>
      </c>
      <c r="AA89"/>
      <c r="AB89"/>
      <c r="AC89"/>
      <c r="AD89"/>
      <c r="AE89"/>
      <c r="AF89"/>
      <c r="AJ89" s="1164"/>
    </row>
    <row r="90" spans="1:36" s="1163" customFormat="1" outlineLevel="1">
      <c r="A90" s="1158"/>
      <c r="B90" s="1037"/>
      <c r="C90" s="1159" t="s">
        <v>613</v>
      </c>
      <c r="D90" s="1159"/>
      <c r="E90" s="1159"/>
      <c r="F90" s="1159"/>
      <c r="G90" s="1159"/>
      <c r="H90" s="1063">
        <f>IF(ISERROR(IF(ROUND(SUM(H$82:H89),3)&gt;=ROUND(H$68,3),0,H$68/H$71)),"NA",IF(ROUND(SUM(H$82:H89),3)&gt;=ROUND(H$68,3),0,H$68/H$71))</f>
        <v>0</v>
      </c>
      <c r="I90" s="1063">
        <f>IF(ISERROR(IF(ROUND(SUM(I$82:I89),3)&gt;=ROUND(I$68,3),0,I$68/I$71)),"NA",IF(ROUND(SUM(I$82:I89),3)&gt;=ROUND(I$68,3),0,I$68/I$71))</f>
        <v>0</v>
      </c>
      <c r="J90" s="1063">
        <f>IF(ISERROR(IF(ROUND(SUM(J$82:J89),3)&gt;=ROUND(J$68,3),0,J$68/J$71)),"NA",IF(ROUND(SUM(J$82:J89),3)&gt;=ROUND(J$68,3),0,J$68/J$71))</f>
        <v>0</v>
      </c>
      <c r="K90" s="1063">
        <f>IF(ISERROR(IF(ROUND(SUM(K$82:K89),3)&gt;=ROUND(K$68,3),0,K$68/K$71)),"NA",IF(ROUND(SUM(K$82:K89),3)&gt;=ROUND(K$68,3),0,K$68/K$71))</f>
        <v>0</v>
      </c>
      <c r="L90" s="1063">
        <f>IF(ISERROR(IF(ROUND(SUM(L$82:L89),3)&gt;=ROUND(L$68,3),0,L$68/L$71)),"NA",IF(ROUND(SUM(L$82:L89),3)&gt;=ROUND(L$68,3),0,L$68/L$71))</f>
        <v>0</v>
      </c>
      <c r="M90" s="1063">
        <f>IF(ISERROR(IF(ROUND(SUM(M$82:M89),3)&gt;=ROUND(M$68,3),0,M$68/M$71)),"NA",IF(ROUND(SUM(M$82:M89),3)&gt;=ROUND(M$68,3),0,M$68/M$71))</f>
        <v>0</v>
      </c>
      <c r="N90" s="1063">
        <f>IF(ISERROR(IF(ROUND(SUM(N$82:N89),3)&gt;=ROUND(N$68,3),0,N$68/N$71)),"NA",IF(ROUND(SUM(N$82:N89),3)&gt;=ROUND(N$68,3),0,N$68/N$71))</f>
        <v>0</v>
      </c>
      <c r="O90" s="1063">
        <f>IF(ISERROR(IF(ROUND(SUM(O$82:O89),3)&gt;=ROUND(O$68,3),0,O$68/O$71)),"NA",IF(ROUND(SUM(O$82:O89),3)&gt;=ROUND(O$68,3),0,O$68/O$71))</f>
        <v>0</v>
      </c>
      <c r="P90" s="1063">
        <f>IF(ISERROR(IF(ROUND(SUM(P$82:P89),3)&gt;=ROUND(P$68,3),0,P$68/P$71)),"NA",IF(ROUND(SUM(P$82:P89),3)&gt;=ROUND(P$68,3),0,P$68/P$71))</f>
        <v>0</v>
      </c>
      <c r="Q90" s="1062">
        <f t="shared" si="41"/>
        <v>0</v>
      </c>
      <c r="R90" s="1062">
        <f t="shared" si="41"/>
        <v>0</v>
      </c>
      <c r="S90" s="1062">
        <f t="shared" si="41"/>
        <v>0</v>
      </c>
      <c r="T90" s="1062">
        <f t="shared" si="41"/>
        <v>0</v>
      </c>
      <c r="U90" s="1062">
        <f t="shared" si="41"/>
        <v>0</v>
      </c>
      <c r="V90" s="1062">
        <f t="shared" si="41"/>
        <v>0</v>
      </c>
      <c r="W90" s="1062">
        <f t="shared" si="41"/>
        <v>0</v>
      </c>
      <c r="AA90"/>
      <c r="AB90"/>
      <c r="AC90"/>
      <c r="AD90"/>
      <c r="AE90"/>
      <c r="AF90"/>
      <c r="AJ90" s="1164"/>
    </row>
    <row r="91" spans="1:36" s="1163" customFormat="1" outlineLevel="1">
      <c r="A91" s="1158"/>
      <c r="B91" s="1037"/>
      <c r="C91" s="1159" t="s">
        <v>614</v>
      </c>
      <c r="D91" s="1159"/>
      <c r="E91" s="1159"/>
      <c r="F91" s="1159"/>
      <c r="G91" s="1159"/>
      <c r="H91" s="1063">
        <f>IF(ISERROR(IF(ROUND(SUM(H$82:H90),3)&gt;=ROUND(H$68,3),0,H$68/H$71)),"NA",IF(ROUND(SUM(H$82:H90),3)&gt;=ROUND(H$68,3),0,H$68/H$71))</f>
        <v>0</v>
      </c>
      <c r="I91" s="1063">
        <f>IF(ISERROR(IF(ROUND(SUM(I$82:I90),3)&gt;=ROUND(I$68,3),0,I$68/I$71)),"NA",IF(ROUND(SUM(I$82:I90),3)&gt;=ROUND(I$68,3),0,I$68/I$71))</f>
        <v>0</v>
      </c>
      <c r="J91" s="1063">
        <f>IF(ISERROR(IF(ROUND(SUM(J$82:J90),3)&gt;=ROUND(J$68,3),0,J$68/J$71)),"NA",IF(ROUND(SUM(J$82:J90),3)&gt;=ROUND(J$68,3),0,J$68/J$71))</f>
        <v>0</v>
      </c>
      <c r="K91" s="1063">
        <f>IF(ISERROR(IF(ROUND(SUM(K$82:K90),3)&gt;=ROUND(K$68,3),0,K$68/K$71)),"NA",IF(ROUND(SUM(K$82:K90),3)&gt;=ROUND(K$68,3),0,K$68/K$71))</f>
        <v>0</v>
      </c>
      <c r="L91" s="1063">
        <f>IF(ISERROR(IF(ROUND(SUM(L$82:L90),3)&gt;=ROUND(L$68,3),0,L$68/L$71)),"NA",IF(ROUND(SUM(L$82:L90),3)&gt;=ROUND(L$68,3),0,L$68/L$71))</f>
        <v>0</v>
      </c>
      <c r="M91" s="1063">
        <f>IF(ISERROR(IF(ROUND(SUM(M$82:M90),3)&gt;=ROUND(M$68,3),0,M$68/M$71)),"NA",IF(ROUND(SUM(M$82:M90),3)&gt;=ROUND(M$68,3),0,M$68/M$71))</f>
        <v>0</v>
      </c>
      <c r="N91" s="1063">
        <f>IF(ISERROR(IF(ROUND(SUM(N$82:N90),3)&gt;=ROUND(N$68,3),0,N$68/N$71)),"NA",IF(ROUND(SUM(N$82:N90),3)&gt;=ROUND(N$68,3),0,N$68/N$71))</f>
        <v>0</v>
      </c>
      <c r="O91" s="1063">
        <f>IF(ISERROR(IF(ROUND(SUM(O$82:O90),3)&gt;=ROUND(O$68,3),0,O$68/O$71)),"NA",IF(ROUND(SUM(O$82:O90),3)&gt;=ROUND(O$68,3),0,O$68/O$71))</f>
        <v>0</v>
      </c>
      <c r="P91" s="1063">
        <f>IF(ISERROR(IF(ROUND(SUM(P$82:P90),3)&gt;=ROUND(P$68,3),0,P$68/P$71)),"NA",IF(ROUND(SUM(P$82:P90),3)&gt;=ROUND(P$68,3),0,P$68/P$71))</f>
        <v>0</v>
      </c>
      <c r="Q91" s="1062">
        <f t="shared" si="41"/>
        <v>0</v>
      </c>
      <c r="R91" s="1062">
        <f t="shared" si="41"/>
        <v>0</v>
      </c>
      <c r="S91" s="1062">
        <f t="shared" si="41"/>
        <v>0</v>
      </c>
      <c r="T91" s="1062">
        <f t="shared" si="41"/>
        <v>0</v>
      </c>
      <c r="U91" s="1062">
        <f t="shared" si="41"/>
        <v>0</v>
      </c>
      <c r="V91" s="1062">
        <f t="shared" si="41"/>
        <v>0</v>
      </c>
      <c r="W91" s="1062">
        <f t="shared" si="41"/>
        <v>0</v>
      </c>
      <c r="AA91"/>
      <c r="AB91"/>
      <c r="AC91"/>
      <c r="AD91"/>
      <c r="AE91"/>
      <c r="AF91"/>
      <c r="AJ91" s="1164"/>
    </row>
    <row r="92" spans="1:36" s="1163" customFormat="1" outlineLevel="1">
      <c r="A92" s="1158"/>
      <c r="B92" s="1037"/>
      <c r="C92" s="1159" t="s">
        <v>615</v>
      </c>
      <c r="D92" s="1159"/>
      <c r="E92" s="1159"/>
      <c r="F92" s="1159"/>
      <c r="G92" s="1159"/>
      <c r="H92" s="1063">
        <f>IF(ISERROR(IF(ROUND(SUM(H$82:H91),3)&gt;=ROUND(H$68,3),0,H$68/H$71)),"NA",IF(ROUND(SUM(H$82:H91),3)&gt;=ROUND(H$68,3),0,H$68/H$71))</f>
        <v>0</v>
      </c>
      <c r="I92" s="1063">
        <f>IF(ISERROR(IF(ROUND(SUM(I$82:I91),3)&gt;=ROUND(I$68,3),0,I$68/I$71)),"NA",IF(ROUND(SUM(I$82:I91),3)&gt;=ROUND(I$68,3),0,I$68/I$71))</f>
        <v>0</v>
      </c>
      <c r="J92" s="1063">
        <f>IF(ISERROR(IF(ROUND(SUM(J$82:J91),3)&gt;=ROUND(J$68,3),0,J$68/J$71)),"NA",IF(ROUND(SUM(J$82:J91),3)&gt;=ROUND(J$68,3),0,J$68/J$71))</f>
        <v>0</v>
      </c>
      <c r="K92" s="1063">
        <f>IF(ISERROR(IF(ROUND(SUM(K$82:K91),3)&gt;=ROUND(K$68,3),0,K$68/K$71)),"NA",IF(ROUND(SUM(K$82:K91),3)&gt;=ROUND(K$68,3),0,K$68/K$71))</f>
        <v>0</v>
      </c>
      <c r="L92" s="1063">
        <f>IF(ISERROR(IF(ROUND(SUM(L$82:L91),3)&gt;=ROUND(L$68,3),0,L$68/L$71)),"NA",IF(ROUND(SUM(L$82:L91),3)&gt;=ROUND(L$68,3),0,L$68/L$71))</f>
        <v>0</v>
      </c>
      <c r="M92" s="1063">
        <f>IF(ISERROR(IF(ROUND(SUM(M$82:M91),3)&gt;=ROUND(M$68,3),0,M$68/M$71)),"NA",IF(ROUND(SUM(M$82:M91),3)&gt;=ROUND(M$68,3),0,M$68/M$71))</f>
        <v>0</v>
      </c>
      <c r="N92" s="1063">
        <f>IF(ISERROR(IF(ROUND(SUM(N$82:N91),3)&gt;=ROUND(N$68,3),0,N$68/N$71)),"NA",IF(ROUND(SUM(N$82:N91),3)&gt;=ROUND(N$68,3),0,N$68/N$71))</f>
        <v>0</v>
      </c>
      <c r="O92" s="1063">
        <f>IF(ISERROR(IF(ROUND(SUM(O$82:O91),3)&gt;=ROUND(O$68,3),0,O$68/O$71)),"NA",IF(ROUND(SUM(O$82:O91),3)&gt;=ROUND(O$68,3),0,O$68/O$71))</f>
        <v>0</v>
      </c>
      <c r="P92" s="1063">
        <f>IF(ISERROR(IF(ROUND(SUM(P$82:P91),3)&gt;=ROUND(P$68,3),0,P$68/P$71)),"NA",IF(ROUND(SUM(P$82:P91),3)&gt;=ROUND(P$68,3),0,P$68/P$71))</f>
        <v>0</v>
      </c>
      <c r="Q92" s="1062">
        <f t="shared" ref="Q92:W106" si="43">P92*(1+Q$64)</f>
        <v>0</v>
      </c>
      <c r="R92" s="1062">
        <f t="shared" si="43"/>
        <v>0</v>
      </c>
      <c r="S92" s="1062">
        <f t="shared" si="43"/>
        <v>0</v>
      </c>
      <c r="T92" s="1062">
        <f t="shared" si="43"/>
        <v>0</v>
      </c>
      <c r="U92" s="1062">
        <f t="shared" si="43"/>
        <v>0</v>
      </c>
      <c r="V92" s="1062">
        <f t="shared" si="43"/>
        <v>0</v>
      </c>
      <c r="W92" s="1062">
        <f t="shared" si="43"/>
        <v>0</v>
      </c>
      <c r="AA92"/>
      <c r="AB92"/>
      <c r="AC92"/>
      <c r="AD92"/>
      <c r="AE92"/>
      <c r="AF92"/>
      <c r="AJ92" s="1164"/>
    </row>
    <row r="93" spans="1:36" s="1163" customFormat="1" outlineLevel="1">
      <c r="A93" s="1158"/>
      <c r="B93" s="1037"/>
      <c r="C93" s="1159" t="s">
        <v>616</v>
      </c>
      <c r="D93" s="1159"/>
      <c r="E93" s="1159"/>
      <c r="F93" s="1159"/>
      <c r="G93" s="1159"/>
      <c r="H93" s="1063">
        <f>IF(ISERROR(IF(ROUND(SUM(H$82:H92),3)&gt;=ROUND(H$68,3),0,H$68/H$71)),"NA",IF(ROUND(SUM(H$82:H92),3)&gt;=ROUND(H$68,3),0,H$68/H$71))</f>
        <v>0</v>
      </c>
      <c r="I93" s="1063">
        <f>IF(ISERROR(IF(ROUND(SUM(I$82:I92),3)&gt;=ROUND(I$68,3),0,I$68/I$71)),"NA",IF(ROUND(SUM(I$82:I92),3)&gt;=ROUND(I$68,3),0,I$68/I$71))</f>
        <v>0</v>
      </c>
      <c r="J93" s="1063">
        <f>IF(ISERROR(IF(ROUND(SUM(J$82:J92),3)&gt;=ROUND(J$68,3),0,J$68/J$71)),"NA",IF(ROUND(SUM(J$82:J92),3)&gt;=ROUND(J$68,3),0,J$68/J$71))</f>
        <v>0</v>
      </c>
      <c r="K93" s="1063">
        <f>IF(ISERROR(IF(ROUND(SUM(K$82:K92),3)&gt;=ROUND(K$68,3),0,K$68/K$71)),"NA",IF(ROUND(SUM(K$82:K92),3)&gt;=ROUND(K$68,3),0,K$68/K$71))</f>
        <v>0</v>
      </c>
      <c r="L93" s="1063">
        <f>IF(ISERROR(IF(ROUND(SUM(L$82:L92),3)&gt;=ROUND(L$68,3),0,L$68/L$71)),"NA",IF(ROUND(SUM(L$82:L92),3)&gt;=ROUND(L$68,3),0,L$68/L$71))</f>
        <v>0</v>
      </c>
      <c r="M93" s="1063">
        <f>IF(ISERROR(IF(ROUND(SUM(M$82:M92),3)&gt;=ROUND(M$68,3),0,M$68/M$71)),"NA",IF(ROUND(SUM(M$82:M92),3)&gt;=ROUND(M$68,3),0,M$68/M$71))</f>
        <v>0</v>
      </c>
      <c r="N93" s="1063">
        <f>IF(ISERROR(IF(ROUND(SUM(N$82:N92),3)&gt;=ROUND(N$68,3),0,N$68/N$71)),"NA",IF(ROUND(SUM(N$82:N92),3)&gt;=ROUND(N$68,3),0,N$68/N$71))</f>
        <v>0</v>
      </c>
      <c r="O93" s="1063">
        <f>IF(ISERROR(IF(ROUND(SUM(O$82:O92),3)&gt;=ROUND(O$68,3),0,O$68/O$71)),"NA",IF(ROUND(SUM(O$82:O92),3)&gt;=ROUND(O$68,3),0,O$68/O$71))</f>
        <v>0</v>
      </c>
      <c r="P93" s="1063">
        <f>IF(ISERROR(IF(ROUND(SUM(P$82:P92),3)&gt;=ROUND(P$68,3),0,P$68/P$71)),"NA",IF(ROUND(SUM(P$82:P92),3)&gt;=ROUND(P$68,3),0,P$68/P$71))</f>
        <v>0</v>
      </c>
      <c r="Q93" s="1062">
        <f t="shared" si="43"/>
        <v>0</v>
      </c>
      <c r="R93" s="1062">
        <f t="shared" si="43"/>
        <v>0</v>
      </c>
      <c r="S93" s="1062">
        <f t="shared" si="43"/>
        <v>0</v>
      </c>
      <c r="T93" s="1062">
        <f t="shared" si="43"/>
        <v>0</v>
      </c>
      <c r="U93" s="1062">
        <f t="shared" si="43"/>
        <v>0</v>
      </c>
      <c r="V93" s="1062">
        <f t="shared" si="43"/>
        <v>0</v>
      </c>
      <c r="W93" s="1062">
        <f t="shared" si="43"/>
        <v>0</v>
      </c>
      <c r="AA93"/>
      <c r="AB93"/>
      <c r="AC93"/>
      <c r="AD93"/>
      <c r="AE93"/>
      <c r="AF93"/>
      <c r="AJ93" s="1164"/>
    </row>
    <row r="94" spans="1:36" s="1163" customFormat="1" outlineLevel="1">
      <c r="A94" s="1158"/>
      <c r="B94" s="1037"/>
      <c r="C94" s="1159" t="s">
        <v>617</v>
      </c>
      <c r="D94" s="1159"/>
      <c r="E94" s="1159"/>
      <c r="F94" s="1159"/>
      <c r="G94" s="1159"/>
      <c r="H94" s="1063">
        <f>IF(ISERROR(IF(ROUND(SUM(H$82:H93),3)&gt;=ROUND(H$68,3),0,H$68/H$71)),"NA",IF(ROUND(SUM(H$82:H93),3)&gt;=ROUND(H$68,3),0,H$68/H$71))</f>
        <v>0</v>
      </c>
      <c r="I94" s="1063">
        <f>IF(ISERROR(IF(ROUND(SUM(I$82:I93),3)&gt;=ROUND(I$68,3),0,I$68/I$71)),"NA",IF(ROUND(SUM(I$82:I93),3)&gt;=ROUND(I$68,3),0,I$68/I$71))</f>
        <v>0</v>
      </c>
      <c r="J94" s="1063">
        <f>IF(ISERROR(IF(ROUND(SUM(J$82:J93),3)&gt;=ROUND(J$68,3),0,J$68/J$71)),"NA",IF(ROUND(SUM(J$82:J93),3)&gt;=ROUND(J$68,3),0,J$68/J$71))</f>
        <v>0</v>
      </c>
      <c r="K94" s="1063">
        <f>IF(ISERROR(IF(ROUND(SUM(K$82:K93),3)&gt;=ROUND(K$68,3),0,K$68/K$71)),"NA",IF(ROUND(SUM(K$82:K93),3)&gt;=ROUND(K$68,3),0,K$68/K$71))</f>
        <v>0</v>
      </c>
      <c r="L94" s="1063">
        <f>IF(ISERROR(IF(ROUND(SUM(L$82:L93),3)&gt;=ROUND(L$68,3),0,L$68/L$71)),"NA",IF(ROUND(SUM(L$82:L93),3)&gt;=ROUND(L$68,3),0,L$68/L$71))</f>
        <v>0</v>
      </c>
      <c r="M94" s="1063">
        <f>IF(ISERROR(IF(ROUND(SUM(M$82:M93),3)&gt;=ROUND(M$68,3),0,M$68/M$71)),"NA",IF(ROUND(SUM(M$82:M93),3)&gt;=ROUND(M$68,3),0,M$68/M$71))</f>
        <v>0</v>
      </c>
      <c r="N94" s="1063">
        <f>IF(ISERROR(IF(ROUND(SUM(N$82:N93),3)&gt;=ROUND(N$68,3),0,N$68/N$71)),"NA",IF(ROUND(SUM(N$82:N93),3)&gt;=ROUND(N$68,3),0,N$68/N$71))</f>
        <v>0</v>
      </c>
      <c r="O94" s="1063">
        <f>IF(ISERROR(IF(ROUND(SUM(O$82:O93),3)&gt;=ROUND(O$68,3),0,O$68/O$71)),"NA",IF(ROUND(SUM(O$82:O93),3)&gt;=ROUND(O$68,3),0,O$68/O$71))</f>
        <v>0</v>
      </c>
      <c r="P94" s="1063">
        <f>IF(ISERROR(IF(ROUND(SUM(P$82:P93),3)&gt;=ROUND(P$68,3),0,P$68/P$71)),"NA",IF(ROUND(SUM(P$82:P93),3)&gt;=ROUND(P$68,3),0,P$68/P$71))</f>
        <v>0</v>
      </c>
      <c r="Q94" s="1062">
        <f t="shared" si="43"/>
        <v>0</v>
      </c>
      <c r="R94" s="1062">
        <f t="shared" si="43"/>
        <v>0</v>
      </c>
      <c r="S94" s="1062">
        <f t="shared" si="43"/>
        <v>0</v>
      </c>
      <c r="T94" s="1062">
        <f t="shared" si="43"/>
        <v>0</v>
      </c>
      <c r="U94" s="1062">
        <f t="shared" si="43"/>
        <v>0</v>
      </c>
      <c r="V94" s="1062">
        <f t="shared" si="43"/>
        <v>0</v>
      </c>
      <c r="W94" s="1062">
        <f t="shared" si="43"/>
        <v>0</v>
      </c>
      <c r="AA94"/>
      <c r="AB94"/>
      <c r="AC94"/>
      <c r="AD94"/>
      <c r="AE94"/>
      <c r="AF94"/>
      <c r="AJ94" s="1164"/>
    </row>
    <row r="95" spans="1:36" s="1163" customFormat="1" outlineLevel="1">
      <c r="A95" s="1158"/>
      <c r="B95" s="1037"/>
      <c r="C95" s="1159" t="s">
        <v>618</v>
      </c>
      <c r="D95" s="1159"/>
      <c r="E95" s="1159"/>
      <c r="F95" s="1159"/>
      <c r="G95" s="1159"/>
      <c r="H95" s="1063">
        <f>IF(ISERROR(IF(ROUND(SUM(H$82:H94),3)&gt;=ROUND(H$68,3),0,H$68/H$71)),"NA",IF(ROUND(SUM(H$82:H94),3)&gt;=ROUND(H$68,3),0,H$68/H$71))</f>
        <v>0</v>
      </c>
      <c r="I95" s="1063">
        <f>IF(ISERROR(IF(ROUND(SUM(I$82:I94),3)&gt;=ROUND(I$68,3),0,I$68/I$71)),"NA",IF(ROUND(SUM(I$82:I94),3)&gt;=ROUND(I$68,3),0,I$68/I$71))</f>
        <v>0</v>
      </c>
      <c r="J95" s="1063">
        <f>IF(ISERROR(IF(ROUND(SUM(J$82:J94),3)&gt;=ROUND(J$68,3),0,J$68/J$71)),"NA",IF(ROUND(SUM(J$82:J94),3)&gt;=ROUND(J$68,3),0,J$68/J$71))</f>
        <v>0</v>
      </c>
      <c r="K95" s="1063">
        <f>IF(ISERROR(IF(ROUND(SUM(K$82:K94),3)&gt;=ROUND(K$68,3),0,K$68/K$71)),"NA",IF(ROUND(SUM(K$82:K94),3)&gt;=ROUND(K$68,3),0,K$68/K$71))</f>
        <v>0</v>
      </c>
      <c r="L95" s="1063">
        <f>IF(ISERROR(IF(ROUND(SUM(L$82:L94),3)&gt;=ROUND(L$68,3),0,L$68/L$71)),"NA",IF(ROUND(SUM(L$82:L94),3)&gt;=ROUND(L$68,3),0,L$68/L$71))</f>
        <v>0</v>
      </c>
      <c r="M95" s="1063">
        <f>IF(ISERROR(IF(ROUND(SUM(M$82:M94),3)&gt;=ROUND(M$68,3),0,M$68/M$71)),"NA",IF(ROUND(SUM(M$82:M94),3)&gt;=ROUND(M$68,3),0,M$68/M$71))</f>
        <v>0</v>
      </c>
      <c r="N95" s="1063">
        <f>IF(ISERROR(IF(ROUND(SUM(N$82:N94),3)&gt;=ROUND(N$68,3),0,N$68/N$71)),"NA",IF(ROUND(SUM(N$82:N94),3)&gt;=ROUND(N$68,3),0,N$68/N$71))</f>
        <v>0</v>
      </c>
      <c r="O95" s="1063">
        <f>IF(ISERROR(IF(ROUND(SUM(O$82:O94),3)&gt;=ROUND(O$68,3),0,O$68/O$71)),"NA",IF(ROUND(SUM(O$82:O94),3)&gt;=ROUND(O$68,3),0,O$68/O$71))</f>
        <v>0</v>
      </c>
      <c r="P95" s="1063">
        <f>IF(ISERROR(IF(ROUND(SUM(P$82:P94),3)&gt;=ROUND(P$68,3),0,P$68/P$71)),"NA",IF(ROUND(SUM(P$82:P94),3)&gt;=ROUND(P$68,3),0,P$68/P$71))</f>
        <v>0</v>
      </c>
      <c r="Q95" s="1062">
        <f t="shared" si="43"/>
        <v>0</v>
      </c>
      <c r="R95" s="1062">
        <f t="shared" si="43"/>
        <v>0</v>
      </c>
      <c r="S95" s="1062">
        <f t="shared" si="43"/>
        <v>0</v>
      </c>
      <c r="T95" s="1062">
        <f t="shared" si="43"/>
        <v>0</v>
      </c>
      <c r="U95" s="1062">
        <f t="shared" si="43"/>
        <v>0</v>
      </c>
      <c r="V95" s="1062">
        <f t="shared" si="43"/>
        <v>0</v>
      </c>
      <c r="W95" s="1062">
        <f t="shared" si="43"/>
        <v>0</v>
      </c>
      <c r="AA95"/>
      <c r="AB95"/>
      <c r="AC95"/>
      <c r="AD95"/>
      <c r="AE95"/>
      <c r="AF95"/>
      <c r="AJ95" s="1164"/>
    </row>
    <row r="96" spans="1:36" s="1163" customFormat="1" outlineLevel="1">
      <c r="A96" s="1158"/>
      <c r="B96" s="1037"/>
      <c r="C96" s="1159" t="s">
        <v>619</v>
      </c>
      <c r="D96" s="1159"/>
      <c r="E96" s="1159"/>
      <c r="F96" s="1159"/>
      <c r="G96" s="1159"/>
      <c r="H96" s="1063">
        <f>IF(ISERROR(IF(ROUND(SUM(H$82:H95),3)&gt;=ROUND(H$68,3),0,H$68/H$71)),"NA",IF(ROUND(SUM(H$82:H95),3)&gt;=ROUND(H$68,3),0,H$68/H$71))</f>
        <v>0</v>
      </c>
      <c r="I96" s="1063">
        <f>IF(ISERROR(IF(ROUND(SUM(I$82:I95),3)&gt;=ROUND(I$68,3),0,I$68/I$71)),"NA",IF(ROUND(SUM(I$82:I95),3)&gt;=ROUND(I$68,3),0,I$68/I$71))</f>
        <v>0</v>
      </c>
      <c r="J96" s="1063">
        <f>IF(ISERROR(IF(ROUND(SUM(J$82:J95),3)&gt;=ROUND(J$68,3),0,J$68/J$71)),"NA",IF(ROUND(SUM(J$82:J95),3)&gt;=ROUND(J$68,3),0,J$68/J$71))</f>
        <v>0</v>
      </c>
      <c r="K96" s="1063">
        <f>IF(ISERROR(IF(ROUND(SUM(K$82:K95),3)&gt;=ROUND(K$68,3),0,K$68/K$71)),"NA",IF(ROUND(SUM(K$82:K95),3)&gt;=ROUND(K$68,3),0,K$68/K$71))</f>
        <v>0</v>
      </c>
      <c r="L96" s="1063">
        <f>IF(ISERROR(IF(ROUND(SUM(L$82:L95),3)&gt;=ROUND(L$68,3),0,L$68/L$71)),"NA",IF(ROUND(SUM(L$82:L95),3)&gt;=ROUND(L$68,3),0,L$68/L$71))</f>
        <v>0</v>
      </c>
      <c r="M96" s="1063">
        <f>IF(ISERROR(IF(ROUND(SUM(M$82:M95),3)&gt;=ROUND(M$68,3),0,M$68/M$71)),"NA",IF(ROUND(SUM(M$82:M95),3)&gt;=ROUND(M$68,3),0,M$68/M$71))</f>
        <v>0</v>
      </c>
      <c r="N96" s="1063">
        <f>IF(ISERROR(IF(ROUND(SUM(N$82:N95),3)&gt;=ROUND(N$68,3),0,N$68/N$71)),"NA",IF(ROUND(SUM(N$82:N95),3)&gt;=ROUND(N$68,3),0,N$68/N$71))</f>
        <v>0</v>
      </c>
      <c r="O96" s="1063">
        <f>IF(ISERROR(IF(ROUND(SUM(O$82:O95),3)&gt;=ROUND(O$68,3),0,O$68/O$71)),"NA",IF(ROUND(SUM(O$82:O95),3)&gt;=ROUND(O$68,3),0,O$68/O$71))</f>
        <v>0</v>
      </c>
      <c r="P96" s="1063">
        <f>IF(ISERROR(IF(ROUND(SUM(P$82:P95),3)&gt;=ROUND(P$68,3),0,P$68/P$71)),"NA",IF(ROUND(SUM(P$82:P95),3)&gt;=ROUND(P$68,3),0,P$68/P$71))</f>
        <v>0</v>
      </c>
      <c r="Q96" s="1062">
        <f t="shared" si="43"/>
        <v>0</v>
      </c>
      <c r="R96" s="1062">
        <f t="shared" si="43"/>
        <v>0</v>
      </c>
      <c r="S96" s="1062">
        <f t="shared" si="43"/>
        <v>0</v>
      </c>
      <c r="T96" s="1062">
        <f t="shared" si="43"/>
        <v>0</v>
      </c>
      <c r="U96" s="1062">
        <f t="shared" si="43"/>
        <v>0</v>
      </c>
      <c r="V96" s="1062">
        <f t="shared" si="43"/>
        <v>0</v>
      </c>
      <c r="W96" s="1062">
        <f t="shared" si="43"/>
        <v>0</v>
      </c>
      <c r="AA96"/>
      <c r="AB96"/>
      <c r="AC96"/>
      <c r="AD96"/>
      <c r="AE96"/>
      <c r="AF96"/>
      <c r="AJ96" s="1164"/>
    </row>
    <row r="97" spans="1:36" s="1163" customFormat="1" outlineLevel="1">
      <c r="A97" s="1158"/>
      <c r="B97" s="1037"/>
      <c r="C97" s="1159" t="s">
        <v>620</v>
      </c>
      <c r="D97" s="1159"/>
      <c r="E97" s="1159"/>
      <c r="F97" s="1159"/>
      <c r="G97" s="1159"/>
      <c r="H97" s="1063">
        <f>IF(ISERROR(IF(ROUND(SUM(H$82:H96),3)&gt;=ROUND(H$68,3),0,H$68/H$71)),"NA",IF(ROUND(SUM(H$82:H96),3)&gt;=ROUND(H$68,3),0,H$68/H$71))</f>
        <v>0</v>
      </c>
      <c r="I97" s="1063">
        <f>IF(ISERROR(IF(ROUND(SUM(I$82:I96),3)&gt;=ROUND(I$68,3),0,I$68/I$71)),"NA",IF(ROUND(SUM(I$82:I96),3)&gt;=ROUND(I$68,3),0,I$68/I$71))</f>
        <v>0</v>
      </c>
      <c r="J97" s="1063">
        <f>IF(ISERROR(IF(ROUND(SUM(J$82:J96),3)&gt;=ROUND(J$68,3),0,J$68/J$71)),"NA",IF(ROUND(SUM(J$82:J96),3)&gt;=ROUND(J$68,3),0,J$68/J$71))</f>
        <v>0</v>
      </c>
      <c r="K97" s="1063">
        <f>IF(ISERROR(IF(ROUND(SUM(K$82:K96),3)&gt;=ROUND(K$68,3),0,K$68/K$71)),"NA",IF(ROUND(SUM(K$82:K96),3)&gt;=ROUND(K$68,3),0,K$68/K$71))</f>
        <v>0</v>
      </c>
      <c r="L97" s="1063">
        <f>IF(ISERROR(IF(ROUND(SUM(L$82:L96),3)&gt;=ROUND(L$68,3),0,L$68/L$71)),"NA",IF(ROUND(SUM(L$82:L96),3)&gt;=ROUND(L$68,3),0,L$68/L$71))</f>
        <v>0</v>
      </c>
      <c r="M97" s="1063">
        <f>IF(ISERROR(IF(ROUND(SUM(M$82:M96),3)&gt;=ROUND(M$68,3),0,M$68/M$71)),"NA",IF(ROUND(SUM(M$82:M96),3)&gt;=ROUND(M$68,3),0,M$68/M$71))</f>
        <v>0</v>
      </c>
      <c r="N97" s="1063">
        <f>IF(ISERROR(IF(ROUND(SUM(N$82:N96),3)&gt;=ROUND(N$68,3),0,N$68/N$71)),"NA",IF(ROUND(SUM(N$82:N96),3)&gt;=ROUND(N$68,3),0,N$68/N$71))</f>
        <v>0</v>
      </c>
      <c r="O97" s="1063">
        <f>IF(ISERROR(IF(ROUND(SUM(O$82:O96),3)&gt;=ROUND(O$68,3),0,O$68/O$71)),"NA",IF(ROUND(SUM(O$82:O96),3)&gt;=ROUND(O$68,3),0,O$68/O$71))</f>
        <v>0</v>
      </c>
      <c r="P97" s="1063">
        <f>IF(ISERROR(IF(ROUND(SUM(P$82:P96),3)&gt;=ROUND(P$68,3),0,P$68/P$71)),"NA",IF(ROUND(SUM(P$82:P96),3)&gt;=ROUND(P$68,3),0,P$68/P$71))</f>
        <v>0</v>
      </c>
      <c r="Q97" s="1062">
        <f t="shared" si="43"/>
        <v>0</v>
      </c>
      <c r="R97" s="1062">
        <f t="shared" si="43"/>
        <v>0</v>
      </c>
      <c r="S97" s="1062">
        <f t="shared" si="43"/>
        <v>0</v>
      </c>
      <c r="T97" s="1062">
        <f t="shared" si="43"/>
        <v>0</v>
      </c>
      <c r="U97" s="1062">
        <f t="shared" si="43"/>
        <v>0</v>
      </c>
      <c r="V97" s="1062">
        <f t="shared" si="43"/>
        <v>0</v>
      </c>
      <c r="W97" s="1062">
        <f t="shared" si="43"/>
        <v>0</v>
      </c>
      <c r="AA97"/>
      <c r="AB97"/>
      <c r="AC97"/>
      <c r="AD97"/>
      <c r="AE97"/>
      <c r="AF97"/>
      <c r="AJ97" s="1164"/>
    </row>
    <row r="98" spans="1:36" s="1163" customFormat="1" outlineLevel="1">
      <c r="A98" s="1158"/>
      <c r="B98" s="1037"/>
      <c r="C98" s="1159" t="s">
        <v>621</v>
      </c>
      <c r="D98" s="1159"/>
      <c r="E98" s="1159"/>
      <c r="F98" s="1159"/>
      <c r="G98" s="1159"/>
      <c r="H98" s="1063">
        <f>IF(ISERROR(IF(ROUND(SUM(H$82:H97),3)&gt;=ROUND(H$68,3),0,H$68/H$71)),"NA",IF(ROUND(SUM(H$82:H97),3)&gt;=ROUND(H$68,3),0,H$68/H$71))</f>
        <v>0</v>
      </c>
      <c r="I98" s="1063">
        <f>IF(ISERROR(IF(ROUND(SUM(I$82:I97),3)&gt;=ROUND(I$68,3),0,I$68/I$71)),"NA",IF(ROUND(SUM(I$82:I97),3)&gt;=ROUND(I$68,3),0,I$68/I$71))</f>
        <v>0</v>
      </c>
      <c r="J98" s="1063">
        <f>IF(ISERROR(IF(ROUND(SUM(J$82:J97),3)&gt;=ROUND(J$68,3),0,J$68/J$71)),"NA",IF(ROUND(SUM(J$82:J97),3)&gt;=ROUND(J$68,3),0,J$68/J$71))</f>
        <v>0</v>
      </c>
      <c r="K98" s="1063">
        <f>IF(ISERROR(IF(ROUND(SUM(K$82:K97),3)&gt;=ROUND(K$68,3),0,K$68/K$71)),"NA",IF(ROUND(SUM(K$82:K97),3)&gt;=ROUND(K$68,3),0,K$68/K$71))</f>
        <v>0</v>
      </c>
      <c r="L98" s="1063">
        <f>IF(ISERROR(IF(ROUND(SUM(L$82:L97),3)&gt;=ROUND(L$68,3),0,L$68/L$71)),"NA",IF(ROUND(SUM(L$82:L97),3)&gt;=ROUND(L$68,3),0,L$68/L$71))</f>
        <v>0</v>
      </c>
      <c r="M98" s="1063">
        <f>IF(ISERROR(IF(ROUND(SUM(M$82:M97),3)&gt;=ROUND(M$68,3),0,M$68/M$71)),"NA",IF(ROUND(SUM(M$82:M97),3)&gt;=ROUND(M$68,3),0,M$68/M$71))</f>
        <v>0</v>
      </c>
      <c r="N98" s="1063">
        <f>IF(ISERROR(IF(ROUND(SUM(N$82:N97),3)&gt;=ROUND(N$68,3),0,N$68/N$71)),"NA",IF(ROUND(SUM(N$82:N97),3)&gt;=ROUND(N$68,3),0,N$68/N$71))</f>
        <v>0</v>
      </c>
      <c r="O98" s="1063">
        <f>IF(ISERROR(IF(ROUND(SUM(O$82:O97),3)&gt;=ROUND(O$68,3),0,O$68/O$71)),"NA",IF(ROUND(SUM(O$82:O97),3)&gt;=ROUND(O$68,3),0,O$68/O$71))</f>
        <v>0</v>
      </c>
      <c r="P98" s="1063">
        <f>IF(ISERROR(IF(ROUND(SUM(P$82:P97),3)&gt;=ROUND(P$68,3),0,P$68/P$71)),"NA",IF(ROUND(SUM(P$82:P97),3)&gt;=ROUND(P$68,3),0,P$68/P$71))</f>
        <v>0</v>
      </c>
      <c r="Q98" s="1062">
        <f t="shared" si="43"/>
        <v>0</v>
      </c>
      <c r="R98" s="1062">
        <f t="shared" si="43"/>
        <v>0</v>
      </c>
      <c r="S98" s="1062">
        <f t="shared" si="43"/>
        <v>0</v>
      </c>
      <c r="T98" s="1062">
        <f t="shared" si="43"/>
        <v>0</v>
      </c>
      <c r="U98" s="1062">
        <f t="shared" si="43"/>
        <v>0</v>
      </c>
      <c r="V98" s="1062">
        <f t="shared" si="43"/>
        <v>0</v>
      </c>
      <c r="W98" s="1062">
        <f t="shared" si="43"/>
        <v>0</v>
      </c>
      <c r="AA98"/>
      <c r="AB98"/>
      <c r="AC98"/>
      <c r="AD98"/>
      <c r="AE98"/>
      <c r="AF98"/>
      <c r="AJ98" s="1164"/>
    </row>
    <row r="99" spans="1:36" s="1163" customFormat="1" outlineLevel="1">
      <c r="A99" s="1158"/>
      <c r="B99" s="1037"/>
      <c r="C99" s="1159" t="s">
        <v>622</v>
      </c>
      <c r="D99" s="1159"/>
      <c r="E99" s="1159"/>
      <c r="F99" s="1159"/>
      <c r="G99" s="1159"/>
      <c r="H99" s="1063">
        <f>IF(ISERROR(IF(ROUND(SUM(H$82:H98),3)&gt;=ROUND(H$68,3),0,H$68/H$71)),"NA",IF(ROUND(SUM(H$82:H98),3)&gt;=ROUND(H$68,3),0,H$68/H$71))</f>
        <v>0</v>
      </c>
      <c r="I99" s="1063">
        <f>IF(ISERROR(IF(ROUND(SUM(I$82:I98),3)&gt;=ROUND(I$68,3),0,I$68/I$71)),"NA",IF(ROUND(SUM(I$82:I98),3)&gt;=ROUND(I$68,3),0,I$68/I$71))</f>
        <v>0</v>
      </c>
      <c r="J99" s="1063">
        <f>IF(ISERROR(IF(ROUND(SUM(J$82:J98),3)&gt;=ROUND(J$68,3),0,J$68/J$71)),"NA",IF(ROUND(SUM(J$82:J98),3)&gt;=ROUND(J$68,3),0,J$68/J$71))</f>
        <v>0</v>
      </c>
      <c r="K99" s="1063">
        <f>IF(ISERROR(IF(ROUND(SUM(K$82:K98),3)&gt;=ROUND(K$68,3),0,K$68/K$71)),"NA",IF(ROUND(SUM(K$82:K98),3)&gt;=ROUND(K$68,3),0,K$68/K$71))</f>
        <v>0</v>
      </c>
      <c r="L99" s="1063">
        <f>IF(ISERROR(IF(ROUND(SUM(L$82:L98),3)&gt;=ROUND(L$68,3),0,L$68/L$71)),"NA",IF(ROUND(SUM(L$82:L98),3)&gt;=ROUND(L$68,3),0,L$68/L$71))</f>
        <v>0</v>
      </c>
      <c r="M99" s="1063">
        <f>IF(ISERROR(IF(ROUND(SUM(M$82:M98),3)&gt;=ROUND(M$68,3),0,M$68/M$71)),"NA",IF(ROUND(SUM(M$82:M98),3)&gt;=ROUND(M$68,3),0,M$68/M$71))</f>
        <v>0</v>
      </c>
      <c r="N99" s="1063">
        <f>IF(ISERROR(IF(ROUND(SUM(N$82:N98),3)&gt;=ROUND(N$68,3),0,N$68/N$71)),"NA",IF(ROUND(SUM(N$82:N98),3)&gt;=ROUND(N$68,3),0,N$68/N$71))</f>
        <v>0</v>
      </c>
      <c r="O99" s="1063">
        <f>IF(ISERROR(IF(ROUND(SUM(O$82:O98),3)&gt;=ROUND(O$68,3),0,O$68/O$71)),"NA",IF(ROUND(SUM(O$82:O98),3)&gt;=ROUND(O$68,3),0,O$68/O$71))</f>
        <v>0</v>
      </c>
      <c r="P99" s="1063">
        <f>IF(ISERROR(IF(ROUND(SUM(P$82:P98),3)&gt;=ROUND(P$68,3),0,P$68/P$71)),"NA",IF(ROUND(SUM(P$82:P98),3)&gt;=ROUND(P$68,3),0,P$68/P$71))</f>
        <v>0</v>
      </c>
      <c r="Q99" s="1062">
        <f t="shared" si="43"/>
        <v>0</v>
      </c>
      <c r="R99" s="1062">
        <f t="shared" si="43"/>
        <v>0</v>
      </c>
      <c r="S99" s="1062">
        <f t="shared" si="43"/>
        <v>0</v>
      </c>
      <c r="T99" s="1062">
        <f t="shared" si="43"/>
        <v>0</v>
      </c>
      <c r="U99" s="1062">
        <f t="shared" si="43"/>
        <v>0</v>
      </c>
      <c r="V99" s="1062">
        <f t="shared" si="43"/>
        <v>0</v>
      </c>
      <c r="W99" s="1062">
        <f t="shared" si="43"/>
        <v>0</v>
      </c>
      <c r="AA99"/>
      <c r="AB99"/>
      <c r="AC99"/>
      <c r="AD99"/>
      <c r="AE99"/>
      <c r="AF99"/>
      <c r="AJ99" s="1164"/>
    </row>
    <row r="100" spans="1:36" s="1163" customFormat="1" outlineLevel="1">
      <c r="A100" s="1158"/>
      <c r="B100" s="1037"/>
      <c r="C100" s="1159" t="s">
        <v>623</v>
      </c>
      <c r="D100" s="1159"/>
      <c r="E100" s="1159"/>
      <c r="F100" s="1159"/>
      <c r="G100" s="1159"/>
      <c r="H100" s="1063">
        <f>IF(ISERROR(IF(ROUND(SUM(H$82:H99),3)&gt;=ROUND(H$68,3),0,H$68/H$71)),"NA",IF(ROUND(SUM(H$82:H99),3)&gt;=ROUND(H$68,3),0,H$68/H$71))</f>
        <v>0</v>
      </c>
      <c r="I100" s="1063">
        <f>IF(ISERROR(IF(ROUND(SUM(I$82:I99),3)&gt;=ROUND(I$68,3),0,I$68/I$71)),"NA",IF(ROUND(SUM(I$82:I99),3)&gt;=ROUND(I$68,3),0,I$68/I$71))</f>
        <v>0</v>
      </c>
      <c r="J100" s="1063">
        <f>IF(ISERROR(IF(ROUND(SUM(J$82:J99),3)&gt;=ROUND(J$68,3),0,J$68/J$71)),"NA",IF(ROUND(SUM(J$82:J99),3)&gt;=ROUND(J$68,3),0,J$68/J$71))</f>
        <v>0</v>
      </c>
      <c r="K100" s="1063">
        <f>IF(ISERROR(IF(ROUND(SUM(K$82:K99),3)&gt;=ROUND(K$68,3),0,K$68/K$71)),"NA",IF(ROUND(SUM(K$82:K99),3)&gt;=ROUND(K$68,3),0,K$68/K$71))</f>
        <v>0</v>
      </c>
      <c r="L100" s="1063">
        <f>IF(ISERROR(IF(ROUND(SUM(L$82:L99),3)&gt;=ROUND(L$68,3),0,L$68/L$71)),"NA",IF(ROUND(SUM(L$82:L99),3)&gt;=ROUND(L$68,3),0,L$68/L$71))</f>
        <v>0</v>
      </c>
      <c r="M100" s="1063">
        <f>IF(ISERROR(IF(ROUND(SUM(M$82:M99),3)&gt;=ROUND(M$68,3),0,M$68/M$71)),"NA",IF(ROUND(SUM(M$82:M99),3)&gt;=ROUND(M$68,3),0,M$68/M$71))</f>
        <v>0</v>
      </c>
      <c r="N100" s="1063">
        <f>IF(ISERROR(IF(ROUND(SUM(N$82:N99),3)&gt;=ROUND(N$68,3),0,N$68/N$71)),"NA",IF(ROUND(SUM(N$82:N99),3)&gt;=ROUND(N$68,3),0,N$68/N$71))</f>
        <v>0</v>
      </c>
      <c r="O100" s="1063">
        <f>IF(ISERROR(IF(ROUND(SUM(O$82:O99),3)&gt;=ROUND(O$68,3),0,O$68/O$71)),"NA",IF(ROUND(SUM(O$82:O99),3)&gt;=ROUND(O$68,3),0,O$68/O$71))</f>
        <v>0</v>
      </c>
      <c r="P100" s="1063">
        <f>IF(ISERROR(IF(ROUND(SUM(P$82:P99),3)&gt;=ROUND(P$68,3),0,P$68/P$71)),"NA",IF(ROUND(SUM(P$82:P99),3)&gt;=ROUND(P$68,3),0,P$68/P$71))</f>
        <v>0</v>
      </c>
      <c r="Q100" s="1062">
        <f t="shared" si="43"/>
        <v>0</v>
      </c>
      <c r="R100" s="1062">
        <f t="shared" si="43"/>
        <v>0</v>
      </c>
      <c r="S100" s="1062">
        <f t="shared" si="43"/>
        <v>0</v>
      </c>
      <c r="T100" s="1062">
        <f t="shared" si="43"/>
        <v>0</v>
      </c>
      <c r="U100" s="1062">
        <f t="shared" si="43"/>
        <v>0</v>
      </c>
      <c r="V100" s="1062">
        <f t="shared" si="43"/>
        <v>0</v>
      </c>
      <c r="W100" s="1062">
        <f t="shared" si="43"/>
        <v>0</v>
      </c>
      <c r="AA100"/>
      <c r="AB100"/>
      <c r="AC100"/>
      <c r="AD100"/>
      <c r="AE100"/>
      <c r="AF100"/>
      <c r="AJ100" s="1164"/>
    </row>
    <row r="101" spans="1:36" s="1163" customFormat="1" outlineLevel="1">
      <c r="A101" s="1158"/>
      <c r="B101" s="1037"/>
      <c r="C101" s="1159" t="s">
        <v>624</v>
      </c>
      <c r="D101" s="1159"/>
      <c r="E101" s="1159"/>
      <c r="F101" s="1159"/>
      <c r="G101" s="1159"/>
      <c r="H101" s="1063">
        <f>IF(ISERROR(IF(ROUND(SUM(H$82:H100),3)&gt;=ROUND(H$68,3),0,H$68/H$71)),"NA",IF(ROUND(SUM(H$82:H100),3)&gt;=ROUND(H$68,3),0,H$68/H$71))</f>
        <v>0</v>
      </c>
      <c r="I101" s="1063">
        <f>IF(ISERROR(IF(ROUND(SUM(I$82:I100),3)&gt;=ROUND(I$68,3),0,I$68/I$71)),"NA",IF(ROUND(SUM(I$82:I100),3)&gt;=ROUND(I$68,3),0,I$68/I$71))</f>
        <v>0</v>
      </c>
      <c r="J101" s="1063">
        <f>IF(ISERROR(IF(ROUND(SUM(J$82:J100),3)&gt;=ROUND(J$68,3),0,J$68/J$71)),"NA",IF(ROUND(SUM(J$82:J100),3)&gt;=ROUND(J$68,3),0,J$68/J$71))</f>
        <v>0</v>
      </c>
      <c r="K101" s="1063">
        <f>IF(ISERROR(IF(ROUND(SUM(K$82:K100),3)&gt;=ROUND(K$68,3),0,K$68/K$71)),"NA",IF(ROUND(SUM(K$82:K100),3)&gt;=ROUND(K$68,3),0,K$68/K$71))</f>
        <v>0</v>
      </c>
      <c r="L101" s="1063">
        <f>IF(ISERROR(IF(ROUND(SUM(L$82:L100),3)&gt;=ROUND(L$68,3),0,L$68/L$71)),"NA",IF(ROUND(SUM(L$82:L100),3)&gt;=ROUND(L$68,3),0,L$68/L$71))</f>
        <v>0</v>
      </c>
      <c r="M101" s="1063">
        <f>IF(ISERROR(IF(ROUND(SUM(M$82:M100),3)&gt;=ROUND(M$68,3),0,M$68/M$71)),"NA",IF(ROUND(SUM(M$82:M100),3)&gt;=ROUND(M$68,3),0,M$68/M$71))</f>
        <v>0</v>
      </c>
      <c r="N101" s="1063">
        <f>IF(ISERROR(IF(ROUND(SUM(N$82:N100),3)&gt;=ROUND(N$68,3),0,N$68/N$71)),"NA",IF(ROUND(SUM(N$82:N100),3)&gt;=ROUND(N$68,3),0,N$68/N$71))</f>
        <v>0</v>
      </c>
      <c r="O101" s="1063">
        <f>IF(ISERROR(IF(ROUND(SUM(O$82:O100),3)&gt;=ROUND(O$68,3),0,O$68/O$71)),"NA",IF(ROUND(SUM(O$82:O100),3)&gt;=ROUND(O$68,3),0,O$68/O$71))</f>
        <v>0</v>
      </c>
      <c r="P101" s="1063">
        <f>IF(ISERROR(IF(ROUND(SUM(P$82:P100),3)&gt;=ROUND(P$68,3),0,P$68/P$71)),"NA",IF(ROUND(SUM(P$82:P100),3)&gt;=ROUND(P$68,3),0,P$68/P$71))</f>
        <v>0</v>
      </c>
      <c r="Q101" s="1062">
        <f t="shared" si="43"/>
        <v>0</v>
      </c>
      <c r="R101" s="1062">
        <f t="shared" si="43"/>
        <v>0</v>
      </c>
      <c r="S101" s="1062">
        <f t="shared" si="43"/>
        <v>0</v>
      </c>
      <c r="T101" s="1062">
        <f t="shared" si="43"/>
        <v>0</v>
      </c>
      <c r="U101" s="1062">
        <f t="shared" si="43"/>
        <v>0</v>
      </c>
      <c r="V101" s="1062">
        <f t="shared" si="43"/>
        <v>0</v>
      </c>
      <c r="W101" s="1062">
        <f t="shared" si="43"/>
        <v>0</v>
      </c>
      <c r="AA101"/>
      <c r="AB101"/>
      <c r="AC101"/>
      <c r="AD101"/>
      <c r="AE101"/>
      <c r="AF101"/>
      <c r="AJ101" s="1164"/>
    </row>
    <row r="102" spans="1:36" s="1163" customFormat="1" outlineLevel="1">
      <c r="A102" s="1158"/>
      <c r="B102" s="1037"/>
      <c r="C102" s="1159" t="s">
        <v>625</v>
      </c>
      <c r="D102" s="1159"/>
      <c r="E102" s="1159"/>
      <c r="F102" s="1159"/>
      <c r="G102" s="1159"/>
      <c r="H102" s="1063">
        <f>IF(ISERROR(IF(ROUND(SUM(H$82:H101),3)&gt;=ROUND(H$68,3),0,H$68/H$71)),"NA",IF(ROUND(SUM(H$82:H101),3)&gt;=ROUND(H$68,3),0,H$68/H$71))</f>
        <v>0</v>
      </c>
      <c r="I102" s="1063">
        <f>IF(ISERROR(IF(ROUND(SUM(I$82:I101),3)&gt;=ROUND(I$68,3),0,I$68/I$71)),"NA",IF(ROUND(SUM(I$82:I101),3)&gt;=ROUND(I$68,3),0,I$68/I$71))</f>
        <v>0</v>
      </c>
      <c r="J102" s="1063">
        <f>IF(ISERROR(IF(ROUND(SUM(J$82:J101),3)&gt;=ROUND(J$68,3),0,J$68/J$71)),"NA",IF(ROUND(SUM(J$82:J101),3)&gt;=ROUND(J$68,3),0,J$68/J$71))</f>
        <v>0</v>
      </c>
      <c r="K102" s="1063">
        <f>IF(ISERROR(IF(ROUND(SUM(K$82:K101),3)&gt;=ROUND(K$68,3),0,K$68/K$71)),"NA",IF(ROUND(SUM(K$82:K101),3)&gt;=ROUND(K$68,3),0,K$68/K$71))</f>
        <v>0</v>
      </c>
      <c r="L102" s="1063">
        <f>IF(ISERROR(IF(ROUND(SUM(L$82:L101),3)&gt;=ROUND(L$68,3),0,L$68/L$71)),"NA",IF(ROUND(SUM(L$82:L101),3)&gt;=ROUND(L$68,3),0,L$68/L$71))</f>
        <v>0</v>
      </c>
      <c r="M102" s="1063">
        <f>IF(ISERROR(IF(ROUND(SUM(M$82:M101),3)&gt;=ROUND(M$68,3),0,M$68/M$71)),"NA",IF(ROUND(SUM(M$82:M101),3)&gt;=ROUND(M$68,3),0,M$68/M$71))</f>
        <v>0</v>
      </c>
      <c r="N102" s="1063">
        <f>IF(ISERROR(IF(ROUND(SUM(N$82:N101),3)&gt;=ROUND(N$68,3),0,N$68/N$71)),"NA",IF(ROUND(SUM(N$82:N101),3)&gt;=ROUND(N$68,3),0,N$68/N$71))</f>
        <v>0</v>
      </c>
      <c r="O102" s="1063">
        <f>IF(ISERROR(IF(ROUND(SUM(O$82:O101),3)&gt;=ROUND(O$68,3),0,O$68/O$71)),"NA",IF(ROUND(SUM(O$82:O101),3)&gt;=ROUND(O$68,3),0,O$68/O$71))</f>
        <v>0</v>
      </c>
      <c r="P102" s="1063">
        <f>IF(ISERROR(IF(ROUND(SUM(P$82:P101),3)&gt;=ROUND(P$68,3),0,P$68/P$71)),"NA",IF(ROUND(SUM(P$82:P101),3)&gt;=ROUND(P$68,3),0,P$68/P$71))</f>
        <v>0</v>
      </c>
      <c r="Q102" s="1062">
        <f t="shared" si="43"/>
        <v>0</v>
      </c>
      <c r="R102" s="1062">
        <f t="shared" si="43"/>
        <v>0</v>
      </c>
      <c r="S102" s="1062">
        <f t="shared" si="43"/>
        <v>0</v>
      </c>
      <c r="T102" s="1062">
        <f t="shared" si="43"/>
        <v>0</v>
      </c>
      <c r="U102" s="1062">
        <f t="shared" si="43"/>
        <v>0</v>
      </c>
      <c r="V102" s="1062">
        <f t="shared" si="43"/>
        <v>0</v>
      </c>
      <c r="W102" s="1062">
        <f t="shared" si="43"/>
        <v>0</v>
      </c>
      <c r="AA102"/>
      <c r="AB102"/>
      <c r="AC102"/>
      <c r="AD102"/>
      <c r="AE102"/>
      <c r="AF102"/>
      <c r="AJ102" s="1164"/>
    </row>
    <row r="103" spans="1:36" s="1163" customFormat="1" outlineLevel="1">
      <c r="A103" s="1158"/>
      <c r="B103" s="1037"/>
      <c r="C103" s="1159" t="s">
        <v>626</v>
      </c>
      <c r="D103" s="1159"/>
      <c r="E103" s="1159"/>
      <c r="F103" s="1159"/>
      <c r="G103" s="1159"/>
      <c r="H103" s="1063">
        <f>IF(ISERROR(IF(ROUND(SUM(H$82:H102),3)&gt;=ROUND(H$68,3),0,H$68/H$71)),"NA",IF(ROUND(SUM(H$82:H102),3)&gt;=ROUND(H$68,3),0,H$68/H$71))</f>
        <v>0</v>
      </c>
      <c r="I103" s="1063">
        <f>IF(ISERROR(IF(ROUND(SUM(I$82:I102),3)&gt;=ROUND(I$68,3),0,I$68/I$71)),"NA",IF(ROUND(SUM(I$82:I102),3)&gt;=ROUND(I$68,3),0,I$68/I$71))</f>
        <v>0</v>
      </c>
      <c r="J103" s="1063">
        <f>IF(ISERROR(IF(ROUND(SUM(J$82:J102),3)&gt;=ROUND(J$68,3),0,J$68/J$71)),"NA",IF(ROUND(SUM(J$82:J102),3)&gt;=ROUND(J$68,3),0,J$68/J$71))</f>
        <v>0</v>
      </c>
      <c r="K103" s="1063">
        <f>IF(ISERROR(IF(ROUND(SUM(K$82:K102),3)&gt;=ROUND(K$68,3),0,K$68/K$71)),"NA",IF(ROUND(SUM(K$82:K102),3)&gt;=ROUND(K$68,3),0,K$68/K$71))</f>
        <v>0</v>
      </c>
      <c r="L103" s="1063">
        <f>IF(ISERROR(IF(ROUND(SUM(L$82:L102),3)&gt;=ROUND(L$68,3),0,L$68/L$71)),"NA",IF(ROUND(SUM(L$82:L102),3)&gt;=ROUND(L$68,3),0,L$68/L$71))</f>
        <v>0</v>
      </c>
      <c r="M103" s="1063">
        <f>IF(ISERROR(IF(ROUND(SUM(M$82:M102),3)&gt;=ROUND(M$68,3),0,M$68/M$71)),"NA",IF(ROUND(SUM(M$82:M102),3)&gt;=ROUND(M$68,3),0,M$68/M$71))</f>
        <v>0</v>
      </c>
      <c r="N103" s="1063">
        <f>IF(ISERROR(IF(ROUND(SUM(N$82:N102),3)&gt;=ROUND(N$68,3),0,N$68/N$71)),"NA",IF(ROUND(SUM(N$82:N102),3)&gt;=ROUND(N$68,3),0,N$68/N$71))</f>
        <v>0</v>
      </c>
      <c r="O103" s="1063">
        <f>IF(ISERROR(IF(ROUND(SUM(O$82:O102),3)&gt;=ROUND(O$68,3),0,O$68/O$71)),"NA",IF(ROUND(SUM(O$82:O102),3)&gt;=ROUND(O$68,3),0,O$68/O$71))</f>
        <v>0</v>
      </c>
      <c r="P103" s="1063">
        <f>IF(ISERROR(IF(ROUND(SUM(P$82:P102),3)&gt;=ROUND(P$68,3),0,P$68/P$71)),"NA",IF(ROUND(SUM(P$82:P102),3)&gt;=ROUND(P$68,3),0,P$68/P$71))</f>
        <v>0</v>
      </c>
      <c r="Q103" s="1062">
        <f t="shared" si="43"/>
        <v>0</v>
      </c>
      <c r="R103" s="1062">
        <f t="shared" si="43"/>
        <v>0</v>
      </c>
      <c r="S103" s="1062">
        <f t="shared" si="43"/>
        <v>0</v>
      </c>
      <c r="T103" s="1062">
        <f t="shared" si="43"/>
        <v>0</v>
      </c>
      <c r="U103" s="1062">
        <f t="shared" si="43"/>
        <v>0</v>
      </c>
      <c r="V103" s="1062">
        <f t="shared" si="43"/>
        <v>0</v>
      </c>
      <c r="W103" s="1062">
        <f t="shared" si="43"/>
        <v>0</v>
      </c>
      <c r="AA103"/>
      <c r="AB103"/>
      <c r="AC103"/>
      <c r="AD103"/>
      <c r="AE103"/>
      <c r="AF103"/>
      <c r="AJ103" s="1164"/>
    </row>
    <row r="104" spans="1:36" s="1163" customFormat="1" outlineLevel="1">
      <c r="A104" s="1158"/>
      <c r="B104" s="1037"/>
      <c r="C104" s="1159" t="s">
        <v>627</v>
      </c>
      <c r="D104" s="1159"/>
      <c r="E104" s="1159"/>
      <c r="F104" s="1159"/>
      <c r="G104" s="1159"/>
      <c r="H104" s="1063">
        <f>IF(ISERROR(IF(ROUND(SUM(H$82:H103),3)&gt;=ROUND(H$68,3),0,H$68/H$71)),"NA",IF(ROUND(SUM(H$82:H103),3)&gt;=ROUND(H$68,3),0,H$68/H$71))</f>
        <v>0</v>
      </c>
      <c r="I104" s="1063">
        <f>IF(ISERROR(IF(ROUND(SUM(I$82:I103),3)&gt;=ROUND(I$68,3),0,I$68/I$71)),"NA",IF(ROUND(SUM(I$82:I103),3)&gt;=ROUND(I$68,3),0,I$68/I$71))</f>
        <v>0</v>
      </c>
      <c r="J104" s="1063">
        <f>IF(ISERROR(IF(ROUND(SUM(J$82:J103),3)&gt;=ROUND(J$68,3),0,J$68/J$71)),"NA",IF(ROUND(SUM(J$82:J103),3)&gt;=ROUND(J$68,3),0,J$68/J$71))</f>
        <v>0</v>
      </c>
      <c r="K104" s="1063">
        <f>IF(ISERROR(IF(ROUND(SUM(K$82:K103),3)&gt;=ROUND(K$68,3),0,K$68/K$71)),"NA",IF(ROUND(SUM(K$82:K103),3)&gt;=ROUND(K$68,3),0,K$68/K$71))</f>
        <v>0</v>
      </c>
      <c r="L104" s="1063">
        <f>IF(ISERROR(IF(ROUND(SUM(L$82:L103),3)&gt;=ROUND(L$68,3),0,L$68/L$71)),"NA",IF(ROUND(SUM(L$82:L103),3)&gt;=ROUND(L$68,3),0,L$68/L$71))</f>
        <v>0</v>
      </c>
      <c r="M104" s="1063">
        <f>IF(ISERROR(IF(ROUND(SUM(M$82:M103),3)&gt;=ROUND(M$68,3),0,M$68/M$71)),"NA",IF(ROUND(SUM(M$82:M103),3)&gt;=ROUND(M$68,3),0,M$68/M$71))</f>
        <v>0</v>
      </c>
      <c r="N104" s="1063">
        <f>IF(ISERROR(IF(ROUND(SUM(N$82:N103),3)&gt;=ROUND(N$68,3),0,N$68/N$71)),"NA",IF(ROUND(SUM(N$82:N103),3)&gt;=ROUND(N$68,3),0,N$68/N$71))</f>
        <v>0</v>
      </c>
      <c r="O104" s="1063">
        <f>IF(ISERROR(IF(ROUND(SUM(O$82:O103),3)&gt;=ROUND(O$68,3),0,O$68/O$71)),"NA",IF(ROUND(SUM(O$82:O103),3)&gt;=ROUND(O$68,3),0,O$68/O$71))</f>
        <v>0</v>
      </c>
      <c r="P104" s="1063">
        <f>IF(ISERROR(IF(ROUND(SUM(P$82:P103),3)&gt;=ROUND(P$68,3),0,P$68/P$71)),"NA",IF(ROUND(SUM(P$82:P103),3)&gt;=ROUND(P$68,3),0,P$68/P$71))</f>
        <v>0</v>
      </c>
      <c r="Q104" s="1062">
        <f t="shared" si="43"/>
        <v>0</v>
      </c>
      <c r="R104" s="1062">
        <f t="shared" si="43"/>
        <v>0</v>
      </c>
      <c r="S104" s="1062">
        <f t="shared" si="43"/>
        <v>0</v>
      </c>
      <c r="T104" s="1062">
        <f t="shared" si="43"/>
        <v>0</v>
      </c>
      <c r="U104" s="1062">
        <f t="shared" si="43"/>
        <v>0</v>
      </c>
      <c r="V104" s="1062">
        <f t="shared" si="43"/>
        <v>0</v>
      </c>
      <c r="W104" s="1062">
        <f t="shared" si="43"/>
        <v>0</v>
      </c>
      <c r="AA104"/>
      <c r="AB104"/>
      <c r="AC104"/>
      <c r="AD104"/>
      <c r="AE104"/>
      <c r="AF104"/>
      <c r="AJ104" s="1164"/>
    </row>
    <row r="105" spans="1:36" s="1163" customFormat="1" outlineLevel="1">
      <c r="A105" s="1158"/>
      <c r="B105" s="1037"/>
      <c r="C105" s="1159" t="s">
        <v>628</v>
      </c>
      <c r="D105" s="1159"/>
      <c r="E105" s="1159"/>
      <c r="F105" s="1159"/>
      <c r="G105" s="1159"/>
      <c r="H105" s="1063">
        <f>IF(ISERROR(IF(ROUND(SUM(H$82:H104),3)&gt;=ROUND(H$68,3),0,H$68/H$71)),"NA",IF(ROUND(SUM(H$82:H104),3)&gt;=ROUND(H$68,3),0,H$68/H$71))</f>
        <v>0</v>
      </c>
      <c r="I105" s="1063">
        <f>IF(ISERROR(IF(ROUND(SUM(I$82:I104),3)&gt;=ROUND(I$68,3),0,I$68/I$71)),"NA",IF(ROUND(SUM(I$82:I104),3)&gt;=ROUND(I$68,3),0,I$68/I$71))</f>
        <v>0</v>
      </c>
      <c r="J105" s="1063">
        <f>IF(ISERROR(IF(ROUND(SUM(J$82:J104),3)&gt;=ROUND(J$68,3),0,J$68/J$71)),"NA",IF(ROUND(SUM(J$82:J104),3)&gt;=ROUND(J$68,3),0,J$68/J$71))</f>
        <v>0</v>
      </c>
      <c r="K105" s="1063">
        <f>IF(ISERROR(IF(ROUND(SUM(K$82:K104),3)&gt;=ROUND(K$68,3),0,K$68/K$71)),"NA",IF(ROUND(SUM(K$82:K104),3)&gt;=ROUND(K$68,3),0,K$68/K$71))</f>
        <v>0</v>
      </c>
      <c r="L105" s="1063">
        <f>IF(ISERROR(IF(ROUND(SUM(L$82:L104),3)&gt;=ROUND(L$68,3),0,L$68/L$71)),"NA",IF(ROUND(SUM(L$82:L104),3)&gt;=ROUND(L$68,3),0,L$68/L$71))</f>
        <v>0</v>
      </c>
      <c r="M105" s="1063">
        <f>IF(ISERROR(IF(ROUND(SUM(M$82:M104),3)&gt;=ROUND(M$68,3),0,M$68/M$71)),"NA",IF(ROUND(SUM(M$82:M104),3)&gt;=ROUND(M$68,3),0,M$68/M$71))</f>
        <v>0</v>
      </c>
      <c r="N105" s="1063">
        <f>IF(ISERROR(IF(ROUND(SUM(N$82:N104),3)&gt;=ROUND(N$68,3),0,N$68/N$71)),"NA",IF(ROUND(SUM(N$82:N104),3)&gt;=ROUND(N$68,3),0,N$68/N$71))</f>
        <v>0</v>
      </c>
      <c r="O105" s="1063">
        <f>IF(ISERROR(IF(ROUND(SUM(O$82:O104),3)&gt;=ROUND(O$68,3),0,O$68/O$71)),"NA",IF(ROUND(SUM(O$82:O104),3)&gt;=ROUND(O$68,3),0,O$68/O$71))</f>
        <v>0</v>
      </c>
      <c r="P105" s="1063">
        <f>IF(ISERROR(IF(ROUND(SUM(P$82:P104),3)&gt;=ROUND(P$68,3),0,P$68/P$71)),"NA",IF(ROUND(SUM(P$82:P104),3)&gt;=ROUND(P$68,3),0,P$68/P$71))</f>
        <v>0</v>
      </c>
      <c r="Q105" s="1062">
        <f t="shared" si="43"/>
        <v>0</v>
      </c>
      <c r="R105" s="1062">
        <f t="shared" si="43"/>
        <v>0</v>
      </c>
      <c r="S105" s="1062">
        <f t="shared" si="43"/>
        <v>0</v>
      </c>
      <c r="T105" s="1062">
        <f t="shared" si="43"/>
        <v>0</v>
      </c>
      <c r="U105" s="1062">
        <f t="shared" si="43"/>
        <v>0</v>
      </c>
      <c r="V105" s="1062">
        <f t="shared" si="43"/>
        <v>0</v>
      </c>
      <c r="W105" s="1062">
        <f t="shared" si="43"/>
        <v>0</v>
      </c>
      <c r="AA105"/>
      <c r="AB105"/>
      <c r="AC105"/>
      <c r="AD105"/>
      <c r="AE105"/>
      <c r="AF105"/>
      <c r="AJ105" s="1164"/>
    </row>
    <row r="106" spans="1:36" s="1163" customFormat="1" outlineLevel="1">
      <c r="A106" s="1158"/>
      <c r="B106" s="1037"/>
      <c r="C106" s="1159" t="s">
        <v>629</v>
      </c>
      <c r="D106" s="1159"/>
      <c r="E106" s="1159"/>
      <c r="F106" s="1159"/>
      <c r="G106" s="1159"/>
      <c r="H106" s="1063">
        <f>IF(ISERROR(IF(ROUND(SUM(H$82:H105),3)&gt;=ROUND(H$68,3),0,H$68/H$71)),"NA",IF(ROUND(SUM(H$82:H105),3)&gt;=ROUND(H$68,3),0,H$68/H$71))</f>
        <v>0</v>
      </c>
      <c r="I106" s="1063">
        <f>IF(ISERROR(IF(ROUND(SUM(I$82:I105),3)&gt;=ROUND(I$68,3),0,I$68/I$71)),"NA",IF(ROUND(SUM(I$82:I105),3)&gt;=ROUND(I$68,3),0,I$68/I$71))</f>
        <v>0</v>
      </c>
      <c r="J106" s="1063">
        <f>IF(ISERROR(IF(ROUND(SUM(J$82:J105),3)&gt;=ROUND(J$68,3),0,J$68/J$71)),"NA",IF(ROUND(SUM(J$82:J105),3)&gt;=ROUND(J$68,3),0,J$68/J$71))</f>
        <v>0</v>
      </c>
      <c r="K106" s="1063">
        <f>IF(ISERROR(IF(ROUND(SUM(K$82:K105),3)&gt;=ROUND(K$68,3),0,K$68/K$71)),"NA",IF(ROUND(SUM(K$82:K105),3)&gt;=ROUND(K$68,3),0,K$68/K$71))</f>
        <v>0</v>
      </c>
      <c r="L106" s="1063">
        <f>IF(ISERROR(IF(ROUND(SUM(L$82:L105),3)&gt;=ROUND(L$68,3),0,L$68/L$71)),"NA",IF(ROUND(SUM(L$82:L105),3)&gt;=ROUND(L$68,3),0,L$68/L$71))</f>
        <v>0</v>
      </c>
      <c r="M106" s="1063">
        <f>IF(ISERROR(IF(ROUND(SUM(M$82:M105),3)&gt;=ROUND(M$68,3),0,M$68/M$71)),"NA",IF(ROUND(SUM(M$82:M105),3)&gt;=ROUND(M$68,3),0,M$68/M$71))</f>
        <v>0</v>
      </c>
      <c r="N106" s="1063">
        <f>IF(ISERROR(IF(ROUND(SUM(N$82:N105),3)&gt;=ROUND(N$68,3),0,N$68/N$71)),"NA",IF(ROUND(SUM(N$82:N105),3)&gt;=ROUND(N$68,3),0,N$68/N$71))</f>
        <v>0</v>
      </c>
      <c r="O106" s="1063">
        <f>IF(ISERROR(IF(ROUND(SUM(O$82:O105),3)&gt;=ROUND(O$68,3),0,O$68/O$71)),"NA",IF(ROUND(SUM(O$82:O105),3)&gt;=ROUND(O$68,3),0,O$68/O$71))</f>
        <v>0</v>
      </c>
      <c r="P106" s="1063">
        <f>IF(ISERROR(IF(ROUND(SUM(P$82:P105),3)&gt;=ROUND(P$68,3),0,P$68/P$71)),"NA",IF(ROUND(SUM(P$82:P105),3)&gt;=ROUND(P$68,3),0,P$68/P$71))</f>
        <v>0</v>
      </c>
      <c r="Q106" s="1062">
        <f t="shared" si="43"/>
        <v>0</v>
      </c>
      <c r="R106" s="1062">
        <f t="shared" si="43"/>
        <v>0</v>
      </c>
      <c r="S106" s="1062">
        <f t="shared" si="43"/>
        <v>0</v>
      </c>
      <c r="T106" s="1062">
        <f t="shared" si="43"/>
        <v>0</v>
      </c>
      <c r="U106" s="1062">
        <f t="shared" si="43"/>
        <v>0</v>
      </c>
      <c r="V106" s="1062">
        <f t="shared" si="43"/>
        <v>0</v>
      </c>
      <c r="W106" s="1062">
        <f t="shared" si="43"/>
        <v>0</v>
      </c>
      <c r="AA106"/>
      <c r="AB106"/>
      <c r="AC106"/>
      <c r="AD106"/>
      <c r="AE106"/>
      <c r="AF106"/>
      <c r="AJ106" s="1164"/>
    </row>
    <row r="107" spans="1:36" s="1163" customFormat="1" ht="11.25" customHeight="1">
      <c r="A107" s="1158"/>
      <c r="B107" s="1170"/>
      <c r="C107" s="1171" t="s">
        <v>630</v>
      </c>
      <c r="D107" s="1171"/>
      <c r="E107" s="1171"/>
      <c r="F107" s="1171"/>
      <c r="G107" s="1171"/>
      <c r="H107" s="1172"/>
      <c r="I107" s="1172"/>
      <c r="J107" s="1172"/>
      <c r="K107" s="1172"/>
      <c r="L107" s="1172"/>
      <c r="M107" s="1172"/>
      <c r="N107" s="1172"/>
      <c r="O107" s="1172"/>
      <c r="P107" s="1172"/>
      <c r="AA107"/>
      <c r="AB107"/>
      <c r="AC107"/>
      <c r="AD107"/>
      <c r="AE107"/>
      <c r="AF107"/>
      <c r="AJ107" s="1164"/>
    </row>
    <row r="108" spans="1:36" s="1175" customFormat="1" ht="11.25" customHeight="1">
      <c r="A108" s="1173"/>
      <c r="B108" s="1174"/>
      <c r="C108" s="1171"/>
      <c r="D108" s="1171"/>
      <c r="E108" s="1171"/>
      <c r="F108" s="1171"/>
      <c r="G108" s="1171"/>
      <c r="AA108"/>
      <c r="AB108"/>
      <c r="AC108"/>
      <c r="AD108"/>
      <c r="AE108"/>
      <c r="AF108"/>
      <c r="AJ108" s="1164"/>
    </row>
    <row r="109" spans="1:36" s="1163" customFormat="1" outlineLevel="1">
      <c r="A109" s="1158"/>
      <c r="B109" s="1170"/>
      <c r="C109" s="1176"/>
      <c r="D109" s="1176"/>
      <c r="E109" s="1176"/>
      <c r="F109" s="1176"/>
      <c r="G109" s="1176"/>
      <c r="H109" s="1177"/>
      <c r="I109" s="1062"/>
      <c r="J109" s="1062"/>
      <c r="K109" s="1062"/>
      <c r="L109" s="1062"/>
      <c r="M109" s="1062"/>
      <c r="N109" s="1062"/>
      <c r="O109" s="1062"/>
      <c r="P109" s="1062"/>
      <c r="Q109" s="1062"/>
      <c r="R109" s="1062"/>
      <c r="S109" s="1062"/>
      <c r="T109" s="1062"/>
      <c r="U109" s="1062"/>
      <c r="V109" s="1062"/>
      <c r="W109" s="1062"/>
      <c r="AA109"/>
      <c r="AB109"/>
      <c r="AC109"/>
      <c r="AD109"/>
      <c r="AE109"/>
      <c r="AF109"/>
      <c r="AJ109" s="1164"/>
    </row>
    <row r="110" spans="1:36" s="1163" customFormat="1" ht="12.75" customHeight="1" outlineLevel="1">
      <c r="A110" s="1158"/>
      <c r="B110" s="1178" t="s">
        <v>631</v>
      </c>
      <c r="C110" s="1071" t="s">
        <v>632</v>
      </c>
      <c r="D110" s="1071"/>
      <c r="E110" s="1071"/>
      <c r="F110" s="1071"/>
      <c r="G110" s="1071"/>
      <c r="H110" s="1155">
        <f t="shared" ref="H110:W110" si="44">H74</f>
        <v>39844</v>
      </c>
      <c r="I110" s="1155">
        <f t="shared" si="44"/>
        <v>40209</v>
      </c>
      <c r="J110" s="1155">
        <f t="shared" si="44"/>
        <v>40574</v>
      </c>
      <c r="K110" s="1155">
        <f t="shared" si="44"/>
        <v>40939</v>
      </c>
      <c r="L110" s="1155">
        <f t="shared" si="44"/>
        <v>41305</v>
      </c>
      <c r="M110" s="1155">
        <f t="shared" si="44"/>
        <v>41670</v>
      </c>
      <c r="N110" s="1155">
        <f t="shared" si="44"/>
        <v>42035</v>
      </c>
      <c r="O110" s="1155">
        <f t="shared" si="44"/>
        <v>42400</v>
      </c>
      <c r="P110" s="1155">
        <f t="shared" si="44"/>
        <v>42766</v>
      </c>
      <c r="Q110" s="1155">
        <f t="shared" si="44"/>
        <v>43131</v>
      </c>
      <c r="R110" s="1155">
        <f t="shared" si="44"/>
        <v>43496</v>
      </c>
      <c r="S110" s="1155">
        <f t="shared" si="44"/>
        <v>43861</v>
      </c>
      <c r="T110" s="1155">
        <f t="shared" si="44"/>
        <v>44227</v>
      </c>
      <c r="U110" s="1155">
        <f t="shared" si="44"/>
        <v>44592</v>
      </c>
      <c r="V110" s="1155">
        <f t="shared" si="44"/>
        <v>44957</v>
      </c>
      <c r="W110" s="1155">
        <f t="shared" si="44"/>
        <v>45322</v>
      </c>
      <c r="AA110"/>
      <c r="AB110"/>
      <c r="AC110"/>
      <c r="AD110"/>
      <c r="AE110"/>
      <c r="AF110"/>
      <c r="AJ110" s="1164"/>
    </row>
    <row r="111" spans="1:36" s="1163" customFormat="1" ht="12.75" customHeight="1" outlineLevel="1">
      <c r="A111" s="1158"/>
      <c r="B111" s="1178"/>
      <c r="C111" s="1071"/>
      <c r="D111" s="1071"/>
      <c r="E111" s="1071"/>
      <c r="F111" s="1071"/>
      <c r="G111" s="1071"/>
      <c r="H111" s="1179"/>
      <c r="I111" s="1179"/>
      <c r="J111" s="1179"/>
      <c r="K111" s="1179"/>
      <c r="L111" s="1179"/>
      <c r="M111" s="1179"/>
      <c r="N111" s="1179"/>
      <c r="O111" s="1179"/>
      <c r="P111" s="1180"/>
      <c r="Q111" s="1180"/>
      <c r="R111" s="1180"/>
      <c r="S111" s="1180"/>
      <c r="T111" s="1180"/>
      <c r="U111" s="1180"/>
      <c r="V111" s="1180"/>
      <c r="W111" s="1180"/>
      <c r="AA111"/>
      <c r="AB111"/>
      <c r="AC111"/>
      <c r="AD111"/>
      <c r="AE111"/>
      <c r="AF111"/>
      <c r="AJ111" s="1164"/>
    </row>
    <row r="112" spans="1:36" s="1163" customFormat="1" ht="11.25" customHeight="1" outlineLevel="1">
      <c r="A112" s="1158"/>
      <c r="B112" s="1181">
        <v>1</v>
      </c>
      <c r="C112" s="1046" t="s">
        <v>0</v>
      </c>
      <c r="D112" s="1046"/>
      <c r="E112" s="1046"/>
      <c r="F112" s="1046"/>
      <c r="G112" s="1046"/>
      <c r="H112" s="1182">
        <f t="shared" ref="H112:H141" si="45">IF(ISERROR(H76/(POWER((1+$H$44),B112))),"NA",H76/(POWER((1+$H$44),B112)))</f>
        <v>113.86138613861387</v>
      </c>
      <c r="I112" s="1182">
        <f t="shared" ref="I112:W127" si="46">IF(ISERROR((I76-H77)/(POWER((1+I$45),$B112))),"NA",(I76-H77)/(POWER((1+I$45),$B112)))</f>
        <v>-2.9920792079207836</v>
      </c>
      <c r="J112" s="1182">
        <f t="shared" si="46"/>
        <v>10.092079207920776</v>
      </c>
      <c r="K112" s="1182">
        <f t="shared" si="46"/>
        <v>4.9643564356435741</v>
      </c>
      <c r="L112" s="1182">
        <f t="shared" si="46"/>
        <v>7.3970297029703005</v>
      </c>
      <c r="M112" s="1182">
        <f t="shared" si="46"/>
        <v>-6.3613861386138728</v>
      </c>
      <c r="N112" s="1182">
        <f t="shared" si="46"/>
        <v>-5.2099009900990101</v>
      </c>
      <c r="O112" s="1182">
        <f t="shared" si="46"/>
        <v>-6.4900990099009972</v>
      </c>
      <c r="P112" s="1182">
        <f t="shared" si="46"/>
        <v>-9.4950495049504706</v>
      </c>
      <c r="Q112" s="1182">
        <f t="shared" si="46"/>
        <v>-13.198712871287107</v>
      </c>
      <c r="R112" s="1182">
        <f t="shared" si="46"/>
        <v>-13.462687128712854</v>
      </c>
      <c r="S112" s="1182">
        <f t="shared" si="46"/>
        <v>-13.73194087128712</v>
      </c>
      <c r="T112" s="1182">
        <f t="shared" si="46"/>
        <v>-14.006579688712819</v>
      </c>
      <c r="U112" s="1182">
        <f t="shared" si="46"/>
        <v>-14.286711282487051</v>
      </c>
      <c r="V112" s="1182">
        <f t="shared" si="46"/>
        <v>-14.572445508136834</v>
      </c>
      <c r="W112" s="1182">
        <f t="shared" si="46"/>
        <v>-14.863894418299548</v>
      </c>
      <c r="AA112"/>
      <c r="AB112"/>
      <c r="AC112"/>
      <c r="AD112"/>
      <c r="AE112"/>
      <c r="AF112"/>
      <c r="AJ112" s="1164"/>
    </row>
    <row r="113" spans="1:38" s="1184" customFormat="1" ht="11.25" customHeight="1" outlineLevel="1">
      <c r="A113" s="1183"/>
      <c r="B113" s="1037">
        <v>2</v>
      </c>
      <c r="C113" s="1046" t="str">
        <f t="shared" ref="C113:C141" si="47">"PV of Increase in forecast year "&amp;B112&amp;" lease commitments"</f>
        <v>PV of Increase in forecast year 1 lease commitments</v>
      </c>
      <c r="D113" s="1046"/>
      <c r="E113" s="1046"/>
      <c r="F113" s="1046"/>
      <c r="G113" s="1046"/>
      <c r="H113" s="1182">
        <f t="shared" si="45"/>
        <v>129.39907852171356</v>
      </c>
      <c r="I113" s="1182">
        <f t="shared" si="46"/>
        <v>5.4524066268013058</v>
      </c>
      <c r="J113" s="1182">
        <f t="shared" si="46"/>
        <v>23.035976865013229</v>
      </c>
      <c r="K113" s="1182">
        <f t="shared" si="46"/>
        <v>23.672189001078323</v>
      </c>
      <c r="L113" s="1182">
        <f t="shared" si="46"/>
        <v>33.675129889226547</v>
      </c>
      <c r="M113" s="1182">
        <f t="shared" si="46"/>
        <v>26.102342907558093</v>
      </c>
      <c r="N113" s="1182">
        <f t="shared" si="46"/>
        <v>17.565924909322625</v>
      </c>
      <c r="O113" s="1182">
        <f t="shared" si="46"/>
        <v>30.012743848642277</v>
      </c>
      <c r="P113" s="1182">
        <f t="shared" si="46"/>
        <v>17.030683266346482</v>
      </c>
      <c r="Q113" s="1182">
        <f t="shared" si="46"/>
        <v>18.673639839231477</v>
      </c>
      <c r="R113" s="1182">
        <f t="shared" si="46"/>
        <v>19.047112636016148</v>
      </c>
      <c r="S113" s="1182">
        <f t="shared" si="46"/>
        <v>19.42805488873643</v>
      </c>
      <c r="T113" s="1182">
        <f t="shared" si="46"/>
        <v>19.816615986511145</v>
      </c>
      <c r="U113" s="1182">
        <f t="shared" si="46"/>
        <v>20.21294830624139</v>
      </c>
      <c r="V113" s="1182">
        <f t="shared" si="46"/>
        <v>20.617207272366201</v>
      </c>
      <c r="W113" s="1182">
        <f t="shared" si="46"/>
        <v>21.029551417813533</v>
      </c>
      <c r="AA113"/>
      <c r="AB113"/>
      <c r="AC113"/>
      <c r="AD113"/>
      <c r="AE113"/>
      <c r="AF113"/>
      <c r="AJ113" s="1185"/>
      <c r="AL113" s="1776" t="s">
        <v>718</v>
      </c>
    </row>
    <row r="114" spans="1:38" s="1184" customFormat="1" ht="11.25" customHeight="1" outlineLevel="1">
      <c r="A114" s="1183"/>
      <c r="B114" s="1037">
        <v>3</v>
      </c>
      <c r="C114" s="1046" t="str">
        <f t="shared" si="47"/>
        <v>PV of Increase in forecast year 2 lease commitments</v>
      </c>
      <c r="D114" s="1046"/>
      <c r="E114" s="1046"/>
      <c r="F114" s="1046"/>
      <c r="G114" s="1046"/>
      <c r="H114" s="1182">
        <f t="shared" si="45"/>
        <v>130.05907982230437</v>
      </c>
      <c r="I114" s="1182">
        <f t="shared" si="46"/>
        <v>10.473638286287208</v>
      </c>
      <c r="J114" s="1182">
        <f t="shared" si="46"/>
        <v>16.839739066544627</v>
      </c>
      <c r="K114" s="1182">
        <f t="shared" si="46"/>
        <v>28.760527263391968</v>
      </c>
      <c r="L114" s="1182">
        <f t="shared" si="46"/>
        <v>40.348403039500106</v>
      </c>
      <c r="M114" s="1182">
        <f t="shared" si="46"/>
        <v>37.183308567108064</v>
      </c>
      <c r="N114" s="1182">
        <f t="shared" si="46"/>
        <v>25.703168297419882</v>
      </c>
      <c r="O114" s="1182">
        <f t="shared" si="46"/>
        <v>35.904070752139418</v>
      </c>
      <c r="P114" s="1182">
        <f t="shared" si="46"/>
        <v>21.141394602159934</v>
      </c>
      <c r="Q114" s="1182">
        <f t="shared" si="46"/>
        <v>24.629210298737906</v>
      </c>
      <c r="R114" s="1182">
        <f t="shared" si="46"/>
        <v>25.121794504712689</v>
      </c>
      <c r="S114" s="1182">
        <f t="shared" si="46"/>
        <v>25.624230394806936</v>
      </c>
      <c r="T114" s="1182">
        <f t="shared" si="46"/>
        <v>26.136715002703053</v>
      </c>
      <c r="U114" s="1182">
        <f t="shared" si="46"/>
        <v>26.659449302757135</v>
      </c>
      <c r="V114" s="1182">
        <f t="shared" si="46"/>
        <v>27.19263828881229</v>
      </c>
      <c r="W114" s="1182">
        <f t="shared" si="46"/>
        <v>27.736491054588537</v>
      </c>
      <c r="AA114"/>
      <c r="AB114"/>
      <c r="AC114"/>
      <c r="AD114"/>
      <c r="AE114"/>
      <c r="AF114"/>
      <c r="AJ114" s="1185"/>
    </row>
    <row r="115" spans="1:38" s="1184" customFormat="1" outlineLevel="1">
      <c r="A115" s="1183"/>
      <c r="B115" s="1037">
        <v>4</v>
      </c>
      <c r="C115" s="1046" t="str">
        <f t="shared" si="47"/>
        <v>PV of Increase in forecast year 3 lease commitments</v>
      </c>
      <c r="D115" s="1046"/>
      <c r="E115" s="1046"/>
      <c r="F115" s="1046"/>
      <c r="G115" s="1046"/>
      <c r="H115" s="1182">
        <f t="shared" si="45"/>
        <v>126.84940547173174</v>
      </c>
      <c r="I115" s="1182">
        <f t="shared" si="46"/>
        <v>15.903263720846132</v>
      </c>
      <c r="J115" s="1182">
        <f t="shared" si="46"/>
        <v>17.981864205962449</v>
      </c>
      <c r="K115" s="1182">
        <f t="shared" si="46"/>
        <v>37.224534623886363</v>
      </c>
      <c r="L115" s="1182">
        <f t="shared" si="46"/>
        <v>36.449984466233197</v>
      </c>
      <c r="M115" s="1182">
        <f t="shared" si="46"/>
        <v>39.126314725617867</v>
      </c>
      <c r="N115" s="1182">
        <f t="shared" si="46"/>
        <v>25.950313222413961</v>
      </c>
      <c r="O115" s="1182">
        <f t="shared" si="46"/>
        <v>36.940084441919453</v>
      </c>
      <c r="P115" s="1182">
        <f t="shared" si="46"/>
        <v>18.945727491478724</v>
      </c>
      <c r="Q115" s="1182">
        <f t="shared" si="46"/>
        <v>31.231015532988387</v>
      </c>
      <c r="R115" s="1182">
        <f t="shared" si="46"/>
        <v>31.855635843648184</v>
      </c>
      <c r="S115" s="1182">
        <f t="shared" si="46"/>
        <v>32.492748560521179</v>
      </c>
      <c r="T115" s="1182">
        <f t="shared" si="46"/>
        <v>33.142603531731602</v>
      </c>
      <c r="U115" s="1182">
        <f t="shared" si="46"/>
        <v>33.805455602366209</v>
      </c>
      <c r="V115" s="1182">
        <f t="shared" si="46"/>
        <v>34.481564714413551</v>
      </c>
      <c r="W115" s="1182">
        <f t="shared" si="46"/>
        <v>35.171196008701848</v>
      </c>
      <c r="AA115"/>
      <c r="AB115"/>
      <c r="AC115"/>
      <c r="AD115"/>
      <c r="AE115"/>
      <c r="AF115"/>
      <c r="AJ115" s="1185"/>
    </row>
    <row r="116" spans="1:38" s="1163" customFormat="1" outlineLevel="1">
      <c r="A116" s="1158"/>
      <c r="B116" s="1037">
        <v>5</v>
      </c>
      <c r="C116" s="1046" t="str">
        <f t="shared" si="47"/>
        <v>PV of Increase in forecast year 4 lease commitments</v>
      </c>
      <c r="D116" s="1046"/>
      <c r="E116" s="1046"/>
      <c r="F116" s="1046"/>
      <c r="G116" s="1046"/>
      <c r="H116" s="1182">
        <f t="shared" si="45"/>
        <v>120.8361423260571</v>
      </c>
      <c r="I116" s="1182">
        <f t="shared" si="46"/>
        <v>13.349063597122688</v>
      </c>
      <c r="J116" s="1182">
        <f t="shared" si="46"/>
        <v>10.068409906254624</v>
      </c>
      <c r="K116" s="1182">
        <f t="shared" si="46"/>
        <v>-321.54782912670078</v>
      </c>
      <c r="L116" s="1182">
        <f t="shared" si="46"/>
        <v>32.819857428307195</v>
      </c>
      <c r="M116" s="1182">
        <f t="shared" si="46"/>
        <v>40.172784262132161</v>
      </c>
      <c r="N116" s="1182">
        <f t="shared" si="46"/>
        <v>26.403172831087282</v>
      </c>
      <c r="O116" s="1182">
        <f t="shared" si="46"/>
        <v>41.184192288058121</v>
      </c>
      <c r="P116" s="1182">
        <f t="shared" si="46"/>
        <v>19.579260919571681</v>
      </c>
      <c r="Q116" s="1182">
        <f t="shared" si="46"/>
        <v>34.216856438792696</v>
      </c>
      <c r="R116" s="1182">
        <f t="shared" si="46"/>
        <v>34.901193567568541</v>
      </c>
      <c r="S116" s="1182">
        <f t="shared" si="46"/>
        <v>35.599217438919894</v>
      </c>
      <c r="T116" s="1182">
        <f t="shared" si="46"/>
        <v>36.311201787698302</v>
      </c>
      <c r="U116" s="1182">
        <f t="shared" si="46"/>
        <v>37.037425823452253</v>
      </c>
      <c r="V116" s="1182">
        <f t="shared" si="46"/>
        <v>37.7781743399213</v>
      </c>
      <c r="W116" s="1182">
        <f t="shared" si="46"/>
        <v>38.533737826719722</v>
      </c>
      <c r="AA116"/>
      <c r="AB116"/>
      <c r="AC116"/>
      <c r="AD116"/>
      <c r="AE116"/>
      <c r="AF116"/>
      <c r="AJ116" s="1164"/>
    </row>
    <row r="117" spans="1:38" s="1163" customFormat="1" outlineLevel="1">
      <c r="A117" s="1158"/>
      <c r="B117" s="1037">
        <v>6</v>
      </c>
      <c r="C117" s="1046" t="str">
        <f t="shared" si="47"/>
        <v>PV of Increase in forecast year 5 lease commitments</v>
      </c>
      <c r="D117" s="1046"/>
      <c r="E117" s="1046"/>
      <c r="F117" s="1046"/>
      <c r="G117" s="1046"/>
      <c r="H117" s="1182">
        <f t="shared" si="45"/>
        <v>113.987473465759</v>
      </c>
      <c r="I117" s="1182">
        <f t="shared" si="46"/>
        <v>36.390265392634753</v>
      </c>
      <c r="J117" s="1182">
        <f t="shared" si="46"/>
        <v>381.40359348880605</v>
      </c>
      <c r="K117" s="1182">
        <f t="shared" si="46"/>
        <v>-109.5061642816547</v>
      </c>
      <c r="L117" s="1182">
        <f t="shared" si="46"/>
        <v>46.005155881733259</v>
      </c>
      <c r="M117" s="1182">
        <f t="shared" si="46"/>
        <v>56.776877919723987</v>
      </c>
      <c r="N117" s="1182">
        <f t="shared" si="46"/>
        <v>37.447051737542942</v>
      </c>
      <c r="O117" s="1182">
        <f t="shared" si="46"/>
        <v>52.349642132123314</v>
      </c>
      <c r="P117" s="1182">
        <f t="shared" si="46"/>
        <v>32.275223395997308</v>
      </c>
      <c r="Q117" s="1182">
        <f t="shared" si="46"/>
        <v>33.454211848822652</v>
      </c>
      <c r="R117" s="1182">
        <f t="shared" si="46"/>
        <v>34.123296085799126</v>
      </c>
      <c r="S117" s="1182">
        <f t="shared" si="46"/>
        <v>34.805762007515092</v>
      </c>
      <c r="T117" s="1182">
        <f t="shared" si="46"/>
        <v>35.501877247665412</v>
      </c>
      <c r="U117" s="1182">
        <f t="shared" si="46"/>
        <v>36.211914792618707</v>
      </c>
      <c r="V117" s="1182">
        <f t="shared" si="46"/>
        <v>36.936153088471094</v>
      </c>
      <c r="W117" s="1182">
        <f t="shared" si="46"/>
        <v>37.674876150240522</v>
      </c>
      <c r="AA117"/>
      <c r="AB117"/>
      <c r="AC117"/>
      <c r="AD117"/>
      <c r="AE117"/>
      <c r="AF117"/>
      <c r="AJ117" s="1164"/>
    </row>
    <row r="118" spans="1:38" s="1163" customFormat="1" outlineLevel="1">
      <c r="A118" s="1158"/>
      <c r="B118" s="1037">
        <v>7</v>
      </c>
      <c r="C118" s="1046" t="str">
        <f t="shared" si="47"/>
        <v>PV of Increase in forecast year 6 lease commitments</v>
      </c>
      <c r="D118" s="1046"/>
      <c r="E118" s="1046"/>
      <c r="F118" s="1046"/>
      <c r="G118" s="1046"/>
      <c r="H118" s="1182">
        <f t="shared" si="45"/>
        <v>82.079188814227919</v>
      </c>
      <c r="I118" s="1182">
        <f t="shared" si="46"/>
        <v>5.2758264046454331</v>
      </c>
      <c r="J118" s="1182">
        <f t="shared" si="46"/>
        <v>151.59895593460237</v>
      </c>
      <c r="K118" s="1182">
        <f t="shared" si="46"/>
        <v>-137.45316737330299</v>
      </c>
      <c r="L118" s="1182">
        <f t="shared" si="46"/>
        <v>10.0366058994816</v>
      </c>
      <c r="M118" s="1182">
        <f t="shared" si="46"/>
        <v>23.758194289500139</v>
      </c>
      <c r="N118" s="1182">
        <f t="shared" si="46"/>
        <v>-0.87712805864657395</v>
      </c>
      <c r="O118" s="1182">
        <f t="shared" si="46"/>
        <v>9.6353505923465903</v>
      </c>
      <c r="P118" s="1182">
        <f t="shared" si="46"/>
        <v>2.3528745648042304</v>
      </c>
      <c r="Q118" s="1182">
        <f t="shared" si="46"/>
        <v>2.9281340213531668</v>
      </c>
      <c r="R118" s="1182">
        <f t="shared" si="46"/>
        <v>2.9866967017802533</v>
      </c>
      <c r="S118" s="1182">
        <f t="shared" si="46"/>
        <v>3.0464306358158453</v>
      </c>
      <c r="T118" s="1182">
        <f t="shared" si="46"/>
        <v>3.1073592485321679</v>
      </c>
      <c r="U118" s="1182">
        <f t="shared" si="46"/>
        <v>3.1695064335028058</v>
      </c>
      <c r="V118" s="1182">
        <f t="shared" si="46"/>
        <v>3.2328965621728623</v>
      </c>
      <c r="W118" s="1182">
        <f t="shared" si="46"/>
        <v>3.2975544934163317</v>
      </c>
      <c r="AA118"/>
      <c r="AB118"/>
      <c r="AC118"/>
      <c r="AD118"/>
      <c r="AE118"/>
      <c r="AF118"/>
      <c r="AJ118" s="1164"/>
    </row>
    <row r="119" spans="1:38" s="1163" customFormat="1" outlineLevel="1">
      <c r="A119" s="1158"/>
      <c r="B119" s="1037">
        <v>8</v>
      </c>
      <c r="C119" s="1046" t="str">
        <f t="shared" si="47"/>
        <v>PV of Increase in forecast year 7 lease commitments</v>
      </c>
      <c r="D119" s="1046"/>
      <c r="E119" s="1046"/>
      <c r="F119" s="1046"/>
      <c r="G119" s="1046"/>
      <c r="H119" s="1182">
        <f t="shared" si="45"/>
        <v>81.266523578443469</v>
      </c>
      <c r="I119" s="1182">
        <f t="shared" si="46"/>
        <v>5.2235904996489415</v>
      </c>
      <c r="J119" s="1182">
        <f t="shared" si="46"/>
        <v>150.09797617287359</v>
      </c>
      <c r="K119" s="1182">
        <f t="shared" si="46"/>
        <v>-136.09224492406233</v>
      </c>
      <c r="L119" s="1182">
        <f t="shared" si="46"/>
        <v>9.937233563843165</v>
      </c>
      <c r="M119" s="1182">
        <f t="shared" si="46"/>
        <v>23.522964643069436</v>
      </c>
      <c r="N119" s="1182">
        <f t="shared" si="46"/>
        <v>-0.86844362242235029</v>
      </c>
      <c r="O119" s="1182">
        <f t="shared" si="46"/>
        <v>9.5399510815312745</v>
      </c>
      <c r="P119" s="1182">
        <f t="shared" si="46"/>
        <v>2.3295787770338912</v>
      </c>
      <c r="Q119" s="1182">
        <f t="shared" si="46"/>
        <v>2.8991425953991743</v>
      </c>
      <c r="R119" s="1182">
        <f t="shared" si="46"/>
        <v>2.9571254473071806</v>
      </c>
      <c r="S119" s="1182">
        <f t="shared" si="46"/>
        <v>3.0162679562533112</v>
      </c>
      <c r="T119" s="1182">
        <f t="shared" si="46"/>
        <v>3.0765933153783833</v>
      </c>
      <c r="U119" s="1182">
        <f t="shared" si="46"/>
        <v>3.1381251816859455</v>
      </c>
      <c r="V119" s="1182">
        <f t="shared" si="46"/>
        <v>3.2008876853196648</v>
      </c>
      <c r="W119" s="1182">
        <f t="shared" si="46"/>
        <v>3.2649054390260703</v>
      </c>
      <c r="AA119"/>
      <c r="AB119"/>
      <c r="AC119"/>
      <c r="AD119"/>
      <c r="AE119"/>
      <c r="AF119"/>
      <c r="AJ119" s="1164"/>
    </row>
    <row r="120" spans="1:38" s="1163" customFormat="1" outlineLevel="1">
      <c r="A120" s="1158"/>
      <c r="B120" s="1037">
        <v>9</v>
      </c>
      <c r="C120" s="1046" t="str">
        <f t="shared" si="47"/>
        <v>PV of Increase in forecast year 8 lease commitments</v>
      </c>
      <c r="D120" s="1046"/>
      <c r="E120" s="1046"/>
      <c r="F120" s="1046"/>
      <c r="G120" s="1046"/>
      <c r="H120" s="1182">
        <f t="shared" si="45"/>
        <v>80.461904533112346</v>
      </c>
      <c r="I120" s="1182">
        <f t="shared" si="46"/>
        <v>5.1718717818306352</v>
      </c>
      <c r="J120" s="1182">
        <f t="shared" si="46"/>
        <v>148.61185759690454</v>
      </c>
      <c r="K120" s="1182">
        <f t="shared" si="46"/>
        <v>-134.74479695451714</v>
      </c>
      <c r="L120" s="1182">
        <f t="shared" si="46"/>
        <v>9.8388451127160046</v>
      </c>
      <c r="M120" s="1182">
        <f t="shared" si="46"/>
        <v>23.290064003039046</v>
      </c>
      <c r="N120" s="1182">
        <f t="shared" si="46"/>
        <v>-0.85984517071519817</v>
      </c>
      <c r="O120" s="1182">
        <f t="shared" si="46"/>
        <v>9.445496120327995</v>
      </c>
      <c r="P120" s="1182">
        <f t="shared" si="46"/>
        <v>2.3065136406276148</v>
      </c>
      <c r="Q120" s="1182">
        <f t="shared" si="46"/>
        <v>2.8704382132665089</v>
      </c>
      <c r="R120" s="1182">
        <f t="shared" si="46"/>
        <v>2.9278469775318614</v>
      </c>
      <c r="S120" s="1182">
        <f t="shared" si="46"/>
        <v>2.9864039170824865</v>
      </c>
      <c r="T120" s="1182">
        <f t="shared" si="46"/>
        <v>3.0461319954241417</v>
      </c>
      <c r="U120" s="1182">
        <f t="shared" si="46"/>
        <v>3.1070546353326187</v>
      </c>
      <c r="V120" s="1182">
        <f t="shared" si="46"/>
        <v>3.1691957280392717</v>
      </c>
      <c r="W120" s="1182">
        <f t="shared" si="46"/>
        <v>3.232579642600069</v>
      </c>
      <c r="AA120"/>
      <c r="AB120"/>
      <c r="AC120"/>
      <c r="AD120"/>
      <c r="AE120"/>
      <c r="AF120"/>
      <c r="AJ120" s="1164"/>
    </row>
    <row r="121" spans="1:38" s="1163" customFormat="1" outlineLevel="1">
      <c r="A121" s="1158"/>
      <c r="B121" s="1037">
        <v>10</v>
      </c>
      <c r="C121" s="1046" t="str">
        <f t="shared" si="47"/>
        <v>PV of Increase in forecast year 9 lease commitments</v>
      </c>
      <c r="D121" s="1046"/>
      <c r="E121" s="1046"/>
      <c r="F121" s="1046"/>
      <c r="G121" s="1046"/>
      <c r="H121" s="1182">
        <f t="shared" si="45"/>
        <v>79.665252012982506</v>
      </c>
      <c r="I121" s="1182">
        <f t="shared" si="46"/>
        <v>5.1206651305253814</v>
      </c>
      <c r="J121" s="1182">
        <f t="shared" si="46"/>
        <v>147.14045306624212</v>
      </c>
      <c r="K121" s="1182">
        <f t="shared" si="46"/>
        <v>-133.41069005397736</v>
      </c>
      <c r="L121" s="1182">
        <f t="shared" si="46"/>
        <v>9.7414308046693101</v>
      </c>
      <c r="M121" s="1182">
        <f t="shared" si="46"/>
        <v>23.059469309939647</v>
      </c>
      <c r="N121" s="1182">
        <f t="shared" si="46"/>
        <v>-0.85133185219326557</v>
      </c>
      <c r="O121" s="1182">
        <f t="shared" si="46"/>
        <v>9.3519763567603906</v>
      </c>
      <c r="P121" s="1182">
        <f t="shared" si="46"/>
        <v>2.2836768719085292</v>
      </c>
      <c r="Q121" s="1182">
        <f t="shared" si="46"/>
        <v>2.8420180329371378</v>
      </c>
      <c r="R121" s="1182">
        <f t="shared" si="46"/>
        <v>2.8988583935959027</v>
      </c>
      <c r="S121" s="1182">
        <f t="shared" si="46"/>
        <v>2.9568355614678081</v>
      </c>
      <c r="T121" s="1182">
        <f t="shared" si="46"/>
        <v>3.0159722726971698</v>
      </c>
      <c r="U121" s="1182">
        <f t="shared" si="46"/>
        <v>3.0762917181511078</v>
      </c>
      <c r="V121" s="1182">
        <f t="shared" si="46"/>
        <v>3.1378175525141305</v>
      </c>
      <c r="W121" s="1182">
        <f t="shared" si="46"/>
        <v>3.2005739035644249</v>
      </c>
      <c r="AA121"/>
      <c r="AB121"/>
      <c r="AC121"/>
      <c r="AD121"/>
      <c r="AE121"/>
      <c r="AF121"/>
      <c r="AJ121" s="1164"/>
    </row>
    <row r="122" spans="1:38" s="1163" customFormat="1" outlineLevel="1">
      <c r="A122" s="1158"/>
      <c r="B122" s="1037">
        <v>11</v>
      </c>
      <c r="C122" s="1046" t="str">
        <f t="shared" si="47"/>
        <v>PV of Increase in forecast year 10 lease commitments</v>
      </c>
      <c r="D122" s="1046"/>
      <c r="E122" s="1046"/>
      <c r="F122" s="1046"/>
      <c r="G122" s="1046"/>
      <c r="H122" s="1182">
        <f t="shared" si="45"/>
        <v>78.876487141566855</v>
      </c>
      <c r="I122" s="1182">
        <f t="shared" si="46"/>
        <v>83.946452617334572</v>
      </c>
      <c r="J122" s="1182">
        <f t="shared" si="46"/>
        <v>229.63006951460403</v>
      </c>
      <c r="K122" s="1182">
        <f t="shared" si="46"/>
        <v>97.540277381953118</v>
      </c>
      <c r="L122" s="1182">
        <f t="shared" si="46"/>
        <v>107.18525837667521</v>
      </c>
      <c r="M122" s="1182">
        <f t="shared" si="46"/>
        <v>130.01641610928874</v>
      </c>
      <c r="N122" s="1182">
        <f t="shared" si="46"/>
        <v>129.17351328533499</v>
      </c>
      <c r="O122" s="1182">
        <f t="shared" si="46"/>
        <v>138.43289581678093</v>
      </c>
      <c r="P122" s="1182">
        <f t="shared" si="46"/>
        <v>140.69396202659135</v>
      </c>
      <c r="Q122" s="1182">
        <f t="shared" si="46"/>
        <v>143.50784126712318</v>
      </c>
      <c r="R122" s="1182">
        <f t="shared" si="46"/>
        <v>146.37799809246565</v>
      </c>
      <c r="S122" s="1182">
        <f t="shared" si="46"/>
        <v>149.30555805431499</v>
      </c>
      <c r="T122" s="1182">
        <f t="shared" si="46"/>
        <v>152.29166921540127</v>
      </c>
      <c r="U122" s="1182">
        <f t="shared" si="46"/>
        <v>155.3375025997093</v>
      </c>
      <c r="V122" s="1182">
        <f t="shared" si="46"/>
        <v>158.44425265170349</v>
      </c>
      <c r="W122" s="1182">
        <f t="shared" si="46"/>
        <v>161.61313770473757</v>
      </c>
      <c r="AA122"/>
      <c r="AB122"/>
      <c r="AC122"/>
      <c r="AD122"/>
      <c r="AE122"/>
      <c r="AF122"/>
      <c r="AJ122" s="1164"/>
    </row>
    <row r="123" spans="1:38" s="1163" customFormat="1" outlineLevel="1">
      <c r="A123" s="1158"/>
      <c r="B123" s="1037">
        <v>12</v>
      </c>
      <c r="C123" s="1046" t="str">
        <f t="shared" si="47"/>
        <v>PV of Increase in forecast year 11 lease commitments</v>
      </c>
      <c r="D123" s="1046"/>
      <c r="E123" s="1046"/>
      <c r="F123" s="1046"/>
      <c r="G123" s="1046"/>
      <c r="H123" s="1182">
        <f t="shared" si="45"/>
        <v>0</v>
      </c>
      <c r="I123" s="1182">
        <f t="shared" si="46"/>
        <v>0</v>
      </c>
      <c r="J123" s="1182">
        <f t="shared" si="46"/>
        <v>0</v>
      </c>
      <c r="K123" s="1182">
        <f t="shared" si="46"/>
        <v>0</v>
      </c>
      <c r="L123" s="1182">
        <f t="shared" si="46"/>
        <v>0</v>
      </c>
      <c r="M123" s="1182">
        <f t="shared" si="46"/>
        <v>0</v>
      </c>
      <c r="N123" s="1182">
        <f t="shared" si="46"/>
        <v>0</v>
      </c>
      <c r="O123" s="1182">
        <f t="shared" si="46"/>
        <v>0</v>
      </c>
      <c r="P123" s="1182">
        <f t="shared" si="46"/>
        <v>0</v>
      </c>
      <c r="Q123" s="1182">
        <f t="shared" si="46"/>
        <v>0</v>
      </c>
      <c r="R123" s="1182">
        <f t="shared" si="46"/>
        <v>0</v>
      </c>
      <c r="S123" s="1182">
        <f t="shared" si="46"/>
        <v>0</v>
      </c>
      <c r="T123" s="1182">
        <f t="shared" si="46"/>
        <v>0</v>
      </c>
      <c r="U123" s="1182">
        <f t="shared" si="46"/>
        <v>0</v>
      </c>
      <c r="V123" s="1182">
        <f t="shared" si="46"/>
        <v>0</v>
      </c>
      <c r="W123" s="1182">
        <f t="shared" si="46"/>
        <v>0</v>
      </c>
      <c r="AA123"/>
      <c r="AB123"/>
      <c r="AC123"/>
      <c r="AD123"/>
      <c r="AE123"/>
      <c r="AF123"/>
      <c r="AJ123" s="1164"/>
    </row>
    <row r="124" spans="1:38" s="1163" customFormat="1" outlineLevel="1">
      <c r="A124" s="1158"/>
      <c r="B124" s="1037">
        <v>13</v>
      </c>
      <c r="C124" s="1046" t="str">
        <f t="shared" si="47"/>
        <v>PV of Increase in forecast year 12 lease commitments</v>
      </c>
      <c r="D124" s="1046"/>
      <c r="E124" s="1046"/>
      <c r="F124" s="1046"/>
      <c r="G124" s="1046"/>
      <c r="H124" s="1182">
        <f t="shared" si="45"/>
        <v>0</v>
      </c>
      <c r="I124" s="1182">
        <f t="shared" si="46"/>
        <v>0</v>
      </c>
      <c r="J124" s="1182">
        <f t="shared" si="46"/>
        <v>0</v>
      </c>
      <c r="K124" s="1182">
        <f t="shared" si="46"/>
        <v>0</v>
      </c>
      <c r="L124" s="1182">
        <f t="shared" si="46"/>
        <v>0</v>
      </c>
      <c r="M124" s="1182">
        <f t="shared" si="46"/>
        <v>0</v>
      </c>
      <c r="N124" s="1182">
        <f t="shared" si="46"/>
        <v>0</v>
      </c>
      <c r="O124" s="1182">
        <f t="shared" si="46"/>
        <v>0</v>
      </c>
      <c r="P124" s="1182">
        <f t="shared" si="46"/>
        <v>0</v>
      </c>
      <c r="Q124" s="1182">
        <f t="shared" si="46"/>
        <v>0</v>
      </c>
      <c r="R124" s="1182">
        <f t="shared" si="46"/>
        <v>0</v>
      </c>
      <c r="S124" s="1182">
        <f t="shared" si="46"/>
        <v>0</v>
      </c>
      <c r="T124" s="1182">
        <f t="shared" si="46"/>
        <v>0</v>
      </c>
      <c r="U124" s="1182">
        <f t="shared" si="46"/>
        <v>0</v>
      </c>
      <c r="V124" s="1182">
        <f t="shared" si="46"/>
        <v>0</v>
      </c>
      <c r="W124" s="1182">
        <f t="shared" si="46"/>
        <v>0</v>
      </c>
      <c r="AA124"/>
      <c r="AB124"/>
      <c r="AC124"/>
      <c r="AD124"/>
      <c r="AE124"/>
      <c r="AF124"/>
      <c r="AJ124" s="1164"/>
    </row>
    <row r="125" spans="1:38" s="1163" customFormat="1" outlineLevel="1">
      <c r="A125" s="1158"/>
      <c r="B125" s="1037">
        <v>14</v>
      </c>
      <c r="C125" s="1046" t="str">
        <f t="shared" si="47"/>
        <v>PV of Increase in forecast year 13 lease commitments</v>
      </c>
      <c r="D125" s="1046"/>
      <c r="E125" s="1046"/>
      <c r="F125" s="1046"/>
      <c r="G125" s="1046"/>
      <c r="H125" s="1182">
        <f t="shared" si="45"/>
        <v>0</v>
      </c>
      <c r="I125" s="1182">
        <f t="shared" si="46"/>
        <v>0</v>
      </c>
      <c r="J125" s="1182">
        <f t="shared" si="46"/>
        <v>0</v>
      </c>
      <c r="K125" s="1182">
        <f t="shared" si="46"/>
        <v>0</v>
      </c>
      <c r="L125" s="1182">
        <f t="shared" si="46"/>
        <v>0</v>
      </c>
      <c r="M125" s="1182">
        <f t="shared" si="46"/>
        <v>0</v>
      </c>
      <c r="N125" s="1182">
        <f t="shared" si="46"/>
        <v>0</v>
      </c>
      <c r="O125" s="1182">
        <f t="shared" si="46"/>
        <v>0</v>
      </c>
      <c r="P125" s="1182">
        <f t="shared" si="46"/>
        <v>0</v>
      </c>
      <c r="Q125" s="1182">
        <f t="shared" si="46"/>
        <v>0</v>
      </c>
      <c r="R125" s="1182">
        <f t="shared" si="46"/>
        <v>0</v>
      </c>
      <c r="S125" s="1182">
        <f t="shared" si="46"/>
        <v>0</v>
      </c>
      <c r="T125" s="1182">
        <f t="shared" si="46"/>
        <v>0</v>
      </c>
      <c r="U125" s="1182">
        <f t="shared" si="46"/>
        <v>0</v>
      </c>
      <c r="V125" s="1182">
        <f t="shared" si="46"/>
        <v>0</v>
      </c>
      <c r="W125" s="1182">
        <f t="shared" si="46"/>
        <v>0</v>
      </c>
      <c r="AA125"/>
      <c r="AB125"/>
      <c r="AC125"/>
      <c r="AD125"/>
      <c r="AE125"/>
      <c r="AF125"/>
      <c r="AJ125" s="1164"/>
    </row>
    <row r="126" spans="1:38" s="1163" customFormat="1" outlineLevel="1">
      <c r="A126" s="1158"/>
      <c r="B126" s="1037">
        <v>15</v>
      </c>
      <c r="C126" s="1046" t="str">
        <f t="shared" si="47"/>
        <v>PV of Increase in forecast year 14 lease commitments</v>
      </c>
      <c r="D126" s="1046"/>
      <c r="E126" s="1046"/>
      <c r="F126" s="1046"/>
      <c r="G126" s="1046"/>
      <c r="H126" s="1182">
        <f t="shared" si="45"/>
        <v>0</v>
      </c>
      <c r="I126" s="1182">
        <f t="shared" si="46"/>
        <v>0</v>
      </c>
      <c r="J126" s="1182">
        <f t="shared" si="46"/>
        <v>0</v>
      </c>
      <c r="K126" s="1182">
        <f t="shared" si="46"/>
        <v>0</v>
      </c>
      <c r="L126" s="1182">
        <f t="shared" si="46"/>
        <v>0</v>
      </c>
      <c r="M126" s="1182">
        <f t="shared" si="46"/>
        <v>0</v>
      </c>
      <c r="N126" s="1182">
        <f t="shared" si="46"/>
        <v>0</v>
      </c>
      <c r="O126" s="1182">
        <f t="shared" si="46"/>
        <v>0</v>
      </c>
      <c r="P126" s="1182">
        <f t="shared" si="46"/>
        <v>0</v>
      </c>
      <c r="Q126" s="1182">
        <f t="shared" si="46"/>
        <v>0</v>
      </c>
      <c r="R126" s="1182">
        <f t="shared" si="46"/>
        <v>0</v>
      </c>
      <c r="S126" s="1182">
        <f t="shared" si="46"/>
        <v>0</v>
      </c>
      <c r="T126" s="1182">
        <f t="shared" si="46"/>
        <v>0</v>
      </c>
      <c r="U126" s="1182">
        <f t="shared" si="46"/>
        <v>0</v>
      </c>
      <c r="V126" s="1182">
        <f t="shared" si="46"/>
        <v>0</v>
      </c>
      <c r="W126" s="1182">
        <f t="shared" si="46"/>
        <v>0</v>
      </c>
      <c r="AA126"/>
      <c r="AB126"/>
      <c r="AC126"/>
      <c r="AD126"/>
      <c r="AE126"/>
      <c r="AF126"/>
      <c r="AJ126" s="1164"/>
    </row>
    <row r="127" spans="1:38" s="1163" customFormat="1" outlineLevel="1">
      <c r="A127" s="1158"/>
      <c r="B127" s="1037">
        <v>16</v>
      </c>
      <c r="C127" s="1046" t="str">
        <f t="shared" si="47"/>
        <v>PV of Increase in forecast year 15 lease commitments</v>
      </c>
      <c r="D127" s="1046"/>
      <c r="E127" s="1046"/>
      <c r="F127" s="1046"/>
      <c r="G127" s="1046"/>
      <c r="H127" s="1182">
        <f t="shared" si="45"/>
        <v>0</v>
      </c>
      <c r="I127" s="1182">
        <f t="shared" si="46"/>
        <v>0</v>
      </c>
      <c r="J127" s="1182">
        <f t="shared" si="46"/>
        <v>0</v>
      </c>
      <c r="K127" s="1182">
        <f t="shared" si="46"/>
        <v>0</v>
      </c>
      <c r="L127" s="1182">
        <f t="shared" si="46"/>
        <v>0</v>
      </c>
      <c r="M127" s="1182">
        <f t="shared" si="46"/>
        <v>0</v>
      </c>
      <c r="N127" s="1182">
        <f t="shared" si="46"/>
        <v>0</v>
      </c>
      <c r="O127" s="1182">
        <f t="shared" si="46"/>
        <v>0</v>
      </c>
      <c r="P127" s="1182">
        <f t="shared" si="46"/>
        <v>0</v>
      </c>
      <c r="Q127" s="1182">
        <f t="shared" si="46"/>
        <v>0</v>
      </c>
      <c r="R127" s="1182">
        <f t="shared" si="46"/>
        <v>0</v>
      </c>
      <c r="S127" s="1182">
        <f t="shared" si="46"/>
        <v>0</v>
      </c>
      <c r="T127" s="1182">
        <f t="shared" si="46"/>
        <v>0</v>
      </c>
      <c r="U127" s="1182">
        <f t="shared" si="46"/>
        <v>0</v>
      </c>
      <c r="V127" s="1182">
        <f t="shared" si="46"/>
        <v>0</v>
      </c>
      <c r="W127" s="1182">
        <f t="shared" si="46"/>
        <v>0</v>
      </c>
      <c r="AA127"/>
      <c r="AB127"/>
      <c r="AC127"/>
      <c r="AD127"/>
      <c r="AE127"/>
      <c r="AF127"/>
      <c r="AJ127" s="1164"/>
    </row>
    <row r="128" spans="1:38" s="1163" customFormat="1" outlineLevel="1">
      <c r="A128" s="1158"/>
      <c r="B128" s="1037">
        <v>17</v>
      </c>
      <c r="C128" s="1046" t="str">
        <f t="shared" si="47"/>
        <v>PV of Increase in forecast year 16 lease commitments</v>
      </c>
      <c r="D128" s="1046"/>
      <c r="E128" s="1046"/>
      <c r="F128" s="1046"/>
      <c r="G128" s="1046"/>
      <c r="H128" s="1182">
        <f t="shared" si="45"/>
        <v>0</v>
      </c>
      <c r="I128" s="1182">
        <f t="shared" ref="I128:W141" si="48">IF(ISERROR((I92-H93)/(POWER((1+I$45),$B128))),"NA",(I92-H93)/(POWER((1+I$45),$B128)))</f>
        <v>0</v>
      </c>
      <c r="J128" s="1182">
        <f t="shared" si="48"/>
        <v>0</v>
      </c>
      <c r="K128" s="1182">
        <f t="shared" si="48"/>
        <v>0</v>
      </c>
      <c r="L128" s="1182">
        <f t="shared" si="48"/>
        <v>0</v>
      </c>
      <c r="M128" s="1182">
        <f t="shared" si="48"/>
        <v>0</v>
      </c>
      <c r="N128" s="1182">
        <f t="shared" si="48"/>
        <v>0</v>
      </c>
      <c r="O128" s="1182">
        <f t="shared" si="48"/>
        <v>0</v>
      </c>
      <c r="P128" s="1182">
        <f t="shared" si="48"/>
        <v>0</v>
      </c>
      <c r="Q128" s="1182">
        <f t="shared" si="48"/>
        <v>0</v>
      </c>
      <c r="R128" s="1182">
        <f t="shared" si="48"/>
        <v>0</v>
      </c>
      <c r="S128" s="1182">
        <f t="shared" si="48"/>
        <v>0</v>
      </c>
      <c r="T128" s="1182">
        <f t="shared" si="48"/>
        <v>0</v>
      </c>
      <c r="U128" s="1182">
        <f t="shared" si="48"/>
        <v>0</v>
      </c>
      <c r="V128" s="1182">
        <f t="shared" si="48"/>
        <v>0</v>
      </c>
      <c r="W128" s="1182">
        <f t="shared" si="48"/>
        <v>0</v>
      </c>
      <c r="AA128"/>
      <c r="AB128"/>
      <c r="AC128"/>
      <c r="AD128"/>
      <c r="AE128"/>
      <c r="AF128"/>
      <c r="AJ128" s="1164"/>
    </row>
    <row r="129" spans="1:36" s="1163" customFormat="1" outlineLevel="1">
      <c r="A129" s="1158"/>
      <c r="B129" s="1037">
        <v>18</v>
      </c>
      <c r="C129" s="1046" t="str">
        <f t="shared" si="47"/>
        <v>PV of Increase in forecast year 17 lease commitments</v>
      </c>
      <c r="D129" s="1046"/>
      <c r="E129" s="1046"/>
      <c r="F129" s="1046"/>
      <c r="G129" s="1046"/>
      <c r="H129" s="1182">
        <f t="shared" si="45"/>
        <v>0</v>
      </c>
      <c r="I129" s="1182">
        <f t="shared" si="48"/>
        <v>0</v>
      </c>
      <c r="J129" s="1182">
        <f t="shared" si="48"/>
        <v>0</v>
      </c>
      <c r="K129" s="1182">
        <f t="shared" si="48"/>
        <v>0</v>
      </c>
      <c r="L129" s="1182">
        <f t="shared" si="48"/>
        <v>0</v>
      </c>
      <c r="M129" s="1182">
        <f t="shared" si="48"/>
        <v>0</v>
      </c>
      <c r="N129" s="1182">
        <f t="shared" si="48"/>
        <v>0</v>
      </c>
      <c r="O129" s="1182">
        <f t="shared" si="48"/>
        <v>0</v>
      </c>
      <c r="P129" s="1182">
        <f t="shared" si="48"/>
        <v>0</v>
      </c>
      <c r="Q129" s="1182">
        <f t="shared" si="48"/>
        <v>0</v>
      </c>
      <c r="R129" s="1182">
        <f t="shared" si="48"/>
        <v>0</v>
      </c>
      <c r="S129" s="1182">
        <f t="shared" si="48"/>
        <v>0</v>
      </c>
      <c r="T129" s="1182">
        <f t="shared" si="48"/>
        <v>0</v>
      </c>
      <c r="U129" s="1182">
        <f t="shared" si="48"/>
        <v>0</v>
      </c>
      <c r="V129" s="1182">
        <f t="shared" si="48"/>
        <v>0</v>
      </c>
      <c r="W129" s="1182">
        <f t="shared" si="48"/>
        <v>0</v>
      </c>
      <c r="AA129"/>
      <c r="AB129"/>
      <c r="AC129"/>
      <c r="AD129"/>
      <c r="AE129"/>
      <c r="AF129"/>
      <c r="AJ129" s="1164"/>
    </row>
    <row r="130" spans="1:36" s="1163" customFormat="1" outlineLevel="1">
      <c r="A130" s="1158"/>
      <c r="B130" s="1037">
        <v>19</v>
      </c>
      <c r="C130" s="1046" t="str">
        <f t="shared" si="47"/>
        <v>PV of Increase in forecast year 18 lease commitments</v>
      </c>
      <c r="D130" s="1046"/>
      <c r="E130" s="1046"/>
      <c r="F130" s="1046"/>
      <c r="G130" s="1046"/>
      <c r="H130" s="1182">
        <f t="shared" si="45"/>
        <v>0</v>
      </c>
      <c r="I130" s="1182">
        <f t="shared" si="48"/>
        <v>0</v>
      </c>
      <c r="J130" s="1182">
        <f t="shared" si="48"/>
        <v>0</v>
      </c>
      <c r="K130" s="1182">
        <f t="shared" si="48"/>
        <v>0</v>
      </c>
      <c r="L130" s="1182">
        <f t="shared" si="48"/>
        <v>0</v>
      </c>
      <c r="M130" s="1182">
        <f t="shared" si="48"/>
        <v>0</v>
      </c>
      <c r="N130" s="1182">
        <f t="shared" si="48"/>
        <v>0</v>
      </c>
      <c r="O130" s="1182">
        <f t="shared" si="48"/>
        <v>0</v>
      </c>
      <c r="P130" s="1182">
        <f t="shared" si="48"/>
        <v>0</v>
      </c>
      <c r="Q130" s="1182">
        <f t="shared" si="48"/>
        <v>0</v>
      </c>
      <c r="R130" s="1182">
        <f t="shared" si="48"/>
        <v>0</v>
      </c>
      <c r="S130" s="1182">
        <f t="shared" si="48"/>
        <v>0</v>
      </c>
      <c r="T130" s="1182">
        <f t="shared" si="48"/>
        <v>0</v>
      </c>
      <c r="U130" s="1182">
        <f t="shared" si="48"/>
        <v>0</v>
      </c>
      <c r="V130" s="1182">
        <f t="shared" si="48"/>
        <v>0</v>
      </c>
      <c r="W130" s="1182">
        <f t="shared" si="48"/>
        <v>0</v>
      </c>
      <c r="AA130"/>
      <c r="AB130"/>
      <c r="AC130"/>
      <c r="AD130"/>
      <c r="AE130"/>
      <c r="AF130"/>
      <c r="AJ130" s="1164"/>
    </row>
    <row r="131" spans="1:36" s="1163" customFormat="1" outlineLevel="1">
      <c r="A131" s="1158"/>
      <c r="B131" s="1037">
        <f t="shared" ref="B131:B141" si="49">B130+1</f>
        <v>20</v>
      </c>
      <c r="C131" s="1046" t="str">
        <f t="shared" si="47"/>
        <v>PV of Increase in forecast year 19 lease commitments</v>
      </c>
      <c r="D131" s="1046"/>
      <c r="E131" s="1046"/>
      <c r="F131" s="1046"/>
      <c r="G131" s="1046"/>
      <c r="H131" s="1182">
        <f t="shared" si="45"/>
        <v>0</v>
      </c>
      <c r="I131" s="1182">
        <f t="shared" si="48"/>
        <v>0</v>
      </c>
      <c r="J131" s="1182">
        <f t="shared" si="48"/>
        <v>0</v>
      </c>
      <c r="K131" s="1182">
        <f t="shared" si="48"/>
        <v>0</v>
      </c>
      <c r="L131" s="1182">
        <f t="shared" si="48"/>
        <v>0</v>
      </c>
      <c r="M131" s="1182">
        <f t="shared" si="48"/>
        <v>0</v>
      </c>
      <c r="N131" s="1182">
        <f t="shared" si="48"/>
        <v>0</v>
      </c>
      <c r="O131" s="1182">
        <f t="shared" si="48"/>
        <v>0</v>
      </c>
      <c r="P131" s="1182">
        <f t="shared" si="48"/>
        <v>0</v>
      </c>
      <c r="Q131" s="1182">
        <f t="shared" si="48"/>
        <v>0</v>
      </c>
      <c r="R131" s="1182">
        <f t="shared" si="48"/>
        <v>0</v>
      </c>
      <c r="S131" s="1182">
        <f t="shared" si="48"/>
        <v>0</v>
      </c>
      <c r="T131" s="1182">
        <f t="shared" si="48"/>
        <v>0</v>
      </c>
      <c r="U131" s="1182">
        <f t="shared" si="48"/>
        <v>0</v>
      </c>
      <c r="V131" s="1182">
        <f t="shared" si="48"/>
        <v>0</v>
      </c>
      <c r="W131" s="1182">
        <f t="shared" si="48"/>
        <v>0</v>
      </c>
      <c r="AA131"/>
      <c r="AB131"/>
      <c r="AC131"/>
      <c r="AD131"/>
      <c r="AE131"/>
      <c r="AF131"/>
      <c r="AJ131" s="1164"/>
    </row>
    <row r="132" spans="1:36" s="1163" customFormat="1" outlineLevel="1">
      <c r="A132" s="1158"/>
      <c r="B132" s="1037">
        <f t="shared" si="49"/>
        <v>21</v>
      </c>
      <c r="C132" s="1046" t="str">
        <f t="shared" si="47"/>
        <v>PV of Increase in forecast year 20 lease commitments</v>
      </c>
      <c r="D132" s="1046"/>
      <c r="E132" s="1046"/>
      <c r="F132" s="1046"/>
      <c r="G132" s="1046"/>
      <c r="H132" s="1182">
        <f t="shared" si="45"/>
        <v>0</v>
      </c>
      <c r="I132" s="1182">
        <f t="shared" si="48"/>
        <v>0</v>
      </c>
      <c r="J132" s="1182">
        <f t="shared" si="48"/>
        <v>0</v>
      </c>
      <c r="K132" s="1182">
        <f t="shared" si="48"/>
        <v>0</v>
      </c>
      <c r="L132" s="1182">
        <f t="shared" si="48"/>
        <v>0</v>
      </c>
      <c r="M132" s="1182">
        <f t="shared" si="48"/>
        <v>0</v>
      </c>
      <c r="N132" s="1182">
        <f t="shared" si="48"/>
        <v>0</v>
      </c>
      <c r="O132" s="1182">
        <f t="shared" si="48"/>
        <v>0</v>
      </c>
      <c r="P132" s="1182">
        <f t="shared" si="48"/>
        <v>0</v>
      </c>
      <c r="Q132" s="1182">
        <f t="shared" si="48"/>
        <v>0</v>
      </c>
      <c r="R132" s="1182">
        <f t="shared" si="48"/>
        <v>0</v>
      </c>
      <c r="S132" s="1182">
        <f t="shared" si="48"/>
        <v>0</v>
      </c>
      <c r="T132" s="1182">
        <f t="shared" si="48"/>
        <v>0</v>
      </c>
      <c r="U132" s="1182">
        <f t="shared" si="48"/>
        <v>0</v>
      </c>
      <c r="V132" s="1182">
        <f t="shared" si="48"/>
        <v>0</v>
      </c>
      <c r="W132" s="1182">
        <f t="shared" si="48"/>
        <v>0</v>
      </c>
      <c r="AA132"/>
      <c r="AB132"/>
      <c r="AC132"/>
      <c r="AD132"/>
      <c r="AE132"/>
      <c r="AF132"/>
      <c r="AJ132" s="1164"/>
    </row>
    <row r="133" spans="1:36" s="1163" customFormat="1" outlineLevel="1">
      <c r="A133" s="1158"/>
      <c r="B133" s="1037">
        <f t="shared" si="49"/>
        <v>22</v>
      </c>
      <c r="C133" s="1046" t="str">
        <f t="shared" si="47"/>
        <v>PV of Increase in forecast year 21 lease commitments</v>
      </c>
      <c r="D133" s="1046"/>
      <c r="E133" s="1046"/>
      <c r="F133" s="1046"/>
      <c r="G133" s="1046"/>
      <c r="H133" s="1182">
        <f t="shared" si="45"/>
        <v>0</v>
      </c>
      <c r="I133" s="1182">
        <f t="shared" si="48"/>
        <v>0</v>
      </c>
      <c r="J133" s="1182">
        <f t="shared" si="48"/>
        <v>0</v>
      </c>
      <c r="K133" s="1182">
        <f t="shared" si="48"/>
        <v>0</v>
      </c>
      <c r="L133" s="1182">
        <f t="shared" si="48"/>
        <v>0</v>
      </c>
      <c r="M133" s="1182">
        <f t="shared" si="48"/>
        <v>0</v>
      </c>
      <c r="N133" s="1182">
        <f t="shared" si="48"/>
        <v>0</v>
      </c>
      <c r="O133" s="1182">
        <f t="shared" si="48"/>
        <v>0</v>
      </c>
      <c r="P133" s="1182">
        <f t="shared" si="48"/>
        <v>0</v>
      </c>
      <c r="Q133" s="1182">
        <f t="shared" si="48"/>
        <v>0</v>
      </c>
      <c r="R133" s="1182">
        <f t="shared" si="48"/>
        <v>0</v>
      </c>
      <c r="S133" s="1182">
        <f t="shared" si="48"/>
        <v>0</v>
      </c>
      <c r="T133" s="1182">
        <f t="shared" si="48"/>
        <v>0</v>
      </c>
      <c r="U133" s="1182">
        <f t="shared" si="48"/>
        <v>0</v>
      </c>
      <c r="V133" s="1182">
        <f t="shared" si="48"/>
        <v>0</v>
      </c>
      <c r="W133" s="1182">
        <f t="shared" si="48"/>
        <v>0</v>
      </c>
      <c r="AA133"/>
      <c r="AB133"/>
      <c r="AC133"/>
      <c r="AD133"/>
      <c r="AE133"/>
      <c r="AF133"/>
      <c r="AJ133" s="1164"/>
    </row>
    <row r="134" spans="1:36" s="1163" customFormat="1" outlineLevel="1">
      <c r="A134" s="1158"/>
      <c r="B134" s="1037">
        <f t="shared" si="49"/>
        <v>23</v>
      </c>
      <c r="C134" s="1046" t="str">
        <f t="shared" si="47"/>
        <v>PV of Increase in forecast year 22 lease commitments</v>
      </c>
      <c r="D134" s="1046"/>
      <c r="E134" s="1046"/>
      <c r="F134" s="1046"/>
      <c r="G134" s="1046"/>
      <c r="H134" s="1182">
        <f t="shared" si="45"/>
        <v>0</v>
      </c>
      <c r="I134" s="1182">
        <f t="shared" si="48"/>
        <v>0</v>
      </c>
      <c r="J134" s="1182">
        <f t="shared" si="48"/>
        <v>0</v>
      </c>
      <c r="K134" s="1182">
        <f t="shared" si="48"/>
        <v>0</v>
      </c>
      <c r="L134" s="1182">
        <f t="shared" si="48"/>
        <v>0</v>
      </c>
      <c r="M134" s="1182">
        <f t="shared" si="48"/>
        <v>0</v>
      </c>
      <c r="N134" s="1182">
        <f t="shared" si="48"/>
        <v>0</v>
      </c>
      <c r="O134" s="1182">
        <f t="shared" si="48"/>
        <v>0</v>
      </c>
      <c r="P134" s="1182">
        <f t="shared" si="48"/>
        <v>0</v>
      </c>
      <c r="Q134" s="1182">
        <f t="shared" si="48"/>
        <v>0</v>
      </c>
      <c r="R134" s="1182">
        <f t="shared" si="48"/>
        <v>0</v>
      </c>
      <c r="S134" s="1182">
        <f t="shared" si="48"/>
        <v>0</v>
      </c>
      <c r="T134" s="1182">
        <f t="shared" si="48"/>
        <v>0</v>
      </c>
      <c r="U134" s="1182">
        <f t="shared" si="48"/>
        <v>0</v>
      </c>
      <c r="V134" s="1182">
        <f t="shared" si="48"/>
        <v>0</v>
      </c>
      <c r="W134" s="1182">
        <f t="shared" si="48"/>
        <v>0</v>
      </c>
      <c r="AA134"/>
      <c r="AB134"/>
      <c r="AC134"/>
      <c r="AD134"/>
      <c r="AE134"/>
      <c r="AF134"/>
      <c r="AJ134" s="1164"/>
    </row>
    <row r="135" spans="1:36" s="1163" customFormat="1" outlineLevel="1">
      <c r="A135" s="1158"/>
      <c r="B135" s="1037">
        <f t="shared" si="49"/>
        <v>24</v>
      </c>
      <c r="C135" s="1046" t="str">
        <f t="shared" si="47"/>
        <v>PV of Increase in forecast year 23 lease commitments</v>
      </c>
      <c r="D135" s="1046"/>
      <c r="E135" s="1046"/>
      <c r="F135" s="1046"/>
      <c r="G135" s="1046"/>
      <c r="H135" s="1182">
        <f t="shared" si="45"/>
        <v>0</v>
      </c>
      <c r="I135" s="1182">
        <f t="shared" si="48"/>
        <v>0</v>
      </c>
      <c r="J135" s="1182">
        <f t="shared" si="48"/>
        <v>0</v>
      </c>
      <c r="K135" s="1182">
        <f t="shared" si="48"/>
        <v>0</v>
      </c>
      <c r="L135" s="1182">
        <f t="shared" si="48"/>
        <v>0</v>
      </c>
      <c r="M135" s="1182">
        <f t="shared" si="48"/>
        <v>0</v>
      </c>
      <c r="N135" s="1182">
        <f t="shared" si="48"/>
        <v>0</v>
      </c>
      <c r="O135" s="1182">
        <f t="shared" si="48"/>
        <v>0</v>
      </c>
      <c r="P135" s="1182">
        <f t="shared" si="48"/>
        <v>0</v>
      </c>
      <c r="Q135" s="1182">
        <f t="shared" si="48"/>
        <v>0</v>
      </c>
      <c r="R135" s="1182">
        <f t="shared" si="48"/>
        <v>0</v>
      </c>
      <c r="S135" s="1182">
        <f t="shared" si="48"/>
        <v>0</v>
      </c>
      <c r="T135" s="1182">
        <f t="shared" si="48"/>
        <v>0</v>
      </c>
      <c r="U135" s="1182">
        <f t="shared" si="48"/>
        <v>0</v>
      </c>
      <c r="V135" s="1182">
        <f t="shared" si="48"/>
        <v>0</v>
      </c>
      <c r="W135" s="1182">
        <f t="shared" si="48"/>
        <v>0</v>
      </c>
      <c r="AA135"/>
      <c r="AB135"/>
      <c r="AC135"/>
      <c r="AD135"/>
      <c r="AE135"/>
      <c r="AF135"/>
      <c r="AJ135" s="1164"/>
    </row>
    <row r="136" spans="1:36" s="1163" customFormat="1" outlineLevel="1">
      <c r="A136" s="1158"/>
      <c r="B136" s="1037">
        <f t="shared" si="49"/>
        <v>25</v>
      </c>
      <c r="C136" s="1046" t="str">
        <f t="shared" si="47"/>
        <v>PV of Increase in forecast year 24 lease commitments</v>
      </c>
      <c r="D136" s="1046"/>
      <c r="E136" s="1046"/>
      <c r="F136" s="1046"/>
      <c r="G136" s="1046"/>
      <c r="H136" s="1182">
        <f t="shared" si="45"/>
        <v>0</v>
      </c>
      <c r="I136" s="1182">
        <f t="shared" si="48"/>
        <v>0</v>
      </c>
      <c r="J136" s="1182">
        <f t="shared" si="48"/>
        <v>0</v>
      </c>
      <c r="K136" s="1182">
        <f t="shared" si="48"/>
        <v>0</v>
      </c>
      <c r="L136" s="1182">
        <f t="shared" si="48"/>
        <v>0</v>
      </c>
      <c r="M136" s="1182">
        <f t="shared" si="48"/>
        <v>0</v>
      </c>
      <c r="N136" s="1182">
        <f t="shared" si="48"/>
        <v>0</v>
      </c>
      <c r="O136" s="1182">
        <f t="shared" si="48"/>
        <v>0</v>
      </c>
      <c r="P136" s="1182">
        <f t="shared" si="48"/>
        <v>0</v>
      </c>
      <c r="Q136" s="1182">
        <f t="shared" si="48"/>
        <v>0</v>
      </c>
      <c r="R136" s="1182">
        <f t="shared" si="48"/>
        <v>0</v>
      </c>
      <c r="S136" s="1182">
        <f t="shared" si="48"/>
        <v>0</v>
      </c>
      <c r="T136" s="1182">
        <f t="shared" si="48"/>
        <v>0</v>
      </c>
      <c r="U136" s="1182">
        <f t="shared" si="48"/>
        <v>0</v>
      </c>
      <c r="V136" s="1182">
        <f t="shared" si="48"/>
        <v>0</v>
      </c>
      <c r="W136" s="1182">
        <f t="shared" si="48"/>
        <v>0</v>
      </c>
      <c r="AA136"/>
      <c r="AB136"/>
      <c r="AC136"/>
      <c r="AD136"/>
      <c r="AE136"/>
      <c r="AF136"/>
      <c r="AJ136" s="1164"/>
    </row>
    <row r="137" spans="1:36" s="1163" customFormat="1" outlineLevel="1">
      <c r="A137" s="1158"/>
      <c r="B137" s="1037">
        <f t="shared" si="49"/>
        <v>26</v>
      </c>
      <c r="C137" s="1046" t="str">
        <f t="shared" si="47"/>
        <v>PV of Increase in forecast year 25 lease commitments</v>
      </c>
      <c r="D137" s="1046"/>
      <c r="E137" s="1046"/>
      <c r="F137" s="1046"/>
      <c r="G137" s="1046"/>
      <c r="H137" s="1182">
        <f t="shared" si="45"/>
        <v>0</v>
      </c>
      <c r="I137" s="1182">
        <f t="shared" si="48"/>
        <v>0</v>
      </c>
      <c r="J137" s="1182">
        <f t="shared" si="48"/>
        <v>0</v>
      </c>
      <c r="K137" s="1182">
        <f t="shared" si="48"/>
        <v>0</v>
      </c>
      <c r="L137" s="1182">
        <f t="shared" si="48"/>
        <v>0</v>
      </c>
      <c r="M137" s="1182">
        <f t="shared" si="48"/>
        <v>0</v>
      </c>
      <c r="N137" s="1182">
        <f t="shared" si="48"/>
        <v>0</v>
      </c>
      <c r="O137" s="1182">
        <f t="shared" si="48"/>
        <v>0</v>
      </c>
      <c r="P137" s="1182">
        <f t="shared" si="48"/>
        <v>0</v>
      </c>
      <c r="Q137" s="1182">
        <f t="shared" si="48"/>
        <v>0</v>
      </c>
      <c r="R137" s="1182">
        <f t="shared" si="48"/>
        <v>0</v>
      </c>
      <c r="S137" s="1182">
        <f t="shared" si="48"/>
        <v>0</v>
      </c>
      <c r="T137" s="1182">
        <f t="shared" si="48"/>
        <v>0</v>
      </c>
      <c r="U137" s="1182">
        <f t="shared" si="48"/>
        <v>0</v>
      </c>
      <c r="V137" s="1182">
        <f t="shared" si="48"/>
        <v>0</v>
      </c>
      <c r="W137" s="1182">
        <f t="shared" si="48"/>
        <v>0</v>
      </c>
      <c r="AA137"/>
      <c r="AB137"/>
      <c r="AC137"/>
      <c r="AD137"/>
      <c r="AE137"/>
      <c r="AF137"/>
      <c r="AJ137" s="1164"/>
    </row>
    <row r="138" spans="1:36" s="1163" customFormat="1" outlineLevel="1">
      <c r="A138" s="1158"/>
      <c r="B138" s="1037">
        <f t="shared" si="49"/>
        <v>27</v>
      </c>
      <c r="C138" s="1046" t="str">
        <f t="shared" si="47"/>
        <v>PV of Increase in forecast year 26 lease commitments</v>
      </c>
      <c r="D138" s="1046"/>
      <c r="E138" s="1046"/>
      <c r="F138" s="1046"/>
      <c r="G138" s="1046"/>
      <c r="H138" s="1182">
        <f t="shared" si="45"/>
        <v>0</v>
      </c>
      <c r="I138" s="1182">
        <f t="shared" si="48"/>
        <v>0</v>
      </c>
      <c r="J138" s="1182">
        <f t="shared" si="48"/>
        <v>0</v>
      </c>
      <c r="K138" s="1182">
        <f t="shared" si="48"/>
        <v>0</v>
      </c>
      <c r="L138" s="1182">
        <f t="shared" si="48"/>
        <v>0</v>
      </c>
      <c r="M138" s="1182">
        <f t="shared" si="48"/>
        <v>0</v>
      </c>
      <c r="N138" s="1182">
        <f t="shared" si="48"/>
        <v>0</v>
      </c>
      <c r="O138" s="1182">
        <f t="shared" si="48"/>
        <v>0</v>
      </c>
      <c r="P138" s="1182">
        <f t="shared" si="48"/>
        <v>0</v>
      </c>
      <c r="Q138" s="1182">
        <f t="shared" si="48"/>
        <v>0</v>
      </c>
      <c r="R138" s="1182">
        <f t="shared" si="48"/>
        <v>0</v>
      </c>
      <c r="S138" s="1182">
        <f t="shared" si="48"/>
        <v>0</v>
      </c>
      <c r="T138" s="1182">
        <f t="shared" si="48"/>
        <v>0</v>
      </c>
      <c r="U138" s="1182">
        <f t="shared" si="48"/>
        <v>0</v>
      </c>
      <c r="V138" s="1182">
        <f t="shared" si="48"/>
        <v>0</v>
      </c>
      <c r="W138" s="1182">
        <f t="shared" si="48"/>
        <v>0</v>
      </c>
      <c r="AA138"/>
      <c r="AB138"/>
      <c r="AC138"/>
      <c r="AD138"/>
      <c r="AE138"/>
      <c r="AF138"/>
      <c r="AJ138" s="1164"/>
    </row>
    <row r="139" spans="1:36" s="1163" customFormat="1" outlineLevel="1">
      <c r="A139" s="1158"/>
      <c r="B139" s="1037">
        <f t="shared" si="49"/>
        <v>28</v>
      </c>
      <c r="C139" s="1046" t="str">
        <f t="shared" si="47"/>
        <v>PV of Increase in forecast year 27 lease commitments</v>
      </c>
      <c r="D139" s="1046"/>
      <c r="E139" s="1046"/>
      <c r="F139" s="1046"/>
      <c r="G139" s="1046"/>
      <c r="H139" s="1182">
        <f t="shared" si="45"/>
        <v>0</v>
      </c>
      <c r="I139" s="1182">
        <f t="shared" si="48"/>
        <v>0</v>
      </c>
      <c r="J139" s="1182">
        <f t="shared" si="48"/>
        <v>0</v>
      </c>
      <c r="K139" s="1182">
        <f t="shared" si="48"/>
        <v>0</v>
      </c>
      <c r="L139" s="1182">
        <f t="shared" si="48"/>
        <v>0</v>
      </c>
      <c r="M139" s="1182">
        <f t="shared" si="48"/>
        <v>0</v>
      </c>
      <c r="N139" s="1182">
        <f t="shared" si="48"/>
        <v>0</v>
      </c>
      <c r="O139" s="1182">
        <f t="shared" si="48"/>
        <v>0</v>
      </c>
      <c r="P139" s="1182">
        <f t="shared" si="48"/>
        <v>0</v>
      </c>
      <c r="Q139" s="1182">
        <f t="shared" si="48"/>
        <v>0</v>
      </c>
      <c r="R139" s="1182">
        <f t="shared" si="48"/>
        <v>0</v>
      </c>
      <c r="S139" s="1182">
        <f t="shared" si="48"/>
        <v>0</v>
      </c>
      <c r="T139" s="1182">
        <f t="shared" si="48"/>
        <v>0</v>
      </c>
      <c r="U139" s="1182">
        <f t="shared" si="48"/>
        <v>0</v>
      </c>
      <c r="V139" s="1182">
        <f t="shared" si="48"/>
        <v>0</v>
      </c>
      <c r="W139" s="1182">
        <f t="shared" si="48"/>
        <v>0</v>
      </c>
      <c r="AA139"/>
      <c r="AB139"/>
      <c r="AC139"/>
      <c r="AD139"/>
      <c r="AE139"/>
      <c r="AF139"/>
      <c r="AJ139" s="1164"/>
    </row>
    <row r="140" spans="1:36" s="1163" customFormat="1" outlineLevel="1">
      <c r="A140" s="1158"/>
      <c r="B140" s="1037">
        <f t="shared" si="49"/>
        <v>29</v>
      </c>
      <c r="C140" s="1046" t="str">
        <f t="shared" si="47"/>
        <v>PV of Increase in forecast year 28 lease commitments</v>
      </c>
      <c r="D140" s="1046"/>
      <c r="E140" s="1046"/>
      <c r="F140" s="1046"/>
      <c r="G140" s="1046"/>
      <c r="H140" s="1182">
        <f t="shared" si="45"/>
        <v>0</v>
      </c>
      <c r="I140" s="1182">
        <f t="shared" si="48"/>
        <v>0</v>
      </c>
      <c r="J140" s="1182">
        <f t="shared" si="48"/>
        <v>0</v>
      </c>
      <c r="K140" s="1182">
        <f t="shared" si="48"/>
        <v>0</v>
      </c>
      <c r="L140" s="1182">
        <f t="shared" si="48"/>
        <v>0</v>
      </c>
      <c r="M140" s="1182">
        <f t="shared" si="48"/>
        <v>0</v>
      </c>
      <c r="N140" s="1182">
        <f t="shared" si="48"/>
        <v>0</v>
      </c>
      <c r="O140" s="1182">
        <f t="shared" si="48"/>
        <v>0</v>
      </c>
      <c r="P140" s="1182">
        <f t="shared" si="48"/>
        <v>0</v>
      </c>
      <c r="Q140" s="1182">
        <f t="shared" si="48"/>
        <v>0</v>
      </c>
      <c r="R140" s="1182">
        <f t="shared" si="48"/>
        <v>0</v>
      </c>
      <c r="S140" s="1182">
        <f t="shared" si="48"/>
        <v>0</v>
      </c>
      <c r="T140" s="1182">
        <f t="shared" si="48"/>
        <v>0</v>
      </c>
      <c r="U140" s="1182">
        <f t="shared" si="48"/>
        <v>0</v>
      </c>
      <c r="V140" s="1182">
        <f t="shared" si="48"/>
        <v>0</v>
      </c>
      <c r="W140" s="1182">
        <f t="shared" si="48"/>
        <v>0</v>
      </c>
      <c r="AA140"/>
      <c r="AB140"/>
      <c r="AC140"/>
      <c r="AD140"/>
      <c r="AE140"/>
      <c r="AF140"/>
      <c r="AJ140" s="1164"/>
    </row>
    <row r="141" spans="1:36" s="1163" customFormat="1" outlineLevel="1">
      <c r="A141" s="1158"/>
      <c r="B141" s="1037">
        <f t="shared" si="49"/>
        <v>30</v>
      </c>
      <c r="C141" s="1046" t="str">
        <f t="shared" si="47"/>
        <v>PV of Increase in forecast year 29 lease commitments</v>
      </c>
      <c r="D141" s="1046"/>
      <c r="E141" s="1046"/>
      <c r="F141" s="1046"/>
      <c r="G141" s="1046"/>
      <c r="H141" s="1182">
        <f t="shared" si="45"/>
        <v>0</v>
      </c>
      <c r="I141" s="1182">
        <f t="shared" si="48"/>
        <v>0</v>
      </c>
      <c r="J141" s="1182">
        <f t="shared" si="48"/>
        <v>0</v>
      </c>
      <c r="K141" s="1182">
        <f t="shared" si="48"/>
        <v>0</v>
      </c>
      <c r="L141" s="1182">
        <f t="shared" si="48"/>
        <v>0</v>
      </c>
      <c r="M141" s="1182">
        <f t="shared" si="48"/>
        <v>0</v>
      </c>
      <c r="N141" s="1182">
        <f t="shared" si="48"/>
        <v>0</v>
      </c>
      <c r="O141" s="1182">
        <f t="shared" si="48"/>
        <v>0</v>
      </c>
      <c r="P141" s="1182">
        <f t="shared" si="48"/>
        <v>0</v>
      </c>
      <c r="Q141" s="1182">
        <f t="shared" si="48"/>
        <v>0</v>
      </c>
      <c r="R141" s="1182">
        <f t="shared" si="48"/>
        <v>0</v>
      </c>
      <c r="S141" s="1182">
        <f t="shared" si="48"/>
        <v>0</v>
      </c>
      <c r="T141" s="1182">
        <f t="shared" si="48"/>
        <v>0</v>
      </c>
      <c r="U141" s="1182">
        <f t="shared" si="48"/>
        <v>0</v>
      </c>
      <c r="V141" s="1182">
        <f t="shared" si="48"/>
        <v>0</v>
      </c>
      <c r="W141" s="1182">
        <f t="shared" si="48"/>
        <v>0</v>
      </c>
      <c r="AA141"/>
      <c r="AB141"/>
      <c r="AC141"/>
      <c r="AD141"/>
      <c r="AE141"/>
      <c r="AF141"/>
      <c r="AJ141" s="1164"/>
    </row>
    <row r="142" spans="1:36" s="1163" customFormat="1" outlineLevel="1">
      <c r="A142" s="1158"/>
      <c r="B142" s="1186"/>
      <c r="C142" s="1046"/>
      <c r="D142" s="1046"/>
      <c r="E142" s="1046"/>
      <c r="F142" s="1046"/>
      <c r="G142" s="1046"/>
      <c r="H142" s="1062"/>
      <c r="I142" s="1062"/>
      <c r="J142" s="1187"/>
      <c r="K142" s="1187"/>
      <c r="L142" s="1187"/>
      <c r="M142" s="1187"/>
      <c r="N142" s="1187"/>
      <c r="O142" s="1187"/>
      <c r="P142" s="1187"/>
      <c r="Q142" s="1187"/>
      <c r="R142" s="1187"/>
      <c r="S142" s="1187"/>
      <c r="T142" s="1187"/>
      <c r="U142" s="1187"/>
      <c r="V142" s="1187"/>
      <c r="W142" s="1187"/>
      <c r="AA142"/>
      <c r="AB142"/>
      <c r="AC142"/>
      <c r="AD142"/>
      <c r="AE142"/>
      <c r="AF142"/>
      <c r="AJ142" s="1164"/>
    </row>
    <row r="143" spans="1:36" s="1175" customFormat="1" outlineLevel="1">
      <c r="A143" s="1173"/>
      <c r="B143" s="1074"/>
      <c r="C143" s="1046" t="s">
        <v>1</v>
      </c>
      <c r="D143" s="1046"/>
      <c r="E143" s="1046"/>
      <c r="F143" s="1046"/>
      <c r="G143" s="1046"/>
      <c r="H143" s="1062">
        <f t="shared" ref="H143:W143" si="50">SUM(H112:H142)</f>
        <v>1137.341921826513</v>
      </c>
      <c r="I143" s="1062">
        <f t="shared" si="50"/>
        <v>183.31496484975625</v>
      </c>
      <c r="J143" s="1187">
        <f t="shared" si="50"/>
        <v>1286.5009750257284</v>
      </c>
      <c r="K143" s="1187">
        <f t="shared" si="50"/>
        <v>-780.59300800826202</v>
      </c>
      <c r="L143" s="1187">
        <f t="shared" si="50"/>
        <v>343.43493416535586</v>
      </c>
      <c r="M143" s="1187">
        <f t="shared" si="50"/>
        <v>416.64735059836329</v>
      </c>
      <c r="N143" s="1187">
        <f t="shared" si="50"/>
        <v>253.5764945890453</v>
      </c>
      <c r="O143" s="1187">
        <f t="shared" si="50"/>
        <v>366.30630442072874</v>
      </c>
      <c r="P143" s="1187">
        <f t="shared" si="50"/>
        <v>249.44384605156927</v>
      </c>
      <c r="Q143" s="1187">
        <f t="shared" si="50"/>
        <v>284.05379521736518</v>
      </c>
      <c r="R143" s="1187">
        <f t="shared" si="50"/>
        <v>289.73487112171267</v>
      </c>
      <c r="S143" s="1187">
        <f t="shared" si="50"/>
        <v>295.52956854414685</v>
      </c>
      <c r="T143" s="1187">
        <f t="shared" si="50"/>
        <v>301.44015991502982</v>
      </c>
      <c r="U143" s="1187">
        <f t="shared" si="50"/>
        <v>307.46896311333046</v>
      </c>
      <c r="V143" s="1187">
        <f t="shared" si="50"/>
        <v>313.61834237559702</v>
      </c>
      <c r="W143" s="1187">
        <f t="shared" si="50"/>
        <v>319.89070922310907</v>
      </c>
      <c r="AA143"/>
      <c r="AB143"/>
      <c r="AC143"/>
      <c r="AD143"/>
      <c r="AE143"/>
      <c r="AF143"/>
      <c r="AJ143" s="1164"/>
    </row>
    <row r="144" spans="1:36">
      <c r="C144" s="1188"/>
      <c r="D144" s="1188"/>
      <c r="E144" s="1188"/>
      <c r="F144" s="1188"/>
      <c r="G144" s="1188"/>
      <c r="H144" s="1100"/>
      <c r="I144" s="1100"/>
      <c r="J144" s="1100"/>
      <c r="K144" s="1100"/>
      <c r="L144" s="1100"/>
      <c r="M144" s="1100"/>
      <c r="N144" s="1100"/>
      <c r="O144" s="1100"/>
      <c r="P144" s="1100"/>
      <c r="Q144" s="1100"/>
      <c r="R144" s="1100"/>
      <c r="S144" s="1100"/>
      <c r="T144" s="1100"/>
      <c r="U144" s="1100"/>
      <c r="V144" s="1100"/>
      <c r="W144" s="1100"/>
    </row>
    <row r="145" spans="1:36">
      <c r="H145" s="1100"/>
      <c r="I145" s="1100"/>
      <c r="J145" s="1189"/>
      <c r="K145" s="1100"/>
      <c r="L145" s="1100"/>
      <c r="M145" s="1100"/>
      <c r="N145" s="1100"/>
      <c r="O145" s="1100"/>
      <c r="P145" s="1100"/>
      <c r="Q145" s="1100"/>
      <c r="R145" s="1100"/>
      <c r="S145" s="1100"/>
      <c r="T145" s="1100"/>
      <c r="U145" s="1100"/>
      <c r="V145" s="1100"/>
      <c r="W145" s="1100"/>
    </row>
    <row r="146" spans="1:36">
      <c r="H146" s="1100"/>
      <c r="I146" s="1100"/>
      <c r="J146" s="1100"/>
      <c r="K146" s="1100"/>
      <c r="L146" s="1100"/>
      <c r="M146" s="1100"/>
      <c r="N146" s="1100"/>
      <c r="O146" s="1100"/>
      <c r="P146" s="1100"/>
      <c r="Q146" s="1100"/>
      <c r="R146" s="1100"/>
      <c r="T146" s="1043"/>
      <c r="U146" s="1043"/>
      <c r="V146" s="1043"/>
      <c r="W146" s="1043"/>
    </row>
    <row r="147" spans="1:36" ht="12.75" customHeight="1" outlineLevel="1">
      <c r="C147" s="1106" t="s">
        <v>2</v>
      </c>
      <c r="D147" s="1106"/>
      <c r="E147" s="1106"/>
      <c r="F147" s="1106"/>
      <c r="G147" s="1106"/>
      <c r="H147" s="1155">
        <f t="shared" ref="H147:W147" si="51">H110</f>
        <v>39844</v>
      </c>
      <c r="I147" s="1155">
        <f t="shared" si="51"/>
        <v>40209</v>
      </c>
      <c r="J147" s="1155">
        <f t="shared" si="51"/>
        <v>40574</v>
      </c>
      <c r="K147" s="1155">
        <f t="shared" si="51"/>
        <v>40939</v>
      </c>
      <c r="L147" s="1155">
        <f t="shared" si="51"/>
        <v>41305</v>
      </c>
      <c r="M147" s="1155">
        <f t="shared" si="51"/>
        <v>41670</v>
      </c>
      <c r="N147" s="1155">
        <f t="shared" si="51"/>
        <v>42035</v>
      </c>
      <c r="O147" s="1155">
        <f t="shared" si="51"/>
        <v>42400</v>
      </c>
      <c r="P147" s="1155">
        <f t="shared" si="51"/>
        <v>42766</v>
      </c>
      <c r="Q147" s="1155">
        <f t="shared" si="51"/>
        <v>43131</v>
      </c>
      <c r="R147" s="1155">
        <f t="shared" si="51"/>
        <v>43496</v>
      </c>
      <c r="S147" s="1155">
        <f t="shared" si="51"/>
        <v>43861</v>
      </c>
      <c r="T147" s="1155">
        <f t="shared" si="51"/>
        <v>44227</v>
      </c>
      <c r="U147" s="1155">
        <f t="shared" si="51"/>
        <v>44592</v>
      </c>
      <c r="V147" s="1155">
        <f t="shared" si="51"/>
        <v>44957</v>
      </c>
      <c r="W147" s="1155">
        <f t="shared" si="51"/>
        <v>45322</v>
      </c>
    </row>
    <row r="148" spans="1:36" ht="11.25" customHeight="1" outlineLevel="1">
      <c r="H148" s="1081"/>
      <c r="I148" s="1081"/>
      <c r="J148" s="1081"/>
      <c r="K148" s="1081"/>
      <c r="L148" s="1081"/>
      <c r="M148" s="1081"/>
      <c r="N148" s="1081"/>
      <c r="O148" s="1082"/>
      <c r="P148" s="1082"/>
      <c r="Q148" s="1082"/>
      <c r="R148" s="1082"/>
      <c r="S148" s="1082"/>
      <c r="T148" s="1082"/>
      <c r="U148" s="1082"/>
      <c r="V148" s="1082"/>
      <c r="W148" s="1082"/>
    </row>
    <row r="149" spans="1:36" s="1029" customFormat="1" ht="11.25" customHeight="1" outlineLevel="1">
      <c r="A149" s="1023"/>
      <c r="C149" s="1025" t="s">
        <v>3</v>
      </c>
      <c r="D149" s="1025"/>
      <c r="E149" s="1025"/>
      <c r="F149" s="1025"/>
      <c r="G149" s="1025"/>
      <c r="H149" s="1190">
        <f t="shared" ref="H149:N149" si="52">H70</f>
        <v>10</v>
      </c>
      <c r="I149" s="1191">
        <f t="shared" si="52"/>
        <v>10</v>
      </c>
      <c r="J149" s="1191">
        <f t="shared" si="52"/>
        <v>10</v>
      </c>
      <c r="K149" s="1191">
        <f t="shared" si="52"/>
        <v>10</v>
      </c>
      <c r="L149" s="1191">
        <f t="shared" si="52"/>
        <v>10</v>
      </c>
      <c r="M149" s="1191">
        <f t="shared" si="52"/>
        <v>10</v>
      </c>
      <c r="N149" s="1191">
        <f t="shared" si="52"/>
        <v>10</v>
      </c>
      <c r="O149" s="1191">
        <f t="shared" ref="O149:W149" si="53">N149</f>
        <v>10</v>
      </c>
      <c r="P149" s="1191">
        <f t="shared" si="53"/>
        <v>10</v>
      </c>
      <c r="Q149" s="1191">
        <f t="shared" si="53"/>
        <v>10</v>
      </c>
      <c r="R149" s="1191">
        <f t="shared" si="53"/>
        <v>10</v>
      </c>
      <c r="S149" s="1191">
        <f t="shared" si="53"/>
        <v>10</v>
      </c>
      <c r="T149" s="1191">
        <f t="shared" si="53"/>
        <v>10</v>
      </c>
      <c r="U149" s="1191">
        <f t="shared" si="53"/>
        <v>10</v>
      </c>
      <c r="V149" s="1191">
        <f t="shared" si="53"/>
        <v>10</v>
      </c>
      <c r="W149" s="1191">
        <f t="shared" si="53"/>
        <v>10</v>
      </c>
      <c r="AA149"/>
      <c r="AB149"/>
      <c r="AC149"/>
      <c r="AD149"/>
      <c r="AE149"/>
      <c r="AF149"/>
      <c r="AJ149" s="1035"/>
    </row>
    <row r="150" spans="1:36" s="1029" customFormat="1" ht="11.25" customHeight="1" outlineLevel="1">
      <c r="A150" s="1023"/>
      <c r="C150" s="1025" t="s">
        <v>4</v>
      </c>
      <c r="D150" s="1071"/>
      <c r="E150" s="1071"/>
      <c r="F150" s="1071"/>
      <c r="G150" s="1071"/>
      <c r="H150" s="1095">
        <v>0</v>
      </c>
      <c r="I150" s="1192"/>
      <c r="J150" s="1192"/>
      <c r="K150" s="1191"/>
      <c r="L150" s="1191"/>
      <c r="M150" s="1191"/>
      <c r="N150" s="1191"/>
      <c r="O150" s="1191"/>
      <c r="P150" s="1191"/>
      <c r="Q150" s="1191"/>
      <c r="R150" s="1191"/>
      <c r="S150" s="1191"/>
      <c r="T150" s="1191"/>
      <c r="U150" s="1191"/>
      <c r="V150" s="1191"/>
      <c r="W150" s="1191"/>
      <c r="AA150"/>
      <c r="AB150"/>
      <c r="AC150"/>
      <c r="AD150"/>
      <c r="AE150"/>
      <c r="AF150"/>
      <c r="AJ150" s="1035"/>
    </row>
    <row r="151" spans="1:36" s="1029" customFormat="1" ht="11.25" customHeight="1" outlineLevel="1">
      <c r="A151" s="1023"/>
      <c r="C151" s="1025" t="s">
        <v>5</v>
      </c>
      <c r="D151" s="1071"/>
      <c r="E151" s="1071"/>
      <c r="F151" s="1071"/>
      <c r="G151" s="1071"/>
      <c r="H151" s="1193">
        <v>0.98</v>
      </c>
      <c r="AA151"/>
      <c r="AB151"/>
      <c r="AC151"/>
      <c r="AD151"/>
      <c r="AE151"/>
      <c r="AF151"/>
      <c r="AJ151" s="1035"/>
    </row>
    <row r="152" spans="1:36" s="1025" customFormat="1" ht="11.25" customHeight="1" outlineLevel="1">
      <c r="A152" s="1194"/>
      <c r="C152" s="1025" t="s">
        <v>6</v>
      </c>
      <c r="H152" s="1195">
        <v>2</v>
      </c>
      <c r="AA152"/>
      <c r="AB152"/>
      <c r="AC152"/>
      <c r="AD152"/>
      <c r="AE152"/>
      <c r="AF152"/>
      <c r="AJ152" s="1035"/>
    </row>
    <row r="153" spans="1:36" s="1025" customFormat="1" ht="11.25" customHeight="1" outlineLevel="1">
      <c r="A153" s="1194"/>
      <c r="C153" s="1025" t="s">
        <v>7</v>
      </c>
      <c r="H153" s="1196">
        <f>H24*(1-H150)</f>
        <v>920.00665352985231</v>
      </c>
      <c r="I153" s="1196">
        <f t="shared" ref="I153:W153" si="54">I143*(1-$H$150)</f>
        <v>183.31496484975625</v>
      </c>
      <c r="J153" s="1196">
        <f t="shared" si="54"/>
        <v>1286.5009750257284</v>
      </c>
      <c r="K153" s="1196">
        <f t="shared" si="54"/>
        <v>-780.59300800826202</v>
      </c>
      <c r="L153" s="1196">
        <f t="shared" si="54"/>
        <v>343.43493416535586</v>
      </c>
      <c r="M153" s="1196">
        <f t="shared" si="54"/>
        <v>416.64735059836329</v>
      </c>
      <c r="N153" s="1196">
        <f t="shared" si="54"/>
        <v>253.5764945890453</v>
      </c>
      <c r="O153" s="1196">
        <f t="shared" si="54"/>
        <v>366.30630442072874</v>
      </c>
      <c r="P153" s="1196">
        <f t="shared" si="54"/>
        <v>249.44384605156927</v>
      </c>
      <c r="Q153" s="1196">
        <f t="shared" si="54"/>
        <v>284.05379521736518</v>
      </c>
      <c r="R153" s="1196">
        <f t="shared" si="54"/>
        <v>289.73487112171267</v>
      </c>
      <c r="S153" s="1196">
        <f t="shared" si="54"/>
        <v>295.52956854414685</v>
      </c>
      <c r="T153" s="1196">
        <f t="shared" si="54"/>
        <v>301.44015991502982</v>
      </c>
      <c r="U153" s="1196">
        <f t="shared" si="54"/>
        <v>307.46896311333046</v>
      </c>
      <c r="V153" s="1196">
        <f t="shared" si="54"/>
        <v>313.61834237559702</v>
      </c>
      <c r="W153" s="1196">
        <f t="shared" si="54"/>
        <v>319.89070922310907</v>
      </c>
      <c r="AA153"/>
      <c r="AB153"/>
      <c r="AC153"/>
      <c r="AD153"/>
      <c r="AE153"/>
      <c r="AF153"/>
      <c r="AJ153" s="1035"/>
    </row>
    <row r="154" spans="1:36" s="1025" customFormat="1" ht="11.25" customHeight="1" outlineLevel="1">
      <c r="A154" s="1194"/>
      <c r="B154" s="1196"/>
      <c r="C154" s="1025" t="s">
        <v>8</v>
      </c>
      <c r="H154" s="1197">
        <f>$H$24/$H$149*H152*(1-H150)</f>
        <v>184.00133070597047</v>
      </c>
      <c r="I154" s="1198">
        <f>IF(SUM($H154:H154)+H154*$H$151&lt;$H$153,H154*$H$151,$H$153-SUM($H154:H154))</f>
        <v>180.32130409185106</v>
      </c>
      <c r="J154" s="1198">
        <f>IF(SUM($H154:I154)+I154*$H$151&lt;$H$153,I154*$H$151,$H$153-SUM($H154:I154))</f>
        <v>176.71487801001405</v>
      </c>
      <c r="K154" s="1198">
        <f>IF(SUM($H154:J154)+J154*$H$151&lt;$H$153,J154*$H$151,$H$153-SUM($H154:J154))</f>
        <v>173.18058044981376</v>
      </c>
      <c r="L154" s="1198">
        <f>IF(SUM($H154:K154)+K154*$H$151&lt;$H$153,K154*$H$151,$H$153-SUM($H154:K154))</f>
        <v>169.71696884081749</v>
      </c>
      <c r="M154" s="1198">
        <f>IF(SUM($H154:L154)+L154*$H$151&lt;$H$153,L154*$H$151,$H$153-SUM($H154:L154))</f>
        <v>36.071591431385514</v>
      </c>
      <c r="N154" s="1198">
        <f>IF(SUM($H154:M154)+M154*$H$151&lt;$H$153,M154*$H$151,$H$153-SUM($H154:M154))</f>
        <v>0</v>
      </c>
      <c r="O154" s="1198">
        <f>IF(SUM($H154:N154)+N154*$H$151&lt;$H$153,N154*$H$151,$H$153-SUM($H154:N154))</f>
        <v>0</v>
      </c>
      <c r="P154" s="1198">
        <f>IF(SUM($H154:O154)+O154*$H$151&lt;$H$153,O154*$H$151,$H$153-SUM($H154:O154))</f>
        <v>0</v>
      </c>
      <c r="Q154" s="1198">
        <f>IF(SUM($H154:P154)+P154*$H$151&lt;$H$153,P154*$H$151,$H$153-SUM($H154:P154))</f>
        <v>0</v>
      </c>
      <c r="R154" s="1198">
        <f>IF(SUM($H154:Q154)+Q154*$H$151&lt;$H$153,Q154*$H$151,$H$153-SUM($H154:Q154))</f>
        <v>0</v>
      </c>
      <c r="S154" s="1198">
        <f>IF(SUM($H154:R154)+R154*$H$151&lt;$H$153,R154*$H$151,$H$153-SUM($H154:R154))</f>
        <v>0</v>
      </c>
      <c r="T154" s="1198">
        <f>IF(SUM($H154:S154)+S154*$H$151&lt;$H$153,S154*$H$151,$H$153-SUM($H154:S154))</f>
        <v>0</v>
      </c>
      <c r="U154" s="1198">
        <f>IF(SUM($H154:T154)+T154*$H$151&lt;$H$153,T154*$H$151,$H$153-SUM($H154:T154))</f>
        <v>0</v>
      </c>
      <c r="V154" s="1198">
        <f>IF(SUM($H154:U154)+U154*$H$151&lt;$H$153,U154*$H$151,$H$153-SUM($H154:U154))</f>
        <v>0</v>
      </c>
      <c r="W154" s="1198">
        <f>IF(SUM($H154:V154)+V154*$H$151&lt;$H$153,V154*$H$151,$H$153-SUM($H154:V154))</f>
        <v>0</v>
      </c>
      <c r="AA154"/>
      <c r="AB154"/>
      <c r="AC154"/>
      <c r="AD154"/>
      <c r="AE154"/>
      <c r="AF154"/>
      <c r="AJ154" s="1035"/>
    </row>
    <row r="155" spans="1:36" s="1029" customFormat="1" ht="11.25" customHeight="1" outlineLevel="1">
      <c r="A155" s="1023"/>
      <c r="B155" s="1191"/>
      <c r="C155" s="1199">
        <f t="array" ref="C155:C169">TRANSPOSE(H147:W147)</f>
        <v>39844</v>
      </c>
      <c r="D155" s="1064"/>
      <c r="E155" s="1064"/>
      <c r="F155" s="1064"/>
      <c r="G155" s="1064"/>
      <c r="H155" s="1200"/>
      <c r="I155" s="1200">
        <f>I$22/I$149*(1-$H$150)</f>
        <v>18.331496484975624</v>
      </c>
      <c r="J155" s="1200">
        <f>(IF(COUNT($I155:I155)&lt;$I$149,I155,0))</f>
        <v>18.331496484975624</v>
      </c>
      <c r="K155" s="1200">
        <f>(IF(COUNT($I155:J155)&lt;$I$149,J155,0))</f>
        <v>18.331496484975624</v>
      </c>
      <c r="L155" s="1200">
        <f>(IF(COUNT($I155:K155)&lt;$I$149,K155,0))</f>
        <v>18.331496484975624</v>
      </c>
      <c r="M155" s="1200">
        <f>(IF(COUNT($I155:L155)&lt;$I$149,L155,0))</f>
        <v>18.331496484975624</v>
      </c>
      <c r="N155" s="1200">
        <f>(IF(COUNT($I155:M155)&lt;$I$149,M155,0))</f>
        <v>18.331496484975624</v>
      </c>
      <c r="O155" s="1200">
        <f>(IF(COUNT($I155:N155)&lt;$I$149,N155,0))</f>
        <v>18.331496484975624</v>
      </c>
      <c r="P155" s="1200">
        <f>(IF(COUNT($I155:O155)&lt;$I$149,O155,0))</f>
        <v>18.331496484975624</v>
      </c>
      <c r="Q155" s="1200">
        <f>(IF(COUNT($I155:P155)&lt;$I$149,P155,0))</f>
        <v>18.331496484975624</v>
      </c>
      <c r="R155" s="1200">
        <f>(IF(COUNT($I155:Q155)&lt;$I$149,Q155,0))</f>
        <v>18.331496484975624</v>
      </c>
      <c r="S155" s="1200">
        <f>(IF(COUNT($I155:R155)&lt;$I$149,R155,0))</f>
        <v>0</v>
      </c>
      <c r="T155" s="1200">
        <f>(IF(COUNT($I155:S155)&lt;$I$149,S155,0))</f>
        <v>0</v>
      </c>
      <c r="U155" s="1200">
        <f>(IF(COUNT($I155:T155)&lt;$I$149,T155,0))</f>
        <v>0</v>
      </c>
      <c r="V155" s="1200">
        <f>(IF(COUNT($I155:U155)&lt;$I$149,U155,0))</f>
        <v>0</v>
      </c>
      <c r="W155" s="1200">
        <f>(IF(COUNT($I155:V155)&lt;$I$149,V155,0))</f>
        <v>0</v>
      </c>
      <c r="X155" s="1200"/>
      <c r="Y155" s="1200"/>
      <c r="Z155" s="1200"/>
      <c r="AA155"/>
      <c r="AB155"/>
      <c r="AC155"/>
      <c r="AD155"/>
      <c r="AE155"/>
      <c r="AF155"/>
      <c r="AJ155" s="1035"/>
    </row>
    <row r="156" spans="1:36" s="1029" customFormat="1" ht="11.25" customHeight="1" outlineLevel="1">
      <c r="A156" s="1023"/>
      <c r="B156" s="1191"/>
      <c r="C156" s="1199">
        <v>40209</v>
      </c>
      <c r="D156" s="1064"/>
      <c r="E156" s="1064"/>
      <c r="F156" s="1064"/>
      <c r="G156" s="1064"/>
      <c r="H156" s="1200"/>
      <c r="I156" s="1200"/>
      <c r="J156" s="1200">
        <f>J$22/J$149*(1-$H$150)</f>
        <v>128.65009750257283</v>
      </c>
      <c r="K156" s="1200">
        <f>(IF(COUNT($J156:J156)&lt;$J$149,J156,0))</f>
        <v>128.65009750257283</v>
      </c>
      <c r="L156" s="1200">
        <f>(IF(COUNT($J156:K156)&lt;$J$149,K156,0))</f>
        <v>128.65009750257283</v>
      </c>
      <c r="M156" s="1200">
        <f>(IF(COUNT($J156:L156)&lt;$J$149,L156,0))</f>
        <v>128.65009750257283</v>
      </c>
      <c r="N156" s="1200">
        <f>(IF(COUNT($J156:M156)&lt;$J$149,M156,0))</f>
        <v>128.65009750257283</v>
      </c>
      <c r="O156" s="1200">
        <f>(IF(COUNT($J156:N156)&lt;$J$149,N156,0))</f>
        <v>128.65009750257283</v>
      </c>
      <c r="P156" s="1200">
        <f>(IF(COUNT($J156:O156)&lt;$J$149,O156,0))</f>
        <v>128.65009750257283</v>
      </c>
      <c r="Q156" s="1200">
        <f>(IF(COUNT($J156:P156)&lt;$J$149,P156,0))</f>
        <v>128.65009750257283</v>
      </c>
      <c r="R156" s="1200">
        <f>(IF(COUNT($J156:Q156)&lt;$J$149,Q156,0))</f>
        <v>128.65009750257283</v>
      </c>
      <c r="S156" s="1200">
        <f>(IF(COUNT($J156:R156)&lt;$J$149,R156,0))</f>
        <v>128.65009750257283</v>
      </c>
      <c r="T156" s="1200">
        <f>(IF(COUNT($J156:S156)&lt;$J$149,S156,0))</f>
        <v>0</v>
      </c>
      <c r="U156" s="1200">
        <f>(IF(COUNT($J156:T156)&lt;$J$149,T156,0))</f>
        <v>0</v>
      </c>
      <c r="V156" s="1200">
        <f>(IF(COUNT($J156:U156)&lt;$J$149,U156,0))</f>
        <v>0</v>
      </c>
      <c r="W156" s="1200">
        <f>(IF(COUNT($J156:V156)&lt;$J$149,V156,0))</f>
        <v>0</v>
      </c>
      <c r="X156" s="1200"/>
      <c r="Y156" s="1200"/>
      <c r="Z156" s="1200"/>
      <c r="AA156"/>
      <c r="AB156"/>
      <c r="AC156"/>
      <c r="AD156"/>
      <c r="AE156"/>
      <c r="AF156"/>
      <c r="AJ156" s="1035"/>
    </row>
    <row r="157" spans="1:36" s="1029" customFormat="1" ht="11.25" customHeight="1" outlineLevel="1">
      <c r="A157" s="1023"/>
      <c r="B157" s="1191"/>
      <c r="C157" s="1199">
        <v>40574</v>
      </c>
      <c r="D157" s="1064"/>
      <c r="E157" s="1064"/>
      <c r="F157" s="1064"/>
      <c r="G157" s="1064"/>
      <c r="H157" s="1200"/>
      <c r="I157" s="1200"/>
      <c r="J157" s="1200"/>
      <c r="K157" s="1200">
        <f>K$22/K$149*(1-$H$150)</f>
        <v>-78.059300800826207</v>
      </c>
      <c r="L157" s="1200">
        <f>(IF(COUNT($J157:K157)&lt;$K$149,K157,0))</f>
        <v>-78.059300800826207</v>
      </c>
      <c r="M157" s="1200">
        <f>(IF(COUNT($J157:L157)&lt;$K$149,L157,0))</f>
        <v>-78.059300800826207</v>
      </c>
      <c r="N157" s="1200">
        <f>(IF(COUNT($J157:M157)&lt;$K$149,M157,0))</f>
        <v>-78.059300800826207</v>
      </c>
      <c r="O157" s="1200">
        <f>(IF(COUNT($J157:N157)&lt;$K$149,N157,0))</f>
        <v>-78.059300800826207</v>
      </c>
      <c r="P157" s="1200">
        <f>(IF(COUNT($J157:O157)&lt;$K$149,O157,0))</f>
        <v>-78.059300800826207</v>
      </c>
      <c r="Q157" s="1200">
        <f>(IF(COUNT($J157:P157)&lt;$K$149,P157,0))</f>
        <v>-78.059300800826207</v>
      </c>
      <c r="R157" s="1200">
        <f>(IF(COUNT($J157:Q157)&lt;$K$149,Q157,0))</f>
        <v>-78.059300800826207</v>
      </c>
      <c r="S157" s="1200">
        <f>(IF(COUNT($J157:R157)&lt;$K$149,R157,0))</f>
        <v>-78.059300800826207</v>
      </c>
      <c r="T157" s="1200">
        <f>(IF(COUNT($J157:S157)&lt;$K$149,S157,0))</f>
        <v>-78.059300800826207</v>
      </c>
      <c r="U157" s="1200">
        <f>(IF(COUNT($J157:T157)&lt;$K$149,T157,0))</f>
        <v>0</v>
      </c>
      <c r="V157" s="1200">
        <f>(IF(COUNT($J157:U157)&lt;$K$149,U157,0))</f>
        <v>0</v>
      </c>
      <c r="W157" s="1200">
        <f>(IF(COUNT($J157:V157)&lt;$K$149,V157,0))</f>
        <v>0</v>
      </c>
      <c r="AA157"/>
      <c r="AB157"/>
      <c r="AC157"/>
      <c r="AD157"/>
      <c r="AE157"/>
      <c r="AF157"/>
      <c r="AJ157" s="1035"/>
    </row>
    <row r="158" spans="1:36" s="1029" customFormat="1" ht="11.25" customHeight="1" outlineLevel="1">
      <c r="A158" s="1023"/>
      <c r="B158" s="1191"/>
      <c r="C158" s="1199">
        <v>40939</v>
      </c>
      <c r="D158" s="1064"/>
      <c r="E158" s="1064"/>
      <c r="F158" s="1064"/>
      <c r="G158" s="1064"/>
      <c r="H158" s="1200"/>
      <c r="I158" s="1200"/>
      <c r="J158" s="1200"/>
      <c r="K158" s="1200"/>
      <c r="L158" s="1200">
        <f>L$22/L$149*(1-$H$150)</f>
        <v>34.343493416535587</v>
      </c>
      <c r="M158" s="1200">
        <f>(IF(COUNT($L158:L158)&lt;$L$149,L158,0))</f>
        <v>34.343493416535587</v>
      </c>
      <c r="N158" s="1200">
        <f>(IF(COUNT($L158:M158)&lt;$L$149,M158,0))</f>
        <v>34.343493416535587</v>
      </c>
      <c r="O158" s="1200">
        <f>(IF(COUNT($L158:N158)&lt;$L$149,N158,0))</f>
        <v>34.343493416535587</v>
      </c>
      <c r="P158" s="1200">
        <f>(IF(COUNT($L158:O158)&lt;$L$149,O158,0))</f>
        <v>34.343493416535587</v>
      </c>
      <c r="Q158" s="1200">
        <f>(IF(COUNT($L158:P158)&lt;$L$149,P158,0))</f>
        <v>34.343493416535587</v>
      </c>
      <c r="R158" s="1200">
        <f>(IF(COUNT($L158:Q158)&lt;$L$149,Q158,0))</f>
        <v>34.343493416535587</v>
      </c>
      <c r="S158" s="1200">
        <f>(IF(COUNT($L158:R158)&lt;$L$149,R158,0))</f>
        <v>34.343493416535587</v>
      </c>
      <c r="T158" s="1200">
        <f>(IF(COUNT($L158:S158)&lt;$L$149,S158,0))</f>
        <v>34.343493416535587</v>
      </c>
      <c r="U158" s="1200">
        <f>(IF(COUNT($L158:T158)&lt;$L$149,T158,0))</f>
        <v>34.343493416535587</v>
      </c>
      <c r="V158" s="1200">
        <f>(IF(COUNT($L158:U158)&lt;$L$149,U158,0))</f>
        <v>0</v>
      </c>
      <c r="W158" s="1200">
        <f>(IF(COUNT($L158:V158)&lt;$L$149,V158,0))</f>
        <v>0</v>
      </c>
      <c r="X158" s="1200"/>
      <c r="Y158" s="1200"/>
      <c r="Z158" s="1200"/>
      <c r="AA158"/>
      <c r="AB158"/>
      <c r="AC158"/>
      <c r="AD158"/>
      <c r="AE158"/>
      <c r="AF158"/>
      <c r="AJ158" s="1035"/>
    </row>
    <row r="159" spans="1:36" s="1029" customFormat="1" ht="11.25" customHeight="1" outlineLevel="1">
      <c r="A159" s="1023"/>
      <c r="B159" s="1191"/>
      <c r="C159" s="1199">
        <v>41305</v>
      </c>
      <c r="D159" s="1064"/>
      <c r="E159" s="1064"/>
      <c r="F159" s="1064"/>
      <c r="G159" s="1064"/>
      <c r="H159" s="1200"/>
      <c r="I159" s="1200"/>
      <c r="J159" s="1200"/>
      <c r="K159" s="1200"/>
      <c r="L159" s="1200"/>
      <c r="M159" s="1200">
        <f>M$22/M$149*(1-$H$150)</f>
        <v>41.664735059836332</v>
      </c>
      <c r="N159" s="1200">
        <f>(IF(COUNT($M159:M159)&lt;$M$149,M159,0))</f>
        <v>41.664735059836332</v>
      </c>
      <c r="O159" s="1200">
        <f>(IF(COUNT($M159:N159)&lt;$M$149,N159,0))</f>
        <v>41.664735059836332</v>
      </c>
      <c r="P159" s="1200">
        <f>(IF(COUNT($M159:O159)&lt;$M$149,O159,0))</f>
        <v>41.664735059836332</v>
      </c>
      <c r="Q159" s="1200">
        <f>(IF(COUNT($M159:P159)&lt;$M$149,P159,0))</f>
        <v>41.664735059836332</v>
      </c>
      <c r="R159" s="1200">
        <f>(IF(COUNT($M159:Q159)&lt;$M$149,Q159,0))</f>
        <v>41.664735059836332</v>
      </c>
      <c r="S159" s="1200">
        <f>(IF(COUNT($M159:R159)&lt;$M$149,R159,0))</f>
        <v>41.664735059836332</v>
      </c>
      <c r="T159" s="1200">
        <f>(IF(COUNT($M159:S159)&lt;$M$149,S159,0))</f>
        <v>41.664735059836332</v>
      </c>
      <c r="U159" s="1200">
        <f>(IF(COUNT($M159:T159)&lt;$M$149,T159,0))</f>
        <v>41.664735059836332</v>
      </c>
      <c r="V159" s="1200">
        <f>(IF(COUNT($M159:U159)&lt;$M$149,U159,0))</f>
        <v>41.664735059836332</v>
      </c>
      <c r="W159" s="1200">
        <f>(IF(COUNT($M159:V159)&lt;$M$149,V159,0))</f>
        <v>0</v>
      </c>
      <c r="AA159"/>
      <c r="AB159"/>
      <c r="AC159"/>
      <c r="AD159"/>
      <c r="AE159"/>
      <c r="AF159"/>
      <c r="AJ159" s="1035"/>
    </row>
    <row r="160" spans="1:36" s="1029" customFormat="1" ht="11.25" customHeight="1" outlineLevel="1">
      <c r="A160" s="1023"/>
      <c r="B160" s="1191"/>
      <c r="C160" s="1199">
        <v>41670</v>
      </c>
      <c r="D160" s="1064"/>
      <c r="E160" s="1064"/>
      <c r="F160" s="1064"/>
      <c r="G160" s="1064"/>
      <c r="H160" s="1200"/>
      <c r="I160" s="1200"/>
      <c r="J160" s="1200"/>
      <c r="K160" s="1200"/>
      <c r="L160" s="1200"/>
      <c r="M160" s="1200"/>
      <c r="N160" s="1200">
        <f>N$22/N$149*(1-$H$150)</f>
        <v>25.357649458904529</v>
      </c>
      <c r="O160" s="1200">
        <f>(IF(COUNT($N160:N160)&lt;$N$149,N160,0))</f>
        <v>25.357649458904529</v>
      </c>
      <c r="P160" s="1200">
        <f>(IF(COUNT($N160:O160)&lt;$N$149,O160,0))</f>
        <v>25.357649458904529</v>
      </c>
      <c r="Q160" s="1200">
        <f>(IF(COUNT($N160:P160)&lt;$N$149,P160,0))</f>
        <v>25.357649458904529</v>
      </c>
      <c r="R160" s="1200">
        <f>(IF(COUNT($N160:Q160)&lt;$N$149,Q160,0))</f>
        <v>25.357649458904529</v>
      </c>
      <c r="S160" s="1200">
        <f>(IF(COUNT($N160:R160)&lt;$N$149,R160,0))</f>
        <v>25.357649458904529</v>
      </c>
      <c r="T160" s="1200">
        <f>(IF(COUNT($N160:S160)&lt;$N$149,S160,0))</f>
        <v>25.357649458904529</v>
      </c>
      <c r="U160" s="1200">
        <f>(IF(COUNT($N160:T160)&lt;$N$149,T160,0))</f>
        <v>25.357649458904529</v>
      </c>
      <c r="V160" s="1200">
        <f>(IF(COUNT($N160:U160)&lt;$N$149,U160,0))</f>
        <v>25.357649458904529</v>
      </c>
      <c r="W160" s="1200">
        <f>(IF(COUNT($N160:V160)&lt;$N$149,V160,0))</f>
        <v>25.357649458904529</v>
      </c>
      <c r="X160" s="1200"/>
      <c r="Y160" s="1200"/>
      <c r="Z160" s="1200"/>
      <c r="AA160"/>
      <c r="AB160"/>
      <c r="AC160"/>
      <c r="AD160"/>
      <c r="AE160"/>
      <c r="AF160"/>
      <c r="AJ160" s="1035"/>
    </row>
    <row r="161" spans="1:36" s="1029" customFormat="1" ht="11.25" customHeight="1" outlineLevel="1">
      <c r="A161" s="1023"/>
      <c r="B161" s="1191"/>
      <c r="C161" s="1199">
        <v>42035</v>
      </c>
      <c r="D161" s="1064"/>
      <c r="E161" s="1064"/>
      <c r="F161" s="1064"/>
      <c r="G161" s="1064"/>
      <c r="H161" s="1200"/>
      <c r="I161" s="1200"/>
      <c r="J161" s="1200"/>
      <c r="K161" s="1200"/>
      <c r="L161" s="1200"/>
      <c r="M161" s="1200"/>
      <c r="N161" s="1200"/>
      <c r="O161" s="1200">
        <f>O$22/O$149*(1-$H$150)</f>
        <v>36.630630442072871</v>
      </c>
      <c r="P161" s="1200">
        <f>(IF(COUNT($O161:O161)&lt;$O$149,O161,0))</f>
        <v>36.630630442072871</v>
      </c>
      <c r="Q161" s="1200">
        <f>(IF(COUNT($O161:P161)&lt;$O$149,P161,0))</f>
        <v>36.630630442072871</v>
      </c>
      <c r="R161" s="1200">
        <f>(IF(COUNT($O161:Q161)&lt;$O$149,Q161,0))</f>
        <v>36.630630442072871</v>
      </c>
      <c r="S161" s="1200">
        <f>(IF(COUNT($O161:R161)&lt;$O$149,R161,0))</f>
        <v>36.630630442072871</v>
      </c>
      <c r="T161" s="1200">
        <f>(IF(COUNT($O161:S161)&lt;$O$149,S161,0))</f>
        <v>36.630630442072871</v>
      </c>
      <c r="U161" s="1200">
        <f>(IF(COUNT($O161:T161)&lt;$O$149,T161,0))</f>
        <v>36.630630442072871</v>
      </c>
      <c r="V161" s="1200">
        <f>(IF(COUNT($O161:U161)&lt;$O$149,U161,0))</f>
        <v>36.630630442072871</v>
      </c>
      <c r="W161" s="1200">
        <f>(IF(COUNT($O161:V161)&lt;$O$149,V161,0))</f>
        <v>36.630630442072871</v>
      </c>
      <c r="AA161"/>
      <c r="AB161"/>
      <c r="AC161"/>
      <c r="AD161"/>
      <c r="AE161"/>
      <c r="AF161"/>
      <c r="AJ161" s="1035"/>
    </row>
    <row r="162" spans="1:36" s="1029" customFormat="1" ht="11.25" customHeight="1" outlineLevel="1">
      <c r="A162" s="1023"/>
      <c r="B162" s="1191"/>
      <c r="C162" s="1199">
        <v>42400</v>
      </c>
      <c r="D162" s="1064"/>
      <c r="E162" s="1064"/>
      <c r="F162" s="1064"/>
      <c r="G162" s="1064"/>
      <c r="H162" s="1200"/>
      <c r="I162" s="1200"/>
      <c r="J162" s="1200"/>
      <c r="K162" s="1200"/>
      <c r="L162" s="1200"/>
      <c r="M162" s="1200"/>
      <c r="N162" s="1200"/>
      <c r="O162" s="1200"/>
      <c r="P162" s="1200">
        <f>P$22/P$149*(1-$H$150)</f>
        <v>24.944384605156927</v>
      </c>
      <c r="Q162" s="1200">
        <f>(IF(COUNT($P162:P162)&lt;$P$149,P162,0))</f>
        <v>24.944384605156927</v>
      </c>
      <c r="R162" s="1200">
        <f>(IF(COUNT($P162:Q162)&lt;$P$149,Q162,0))</f>
        <v>24.944384605156927</v>
      </c>
      <c r="S162" s="1200">
        <f>(IF(COUNT($P162:R162)&lt;$P$149,R162,0))</f>
        <v>24.944384605156927</v>
      </c>
      <c r="T162" s="1200">
        <f>(IF(COUNT($P162:S162)&lt;$P$149,S162,0))</f>
        <v>24.944384605156927</v>
      </c>
      <c r="U162" s="1200">
        <f>(IF(COUNT($P162:T162)&lt;$P$149,T162,0))</f>
        <v>24.944384605156927</v>
      </c>
      <c r="V162" s="1200">
        <f>(IF(COUNT($P162:U162)&lt;$P$149,U162,0))</f>
        <v>24.944384605156927</v>
      </c>
      <c r="W162" s="1200">
        <f>(IF(COUNT($P162:V162)&lt;$P$149,V162,0))</f>
        <v>24.944384605156927</v>
      </c>
      <c r="AA162"/>
      <c r="AB162"/>
      <c r="AC162"/>
      <c r="AD162"/>
      <c r="AE162"/>
      <c r="AF162"/>
      <c r="AJ162" s="1035"/>
    </row>
    <row r="163" spans="1:36" s="1029" customFormat="1" ht="11.25" customHeight="1" outlineLevel="1">
      <c r="A163" s="1023"/>
      <c r="B163" s="1191"/>
      <c r="C163" s="1199">
        <v>42766</v>
      </c>
      <c r="D163" s="1064"/>
      <c r="E163" s="1064"/>
      <c r="F163" s="1064"/>
      <c r="G163" s="1064"/>
      <c r="H163" s="1200"/>
      <c r="I163" s="1200"/>
      <c r="J163" s="1200"/>
      <c r="K163" s="1200"/>
      <c r="L163" s="1200"/>
      <c r="M163" s="1200"/>
      <c r="N163" s="1200"/>
      <c r="O163" s="1200"/>
      <c r="P163" s="1200"/>
      <c r="Q163" s="1200">
        <f>Q$22/Q$149*(1-$H$150)</f>
        <v>28.405379521736517</v>
      </c>
      <c r="R163" s="1200">
        <f>(IF(COUNT($Q163:Q163)&lt;$Q$149,Q163,0))</f>
        <v>28.405379521736517</v>
      </c>
      <c r="S163" s="1200">
        <f>(IF(COUNT($Q163:R163)&lt;$Q$149,R163,0))</f>
        <v>28.405379521736517</v>
      </c>
      <c r="T163" s="1200">
        <f>(IF(COUNT($Q163:S163)&lt;$Q$149,S163,0))</f>
        <v>28.405379521736517</v>
      </c>
      <c r="U163" s="1200">
        <f>(IF(COUNT($Q163:T163)&lt;$Q$149,T163,0))</f>
        <v>28.405379521736517</v>
      </c>
      <c r="V163" s="1200">
        <f>(IF(COUNT($Q163:U163)&lt;$Q$149,U163,0))</f>
        <v>28.405379521736517</v>
      </c>
      <c r="W163" s="1200">
        <f>(IF(COUNT($Q163:V163)&lt;$Q$149,V163,0))</f>
        <v>28.405379521736517</v>
      </c>
      <c r="AA163"/>
      <c r="AB163"/>
      <c r="AC163"/>
      <c r="AD163"/>
      <c r="AE163"/>
      <c r="AF163"/>
      <c r="AJ163" s="1035"/>
    </row>
    <row r="164" spans="1:36" s="1029" customFormat="1" ht="11.25" customHeight="1" outlineLevel="1">
      <c r="A164" s="1023"/>
      <c r="B164" s="1191"/>
      <c r="C164" s="1199">
        <v>43131</v>
      </c>
      <c r="D164" s="1064"/>
      <c r="E164" s="1064"/>
      <c r="F164" s="1064"/>
      <c r="G164" s="1064"/>
      <c r="H164" s="1200"/>
      <c r="I164" s="1200"/>
      <c r="J164" s="1200"/>
      <c r="K164" s="1200"/>
      <c r="L164" s="1200"/>
      <c r="M164" s="1200"/>
      <c r="N164" s="1200"/>
      <c r="O164" s="1200"/>
      <c r="P164" s="1200"/>
      <c r="Q164" s="1200"/>
      <c r="R164" s="1200">
        <f>R$22/R$149*(1-$H$150)</f>
        <v>28.973487112171266</v>
      </c>
      <c r="S164" s="1200">
        <f>(IF(COUNT($R164:R164)&lt;$R$149,R164,0))</f>
        <v>28.973487112171266</v>
      </c>
      <c r="T164" s="1200">
        <f>(IF(COUNT($R164:S164)&lt;$R$149,S164,0))</f>
        <v>28.973487112171266</v>
      </c>
      <c r="U164" s="1200">
        <f>(IF(COUNT($R164:T164)&lt;$R$149,T164,0))</f>
        <v>28.973487112171266</v>
      </c>
      <c r="V164" s="1200">
        <f>(IF(COUNT($R164:U164)&lt;$R$149,U164,0))</f>
        <v>28.973487112171266</v>
      </c>
      <c r="W164" s="1200">
        <f>(IF(COUNT($R164:V164)&lt;$R$149,V164,0))</f>
        <v>28.973487112171266</v>
      </c>
      <c r="AA164"/>
      <c r="AB164"/>
      <c r="AC164"/>
      <c r="AD164"/>
      <c r="AE164"/>
      <c r="AF164"/>
      <c r="AJ164" s="1035"/>
    </row>
    <row r="165" spans="1:36" s="1029" customFormat="1" ht="11.25" customHeight="1" outlineLevel="1">
      <c r="A165" s="1023"/>
      <c r="B165" s="1191"/>
      <c r="C165" s="1199">
        <v>43496</v>
      </c>
      <c r="D165" s="1064"/>
      <c r="E165" s="1064"/>
      <c r="F165" s="1064"/>
      <c r="G165" s="1064"/>
      <c r="H165" s="1200"/>
      <c r="I165" s="1200"/>
      <c r="J165" s="1200"/>
      <c r="K165" s="1200"/>
      <c r="L165" s="1200"/>
      <c r="M165" s="1200"/>
      <c r="N165" s="1200"/>
      <c r="O165" s="1200"/>
      <c r="P165" s="1200"/>
      <c r="Q165" s="1200"/>
      <c r="R165" s="1200"/>
      <c r="S165" s="1200">
        <f>S$22/S$149*(1-$H$150)</f>
        <v>29.552956854414685</v>
      </c>
      <c r="T165" s="1200">
        <f>(IF(COUNT($R165:S165)&lt;$R$149,S165,0))</f>
        <v>29.552956854414685</v>
      </c>
      <c r="U165" s="1200">
        <f>(IF(COUNT($R165:T165)&lt;$R$149,T165,0))</f>
        <v>29.552956854414685</v>
      </c>
      <c r="V165" s="1200">
        <f>(IF(COUNT($R165:U165)&lt;$R$149,U165,0))</f>
        <v>29.552956854414685</v>
      </c>
      <c r="W165" s="1200">
        <f>(IF(COUNT($R165:V165)&lt;$R$149,V165,0))</f>
        <v>29.552956854414685</v>
      </c>
      <c r="AA165"/>
      <c r="AB165"/>
      <c r="AC165"/>
      <c r="AD165"/>
      <c r="AE165"/>
      <c r="AF165"/>
      <c r="AJ165" s="1035"/>
    </row>
    <row r="166" spans="1:36" s="1029" customFormat="1" ht="11.25" customHeight="1" outlineLevel="1">
      <c r="A166" s="1023"/>
      <c r="B166" s="1191"/>
      <c r="C166" s="1199">
        <v>43861</v>
      </c>
      <c r="D166" s="1064"/>
      <c r="E166" s="1064"/>
      <c r="F166" s="1064"/>
      <c r="G166" s="1064"/>
      <c r="H166" s="1200"/>
      <c r="I166" s="1200"/>
      <c r="J166" s="1200"/>
      <c r="K166" s="1200"/>
      <c r="L166" s="1200"/>
      <c r="M166" s="1200"/>
      <c r="N166" s="1200"/>
      <c r="O166" s="1200"/>
      <c r="P166" s="1200"/>
      <c r="Q166" s="1200"/>
      <c r="R166" s="1200"/>
      <c r="S166" s="1200"/>
      <c r="T166" s="1200">
        <f>T$22/T$149*(1-$H$150)</f>
        <v>30.144015991502982</v>
      </c>
      <c r="U166" s="1200">
        <f>(IF(COUNT($R166:T166)&lt;$R$149,T166,0))</f>
        <v>30.144015991502982</v>
      </c>
      <c r="V166" s="1200">
        <f>(IF(COUNT($R166:U166)&lt;$R$149,U166,0))</f>
        <v>30.144015991502982</v>
      </c>
      <c r="W166" s="1200">
        <f>(IF(COUNT($R166:V166)&lt;$R$149,V166,0))</f>
        <v>30.144015991502982</v>
      </c>
      <c r="AA166"/>
      <c r="AB166"/>
      <c r="AC166"/>
      <c r="AD166"/>
      <c r="AE166"/>
      <c r="AF166"/>
      <c r="AJ166" s="1035"/>
    </row>
    <row r="167" spans="1:36" s="1029" customFormat="1" ht="11.25" customHeight="1" outlineLevel="1">
      <c r="A167" s="1023"/>
      <c r="B167" s="1191"/>
      <c r="C167" s="1199">
        <v>44227</v>
      </c>
      <c r="D167" s="1064"/>
      <c r="E167" s="1064"/>
      <c r="F167" s="1064"/>
      <c r="G167" s="1064"/>
      <c r="H167" s="1200"/>
      <c r="I167" s="1200"/>
      <c r="J167" s="1200"/>
      <c r="K167" s="1200"/>
      <c r="L167" s="1200"/>
      <c r="M167" s="1200"/>
      <c r="N167" s="1200"/>
      <c r="O167" s="1200"/>
      <c r="P167" s="1200"/>
      <c r="Q167" s="1200"/>
      <c r="R167" s="1200"/>
      <c r="S167" s="1200"/>
      <c r="T167" s="1198"/>
      <c r="U167" s="1200">
        <f>U$22/U$149*(1-$H$150)</f>
        <v>30.746896311333046</v>
      </c>
      <c r="V167" s="1200">
        <f>(IF(COUNT($R167:U167)&lt;$R$149,U167,0))</f>
        <v>30.746896311333046</v>
      </c>
      <c r="W167" s="1200">
        <f>(IF(COUNT($R167:V167)&lt;$R$149,V167,0))</f>
        <v>30.746896311333046</v>
      </c>
      <c r="AA167"/>
      <c r="AB167"/>
      <c r="AC167"/>
      <c r="AD167"/>
      <c r="AE167"/>
      <c r="AF167"/>
      <c r="AJ167" s="1035"/>
    </row>
    <row r="168" spans="1:36" s="1029" customFormat="1" ht="11.25" customHeight="1" outlineLevel="1">
      <c r="A168" s="1023"/>
      <c r="B168" s="1191"/>
      <c r="C168" s="1199">
        <v>44592</v>
      </c>
      <c r="D168" s="1064"/>
      <c r="E168" s="1064"/>
      <c r="F168" s="1064"/>
      <c r="G168" s="1064"/>
      <c r="H168" s="1200"/>
      <c r="I168" s="1200"/>
      <c r="J168" s="1200"/>
      <c r="K168" s="1200"/>
      <c r="L168" s="1200"/>
      <c r="M168" s="1200"/>
      <c r="N168" s="1200"/>
      <c r="O168" s="1200"/>
      <c r="P168" s="1200"/>
      <c r="Q168" s="1200"/>
      <c r="R168" s="1200"/>
      <c r="S168" s="1200"/>
      <c r="T168" s="1198"/>
      <c r="V168" s="1200">
        <f>V$22/V$149*(1-$H$150)</f>
        <v>31.361834237559702</v>
      </c>
      <c r="W168" s="1200">
        <f>(IF(COUNT($R168:V168)&lt;$R$149,V168,0))</f>
        <v>31.361834237559702</v>
      </c>
      <c r="AA168"/>
      <c r="AB168"/>
      <c r="AC168"/>
      <c r="AD168"/>
      <c r="AE168"/>
      <c r="AF168"/>
      <c r="AJ168" s="1035"/>
    </row>
    <row r="169" spans="1:36" s="1029" customFormat="1" ht="11.25" customHeight="1" outlineLevel="1">
      <c r="A169" s="1023"/>
      <c r="B169" s="1191"/>
      <c r="C169" s="1199">
        <v>44957</v>
      </c>
      <c r="D169" s="1064"/>
      <c r="E169" s="1064"/>
      <c r="F169" s="1064"/>
      <c r="G169" s="1064"/>
      <c r="H169" s="1200"/>
      <c r="I169" s="1200"/>
      <c r="J169" s="1200"/>
      <c r="K169" s="1200"/>
      <c r="L169" s="1200"/>
      <c r="M169" s="1200"/>
      <c r="N169" s="1200"/>
      <c r="O169" s="1200"/>
      <c r="P169" s="1200"/>
      <c r="Q169" s="1200"/>
      <c r="R169" s="1200"/>
      <c r="S169" s="1200"/>
      <c r="T169" s="1198"/>
      <c r="W169" s="1200">
        <f>W$22/W$149*(1-$H$150)</f>
        <v>31.989070922310908</v>
      </c>
      <c r="AA169"/>
      <c r="AB169"/>
      <c r="AC169"/>
      <c r="AD169"/>
      <c r="AE169"/>
      <c r="AF169"/>
      <c r="AJ169" s="1035"/>
    </row>
    <row r="170" spans="1:36" s="1029" customFormat="1" ht="11.25" customHeight="1" outlineLevel="1">
      <c r="A170" s="1023"/>
      <c r="B170" s="1201"/>
      <c r="C170" s="1064"/>
      <c r="D170" s="1064"/>
      <c r="E170" s="1064"/>
      <c r="F170" s="1064"/>
      <c r="G170" s="1064"/>
      <c r="H170" s="1198"/>
      <c r="I170" s="1198"/>
      <c r="J170" s="1198"/>
      <c r="K170" s="1198"/>
      <c r="L170" s="1198"/>
      <c r="M170" s="1198"/>
      <c r="N170" s="1198"/>
      <c r="O170" s="1198"/>
      <c r="P170" s="1198"/>
      <c r="Q170" s="1198"/>
      <c r="R170" s="1198"/>
      <c r="S170" s="1025"/>
      <c r="T170" s="1025"/>
      <c r="U170" s="1025"/>
      <c r="V170" s="1025"/>
      <c r="W170" s="1025"/>
      <c r="AA170"/>
      <c r="AB170"/>
      <c r="AC170"/>
      <c r="AD170"/>
      <c r="AE170"/>
      <c r="AF170"/>
      <c r="AJ170" s="1035"/>
    </row>
    <row r="171" spans="1:36" s="1025" customFormat="1" ht="11.25" customHeight="1" outlineLevel="1">
      <c r="A171" s="1194"/>
      <c r="B171" s="1202"/>
      <c r="C171" s="1064"/>
      <c r="D171" s="1064"/>
      <c r="E171" s="1064"/>
      <c r="F171" s="1064"/>
      <c r="G171" s="1064"/>
      <c r="H171" s="1197">
        <f t="shared" ref="H171:W171" si="55">SUM(H154:H169)</f>
        <v>184.00133070597047</v>
      </c>
      <c r="I171" s="1197">
        <f t="shared" si="55"/>
        <v>198.65280057682668</v>
      </c>
      <c r="J171" s="1197">
        <f t="shared" si="55"/>
        <v>323.69647199756253</v>
      </c>
      <c r="K171" s="1197">
        <f t="shared" si="55"/>
        <v>242.10287363653597</v>
      </c>
      <c r="L171" s="1197">
        <f t="shared" si="55"/>
        <v>272.98275544407534</v>
      </c>
      <c r="M171" s="1197">
        <f t="shared" si="55"/>
        <v>181.00211309447968</v>
      </c>
      <c r="N171" s="1197">
        <f t="shared" si="55"/>
        <v>170.28817112199869</v>
      </c>
      <c r="O171" s="1197">
        <f t="shared" si="55"/>
        <v>206.91880156407154</v>
      </c>
      <c r="P171" s="1197">
        <f t="shared" si="55"/>
        <v>231.86318616922847</v>
      </c>
      <c r="Q171" s="1197">
        <f t="shared" si="55"/>
        <v>260.26856569096498</v>
      </c>
      <c r="R171" s="1197">
        <f t="shared" si="55"/>
        <v>289.24205280313623</v>
      </c>
      <c r="S171" s="1197">
        <f t="shared" si="55"/>
        <v>300.46351317257529</v>
      </c>
      <c r="T171" s="1197">
        <f t="shared" si="55"/>
        <v>201.95743166150547</v>
      </c>
      <c r="U171" s="1197">
        <f t="shared" si="55"/>
        <v>310.76362877366472</v>
      </c>
      <c r="V171" s="1197">
        <f t="shared" si="55"/>
        <v>307.7819695946888</v>
      </c>
      <c r="W171" s="1197">
        <f t="shared" si="55"/>
        <v>298.10630545716344</v>
      </c>
      <c r="AA171"/>
      <c r="AB171"/>
      <c r="AC171"/>
      <c r="AD171"/>
      <c r="AE171"/>
      <c r="AF171"/>
      <c r="AJ171" s="1035"/>
    </row>
    <row r="172" spans="1:36" s="1029" customFormat="1">
      <c r="A172" s="1023"/>
      <c r="B172" s="1024"/>
      <c r="C172" s="1203"/>
      <c r="D172" s="1203"/>
      <c r="E172" s="1203"/>
      <c r="F172" s="1203"/>
      <c r="G172" s="1203"/>
      <c r="H172" s="1026"/>
      <c r="I172" s="1026"/>
      <c r="J172" s="1026"/>
      <c r="K172" s="1026"/>
      <c r="L172" s="1026"/>
      <c r="M172" s="1026"/>
      <c r="N172" s="1026"/>
      <c r="O172" s="1026"/>
      <c r="P172" s="1026"/>
      <c r="Q172" s="1026"/>
      <c r="R172" s="1026"/>
      <c r="S172" s="1026"/>
      <c r="T172" s="1204"/>
      <c r="AA172"/>
      <c r="AB172"/>
      <c r="AC172"/>
      <c r="AD172"/>
      <c r="AE172"/>
      <c r="AF172"/>
      <c r="AJ172" s="1035"/>
    </row>
    <row r="173" spans="1:36" s="1029" customFormat="1">
      <c r="A173" s="1023"/>
      <c r="B173" s="1024"/>
      <c r="C173" s="1205"/>
      <c r="D173" s="1205"/>
      <c r="E173" s="1205"/>
      <c r="F173" s="1205"/>
      <c r="G173" s="1205"/>
      <c r="H173" s="1026"/>
      <c r="I173" s="1026"/>
      <c r="J173" s="1026"/>
      <c r="K173" s="1026"/>
      <c r="L173" s="1026"/>
      <c r="M173" s="1026"/>
      <c r="N173" s="1026"/>
      <c r="O173" s="1026"/>
      <c r="P173" s="1026"/>
      <c r="Q173" s="1026"/>
      <c r="R173" s="1026"/>
      <c r="S173" s="1026"/>
      <c r="T173" s="1206"/>
      <c r="AA173"/>
      <c r="AB173"/>
      <c r="AC173"/>
      <c r="AD173"/>
      <c r="AE173"/>
      <c r="AF173"/>
      <c r="AJ173" s="1035"/>
    </row>
    <row r="174" spans="1:36" s="1029" customFormat="1">
      <c r="A174" s="1023"/>
      <c r="B174" s="1024"/>
      <c r="C174" s="1064"/>
      <c r="D174" s="1064"/>
      <c r="E174" s="1064"/>
      <c r="F174" s="1064"/>
      <c r="G174" s="1064"/>
      <c r="H174" s="1026"/>
      <c r="I174" s="1026"/>
      <c r="J174" s="1026"/>
      <c r="K174" s="1026"/>
      <c r="L174" s="1026"/>
      <c r="M174" s="1026"/>
      <c r="N174" s="1026"/>
      <c r="O174" s="1026"/>
      <c r="P174" s="1026"/>
      <c r="Q174" s="1026"/>
      <c r="R174" s="1026"/>
      <c r="S174" s="1026"/>
      <c r="T174" s="1025"/>
      <c r="AA174"/>
      <c r="AB174"/>
      <c r="AC174"/>
      <c r="AD174"/>
      <c r="AE174"/>
      <c r="AF174"/>
      <c r="AJ174" s="1035"/>
    </row>
    <row r="175" spans="1:36" s="1029" customFormat="1" hidden="1" outlineLevel="1">
      <c r="A175" s="1023"/>
      <c r="B175" s="1024"/>
      <c r="C175" s="1064"/>
      <c r="D175" s="1064"/>
      <c r="E175" s="1064"/>
      <c r="F175" s="1064"/>
      <c r="G175" s="1064"/>
      <c r="H175" s="1026"/>
      <c r="I175" s="1026"/>
      <c r="J175" s="1026"/>
      <c r="K175" s="1026"/>
      <c r="L175" s="1026"/>
      <c r="M175" s="1026"/>
      <c r="N175" s="1026"/>
      <c r="O175" s="1026"/>
      <c r="P175" s="1026"/>
      <c r="Q175" s="1026"/>
      <c r="R175" s="1026"/>
      <c r="S175" s="1026"/>
      <c r="T175" s="1025"/>
      <c r="AA175"/>
      <c r="AB175"/>
      <c r="AC175"/>
      <c r="AD175"/>
      <c r="AE175"/>
      <c r="AF175"/>
      <c r="AJ175" s="1035"/>
    </row>
    <row r="176" spans="1:36" s="1029" customFormat="1" hidden="1" outlineLevel="1">
      <c r="A176" s="1023"/>
      <c r="B176" s="1024"/>
      <c r="C176" s="1064"/>
      <c r="D176" s="1064"/>
      <c r="E176" s="1064"/>
      <c r="F176" s="1064"/>
      <c r="G176" s="1064"/>
      <c r="H176" s="1026"/>
      <c r="I176" s="1026"/>
      <c r="J176" s="1026"/>
      <c r="K176" s="1026"/>
      <c r="L176" s="1026"/>
      <c r="M176" s="1026"/>
      <c r="N176" s="1026"/>
      <c r="O176" s="1026"/>
      <c r="P176" s="1026"/>
      <c r="Q176" s="1026"/>
      <c r="R176" s="1026"/>
      <c r="S176" s="1026"/>
      <c r="T176" s="1025"/>
      <c r="AA176"/>
      <c r="AB176"/>
      <c r="AC176"/>
      <c r="AD176"/>
      <c r="AE176"/>
      <c r="AF176"/>
      <c r="AJ176" s="1035"/>
    </row>
    <row r="177" spans="1:36" s="1029" customFormat="1" hidden="1" outlineLevel="1">
      <c r="A177" s="1023"/>
      <c r="B177" s="1024"/>
      <c r="C177" s="1025"/>
      <c r="D177" s="1025"/>
      <c r="E177" s="1025"/>
      <c r="F177" s="1025"/>
      <c r="G177" s="1025"/>
      <c r="H177" s="1026"/>
      <c r="I177" s="1026"/>
      <c r="J177" s="1026"/>
      <c r="K177" s="1026"/>
      <c r="L177" s="1026"/>
      <c r="M177" s="1026"/>
      <c r="N177" s="1026"/>
      <c r="O177" s="1026"/>
      <c r="P177" s="1026"/>
      <c r="Q177" s="1026"/>
      <c r="R177" s="1026"/>
      <c r="S177" s="1026"/>
      <c r="AA177"/>
      <c r="AB177"/>
      <c r="AC177"/>
      <c r="AD177"/>
      <c r="AE177"/>
      <c r="AF177"/>
      <c r="AJ177" s="1035"/>
    </row>
    <row r="178" spans="1:36" hidden="1" outlineLevel="1"/>
    <row r="179" spans="1:36" s="1029" customFormat="1" hidden="1" outlineLevel="1">
      <c r="A179" s="1023"/>
      <c r="B179" s="1024"/>
      <c r="C179" s="1025"/>
      <c r="D179" s="1025"/>
      <c r="E179" s="1025"/>
      <c r="F179" s="1025"/>
      <c r="G179" s="1025"/>
      <c r="H179" s="1026"/>
      <c r="I179" s="1026"/>
      <c r="J179" s="1026"/>
      <c r="K179" s="1026"/>
      <c r="L179" s="1026"/>
      <c r="M179" s="1026"/>
      <c r="N179" s="1026"/>
      <c r="O179" s="1026"/>
      <c r="P179" s="1026"/>
      <c r="Q179" s="1026"/>
      <c r="R179" s="1026"/>
      <c r="S179" s="1026"/>
      <c r="AA179"/>
      <c r="AB179"/>
      <c r="AC179"/>
      <c r="AD179"/>
      <c r="AE179"/>
      <c r="AF179"/>
      <c r="AJ179" s="1035"/>
    </row>
    <row r="180" spans="1:36" s="1029" customFormat="1" hidden="1" outlineLevel="1">
      <c r="A180" s="1023"/>
      <c r="B180" s="1024"/>
      <c r="C180" s="1025"/>
      <c r="D180" s="1025"/>
      <c r="E180" s="1025"/>
      <c r="F180" s="1025"/>
      <c r="G180" s="1025"/>
      <c r="H180" s="1026"/>
      <c r="I180" s="1026"/>
      <c r="J180" s="1026"/>
      <c r="K180" s="1026"/>
      <c r="L180" s="1026"/>
      <c r="M180" s="1026"/>
      <c r="N180" s="1026"/>
      <c r="O180" s="1026"/>
      <c r="P180" s="1026"/>
      <c r="Q180" s="1026"/>
      <c r="R180" s="1026"/>
      <c r="S180" s="1026"/>
      <c r="AA180"/>
      <c r="AB180"/>
      <c r="AC180"/>
      <c r="AD180"/>
      <c r="AE180"/>
      <c r="AF180"/>
      <c r="AJ180" s="1035"/>
    </row>
    <row r="181" spans="1:36" s="1029" customFormat="1" hidden="1" outlineLevel="1">
      <c r="A181" s="1023"/>
      <c r="B181" s="1024"/>
      <c r="C181" s="1025"/>
      <c r="D181" s="1025"/>
      <c r="E181" s="1025"/>
      <c r="F181" s="1025"/>
      <c r="G181" s="1025"/>
      <c r="H181" s="1026"/>
      <c r="I181" s="1026"/>
      <c r="J181" s="1026"/>
      <c r="K181" s="1026"/>
      <c r="L181" s="1026"/>
      <c r="M181" s="1026"/>
      <c r="N181" s="1026"/>
      <c r="O181" s="1026"/>
      <c r="P181" s="1026"/>
      <c r="Q181" s="1026"/>
      <c r="R181" s="1026"/>
      <c r="S181" s="1026"/>
      <c r="AA181"/>
      <c r="AB181"/>
      <c r="AC181"/>
      <c r="AD181"/>
      <c r="AE181"/>
      <c r="AF181"/>
      <c r="AJ181" s="1035"/>
    </row>
    <row r="182" spans="1:36" s="1029" customFormat="1" hidden="1" outlineLevel="1">
      <c r="A182" s="1023"/>
      <c r="B182" s="1024"/>
      <c r="C182" s="1025"/>
      <c r="D182" s="1025"/>
      <c r="E182" s="1025"/>
      <c r="F182" s="1025"/>
      <c r="G182" s="1025"/>
      <c r="H182" s="1026"/>
      <c r="I182" s="1026"/>
      <c r="J182" s="1026"/>
      <c r="K182" s="1026"/>
      <c r="L182" s="1026"/>
      <c r="M182" s="1026"/>
      <c r="N182" s="1026"/>
      <c r="O182" s="1026"/>
      <c r="P182" s="1026"/>
      <c r="Q182" s="1026"/>
      <c r="R182" s="1026"/>
      <c r="S182" s="1026"/>
      <c r="AA182"/>
      <c r="AB182"/>
      <c r="AC182"/>
      <c r="AD182"/>
      <c r="AE182"/>
      <c r="AF182"/>
      <c r="AJ182" s="1035"/>
    </row>
    <row r="183" spans="1:36" s="1029" customFormat="1" hidden="1" outlineLevel="1">
      <c r="A183" s="1023"/>
      <c r="B183" s="1024"/>
      <c r="C183" s="1025"/>
      <c r="D183" s="1025"/>
      <c r="E183" s="1025"/>
      <c r="F183" s="1025"/>
      <c r="G183" s="1025"/>
      <c r="H183" s="1026"/>
      <c r="I183" s="1026"/>
      <c r="J183" s="1026"/>
      <c r="K183" s="1026"/>
      <c r="L183" s="1026"/>
      <c r="M183" s="1026"/>
      <c r="N183" s="1026"/>
      <c r="O183" s="1026"/>
      <c r="P183" s="1026"/>
      <c r="Q183" s="1026"/>
      <c r="R183" s="1026"/>
      <c r="S183" s="1026"/>
      <c r="AA183"/>
      <c r="AB183"/>
      <c r="AC183"/>
      <c r="AD183"/>
      <c r="AE183"/>
      <c r="AF183"/>
      <c r="AJ183" s="1035"/>
    </row>
    <row r="184" spans="1:36" s="1210" customFormat="1" hidden="1" outlineLevel="1">
      <c r="A184" s="1207">
        <v>1</v>
      </c>
      <c r="B184" s="1208"/>
      <c r="C184" s="1209"/>
      <c r="D184" s="1209"/>
      <c r="E184" s="1209"/>
      <c r="F184" s="1209"/>
      <c r="G184" s="1209"/>
      <c r="H184" s="1209"/>
      <c r="I184" s="1209"/>
      <c r="J184" s="1209"/>
      <c r="K184" s="1209"/>
      <c r="L184" s="1209"/>
      <c r="M184" s="1209"/>
      <c r="N184" s="1209"/>
      <c r="O184" s="1209"/>
      <c r="P184" s="1209"/>
      <c r="AA184"/>
      <c r="AB184"/>
      <c r="AC184"/>
      <c r="AD184"/>
      <c r="AE184"/>
      <c r="AF184"/>
      <c r="AJ184" s="1211"/>
    </row>
    <row r="185" spans="1:36" s="1029" customFormat="1" collapsed="1">
      <c r="A185" s="1023"/>
      <c r="B185" s="1024"/>
      <c r="C185" s="1025"/>
      <c r="D185" s="1025"/>
      <c r="E185" s="1025"/>
      <c r="F185" s="1025"/>
      <c r="G185" s="1025"/>
      <c r="H185" s="1026"/>
      <c r="I185" s="1026"/>
      <c r="J185" s="1026"/>
      <c r="K185" s="1026"/>
      <c r="L185" s="1026"/>
      <c r="M185" s="1026"/>
      <c r="N185" s="1026"/>
      <c r="O185" s="1026"/>
      <c r="P185" s="1026"/>
      <c r="Q185" s="1026"/>
      <c r="R185" s="1026"/>
      <c r="S185" s="1026"/>
      <c r="AA185"/>
      <c r="AB185"/>
      <c r="AC185"/>
      <c r="AD185"/>
      <c r="AE185"/>
      <c r="AF185"/>
      <c r="AJ185" s="1035"/>
    </row>
    <row r="186" spans="1:36" s="1029" customFormat="1">
      <c r="A186" s="1023"/>
      <c r="B186" s="1024"/>
      <c r="C186" s="1025"/>
      <c r="D186" s="1025"/>
      <c r="E186" s="1025"/>
      <c r="F186" s="1025"/>
      <c r="G186" s="1025"/>
      <c r="H186" s="1026"/>
      <c r="I186" s="1026"/>
      <c r="J186" s="1026"/>
      <c r="K186" s="1026"/>
      <c r="L186" s="1026"/>
      <c r="M186" s="1026"/>
      <c r="N186" s="1026"/>
      <c r="O186" s="1026"/>
      <c r="P186" s="1026"/>
      <c r="Q186" s="1026"/>
      <c r="R186" s="1026"/>
      <c r="S186" s="1026"/>
      <c r="AA186"/>
      <c r="AB186"/>
      <c r="AC186"/>
      <c r="AD186"/>
      <c r="AE186"/>
      <c r="AF186"/>
      <c r="AJ186" s="1035"/>
    </row>
    <row r="187" spans="1:36" s="1029" customFormat="1" outlineLevel="1">
      <c r="A187" s="1023"/>
      <c r="B187" s="1024"/>
      <c r="C187" s="1212" t="s">
        <v>693</v>
      </c>
      <c r="D187" s="1025"/>
      <c r="E187" s="1025"/>
      <c r="F187" s="1025"/>
      <c r="G187" s="1025"/>
      <c r="H187" s="1213">
        <f t="shared" ref="H187:P187" si="56">H9</f>
        <v>39844</v>
      </c>
      <c r="I187" s="1213">
        <f t="shared" si="56"/>
        <v>40209</v>
      </c>
      <c r="J187" s="1213">
        <f t="shared" si="56"/>
        <v>40574</v>
      </c>
      <c r="K187" s="1213">
        <f t="shared" si="56"/>
        <v>40939</v>
      </c>
      <c r="L187" s="1213">
        <f t="shared" si="56"/>
        <v>41305</v>
      </c>
      <c r="M187" s="1213">
        <f t="shared" si="56"/>
        <v>41670</v>
      </c>
      <c r="N187" s="1213">
        <f t="shared" si="56"/>
        <v>42035</v>
      </c>
      <c r="O187" s="1213">
        <f t="shared" si="56"/>
        <v>42400</v>
      </c>
      <c r="P187" s="1213">
        <f t="shared" si="56"/>
        <v>42766</v>
      </c>
      <c r="Q187" s="1214"/>
      <c r="R187" s="1214"/>
      <c r="S187" s="1214"/>
      <c r="T187" s="1215"/>
      <c r="U187" s="1215"/>
      <c r="V187" s="1215"/>
      <c r="W187" s="1215"/>
      <c r="X187" s="1215"/>
      <c r="AA187"/>
      <c r="AB187"/>
      <c r="AC187"/>
      <c r="AD187"/>
      <c r="AE187"/>
      <c r="AF187"/>
      <c r="AJ187" s="1035"/>
    </row>
    <row r="188" spans="1:36" s="1029" customFormat="1" outlineLevel="1">
      <c r="A188" s="1023"/>
      <c r="B188" s="1024"/>
      <c r="C188" s="1216" t="s">
        <v>694</v>
      </c>
      <c r="D188" s="1025"/>
      <c r="E188" s="1025"/>
      <c r="F188" s="1025"/>
      <c r="G188" s="1025"/>
      <c r="H188" s="1026"/>
      <c r="I188" s="1026"/>
      <c r="J188" s="1026"/>
      <c r="K188" s="1026"/>
      <c r="L188" s="1026"/>
      <c r="M188" s="1026"/>
      <c r="N188" s="1026"/>
      <c r="O188" s="1026"/>
      <c r="P188" s="1026"/>
      <c r="Q188" s="1026"/>
      <c r="R188" s="1026"/>
      <c r="S188" s="1026"/>
      <c r="AA188"/>
      <c r="AB188"/>
      <c r="AC188"/>
      <c r="AD188"/>
      <c r="AE188"/>
      <c r="AF188"/>
      <c r="AJ188" s="1035"/>
    </row>
    <row r="189" spans="1:36" s="1029" customFormat="1" outlineLevel="1">
      <c r="A189" s="1023"/>
      <c r="B189" s="1024"/>
      <c r="C189" s="1025"/>
      <c r="D189" s="1025"/>
      <c r="E189" s="1025"/>
      <c r="F189" s="1025"/>
      <c r="G189" s="1025"/>
      <c r="H189" s="1217"/>
      <c r="I189" s="1217"/>
      <c r="J189" s="1217"/>
      <c r="K189" s="1217"/>
      <c r="L189" s="1217"/>
      <c r="M189" s="1217"/>
      <c r="N189" s="1217"/>
      <c r="O189" s="1217"/>
      <c r="P189" s="1217"/>
      <c r="AA189"/>
      <c r="AB189"/>
      <c r="AC189"/>
      <c r="AD189"/>
      <c r="AE189"/>
      <c r="AF189"/>
    </row>
    <row r="190" spans="1:36" s="1029" customFormat="1" outlineLevel="1">
      <c r="A190" s="1023"/>
      <c r="B190" s="1024"/>
      <c r="C190" s="1218" t="s">
        <v>695</v>
      </c>
      <c r="D190" s="1218"/>
      <c r="E190" s="1219"/>
      <c r="F190" s="1025"/>
      <c r="G190" s="1025"/>
      <c r="H190" s="1220">
        <f>_xll.ThomsonONEAddinShim.SpreadsheetFormulas.TF(SedolTicker,$AJ$190,,H$5,$J$3)</f>
        <v>0</v>
      </c>
      <c r="I190" s="1220">
        <f>_xll.ThomsonONEAddinShim.SpreadsheetFormulas.TF(SedolTicker,$AJ$190,,I$5,$J$3)</f>
        <v>0</v>
      </c>
      <c r="J190" s="1220">
        <f>_xll.ThomsonONEAddinShim.SpreadsheetFormulas.TF(SedolTicker,$AJ$190,,J$5,$J$3)</f>
        <v>0</v>
      </c>
      <c r="K190" s="1220">
        <f>_xll.ThomsonONEAddinShim.SpreadsheetFormulas.TF(SedolTicker,$AJ$190,,K$5,$J$3)</f>
        <v>0</v>
      </c>
      <c r="L190" s="1220">
        <f>_xll.ThomsonONEAddinShim.SpreadsheetFormulas.TF(SedolTicker,$AJ$190,,L$5,$J$3)</f>
        <v>0</v>
      </c>
      <c r="M190" s="1220">
        <f>_xll.ThomsonONEAddinShim.SpreadsheetFormulas.TF(SedolTicker,$AJ$190,,M$5,$J$3)</f>
        <v>0</v>
      </c>
      <c r="N190" s="1220">
        <f>_xll.ThomsonONEAddinShim.SpreadsheetFormulas.TF(SedolTicker,$AJ$190,,N$5,$J$3)</f>
        <v>0</v>
      </c>
      <c r="O190" s="1220">
        <f>_xll.ThomsonONEAddinShim.SpreadsheetFormulas.TF(SedolTicker,$AJ$190,,O$5,$J$3)</f>
        <v>0</v>
      </c>
      <c r="P190" s="1220">
        <f>_xll.ThomsonONEAddinShim.SpreadsheetFormulas.TF(SedolTicker,$AJ$190,,P$5,$J$3)</f>
        <v>0</v>
      </c>
      <c r="Q190" s="1221"/>
      <c r="R190" s="1221"/>
      <c r="S190" s="1221"/>
      <c r="T190" s="1221"/>
      <c r="U190" s="1221"/>
      <c r="W190" s="1221"/>
      <c r="X190" s="1221"/>
      <c r="Y190" s="1221"/>
      <c r="Z190" s="1221"/>
      <c r="AA190"/>
      <c r="AB190"/>
      <c r="AC190"/>
      <c r="AD190"/>
      <c r="AE190"/>
      <c r="AF190"/>
      <c r="AJ190" s="1222" t="s">
        <v>691</v>
      </c>
    </row>
    <row r="191" spans="1:36" s="1029" customFormat="1" outlineLevel="1">
      <c r="A191" s="1023"/>
      <c r="B191" s="1024"/>
      <c r="C191" s="1218" t="s">
        <v>696</v>
      </c>
      <c r="D191" s="1218"/>
      <c r="E191" s="1219"/>
      <c r="F191" s="1025"/>
      <c r="G191" s="1025"/>
      <c r="H191" s="1026"/>
      <c r="I191" s="1220">
        <f>_xll.ThomsonONEAddinShim.SpreadsheetFormulas.TF(SedolTicker,$AJ$191,"dataDir=across",$I$5,$P$5,$J$3)</f>
        <v>0</v>
      </c>
      <c r="J191" s="1220">
        <v>0</v>
      </c>
      <c r="K191" s="1220">
        <v>0</v>
      </c>
      <c r="L191" s="1220">
        <v>0</v>
      </c>
      <c r="M191" s="1220">
        <v>0</v>
      </c>
      <c r="N191" s="1220">
        <v>0</v>
      </c>
      <c r="O191" s="1220">
        <v>0</v>
      </c>
      <c r="P191" s="1220">
        <v>0</v>
      </c>
      <c r="Q191" s="1221"/>
      <c r="R191" s="1221"/>
      <c r="S191" s="1221"/>
      <c r="T191" s="1221"/>
      <c r="U191" s="1221"/>
      <c r="W191" s="1221"/>
      <c r="X191" s="1221"/>
      <c r="Y191" s="1221"/>
      <c r="Z191" s="1221"/>
      <c r="AA191"/>
      <c r="AB191"/>
      <c r="AC191"/>
      <c r="AD191"/>
      <c r="AE191"/>
      <c r="AF191"/>
      <c r="AJ191" s="1222" t="s">
        <v>692</v>
      </c>
    </row>
    <row r="192" spans="1:36" s="1029" customFormat="1" outlineLevel="1">
      <c r="A192" s="1023"/>
      <c r="B192" s="1024"/>
      <c r="C192" s="1223"/>
      <c r="D192" s="1223"/>
      <c r="E192" s="1224"/>
      <c r="F192" s="1025"/>
      <c r="G192" s="1025"/>
      <c r="H192" s="1225"/>
      <c r="I192" s="1225"/>
      <c r="J192" s="1225"/>
      <c r="K192" s="1225"/>
      <c r="L192" s="1225"/>
      <c r="M192" s="1225"/>
      <c r="N192" s="1225"/>
      <c r="O192" s="1225"/>
      <c r="P192" s="1225"/>
      <c r="Q192" s="1226"/>
      <c r="R192" s="1226"/>
      <c r="S192" s="1226"/>
      <c r="T192" s="1226"/>
      <c r="U192" s="1226"/>
      <c r="W192" s="1226"/>
      <c r="X192" s="1226"/>
      <c r="Y192" s="1226"/>
      <c r="Z192" s="1226"/>
      <c r="AA192"/>
      <c r="AB192"/>
      <c r="AC192"/>
      <c r="AD192"/>
      <c r="AE192"/>
      <c r="AF192"/>
      <c r="AJ192" s="1226"/>
    </row>
    <row r="193" spans="1:39" s="1029" customFormat="1" outlineLevel="1">
      <c r="A193" s="1023"/>
      <c r="B193" s="1024"/>
      <c r="C193" s="1223"/>
      <c r="D193" s="1223"/>
      <c r="E193" s="1224"/>
      <c r="F193" s="1025"/>
      <c r="G193" s="1025"/>
      <c r="H193" s="1225"/>
      <c r="I193" s="1225"/>
      <c r="J193" s="1225"/>
      <c r="K193" s="1225"/>
      <c r="L193" s="1225"/>
      <c r="M193" s="1225"/>
      <c r="N193" s="1225"/>
      <c r="O193" s="1225"/>
      <c r="P193" s="1225"/>
      <c r="Q193" s="1226"/>
      <c r="R193" s="1226"/>
      <c r="S193" s="1226"/>
      <c r="T193" s="1226"/>
      <c r="U193" s="1226"/>
      <c r="W193" s="1226"/>
      <c r="X193" s="1226"/>
      <c r="Y193" s="1226"/>
      <c r="Z193" s="1226"/>
      <c r="AA193"/>
      <c r="AB193"/>
      <c r="AC193"/>
      <c r="AD193"/>
      <c r="AE193"/>
      <c r="AF193"/>
      <c r="AJ193" s="1226"/>
    </row>
    <row r="194" spans="1:39" s="1029" customFormat="1" outlineLevel="1">
      <c r="A194" s="1023"/>
      <c r="B194" s="1024"/>
      <c r="C194" s="1218" t="s">
        <v>697</v>
      </c>
      <c r="D194" s="1218"/>
      <c r="E194" s="1219"/>
      <c r="F194" s="1025"/>
      <c r="G194" s="1025"/>
      <c r="H194" s="1227" t="str">
        <f>_xll.ThomsonONEAddinShim.SpreadsheetFormulas.TF(SedolTicker,$AJ194,"dataDir=across",$J$3)</f>
        <v xml:space="preserve">                           -                 </v>
      </c>
      <c r="I194" s="1227">
        <v>0</v>
      </c>
      <c r="J194" s="1227">
        <v>0</v>
      </c>
      <c r="K194" s="1227">
        <v>0</v>
      </c>
      <c r="L194" s="1227">
        <v>0</v>
      </c>
      <c r="M194" s="1227">
        <v>0</v>
      </c>
      <c r="N194" s="1227">
        <v>0</v>
      </c>
      <c r="O194" s="1227">
        <v>0</v>
      </c>
      <c r="P194" s="1227">
        <v>0</v>
      </c>
      <c r="Q194" s="1226"/>
      <c r="R194" s="1226"/>
      <c r="S194" s="1226"/>
      <c r="T194" s="1226"/>
      <c r="U194" s="1226"/>
      <c r="W194" s="1226"/>
      <c r="X194" s="1226"/>
      <c r="Y194" s="1226"/>
      <c r="Z194" s="1226"/>
      <c r="AA194"/>
      <c r="AB194"/>
      <c r="AC194"/>
      <c r="AD194"/>
      <c r="AE194"/>
      <c r="AF194"/>
      <c r="AJ194" s="1228" t="s">
        <v>698</v>
      </c>
    </row>
    <row r="195" spans="1:39" outlineLevel="1">
      <c r="C195" s="1218" t="s">
        <v>699</v>
      </c>
      <c r="D195" s="1218"/>
      <c r="E195" s="1219"/>
      <c r="F195" s="1025"/>
      <c r="G195" s="1025"/>
      <c r="H195" s="1227" t="str">
        <f>_xll.ThomsonONEAddinShim.SpreadsheetFormulas.TF(SedolTicker,$AJ195,"dataDir=across",$J$3)</f>
        <v xml:space="preserve">                           -                 </v>
      </c>
      <c r="I195" s="1227">
        <v>0</v>
      </c>
      <c r="J195" s="1227">
        <v>0</v>
      </c>
      <c r="K195" s="1227">
        <v>0</v>
      </c>
      <c r="L195" s="1227">
        <v>0</v>
      </c>
      <c r="M195" s="1227">
        <v>0</v>
      </c>
      <c r="N195" s="1227">
        <v>0</v>
      </c>
      <c r="O195" s="1227">
        <v>0</v>
      </c>
      <c r="P195" s="1227">
        <v>0</v>
      </c>
      <c r="Q195" s="1226"/>
      <c r="R195" s="1226"/>
      <c r="S195" s="1226"/>
      <c r="T195" s="1226"/>
      <c r="U195" s="1226"/>
      <c r="V195" s="1029"/>
      <c r="W195" s="1226"/>
      <c r="X195" s="1226"/>
      <c r="Y195" s="1226"/>
      <c r="Z195" s="1226"/>
      <c r="AG195" s="1029"/>
      <c r="AH195" s="1029"/>
      <c r="AI195" s="1029"/>
      <c r="AJ195" s="1228" t="s">
        <v>700</v>
      </c>
      <c r="AK195" s="1029"/>
      <c r="AL195" s="1029"/>
      <c r="AM195" s="1029"/>
    </row>
    <row r="196" spans="1:39" outlineLevel="1">
      <c r="C196" s="1218" t="s">
        <v>701</v>
      </c>
      <c r="D196" s="1218"/>
      <c r="E196" s="1219"/>
      <c r="H196" s="1227" t="str">
        <f>_xll.ThomsonONEAddinShim.SpreadsheetFormulas.TF(SedolTicker,$AJ196,"dataDir=across",$J$3)</f>
        <v xml:space="preserve">                           -                 </v>
      </c>
      <c r="I196" s="1227">
        <v>0</v>
      </c>
      <c r="J196" s="1227">
        <v>0</v>
      </c>
      <c r="K196" s="1227">
        <v>0</v>
      </c>
      <c r="L196" s="1227">
        <v>0</v>
      </c>
      <c r="M196" s="1227">
        <v>0</v>
      </c>
      <c r="N196" s="1227">
        <v>0</v>
      </c>
      <c r="O196" s="1227">
        <v>150</v>
      </c>
      <c r="P196" s="1227">
        <v>0</v>
      </c>
      <c r="Q196" s="1226"/>
      <c r="R196" s="1226"/>
      <c r="S196" s="1226"/>
      <c r="T196" s="1226"/>
      <c r="U196" s="1226"/>
      <c r="W196" s="1226"/>
      <c r="X196" s="1226"/>
      <c r="Y196" s="1226"/>
      <c r="Z196" s="1226"/>
      <c r="AJ196" s="1228" t="s">
        <v>702</v>
      </c>
    </row>
    <row r="197" spans="1:39" outlineLevel="1">
      <c r="C197" s="1218"/>
      <c r="D197" s="1218"/>
      <c r="E197" s="1219"/>
      <c r="H197" s="1220"/>
      <c r="I197" s="1229"/>
      <c r="J197" s="1229"/>
      <c r="K197" s="1229"/>
      <c r="L197" s="1229"/>
      <c r="M197" s="1229"/>
      <c r="N197" s="1229"/>
      <c r="O197" s="1229"/>
      <c r="P197" s="1229"/>
      <c r="Q197" s="1226"/>
      <c r="R197" s="1226"/>
      <c r="S197" s="1226"/>
      <c r="T197" s="1226"/>
      <c r="U197" s="1226"/>
      <c r="W197" s="1226"/>
      <c r="X197" s="1226"/>
      <c r="Y197" s="1226"/>
      <c r="Z197" s="1226"/>
      <c r="AJ197" s="1228"/>
    </row>
    <row r="198" spans="1:39" s="1098" customFormat="1">
      <c r="A198" s="1091"/>
      <c r="B198" s="1092"/>
      <c r="C198" s="1218"/>
      <c r="D198" s="1218"/>
      <c r="E198" s="1219"/>
      <c r="F198" s="1093"/>
      <c r="G198" s="1093"/>
      <c r="H198" s="1230"/>
      <c r="I198" s="1231"/>
      <c r="J198" s="1231"/>
      <c r="K198" s="1231"/>
      <c r="L198" s="1232"/>
      <c r="M198" s="1232"/>
      <c r="N198" s="1232"/>
      <c r="O198" s="1232"/>
      <c r="P198" s="1232"/>
      <c r="Q198" s="1226"/>
      <c r="R198" s="1226"/>
      <c r="S198" s="1226"/>
      <c r="T198" s="1226"/>
      <c r="U198" s="1226"/>
      <c r="W198" s="1226"/>
      <c r="X198" s="1226"/>
      <c r="Y198" s="1226"/>
      <c r="Z198" s="1226"/>
      <c r="AA198"/>
      <c r="AB198"/>
      <c r="AC198"/>
      <c r="AD198"/>
      <c r="AE198"/>
      <c r="AF198"/>
      <c r="AJ198" s="1226"/>
    </row>
    <row r="199" spans="1:39">
      <c r="C199" s="1218"/>
      <c r="D199" s="1218"/>
      <c r="E199" s="1219"/>
      <c r="H199" s="1233"/>
      <c r="I199" s="1233"/>
      <c r="J199" s="1233"/>
      <c r="K199" s="1233"/>
      <c r="L199" s="1233"/>
      <c r="M199" s="1233"/>
      <c r="N199" s="1233"/>
      <c r="O199" s="1233"/>
      <c r="P199" s="1233"/>
      <c r="Q199" s="1226"/>
      <c r="R199" s="1226"/>
      <c r="S199" s="1226"/>
      <c r="T199" s="1226"/>
      <c r="U199" s="1226"/>
      <c r="W199" s="1226"/>
      <c r="X199" s="1226"/>
      <c r="Y199" s="1226"/>
      <c r="Z199" s="1226"/>
      <c r="AJ199" s="1226"/>
    </row>
    <row r="200" spans="1:39">
      <c r="C200" s="1218"/>
      <c r="D200" s="1218"/>
      <c r="E200" s="1219"/>
      <c r="H200" s="1233"/>
      <c r="I200" s="1233"/>
      <c r="J200" s="1233"/>
      <c r="K200" s="1233"/>
      <c r="L200" s="1233"/>
      <c r="M200" s="1233"/>
      <c r="N200" s="1233"/>
      <c r="O200" s="1233"/>
      <c r="P200" s="1233"/>
      <c r="Q200" s="1226"/>
      <c r="R200" s="1226"/>
      <c r="S200" s="1226"/>
      <c r="T200" s="1226"/>
      <c r="U200" s="1226"/>
      <c r="W200" s="1226"/>
      <c r="X200" s="1226"/>
      <c r="Y200" s="1226"/>
      <c r="Z200" s="1226"/>
      <c r="AJ200" s="1226"/>
    </row>
    <row r="201" spans="1:39">
      <c r="C201" s="1218"/>
      <c r="D201" s="1218"/>
      <c r="E201" s="1219"/>
      <c r="H201" s="1233"/>
      <c r="I201" s="1233"/>
      <c r="J201" s="1233"/>
      <c r="K201" s="1233"/>
      <c r="L201" s="1233"/>
      <c r="M201" s="1233"/>
      <c r="N201" s="1233"/>
      <c r="O201" s="1233"/>
      <c r="P201" s="1233"/>
      <c r="Q201" s="1226"/>
      <c r="R201" s="1226"/>
      <c r="S201" s="1226"/>
      <c r="T201" s="1226"/>
      <c r="U201" s="1226"/>
      <c r="W201" s="1226"/>
      <c r="X201" s="1226"/>
      <c r="Y201" s="1226"/>
      <c r="Z201" s="1226"/>
      <c r="AJ201" s="1226"/>
    </row>
    <row r="202" spans="1:39" s="1098" customFormat="1">
      <c r="A202" s="1091"/>
      <c r="B202" s="1092"/>
      <c r="C202" s="1218"/>
      <c r="D202" s="1218"/>
      <c r="E202" s="1219"/>
      <c r="F202" s="1093"/>
      <c r="G202" s="1093"/>
      <c r="H202" s="1230"/>
      <c r="I202" s="1230"/>
      <c r="J202" s="1230"/>
      <c r="K202" s="1230"/>
      <c r="L202" s="1230"/>
      <c r="M202" s="1230"/>
      <c r="N202" s="1230"/>
      <c r="O202" s="1230"/>
      <c r="P202" s="1230"/>
      <c r="Q202" s="1226"/>
      <c r="R202" s="1226"/>
      <c r="S202" s="1226"/>
      <c r="T202" s="1226"/>
      <c r="U202" s="1226"/>
      <c r="V202" s="1226"/>
      <c r="W202" s="1226"/>
      <c r="X202" s="1226"/>
      <c r="Y202" s="1226"/>
      <c r="Z202" s="1226"/>
      <c r="AA202"/>
      <c r="AB202"/>
      <c r="AC202"/>
      <c r="AD202"/>
      <c r="AE202"/>
      <c r="AF202"/>
      <c r="AJ202" s="1099"/>
    </row>
    <row r="203" spans="1:39" s="1098" customFormat="1">
      <c r="A203" s="1091"/>
      <c r="B203" s="1092"/>
      <c r="C203" s="1218"/>
      <c r="D203" s="1218"/>
      <c r="E203" s="1219"/>
      <c r="F203" s="1093"/>
      <c r="G203" s="1093"/>
      <c r="H203" s="1230"/>
      <c r="I203" s="1230"/>
      <c r="J203" s="1230"/>
      <c r="K203" s="1230"/>
      <c r="L203" s="1230"/>
      <c r="M203" s="1230"/>
      <c r="N203" s="1230"/>
      <c r="O203" s="1230"/>
      <c r="P203" s="1230"/>
      <c r="Q203" s="1226"/>
      <c r="R203" s="1226"/>
      <c r="S203" s="1226"/>
      <c r="T203" s="1226"/>
      <c r="U203" s="1226"/>
      <c r="V203" s="1226"/>
      <c r="W203" s="1226"/>
      <c r="X203" s="1226"/>
      <c r="Y203" s="1226"/>
      <c r="Z203" s="1226"/>
      <c r="AA203"/>
      <c r="AB203"/>
      <c r="AC203"/>
      <c r="AD203"/>
      <c r="AE203"/>
      <c r="AF203"/>
      <c r="AJ203" s="1099"/>
    </row>
  </sheetData>
  <conditionalFormatting sqref="A44 C46">
    <cfRule type="cellIs" dxfId="1" priority="1" stopIfTrue="1" operator="equal">
      <formula>"A44=0"</formula>
    </cfRule>
  </conditionalFormatting>
  <conditionalFormatting sqref="H44 I44:P45">
    <cfRule type="cellIs" dxfId="0" priority="2" stopIfTrue="1" operator="equal">
      <formula>0</formula>
    </cfRule>
  </conditionalFormatting>
  <pageMargins left="0.25" right="0.25" top="0.25" bottom="0.5" header="0.25" footer="0.25"/>
  <pageSetup paperSize="5" scale="80" orientation="landscape" horizontalDpi="300" verticalDpi="300" r:id="rId1"/>
  <headerFooter alignWithMargins="0">
    <oddFooter>&amp;L&amp;"Arial,Bold"&amp;8Morgan Stanley: Confidential - FOR DISCUSSION PURPOSES ONLY
&amp;R&amp;8Printed on &amp;D - Page &amp;P of &amp;N</oddFooter>
  </headerFooter>
  <rowBreaks count="2" manualBreakCount="2">
    <brk id="41" max="16383" man="1"/>
    <brk id="109" max="16383" man="1"/>
  </rowBreaks>
  <drawing r:id="rId2"/>
  <legacyDrawing r:id="rId3"/>
  <controls>
    <mc:AlternateContent xmlns:mc="http://schemas.openxmlformats.org/markup-compatibility/2006">
      <mc:Choice Requires="x14">
        <control shapeId="5957633" r:id="rId4" name="CommandButton2">
          <controlPr defaultSize="0" autoLine="0" r:id="rId5">
            <anchor moveWithCells="1">
              <from>
                <xdr:col>14</xdr:col>
                <xdr:colOff>485775</xdr:colOff>
                <xdr:row>1</xdr:row>
                <xdr:rowOff>57150</xdr:rowOff>
              </from>
              <to>
                <xdr:col>16</xdr:col>
                <xdr:colOff>352425</xdr:colOff>
                <xdr:row>1</xdr:row>
                <xdr:rowOff>381000</xdr:rowOff>
              </to>
            </anchor>
          </controlPr>
        </control>
      </mc:Choice>
      <mc:Fallback>
        <control shapeId="5957633" r:id="rId4" name="CommandButton2"/>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M13"/>
  <sheetViews>
    <sheetView workbookViewId="0">
      <selection activeCell="T40" sqref="T40"/>
    </sheetView>
  </sheetViews>
  <sheetFormatPr defaultRowHeight="12.75"/>
  <sheetData>
    <row r="1" spans="1:13">
      <c r="B1" s="1794">
        <v>15</v>
      </c>
      <c r="C1" s="1794"/>
      <c r="D1" s="1794"/>
      <c r="E1" s="1794"/>
      <c r="F1" s="1794">
        <v>16</v>
      </c>
      <c r="G1" s="1794"/>
      <c r="H1" s="1794"/>
      <c r="I1" s="1794"/>
      <c r="J1" s="1794">
        <v>17</v>
      </c>
      <c r="K1" s="1794"/>
      <c r="L1" s="1794"/>
      <c r="M1" s="1794"/>
    </row>
    <row r="2" spans="1:13">
      <c r="B2" s="4" t="s">
        <v>247</v>
      </c>
      <c r="C2" s="4" t="s">
        <v>248</v>
      </c>
      <c r="D2" s="4" t="s">
        <v>249</v>
      </c>
      <c r="E2" s="4" t="s">
        <v>250</v>
      </c>
      <c r="F2" s="4" t="s">
        <v>247</v>
      </c>
      <c r="G2" s="4" t="s">
        <v>248</v>
      </c>
      <c r="H2" s="4" t="s">
        <v>249</v>
      </c>
      <c r="I2" s="4" t="s">
        <v>250</v>
      </c>
      <c r="J2" s="4" t="s">
        <v>247</v>
      </c>
      <c r="K2" s="4" t="s">
        <v>248</v>
      </c>
      <c r="L2" s="4" t="s">
        <v>249</v>
      </c>
      <c r="M2" s="4" t="s">
        <v>250</v>
      </c>
    </row>
    <row r="3" spans="1:13">
      <c r="B3" s="4" t="str">
        <f>CONCATENATE(B2,$B$1)</f>
        <v>1Q15</v>
      </c>
      <c r="C3" s="4" t="str">
        <f t="shared" ref="C3:E3" si="0">CONCATENATE(C2,$B$1)</f>
        <v>2Q15</v>
      </c>
      <c r="D3" s="4" t="str">
        <f t="shared" si="0"/>
        <v>3Q15</v>
      </c>
      <c r="E3" s="4" t="str">
        <f t="shared" si="0"/>
        <v>4Q15</v>
      </c>
      <c r="F3" s="4" t="str">
        <f>CONCATENATE(F2,$F$1)</f>
        <v>1Q16</v>
      </c>
      <c r="G3" s="4" t="str">
        <f t="shared" ref="G3:I3" si="1">CONCATENATE(G2,$F$1)</f>
        <v>2Q16</v>
      </c>
      <c r="H3" s="4" t="str">
        <f t="shared" si="1"/>
        <v>3Q16</v>
      </c>
      <c r="I3" s="4" t="str">
        <f t="shared" si="1"/>
        <v>4Q16</v>
      </c>
      <c r="J3" s="4" t="str">
        <f>CONCATENATE(J2,$J$1)</f>
        <v>1Q17</v>
      </c>
      <c r="K3" s="4" t="str">
        <f t="shared" ref="K3:M3" si="2">CONCATENATE(K2,$J$1)</f>
        <v>2Q17</v>
      </c>
      <c r="L3" s="4" t="str">
        <f t="shared" si="2"/>
        <v>3Q17</v>
      </c>
      <c r="M3" s="4" t="str">
        <f t="shared" si="2"/>
        <v>4Q17</v>
      </c>
    </row>
    <row r="4" spans="1:13">
      <c r="B4" s="1717">
        <f t="array" ref="B4:E4">TRANSPOSE(work!CI10:CI13)</f>
        <v>14.02483920411408</v>
      </c>
      <c r="C4" s="1717">
        <v>6.1807374015269367</v>
      </c>
      <c r="D4" s="1717">
        <v>-5.4693136543373155</v>
      </c>
      <c r="E4" s="1717">
        <v>-7.8199627620820884</v>
      </c>
      <c r="F4">
        <f t="array" ref="F4:I4">TRANSPOSE(work!CM10:CM13)</f>
        <v>-9.5812039256478627</v>
      </c>
      <c r="G4">
        <v>-4.4762801635779059</v>
      </c>
      <c r="H4">
        <v>2.7802060921752858</v>
      </c>
      <c r="I4">
        <v>2.5337423498665856</v>
      </c>
      <c r="J4">
        <f t="array" ref="J4:M4">TRANSPOSE(work!CQ10:CQ13)</f>
        <v>-0.10337209787003587</v>
      </c>
      <c r="K4">
        <v>-0.55038576023225261</v>
      </c>
      <c r="L4">
        <v>-0.85252938350822705</v>
      </c>
      <c r="M4">
        <v>3.7818600667473889</v>
      </c>
    </row>
    <row r="5" spans="1:13">
      <c r="A5" s="4" t="s">
        <v>311</v>
      </c>
      <c r="B5" s="1718">
        <f>B4/100</f>
        <v>0.14024839204114081</v>
      </c>
      <c r="C5" s="1718">
        <f t="shared" ref="C5:M5" si="3">C4/100</f>
        <v>6.1807374015269367E-2</v>
      </c>
      <c r="D5" s="1718">
        <f t="shared" si="3"/>
        <v>-5.4693136543373155E-2</v>
      </c>
      <c r="E5" s="1718">
        <f t="shared" si="3"/>
        <v>-7.8199627620820888E-2</v>
      </c>
      <c r="F5" s="1718">
        <f t="shared" si="3"/>
        <v>-9.5812039256478632E-2</v>
      </c>
      <c r="G5" s="1718">
        <f t="shared" si="3"/>
        <v>-4.4762801635779059E-2</v>
      </c>
      <c r="H5" s="1718">
        <f t="shared" si="3"/>
        <v>2.7802060921752858E-2</v>
      </c>
      <c r="I5" s="1718">
        <f t="shared" si="3"/>
        <v>2.5337423498665856E-2</v>
      </c>
      <c r="J5" s="1718">
        <f t="shared" si="3"/>
        <v>-1.0337209787003587E-3</v>
      </c>
      <c r="K5" s="1718">
        <f t="shared" si="3"/>
        <v>-5.5038576023225261E-3</v>
      </c>
      <c r="L5" s="1718">
        <f t="shared" si="3"/>
        <v>-8.5252938350822705E-3</v>
      </c>
      <c r="M5" s="1718">
        <f t="shared" si="3"/>
        <v>3.7818600667473889E-2</v>
      </c>
    </row>
    <row r="7" spans="1:13">
      <c r="B7">
        <f t="array" ref="B7:D7">TRANSPOSE(work!CJ11:CJ13)</f>
        <v>6.9284181383612697</v>
      </c>
      <c r="C7">
        <v>1.3245423404177004</v>
      </c>
      <c r="D7">
        <v>0.23361990180446046</v>
      </c>
      <c r="E7">
        <f>work!CN10</f>
        <v>3.1889960893628055</v>
      </c>
      <c r="F7">
        <f t="array" ref="F7:H7">TRANSPOSE(work!CN11:CN13)</f>
        <v>2.6638692273995179</v>
      </c>
      <c r="G7">
        <v>4.5116799837141786</v>
      </c>
      <c r="H7">
        <v>1.6530393544147204</v>
      </c>
      <c r="I7">
        <f>work!CR10</f>
        <v>-0.1818832721154684</v>
      </c>
      <c r="J7">
        <f t="array" ref="J7:L7">TRANSPOSE(work!CR11:CR13)</f>
        <v>-1.9804214838170631</v>
      </c>
      <c r="K7">
        <v>3.5111091014283113</v>
      </c>
      <c r="L7">
        <v>5.7234909596391992</v>
      </c>
      <c r="M7">
        <f>work!CV10</f>
        <v>10.128231420154066</v>
      </c>
    </row>
    <row r="8" spans="1:13">
      <c r="A8" s="4" t="s">
        <v>771</v>
      </c>
      <c r="B8" s="1718">
        <f>B7/100</f>
        <v>6.9284181383612697E-2</v>
      </c>
      <c r="C8" s="1718">
        <f t="shared" ref="C8:M8" si="4">C7/100</f>
        <v>1.3245423404177004E-2</v>
      </c>
      <c r="D8" s="1718">
        <f t="shared" si="4"/>
        <v>2.3361990180446046E-3</v>
      </c>
      <c r="E8" s="1718">
        <f t="shared" si="4"/>
        <v>3.1889960893628055E-2</v>
      </c>
      <c r="F8" s="1718">
        <f t="shared" si="4"/>
        <v>2.6638692273995179E-2</v>
      </c>
      <c r="G8" s="1718">
        <f t="shared" si="4"/>
        <v>4.5116799837141786E-2</v>
      </c>
      <c r="H8" s="1718">
        <f t="shared" si="4"/>
        <v>1.6530393544147204E-2</v>
      </c>
      <c r="I8" s="1718">
        <f t="shared" si="4"/>
        <v>-1.818832721154684E-3</v>
      </c>
      <c r="J8" s="1718">
        <f t="shared" si="4"/>
        <v>-1.9804214838170631E-2</v>
      </c>
      <c r="K8" s="1718">
        <f t="shared" si="4"/>
        <v>3.5111091014283113E-2</v>
      </c>
      <c r="L8" s="1718">
        <f t="shared" si="4"/>
        <v>5.7234909596391992E-2</v>
      </c>
      <c r="M8" s="1718">
        <f t="shared" si="4"/>
        <v>0.10128231420154066</v>
      </c>
    </row>
    <row r="11" spans="1:13">
      <c r="A11" s="4" t="s">
        <v>333</v>
      </c>
      <c r="B11" s="406">
        <f>B5-B8</f>
        <v>7.0964210657528115E-2</v>
      </c>
      <c r="C11" s="406">
        <f t="shared" ref="C11:M11" si="5">C5-C8</f>
        <v>4.8561950611092364E-2</v>
      </c>
      <c r="D11" s="406">
        <f t="shared" si="5"/>
        <v>-5.702933556141776E-2</v>
      </c>
      <c r="E11" s="406">
        <f t="shared" si="5"/>
        <v>-0.11008958851444894</v>
      </c>
      <c r="F11" s="406">
        <f t="shared" si="5"/>
        <v>-0.12245073153047381</v>
      </c>
      <c r="G11" s="406">
        <f t="shared" si="5"/>
        <v>-8.9879601472920845E-2</v>
      </c>
      <c r="H11" s="406">
        <f t="shared" si="5"/>
        <v>1.1271667377605654E-2</v>
      </c>
      <c r="I11" s="406">
        <f t="shared" si="5"/>
        <v>2.715625621982054E-2</v>
      </c>
      <c r="J11" s="406">
        <f t="shared" si="5"/>
        <v>1.8770493859470272E-2</v>
      </c>
      <c r="K11" s="406">
        <f t="shared" si="5"/>
        <v>-4.0614948616605639E-2</v>
      </c>
      <c r="L11" s="406">
        <f t="shared" si="5"/>
        <v>-6.5760203431474262E-2</v>
      </c>
      <c r="M11" s="406">
        <f t="shared" si="5"/>
        <v>-6.3463713534066768E-2</v>
      </c>
    </row>
    <row r="13" spans="1:13">
      <c r="B13" s="406">
        <f>-B11</f>
        <v>-7.0964210657528115E-2</v>
      </c>
      <c r="C13" s="406">
        <f t="shared" ref="C13:M13" si="6">-C11</f>
        <v>-4.8561950611092364E-2</v>
      </c>
      <c r="D13" s="406">
        <f t="shared" si="6"/>
        <v>5.702933556141776E-2</v>
      </c>
      <c r="E13" s="406">
        <f t="shared" si="6"/>
        <v>0.11008958851444894</v>
      </c>
      <c r="F13" s="406">
        <f t="shared" si="6"/>
        <v>0.12245073153047381</v>
      </c>
      <c r="G13" s="406">
        <f t="shared" si="6"/>
        <v>8.9879601472920845E-2</v>
      </c>
      <c r="H13" s="406">
        <f t="shared" si="6"/>
        <v>-1.1271667377605654E-2</v>
      </c>
      <c r="I13" s="406">
        <f t="shared" si="6"/>
        <v>-2.715625621982054E-2</v>
      </c>
      <c r="J13" s="406">
        <f t="shared" si="6"/>
        <v>-1.8770493859470272E-2</v>
      </c>
      <c r="K13" s="406">
        <f t="shared" si="6"/>
        <v>4.0614948616605639E-2</v>
      </c>
      <c r="L13" s="406">
        <f t="shared" si="6"/>
        <v>6.5760203431474262E-2</v>
      </c>
      <c r="M13" s="406">
        <f t="shared" si="6"/>
        <v>6.3463713534066768E-2</v>
      </c>
    </row>
  </sheetData>
  <mergeCells count="3">
    <mergeCell ref="B1:E1"/>
    <mergeCell ref="F1:I1"/>
    <mergeCell ref="J1:M1"/>
  </mergeCells>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43"/>
  <sheetViews>
    <sheetView workbookViewId="0">
      <selection activeCell="B42" sqref="B42"/>
    </sheetView>
  </sheetViews>
  <sheetFormatPr defaultRowHeight="12.75"/>
  <cols>
    <col min="1" max="1" width="29.5703125" style="1" bestFit="1" customWidth="1"/>
    <col min="2" max="2" width="19.85546875" style="1818" customWidth="1"/>
    <col min="3" max="3" width="12" style="1" bestFit="1" customWidth="1"/>
    <col min="4" max="256" width="9.140625" style="1"/>
    <col min="257" max="257" width="29.5703125" style="1" bestFit="1" customWidth="1"/>
    <col min="258" max="258" width="19.85546875" style="1" customWidth="1"/>
    <col min="259" max="259" width="12" style="1" bestFit="1" customWidth="1"/>
    <col min="260" max="512" width="9.140625" style="1"/>
    <col min="513" max="513" width="29.5703125" style="1" bestFit="1" customWidth="1"/>
    <col min="514" max="514" width="19.85546875" style="1" customWidth="1"/>
    <col min="515" max="515" width="12" style="1" bestFit="1" customWidth="1"/>
    <col min="516" max="768" width="9.140625" style="1"/>
    <col min="769" max="769" width="29.5703125" style="1" bestFit="1" customWidth="1"/>
    <col min="770" max="770" width="19.85546875" style="1" customWidth="1"/>
    <col min="771" max="771" width="12" style="1" bestFit="1" customWidth="1"/>
    <col min="772" max="1024" width="9.140625" style="1"/>
    <col min="1025" max="1025" width="29.5703125" style="1" bestFit="1" customWidth="1"/>
    <col min="1026" max="1026" width="19.85546875" style="1" customWidth="1"/>
    <col min="1027" max="1027" width="12" style="1" bestFit="1" customWidth="1"/>
    <col min="1028" max="1280" width="9.140625" style="1"/>
    <col min="1281" max="1281" width="29.5703125" style="1" bestFit="1" customWidth="1"/>
    <col min="1282" max="1282" width="19.85546875" style="1" customWidth="1"/>
    <col min="1283" max="1283" width="12" style="1" bestFit="1" customWidth="1"/>
    <col min="1284" max="1536" width="9.140625" style="1"/>
    <col min="1537" max="1537" width="29.5703125" style="1" bestFit="1" customWidth="1"/>
    <col min="1538" max="1538" width="19.85546875" style="1" customWidth="1"/>
    <col min="1539" max="1539" width="12" style="1" bestFit="1" customWidth="1"/>
    <col min="1540" max="1792" width="9.140625" style="1"/>
    <col min="1793" max="1793" width="29.5703125" style="1" bestFit="1" customWidth="1"/>
    <col min="1794" max="1794" width="19.85546875" style="1" customWidth="1"/>
    <col min="1795" max="1795" width="12" style="1" bestFit="1" customWidth="1"/>
    <col min="1796" max="2048" width="9.140625" style="1"/>
    <col min="2049" max="2049" width="29.5703125" style="1" bestFit="1" customWidth="1"/>
    <col min="2050" max="2050" width="19.85546875" style="1" customWidth="1"/>
    <col min="2051" max="2051" width="12" style="1" bestFit="1" customWidth="1"/>
    <col min="2052" max="2304" width="9.140625" style="1"/>
    <col min="2305" max="2305" width="29.5703125" style="1" bestFit="1" customWidth="1"/>
    <col min="2306" max="2306" width="19.85546875" style="1" customWidth="1"/>
    <col min="2307" max="2307" width="12" style="1" bestFit="1" customWidth="1"/>
    <col min="2308" max="2560" width="9.140625" style="1"/>
    <col min="2561" max="2561" width="29.5703125" style="1" bestFit="1" customWidth="1"/>
    <col min="2562" max="2562" width="19.85546875" style="1" customWidth="1"/>
    <col min="2563" max="2563" width="12" style="1" bestFit="1" customWidth="1"/>
    <col min="2564" max="2816" width="9.140625" style="1"/>
    <col min="2817" max="2817" width="29.5703125" style="1" bestFit="1" customWidth="1"/>
    <col min="2818" max="2818" width="19.85546875" style="1" customWidth="1"/>
    <col min="2819" max="2819" width="12" style="1" bestFit="1" customWidth="1"/>
    <col min="2820" max="3072" width="9.140625" style="1"/>
    <col min="3073" max="3073" width="29.5703125" style="1" bestFit="1" customWidth="1"/>
    <col min="3074" max="3074" width="19.85546875" style="1" customWidth="1"/>
    <col min="3075" max="3075" width="12" style="1" bestFit="1" customWidth="1"/>
    <col min="3076" max="3328" width="9.140625" style="1"/>
    <col min="3329" max="3329" width="29.5703125" style="1" bestFit="1" customWidth="1"/>
    <col min="3330" max="3330" width="19.85546875" style="1" customWidth="1"/>
    <col min="3331" max="3331" width="12" style="1" bestFit="1" customWidth="1"/>
    <col min="3332" max="3584" width="9.140625" style="1"/>
    <col min="3585" max="3585" width="29.5703125" style="1" bestFit="1" customWidth="1"/>
    <col min="3586" max="3586" width="19.85546875" style="1" customWidth="1"/>
    <col min="3587" max="3587" width="12" style="1" bestFit="1" customWidth="1"/>
    <col min="3588" max="3840" width="9.140625" style="1"/>
    <col min="3841" max="3841" width="29.5703125" style="1" bestFit="1" customWidth="1"/>
    <col min="3842" max="3842" width="19.85546875" style="1" customWidth="1"/>
    <col min="3843" max="3843" width="12" style="1" bestFit="1" customWidth="1"/>
    <col min="3844" max="4096" width="9.140625" style="1"/>
    <col min="4097" max="4097" width="29.5703125" style="1" bestFit="1" customWidth="1"/>
    <col min="4098" max="4098" width="19.85546875" style="1" customWidth="1"/>
    <col min="4099" max="4099" width="12" style="1" bestFit="1" customWidth="1"/>
    <col min="4100" max="4352" width="9.140625" style="1"/>
    <col min="4353" max="4353" width="29.5703125" style="1" bestFit="1" customWidth="1"/>
    <col min="4354" max="4354" width="19.85546875" style="1" customWidth="1"/>
    <col min="4355" max="4355" width="12" style="1" bestFit="1" customWidth="1"/>
    <col min="4356" max="4608" width="9.140625" style="1"/>
    <col min="4609" max="4609" width="29.5703125" style="1" bestFit="1" customWidth="1"/>
    <col min="4610" max="4610" width="19.85546875" style="1" customWidth="1"/>
    <col min="4611" max="4611" width="12" style="1" bestFit="1" customWidth="1"/>
    <col min="4612" max="4864" width="9.140625" style="1"/>
    <col min="4865" max="4865" width="29.5703125" style="1" bestFit="1" customWidth="1"/>
    <col min="4866" max="4866" width="19.85546875" style="1" customWidth="1"/>
    <col min="4867" max="4867" width="12" style="1" bestFit="1" customWidth="1"/>
    <col min="4868" max="5120" width="9.140625" style="1"/>
    <col min="5121" max="5121" width="29.5703125" style="1" bestFit="1" customWidth="1"/>
    <col min="5122" max="5122" width="19.85546875" style="1" customWidth="1"/>
    <col min="5123" max="5123" width="12" style="1" bestFit="1" customWidth="1"/>
    <col min="5124" max="5376" width="9.140625" style="1"/>
    <col min="5377" max="5377" width="29.5703125" style="1" bestFit="1" customWidth="1"/>
    <col min="5378" max="5378" width="19.85546875" style="1" customWidth="1"/>
    <col min="5379" max="5379" width="12" style="1" bestFit="1" customWidth="1"/>
    <col min="5380" max="5632" width="9.140625" style="1"/>
    <col min="5633" max="5633" width="29.5703125" style="1" bestFit="1" customWidth="1"/>
    <col min="5634" max="5634" width="19.85546875" style="1" customWidth="1"/>
    <col min="5635" max="5635" width="12" style="1" bestFit="1" customWidth="1"/>
    <col min="5636" max="5888" width="9.140625" style="1"/>
    <col min="5889" max="5889" width="29.5703125" style="1" bestFit="1" customWidth="1"/>
    <col min="5890" max="5890" width="19.85546875" style="1" customWidth="1"/>
    <col min="5891" max="5891" width="12" style="1" bestFit="1" customWidth="1"/>
    <col min="5892" max="6144" width="9.140625" style="1"/>
    <col min="6145" max="6145" width="29.5703125" style="1" bestFit="1" customWidth="1"/>
    <col min="6146" max="6146" width="19.85546875" style="1" customWidth="1"/>
    <col min="6147" max="6147" width="12" style="1" bestFit="1" customWidth="1"/>
    <col min="6148" max="6400" width="9.140625" style="1"/>
    <col min="6401" max="6401" width="29.5703125" style="1" bestFit="1" customWidth="1"/>
    <col min="6402" max="6402" width="19.85546875" style="1" customWidth="1"/>
    <col min="6403" max="6403" width="12" style="1" bestFit="1" customWidth="1"/>
    <col min="6404" max="6656" width="9.140625" style="1"/>
    <col min="6657" max="6657" width="29.5703125" style="1" bestFit="1" customWidth="1"/>
    <col min="6658" max="6658" width="19.85546875" style="1" customWidth="1"/>
    <col min="6659" max="6659" width="12" style="1" bestFit="1" customWidth="1"/>
    <col min="6660" max="6912" width="9.140625" style="1"/>
    <col min="6913" max="6913" width="29.5703125" style="1" bestFit="1" customWidth="1"/>
    <col min="6914" max="6914" width="19.85546875" style="1" customWidth="1"/>
    <col min="6915" max="6915" width="12" style="1" bestFit="1" customWidth="1"/>
    <col min="6916" max="7168" width="9.140625" style="1"/>
    <col min="7169" max="7169" width="29.5703125" style="1" bestFit="1" customWidth="1"/>
    <col min="7170" max="7170" width="19.85546875" style="1" customWidth="1"/>
    <col min="7171" max="7171" width="12" style="1" bestFit="1" customWidth="1"/>
    <col min="7172" max="7424" width="9.140625" style="1"/>
    <col min="7425" max="7425" width="29.5703125" style="1" bestFit="1" customWidth="1"/>
    <col min="7426" max="7426" width="19.85546875" style="1" customWidth="1"/>
    <col min="7427" max="7427" width="12" style="1" bestFit="1" customWidth="1"/>
    <col min="7428" max="7680" width="9.140625" style="1"/>
    <col min="7681" max="7681" width="29.5703125" style="1" bestFit="1" customWidth="1"/>
    <col min="7682" max="7682" width="19.85546875" style="1" customWidth="1"/>
    <col min="7683" max="7683" width="12" style="1" bestFit="1" customWidth="1"/>
    <col min="7684" max="7936" width="9.140625" style="1"/>
    <col min="7937" max="7937" width="29.5703125" style="1" bestFit="1" customWidth="1"/>
    <col min="7938" max="7938" width="19.85546875" style="1" customWidth="1"/>
    <col min="7939" max="7939" width="12" style="1" bestFit="1" customWidth="1"/>
    <col min="7940" max="8192" width="9.140625" style="1"/>
    <col min="8193" max="8193" width="29.5703125" style="1" bestFit="1" customWidth="1"/>
    <col min="8194" max="8194" width="19.85546875" style="1" customWidth="1"/>
    <col min="8195" max="8195" width="12" style="1" bestFit="1" customWidth="1"/>
    <col min="8196" max="8448" width="9.140625" style="1"/>
    <col min="8449" max="8449" width="29.5703125" style="1" bestFit="1" customWidth="1"/>
    <col min="8450" max="8450" width="19.85546875" style="1" customWidth="1"/>
    <col min="8451" max="8451" width="12" style="1" bestFit="1" customWidth="1"/>
    <col min="8452" max="8704" width="9.140625" style="1"/>
    <col min="8705" max="8705" width="29.5703125" style="1" bestFit="1" customWidth="1"/>
    <col min="8706" max="8706" width="19.85546875" style="1" customWidth="1"/>
    <col min="8707" max="8707" width="12" style="1" bestFit="1" customWidth="1"/>
    <col min="8708" max="8960" width="9.140625" style="1"/>
    <col min="8961" max="8961" width="29.5703125" style="1" bestFit="1" customWidth="1"/>
    <col min="8962" max="8962" width="19.85546875" style="1" customWidth="1"/>
    <col min="8963" max="8963" width="12" style="1" bestFit="1" customWidth="1"/>
    <col min="8964" max="9216" width="9.140625" style="1"/>
    <col min="9217" max="9217" width="29.5703125" style="1" bestFit="1" customWidth="1"/>
    <col min="9218" max="9218" width="19.85546875" style="1" customWidth="1"/>
    <col min="9219" max="9219" width="12" style="1" bestFit="1" customWidth="1"/>
    <col min="9220" max="9472" width="9.140625" style="1"/>
    <col min="9473" max="9473" width="29.5703125" style="1" bestFit="1" customWidth="1"/>
    <col min="9474" max="9474" width="19.85546875" style="1" customWidth="1"/>
    <col min="9475" max="9475" width="12" style="1" bestFit="1" customWidth="1"/>
    <col min="9476" max="9728" width="9.140625" style="1"/>
    <col min="9729" max="9729" width="29.5703125" style="1" bestFit="1" customWidth="1"/>
    <col min="9730" max="9730" width="19.85546875" style="1" customWidth="1"/>
    <col min="9731" max="9731" width="12" style="1" bestFit="1" customWidth="1"/>
    <col min="9732" max="9984" width="9.140625" style="1"/>
    <col min="9985" max="9985" width="29.5703125" style="1" bestFit="1" customWidth="1"/>
    <col min="9986" max="9986" width="19.85546875" style="1" customWidth="1"/>
    <col min="9987" max="9987" width="12" style="1" bestFit="1" customWidth="1"/>
    <col min="9988" max="10240" width="9.140625" style="1"/>
    <col min="10241" max="10241" width="29.5703125" style="1" bestFit="1" customWidth="1"/>
    <col min="10242" max="10242" width="19.85546875" style="1" customWidth="1"/>
    <col min="10243" max="10243" width="12" style="1" bestFit="1" customWidth="1"/>
    <col min="10244" max="10496" width="9.140625" style="1"/>
    <col min="10497" max="10497" width="29.5703125" style="1" bestFit="1" customWidth="1"/>
    <col min="10498" max="10498" width="19.85546875" style="1" customWidth="1"/>
    <col min="10499" max="10499" width="12" style="1" bestFit="1" customWidth="1"/>
    <col min="10500" max="10752" width="9.140625" style="1"/>
    <col min="10753" max="10753" width="29.5703125" style="1" bestFit="1" customWidth="1"/>
    <col min="10754" max="10754" width="19.85546875" style="1" customWidth="1"/>
    <col min="10755" max="10755" width="12" style="1" bestFit="1" customWidth="1"/>
    <col min="10756" max="11008" width="9.140625" style="1"/>
    <col min="11009" max="11009" width="29.5703125" style="1" bestFit="1" customWidth="1"/>
    <col min="11010" max="11010" width="19.85546875" style="1" customWidth="1"/>
    <col min="11011" max="11011" width="12" style="1" bestFit="1" customWidth="1"/>
    <col min="11012" max="11264" width="9.140625" style="1"/>
    <col min="11265" max="11265" width="29.5703125" style="1" bestFit="1" customWidth="1"/>
    <col min="11266" max="11266" width="19.85546875" style="1" customWidth="1"/>
    <col min="11267" max="11267" width="12" style="1" bestFit="1" customWidth="1"/>
    <col min="11268" max="11520" width="9.140625" style="1"/>
    <col min="11521" max="11521" width="29.5703125" style="1" bestFit="1" customWidth="1"/>
    <col min="11522" max="11522" width="19.85546875" style="1" customWidth="1"/>
    <col min="11523" max="11523" width="12" style="1" bestFit="1" customWidth="1"/>
    <col min="11524" max="11776" width="9.140625" style="1"/>
    <col min="11777" max="11777" width="29.5703125" style="1" bestFit="1" customWidth="1"/>
    <col min="11778" max="11778" width="19.85546875" style="1" customWidth="1"/>
    <col min="11779" max="11779" width="12" style="1" bestFit="1" customWidth="1"/>
    <col min="11780" max="12032" width="9.140625" style="1"/>
    <col min="12033" max="12033" width="29.5703125" style="1" bestFit="1" customWidth="1"/>
    <col min="12034" max="12034" width="19.85546875" style="1" customWidth="1"/>
    <col min="12035" max="12035" width="12" style="1" bestFit="1" customWidth="1"/>
    <col min="12036" max="12288" width="9.140625" style="1"/>
    <col min="12289" max="12289" width="29.5703125" style="1" bestFit="1" customWidth="1"/>
    <col min="12290" max="12290" width="19.85546875" style="1" customWidth="1"/>
    <col min="12291" max="12291" width="12" style="1" bestFit="1" customWidth="1"/>
    <col min="12292" max="12544" width="9.140625" style="1"/>
    <col min="12545" max="12545" width="29.5703125" style="1" bestFit="1" customWidth="1"/>
    <col min="12546" max="12546" width="19.85546875" style="1" customWidth="1"/>
    <col min="12547" max="12547" width="12" style="1" bestFit="1" customWidth="1"/>
    <col min="12548" max="12800" width="9.140625" style="1"/>
    <col min="12801" max="12801" width="29.5703125" style="1" bestFit="1" customWidth="1"/>
    <col min="12802" max="12802" width="19.85546875" style="1" customWidth="1"/>
    <col min="12803" max="12803" width="12" style="1" bestFit="1" customWidth="1"/>
    <col min="12804" max="13056" width="9.140625" style="1"/>
    <col min="13057" max="13057" width="29.5703125" style="1" bestFit="1" customWidth="1"/>
    <col min="13058" max="13058" width="19.85546875" style="1" customWidth="1"/>
    <col min="13059" max="13059" width="12" style="1" bestFit="1" customWidth="1"/>
    <col min="13060" max="13312" width="9.140625" style="1"/>
    <col min="13313" max="13313" width="29.5703125" style="1" bestFit="1" customWidth="1"/>
    <col min="13314" max="13314" width="19.85546875" style="1" customWidth="1"/>
    <col min="13315" max="13315" width="12" style="1" bestFit="1" customWidth="1"/>
    <col min="13316" max="13568" width="9.140625" style="1"/>
    <col min="13569" max="13569" width="29.5703125" style="1" bestFit="1" customWidth="1"/>
    <col min="13570" max="13570" width="19.85546875" style="1" customWidth="1"/>
    <col min="13571" max="13571" width="12" style="1" bestFit="1" customWidth="1"/>
    <col min="13572" max="13824" width="9.140625" style="1"/>
    <col min="13825" max="13825" width="29.5703125" style="1" bestFit="1" customWidth="1"/>
    <col min="13826" max="13826" width="19.85546875" style="1" customWidth="1"/>
    <col min="13827" max="13827" width="12" style="1" bestFit="1" customWidth="1"/>
    <col min="13828" max="14080" width="9.140625" style="1"/>
    <col min="14081" max="14081" width="29.5703125" style="1" bestFit="1" customWidth="1"/>
    <col min="14082" max="14082" width="19.85546875" style="1" customWidth="1"/>
    <col min="14083" max="14083" width="12" style="1" bestFit="1" customWidth="1"/>
    <col min="14084" max="14336" width="9.140625" style="1"/>
    <col min="14337" max="14337" width="29.5703125" style="1" bestFit="1" customWidth="1"/>
    <col min="14338" max="14338" width="19.85546875" style="1" customWidth="1"/>
    <col min="14339" max="14339" width="12" style="1" bestFit="1" customWidth="1"/>
    <col min="14340" max="14592" width="9.140625" style="1"/>
    <col min="14593" max="14593" width="29.5703125" style="1" bestFit="1" customWidth="1"/>
    <col min="14594" max="14594" width="19.85546875" style="1" customWidth="1"/>
    <col min="14595" max="14595" width="12" style="1" bestFit="1" customWidth="1"/>
    <col min="14596" max="14848" width="9.140625" style="1"/>
    <col min="14849" max="14849" width="29.5703125" style="1" bestFit="1" customWidth="1"/>
    <col min="14850" max="14850" width="19.85546875" style="1" customWidth="1"/>
    <col min="14851" max="14851" width="12" style="1" bestFit="1" customWidth="1"/>
    <col min="14852" max="15104" width="9.140625" style="1"/>
    <col min="15105" max="15105" width="29.5703125" style="1" bestFit="1" customWidth="1"/>
    <col min="15106" max="15106" width="19.85546875" style="1" customWidth="1"/>
    <col min="15107" max="15107" width="12" style="1" bestFit="1" customWidth="1"/>
    <col min="15108" max="15360" width="9.140625" style="1"/>
    <col min="15361" max="15361" width="29.5703125" style="1" bestFit="1" customWidth="1"/>
    <col min="15362" max="15362" width="19.85546875" style="1" customWidth="1"/>
    <col min="15363" max="15363" width="12" style="1" bestFit="1" customWidth="1"/>
    <col min="15364" max="15616" width="9.140625" style="1"/>
    <col min="15617" max="15617" width="29.5703125" style="1" bestFit="1" customWidth="1"/>
    <col min="15618" max="15618" width="19.85546875" style="1" customWidth="1"/>
    <col min="15619" max="15619" width="12" style="1" bestFit="1" customWidth="1"/>
    <col min="15620" max="15872" width="9.140625" style="1"/>
    <col min="15873" max="15873" width="29.5703125" style="1" bestFit="1" customWidth="1"/>
    <col min="15874" max="15874" width="19.85546875" style="1" customWidth="1"/>
    <col min="15875" max="15875" width="12" style="1" bestFit="1" customWidth="1"/>
    <col min="15876" max="16128" width="9.140625" style="1"/>
    <col min="16129" max="16129" width="29.5703125" style="1" bestFit="1" customWidth="1"/>
    <col min="16130" max="16130" width="19.85546875" style="1" customWidth="1"/>
    <col min="16131" max="16131" width="12" style="1" bestFit="1" customWidth="1"/>
    <col min="16132" max="16384" width="9.140625" style="1"/>
  </cols>
  <sheetData>
    <row r="1" spans="1:2">
      <c r="A1" s="1" t="s">
        <v>1065</v>
      </c>
      <c r="B1" s="1817">
        <v>6.1</v>
      </c>
    </row>
    <row r="2" spans="1:2">
      <c r="A2" s="1" t="s">
        <v>1066</v>
      </c>
      <c r="B2" s="1821">
        <v>43192.72078703704</v>
      </c>
    </row>
    <row r="3" spans="1:2">
      <c r="A3" s="1" t="s">
        <v>1067</v>
      </c>
      <c r="B3" s="1818" t="s">
        <v>778</v>
      </c>
    </row>
    <row r="4" spans="1:2">
      <c r="A4" s="1" t="s">
        <v>1068</v>
      </c>
      <c r="B4" s="1818" t="s">
        <v>1069</v>
      </c>
    </row>
    <row r="5" spans="1:2">
      <c r="A5" s="1" t="s">
        <v>1070</v>
      </c>
      <c r="B5" s="1818" t="s">
        <v>733</v>
      </c>
    </row>
    <row r="6" spans="1:2">
      <c r="A6" s="1" t="s">
        <v>1071</v>
      </c>
    </row>
    <row r="7" spans="1:2">
      <c r="A7" s="1" t="s">
        <v>1072</v>
      </c>
      <c r="B7" s="1818" t="s">
        <v>70</v>
      </c>
    </row>
    <row r="8" spans="1:2">
      <c r="A8" s="1" t="s">
        <v>1073</v>
      </c>
      <c r="B8" s="1818" t="s">
        <v>1074</v>
      </c>
    </row>
    <row r="9" spans="1:2">
      <c r="A9" s="1" t="s">
        <v>1075</v>
      </c>
      <c r="B9" s="1818" t="s">
        <v>1112</v>
      </c>
    </row>
    <row r="10" spans="1:2">
      <c r="A10" s="1" t="s">
        <v>1076</v>
      </c>
    </row>
    <row r="11" spans="1:2">
      <c r="A11" s="1" t="s">
        <v>1077</v>
      </c>
    </row>
    <row r="12" spans="1:2">
      <c r="A12" s="1" t="s">
        <v>1078</v>
      </c>
    </row>
    <row r="13" spans="1:2">
      <c r="A13" s="1" t="s">
        <v>1079</v>
      </c>
    </row>
    <row r="14" spans="1:2">
      <c r="A14" s="1" t="s">
        <v>1080</v>
      </c>
    </row>
    <row r="15" spans="1:2">
      <c r="A15" s="1" t="s">
        <v>1081</v>
      </c>
    </row>
    <row r="16" spans="1:2">
      <c r="A16" s="1" t="s">
        <v>1082</v>
      </c>
    </row>
    <row r="17" spans="1:4">
      <c r="A17" s="1" t="s">
        <v>1083</v>
      </c>
      <c r="B17" s="1818" t="s">
        <v>1113</v>
      </c>
    </row>
    <row r="18" spans="1:4">
      <c r="A18" s="1" t="s">
        <v>1084</v>
      </c>
      <c r="B18" s="1818" t="s">
        <v>777</v>
      </c>
    </row>
    <row r="19" spans="1:4">
      <c r="A19" s="1" t="s">
        <v>1085</v>
      </c>
      <c r="B19" s="1818" t="s">
        <v>459</v>
      </c>
    </row>
    <row r="20" spans="1:4">
      <c r="A20" s="1" t="s">
        <v>1086</v>
      </c>
      <c r="B20" s="1819">
        <v>917047102</v>
      </c>
    </row>
    <row r="21" spans="1:4">
      <c r="A21" s="1" t="s">
        <v>1087</v>
      </c>
      <c r="B21" s="1818" t="s">
        <v>459</v>
      </c>
    </row>
    <row r="22" spans="1:4">
      <c r="A22" s="1" t="s">
        <v>1088</v>
      </c>
      <c r="B22" s="1819">
        <v>2933438</v>
      </c>
    </row>
    <row r="23" spans="1:4">
      <c r="A23" s="1" t="s">
        <v>447</v>
      </c>
      <c r="B23" s="1817">
        <v>36.909999999999997</v>
      </c>
    </row>
    <row r="24" spans="1:4">
      <c r="A24" s="1" t="s">
        <v>446</v>
      </c>
      <c r="B24" s="1818" t="s">
        <v>12</v>
      </c>
      <c r="D24" s="1" t="s">
        <v>535</v>
      </c>
    </row>
    <row r="25" spans="1:4">
      <c r="A25" s="1" t="s">
        <v>1089</v>
      </c>
      <c r="B25" s="1818" t="s">
        <v>1116</v>
      </c>
    </row>
    <row r="26" spans="1:4">
      <c r="A26" s="1" t="s">
        <v>1090</v>
      </c>
      <c r="B26" s="1818">
        <v>0</v>
      </c>
    </row>
    <row r="27" spans="1:4">
      <c r="A27" s="1" t="s">
        <v>1091</v>
      </c>
      <c r="B27" s="1818" t="s">
        <v>1092</v>
      </c>
    </row>
    <row r="28" spans="1:4">
      <c r="A28" s="1" t="s">
        <v>1093</v>
      </c>
      <c r="B28" s="1818" t="s">
        <v>1094</v>
      </c>
    </row>
    <row r="29" spans="1:4">
      <c r="A29" s="1" t="s">
        <v>1095</v>
      </c>
    </row>
    <row r="30" spans="1:4">
      <c r="A30" s="1" t="s">
        <v>1096</v>
      </c>
    </row>
    <row r="31" spans="1:4">
      <c r="A31" s="1" t="s">
        <v>1097</v>
      </c>
    </row>
    <row r="32" spans="1:4">
      <c r="A32" s="1" t="s">
        <v>1098</v>
      </c>
      <c r="B32" s="1817"/>
    </row>
    <row r="33" spans="1:2">
      <c r="A33" s="1" t="s">
        <v>1099</v>
      </c>
      <c r="B33" s="1817"/>
    </row>
    <row r="34" spans="1:2">
      <c r="A34" s="1" t="s">
        <v>1100</v>
      </c>
      <c r="B34" s="1817"/>
    </row>
    <row r="35" spans="1:2">
      <c r="A35" s="1" t="s">
        <v>1101</v>
      </c>
      <c r="B35" s="1818">
        <v>1000000</v>
      </c>
    </row>
    <row r="36" spans="1:2">
      <c r="A36" s="1" t="s">
        <v>1102</v>
      </c>
      <c r="B36" s="1818" t="s">
        <v>1114</v>
      </c>
    </row>
    <row r="37" spans="1:2">
      <c r="A37" s="1" t="s">
        <v>1103</v>
      </c>
      <c r="B37" s="1818" t="s">
        <v>1104</v>
      </c>
    </row>
    <row r="38" spans="1:2">
      <c r="A38" s="1" t="s">
        <v>1105</v>
      </c>
      <c r="B38" s="1818" t="s">
        <v>1106</v>
      </c>
    </row>
    <row r="39" spans="1:2">
      <c r="A39" s="1" t="s">
        <v>1107</v>
      </c>
      <c r="B39" s="1818" t="s">
        <v>1115</v>
      </c>
    </row>
    <row r="40" spans="1:2">
      <c r="A40" s="1" t="s">
        <v>1108</v>
      </c>
      <c r="B40" s="1818">
        <v>5208</v>
      </c>
    </row>
    <row r="41" spans="1:2">
      <c r="A41" s="1" t="s">
        <v>1109</v>
      </c>
      <c r="B41" s="1818">
        <v>1</v>
      </c>
    </row>
    <row r="42" spans="1:2">
      <c r="A42" s="1820" t="s">
        <v>1110</v>
      </c>
    </row>
    <row r="43" spans="1:2">
      <c r="A43" s="1" t="s">
        <v>1111</v>
      </c>
    </row>
  </sheetData>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13"/>
  <sheetViews>
    <sheetView workbookViewId="0">
      <selection activeCell="E11" sqref="E11"/>
    </sheetView>
  </sheetViews>
  <sheetFormatPr defaultRowHeight="12.75"/>
  <cols>
    <col min="1" max="1" width="28.5703125" style="1" bestFit="1" customWidth="1"/>
    <col min="2" max="256" width="9.140625" style="1"/>
    <col min="257" max="257" width="28.5703125" style="1" bestFit="1" customWidth="1"/>
    <col min="258" max="512" width="9.140625" style="1"/>
    <col min="513" max="513" width="28.5703125" style="1" bestFit="1" customWidth="1"/>
    <col min="514" max="768" width="9.140625" style="1"/>
    <col min="769" max="769" width="28.5703125" style="1" bestFit="1" customWidth="1"/>
    <col min="770" max="1024" width="9.140625" style="1"/>
    <col min="1025" max="1025" width="28.5703125" style="1" bestFit="1" customWidth="1"/>
    <col min="1026" max="1280" width="9.140625" style="1"/>
    <col min="1281" max="1281" width="28.5703125" style="1" bestFit="1" customWidth="1"/>
    <col min="1282" max="1536" width="9.140625" style="1"/>
    <col min="1537" max="1537" width="28.5703125" style="1" bestFit="1" customWidth="1"/>
    <col min="1538" max="1792" width="9.140625" style="1"/>
    <col min="1793" max="1793" width="28.5703125" style="1" bestFit="1" customWidth="1"/>
    <col min="1794" max="2048" width="9.140625" style="1"/>
    <col min="2049" max="2049" width="28.5703125" style="1" bestFit="1" customWidth="1"/>
    <col min="2050" max="2304" width="9.140625" style="1"/>
    <col min="2305" max="2305" width="28.5703125" style="1" bestFit="1" customWidth="1"/>
    <col min="2306" max="2560" width="9.140625" style="1"/>
    <col min="2561" max="2561" width="28.5703125" style="1" bestFit="1" customWidth="1"/>
    <col min="2562" max="2816" width="9.140625" style="1"/>
    <col min="2817" max="2817" width="28.5703125" style="1" bestFit="1" customWidth="1"/>
    <col min="2818" max="3072" width="9.140625" style="1"/>
    <col min="3073" max="3073" width="28.5703125" style="1" bestFit="1" customWidth="1"/>
    <col min="3074" max="3328" width="9.140625" style="1"/>
    <col min="3329" max="3329" width="28.5703125" style="1" bestFit="1" customWidth="1"/>
    <col min="3330" max="3584" width="9.140625" style="1"/>
    <col min="3585" max="3585" width="28.5703125" style="1" bestFit="1" customWidth="1"/>
    <col min="3586" max="3840" width="9.140625" style="1"/>
    <col min="3841" max="3841" width="28.5703125" style="1" bestFit="1" customWidth="1"/>
    <col min="3842" max="4096" width="9.140625" style="1"/>
    <col min="4097" max="4097" width="28.5703125" style="1" bestFit="1" customWidth="1"/>
    <col min="4098" max="4352" width="9.140625" style="1"/>
    <col min="4353" max="4353" width="28.5703125" style="1" bestFit="1" customWidth="1"/>
    <col min="4354" max="4608" width="9.140625" style="1"/>
    <col min="4609" max="4609" width="28.5703125" style="1" bestFit="1" customWidth="1"/>
    <col min="4610" max="4864" width="9.140625" style="1"/>
    <col min="4865" max="4865" width="28.5703125" style="1" bestFit="1" customWidth="1"/>
    <col min="4866" max="5120" width="9.140625" style="1"/>
    <col min="5121" max="5121" width="28.5703125" style="1" bestFit="1" customWidth="1"/>
    <col min="5122" max="5376" width="9.140625" style="1"/>
    <col min="5377" max="5377" width="28.5703125" style="1" bestFit="1" customWidth="1"/>
    <col min="5378" max="5632" width="9.140625" style="1"/>
    <col min="5633" max="5633" width="28.5703125" style="1" bestFit="1" customWidth="1"/>
    <col min="5634" max="5888" width="9.140625" style="1"/>
    <col min="5889" max="5889" width="28.5703125" style="1" bestFit="1" customWidth="1"/>
    <col min="5890" max="6144" width="9.140625" style="1"/>
    <col min="6145" max="6145" width="28.5703125" style="1" bestFit="1" customWidth="1"/>
    <col min="6146" max="6400" width="9.140625" style="1"/>
    <col min="6401" max="6401" width="28.5703125" style="1" bestFit="1" customWidth="1"/>
    <col min="6402" max="6656" width="9.140625" style="1"/>
    <col min="6657" max="6657" width="28.5703125" style="1" bestFit="1" customWidth="1"/>
    <col min="6658" max="6912" width="9.140625" style="1"/>
    <col min="6913" max="6913" width="28.5703125" style="1" bestFit="1" customWidth="1"/>
    <col min="6914" max="7168" width="9.140625" style="1"/>
    <col min="7169" max="7169" width="28.5703125" style="1" bestFit="1" customWidth="1"/>
    <col min="7170" max="7424" width="9.140625" style="1"/>
    <col min="7425" max="7425" width="28.5703125" style="1" bestFit="1" customWidth="1"/>
    <col min="7426" max="7680" width="9.140625" style="1"/>
    <col min="7681" max="7681" width="28.5703125" style="1" bestFit="1" customWidth="1"/>
    <col min="7682" max="7936" width="9.140625" style="1"/>
    <col min="7937" max="7937" width="28.5703125" style="1" bestFit="1" customWidth="1"/>
    <col min="7938" max="8192" width="9.140625" style="1"/>
    <col min="8193" max="8193" width="28.5703125" style="1" bestFit="1" customWidth="1"/>
    <col min="8194" max="8448" width="9.140625" style="1"/>
    <col min="8449" max="8449" width="28.5703125" style="1" bestFit="1" customWidth="1"/>
    <col min="8450" max="8704" width="9.140625" style="1"/>
    <col min="8705" max="8705" width="28.5703125" style="1" bestFit="1" customWidth="1"/>
    <col min="8706" max="8960" width="9.140625" style="1"/>
    <col min="8961" max="8961" width="28.5703125" style="1" bestFit="1" customWidth="1"/>
    <col min="8962" max="9216" width="9.140625" style="1"/>
    <col min="9217" max="9217" width="28.5703125" style="1" bestFit="1" customWidth="1"/>
    <col min="9218" max="9472" width="9.140625" style="1"/>
    <col min="9473" max="9473" width="28.5703125" style="1" bestFit="1" customWidth="1"/>
    <col min="9474" max="9728" width="9.140625" style="1"/>
    <col min="9729" max="9729" width="28.5703125" style="1" bestFit="1" customWidth="1"/>
    <col min="9730" max="9984" width="9.140625" style="1"/>
    <col min="9985" max="9985" width="28.5703125" style="1" bestFit="1" customWidth="1"/>
    <col min="9986" max="10240" width="9.140625" style="1"/>
    <col min="10241" max="10241" width="28.5703125" style="1" bestFit="1" customWidth="1"/>
    <col min="10242" max="10496" width="9.140625" style="1"/>
    <col min="10497" max="10497" width="28.5703125" style="1" bestFit="1" customWidth="1"/>
    <col min="10498" max="10752" width="9.140625" style="1"/>
    <col min="10753" max="10753" width="28.5703125" style="1" bestFit="1" customWidth="1"/>
    <col min="10754" max="11008" width="9.140625" style="1"/>
    <col min="11009" max="11009" width="28.5703125" style="1" bestFit="1" customWidth="1"/>
    <col min="11010" max="11264" width="9.140625" style="1"/>
    <col min="11265" max="11265" width="28.5703125" style="1" bestFit="1" customWidth="1"/>
    <col min="11266" max="11520" width="9.140625" style="1"/>
    <col min="11521" max="11521" width="28.5703125" style="1" bestFit="1" customWidth="1"/>
    <col min="11522" max="11776" width="9.140625" style="1"/>
    <col min="11777" max="11777" width="28.5703125" style="1" bestFit="1" customWidth="1"/>
    <col min="11778" max="12032" width="9.140625" style="1"/>
    <col min="12033" max="12033" width="28.5703125" style="1" bestFit="1" customWidth="1"/>
    <col min="12034" max="12288" width="9.140625" style="1"/>
    <col min="12289" max="12289" width="28.5703125" style="1" bestFit="1" customWidth="1"/>
    <col min="12290" max="12544" width="9.140625" style="1"/>
    <col min="12545" max="12545" width="28.5703125" style="1" bestFit="1" customWidth="1"/>
    <col min="12546" max="12800" width="9.140625" style="1"/>
    <col min="12801" max="12801" width="28.5703125" style="1" bestFit="1" customWidth="1"/>
    <col min="12802" max="13056" width="9.140625" style="1"/>
    <col min="13057" max="13057" width="28.5703125" style="1" bestFit="1" customWidth="1"/>
    <col min="13058" max="13312" width="9.140625" style="1"/>
    <col min="13313" max="13313" width="28.5703125" style="1" bestFit="1" customWidth="1"/>
    <col min="13314" max="13568" width="9.140625" style="1"/>
    <col min="13569" max="13569" width="28.5703125" style="1" bestFit="1" customWidth="1"/>
    <col min="13570" max="13824" width="9.140625" style="1"/>
    <col min="13825" max="13825" width="28.5703125" style="1" bestFit="1" customWidth="1"/>
    <col min="13826" max="14080" width="9.140625" style="1"/>
    <col min="14081" max="14081" width="28.5703125" style="1" bestFit="1" customWidth="1"/>
    <col min="14082" max="14336" width="9.140625" style="1"/>
    <col min="14337" max="14337" width="28.5703125" style="1" bestFit="1" customWidth="1"/>
    <col min="14338" max="14592" width="9.140625" style="1"/>
    <col min="14593" max="14593" width="28.5703125" style="1" bestFit="1" customWidth="1"/>
    <col min="14594" max="14848" width="9.140625" style="1"/>
    <col min="14849" max="14849" width="28.5703125" style="1" bestFit="1" customWidth="1"/>
    <col min="14850" max="15104" width="9.140625" style="1"/>
    <col min="15105" max="15105" width="28.5703125" style="1" bestFit="1" customWidth="1"/>
    <col min="15106" max="15360" width="9.140625" style="1"/>
    <col min="15361" max="15361" width="28.5703125" style="1" bestFit="1" customWidth="1"/>
    <col min="15362" max="15616" width="9.140625" style="1"/>
    <col min="15617" max="15617" width="28.5703125" style="1" bestFit="1" customWidth="1"/>
    <col min="15618" max="15872" width="9.140625" style="1"/>
    <col min="15873" max="15873" width="28.5703125" style="1" bestFit="1" customWidth="1"/>
    <col min="15874" max="16128" width="9.140625" style="1"/>
    <col min="16129" max="16129" width="28.5703125" style="1" bestFit="1" customWidth="1"/>
    <col min="16130" max="16384" width="9.140625" style="1"/>
  </cols>
  <sheetData>
    <row r="1" spans="1:1">
      <c r="A1" s="1822" t="s">
        <v>1117</v>
      </c>
    </row>
    <row r="2" spans="1:1">
      <c r="A2" s="1822" t="s">
        <v>1122</v>
      </c>
    </row>
    <row r="3" spans="1:1">
      <c r="A3" s="1822" t="s">
        <v>1123</v>
      </c>
    </row>
    <row r="4" spans="1:1">
      <c r="A4" s="1822" t="s">
        <v>1124</v>
      </c>
    </row>
    <row r="5" spans="1:1">
      <c r="A5" s="1822" t="s">
        <v>1125</v>
      </c>
    </row>
    <row r="6" spans="1:1">
      <c r="A6" s="1822" t="s">
        <v>1118</v>
      </c>
    </row>
    <row r="7" spans="1:1">
      <c r="A7" s="1822" t="s">
        <v>1126</v>
      </c>
    </row>
    <row r="8" spans="1:1">
      <c r="A8" s="1822" t="s">
        <v>1127</v>
      </c>
    </row>
    <row r="9" spans="1:1">
      <c r="A9" s="1822" t="s">
        <v>1128</v>
      </c>
    </row>
    <row r="10" spans="1:1">
      <c r="A10" s="1822" t="s">
        <v>1119</v>
      </c>
    </row>
    <row r="11" spans="1:1">
      <c r="A11" s="1822" t="s">
        <v>1129</v>
      </c>
    </row>
    <row r="12" spans="1:1">
      <c r="A12" s="1822" t="s">
        <v>1120</v>
      </c>
    </row>
    <row r="13" spans="1:1">
      <c r="A13" s="1822" t="s">
        <v>1121</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Link>
    <GUID>af918b35-40b5-48f5-9070-173e680e1e43</GUID>
    <SOURCETYPE>Chart</SOURCETYPE>
    <SOURCE_OBJECTNAME>MWA_Risk_Reward</SOURCE_OBJECTNAME>
    <SOURCE_SHEETCODE>MWRSSData</SOURCE_SHEETCODE>
    <SOURCE_SHEETNAME>MWA RR</SOURCE_SHEETNAME>
    <OBJECTTYPE>Native</OBJECTTYPE>
    <SOURCEAPPLICATION>EXCEL_SOURCE</SOURCEAPPLICATION>
    <UPDATEDAT>3/10/2015 2:45:33 PM</UPDATEDAT>
    <SOURCE_ISOUTOFDATE>False</SOURCE_ISOUTOFDATE>
    <SOURCE_WORKBOOKNAME>URBN.xls</SOURCE_WORKBOOKNAME>
    <SOURCE_WORKBOOKPATH>\\MSAD\ROOT\NA\NY\LIB\ER\RETAIL\Greenberger\Companies\URBN\Models</SOURCE_WORKBOOKPATH>
    <TRANSPARENTBACKGROUND>False</TRANSPARENTBACKGROUND>
    <TRANSPARENTPLOTAREA>False</TRANSPARENTPLOTAREA>
    <TARGETTYPE>Picture</TARGETTYPE>
    <TARGETAPPLICATION>METHODE_TARGET</TARGETAPPLICATION>
    <TABLEBACKGROUND>Existing</TABLEBACKGROUND>
    <TARGET_BINARYFULLNAME>/MSResearch/Content/ExternalAssets/2014-11/Images/nLOLCGI8bUGNPX5y2SORXw--.png</TARGET_BINARYFULLNAME>
    <TARGET_STORYFULLNAME>/MSResearch/Content/ExternalAssets/2014-11/Sections/20141119_082723_MWA_Risk_Reward.xml</TARGET_STORYFULLNAME>
    <TARGET_UUID>613a83f4-7054-11e4-b96b-b695013ce2f8</TARGET_UUID>
    <LINKSTATUS>Unknown</LINKSTATUS>
    <HIDEGRIDLINES>False</HIDEGRIDLINES>
  </Link>
  <Link>
    <GUID>204a852b-19ad-428e-b5d4-5cd2065eb09d</GUID>
    <SOURCE_ALTADDRESS>$A$5:$CT$76</SOURCE_ALTADDRESS>
    <SOURCETYPE>Table</SOURCETYPE>
    <SOURCE_OBJECTNAME>Linking_Range_16</SOURCE_OBJECTNAME>
    <OBJECTTYPE>Native</OBJECTTYPE>
    <SOURCE_SHEETCODE>Sheet2</SOURCE_SHEETCODE>
    <SOURCE_SHEETNAME>sumry</SOURCE_SHEETNAME>
    <SOURCEAPPLICATION>EXCEL_SOURCE</SOURCEAPPLICATION>
    <UPDATEDAT>5/18/2015 10:05:58 PM</UPDATEDAT>
    <SOURCE_ISOUTOFDATE>False</SOURCE_ISOUTOFDATE>
    <SOURCE_WORKBOOKNAME>URBN.xls</SOURCE_WORKBOOKNAME>
    <SOURCE_WORKBOOKPATH>\\MSAD\ROOT\NA\NY\LIB\ER\RETAIL\Greenberger\Companies\URBN\Models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/MSResearch/Content/ExternalAssets/2014-11/Images/W4vzvFfmeyGOmanxRjAeA--.png</TARGET_BINARYFULLNAME>
    <TARGET_STORYFULLNAME>/MSResearch/Content/ExternalAssets/2014-11/Sections/20141119_082423_Linking_Range_16.xml</TARGET_STORYFULLNAME>
    <TARGET_UUID>f58c31fc-7053-11e4-b96b-b695013ce2f8</TARGET_UUID>
    <LINKSTATUS>Unknown</LINKSTATUS>
    <TRANSPARENTBACKGROUND>False</TRANSPARENTBACKGROUND>
    <TRANSPARENTPLOTAREA>False</TRANSPARENTPLOTAREA>
  </Link>
  <Link>
    <GUID>0c60e8db-9f5e-44a2-996e-582a27b7dcc0</GUID>
    <SOURCE_ALTADDRESS>$A$5:$CV$76</SOURCE_ALTADDRESS>
    <SOURCETYPE>Table</SOURCETYPE>
    <SOURCE_OBJECTNAME>Linking_Range_30</SOURCE_OBJECTNAME>
    <OBJECTTYPE>Native</OBJECTTYPE>
    <SOURCE_SHEETCODE>Sheet2</SOURCE_SHEETCODE>
    <SOURCE_SHEETNAME>sumry</SOURCE_SHEETNAME>
    <SOURCEAPPLICATION>EXCEL_SOURCE</SOURCEAPPLICATION>
    <UPDATEDAT>5/18/2015 10:06:02 PM</UPDATEDAT>
    <SOURCE_ISOUTOFDATE>False</SOURCE_ISOUTOFDATE>
    <SOURCE_WORKBOOKNAME>URBN.xls</SOURCE_WORKBOOKNAME>
    <SOURCE_WORKBOOKPATH>\\MSAD\ROOT\NA\NY\LIB\ER\RETAIL\Greenberger\Companies\URBN\Models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/MSResearch/Content/ExternalAssets/2015-02/Images/ZT-6NF_SJUSJ8PzVfUt2cA--.png</TARGET_BINARYFULLNAME>
    <TARGET_STORYFULLNAME>/MSResearch/Content/ExternalAssets/2015-02/Sections/20150209_081611_Linking_Range_3.xml</TARGET_STORYFULLNAME>
    <TARGET_UUID>6656cfec-b0c2-11e4-9343-7c9184ca9b36</TARGET_UUID>
    <LINKSTATUS>Unknown</LINKSTATUS>
    <TRANSPARENTBACKGROUND>False</TRANSPARENTBACKGROUND>
    <TRANSPARENTPLOTAREA>False</TRANSPARENTPLOTAREA>
    <EXTRACTSOURCEMODE>CopyToClipboard</EXTRACTSOURCEMODE>
  </Link>
  <Link>
    <GUID>9f48a98e-fc40-499e-8353-569937cda705</GUID>
    <SOURCE_ALTADDRESS>$A$6:$BC$52</SOURCE_ALTADDRESS>
    <SOURCETYPE>Table</SOURCETYPE>
    <SOURCE_OBJECTNAME>Linking_Range_31</SOURCE_OBJECTNAME>
    <OBJECTTYPE>Native</OBJECTTYPE>
    <SOURCE_SHEETCODE>Sheet10</SOURCE_SHEETCODE>
    <SOURCE_SHEETNAME>bal</SOURCE_SHEETNAME>
    <SOURCEAPPLICATION>EXCEL_SOURCE</SOURCEAPPLICATION>
    <UPDATEDAT>5/18/2015 10:06:25 PM</UPDATEDAT>
    <SOURCE_ISOUTOFDATE>False</SOURCE_ISOUTOFDATE>
    <SOURCE_WORKBOOKNAME>URBN.xls</SOURCE_WORKBOOKNAME>
    <SOURCE_WORKBOOKPATH>\\MSAD\ROOT\NA\NY\LIB\ER\RETAIL\Greenberger\Companies\URBN\Models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/MSResearch/Content/ExternalAssets/2015-02/Images/DvKTenVHWibysHBvgAF4w--.png</TARGET_BINARYFULLNAME>
    <TARGET_STORYFULLNAME>/MSResearch/Content/ExternalAssets/2015-02/Sections/20150209_081644_Linking_Range_31.xml</TARGET_STORYFULLNAME>
    <TARGET_UUID>7a15fdf0-b0c2-11e4-9343-7c9184ca9b36</TARGET_UUID>
    <LINKSTATUS>Unknown</LINKSTATUS>
  </Link>
  <Link>
    <GUID>d974a438-3c47-47be-aa65-2f62db1fb093</GUID>
    <SOURCE_ALTADDRESS>$A$8:$AZ$49</SOURCE_ALTADDRESS>
    <SOURCETYPE>Table</SOURCETYPE>
    <SOURCE_OBJECTNAME>Linking_Range_29</SOURCE_OBJECTNAME>
    <OBJECTTYPE>Native</OBJECTTYPE>
    <SOURCE_SHEETCODE>Sheet9</SOURCE_SHEETCODE>
    <SOURCE_SHEETNAME>flow</SOURCE_SHEETNAME>
    <SOURCEAPPLICATION>EXCEL_SOURCE</SOURCEAPPLICATION>
    <UPDATEDAT>5/18/2015 10:06:48 PM</UPDATEDAT>
    <SOURCE_ISOUTOFDATE>False</SOURCE_ISOUTOFDATE>
    <SOURCE_WORKBOOKNAME>URBN.xls</SOURCE_WORKBOOKNAME>
    <SOURCE_WORKBOOKPATH>\\MSAD\ROOT\NA\NY\LIB\ER\RETAIL\Greenberger\Companies\URBN\Models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/MSResearch/Content/ExternalAssets/2015-02/Images/FNnVbb8gdEGn-y8bxUCxUA--.png</TARGET_BINARYFULLNAME>
    <TARGET_STORYFULLNAME>/MSResearch/Content/ExternalAssets/2015-02/Sections/20150209_081712_Linking_Range_29.xml</TARGET_STORYFULLNAME>
    <TARGET_UUID>8aac5704-b0c2-11e4-9343-7c9184ca9b36</TARGET_UUID>
    <LINKSTATUS>Unknown</LINKSTATUS>
  </Link>
</lk:Links>
</file>

<file path=customXml/itemProps1.xml><?xml version="1.0" encoding="utf-8"?>
<ds:datastoreItem xmlns:ds="http://schemas.openxmlformats.org/officeDocument/2006/customXml" ds:itemID="{691C5DB2-46E9-49E8-8B2A-91C345AD1205}">
  <ds:schemaRefs>
    <ds:schemaRef ds:uri="thomsonreuters.linking.metadatachange"/>
  </ds:schemaRefs>
</ds:datastoreItem>
</file>

<file path=customXml/itemProps2.xml><?xml version="1.0" encoding="utf-8"?>
<ds:datastoreItem xmlns:ds="http://schemas.openxmlformats.org/officeDocument/2006/customXml" ds:itemID="{87D4E122-714D-4B49-8E58-4D53A6CD9F3D}">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132</vt:i4>
      </vt:variant>
    </vt:vector>
  </HeadingPairs>
  <TitlesOfParts>
    <vt:vector size="151" baseType="lpstr">
      <vt:lpstr>ImportantDisclosures</vt:lpstr>
      <vt:lpstr>Earnings</vt:lpstr>
      <vt:lpstr>BullBaseBear</vt:lpstr>
      <vt:lpstr>sumry</vt:lpstr>
      <vt:lpstr>segSales</vt:lpstr>
      <vt:lpstr>qtrSales</vt:lpstr>
      <vt:lpstr>qtrP&amp;L</vt:lpstr>
      <vt:lpstr>yrSales</vt:lpstr>
      <vt:lpstr>yrP&amp;L</vt:lpstr>
      <vt:lpstr>bal</vt:lpstr>
      <vt:lpstr>flow</vt:lpstr>
      <vt:lpstr>turn</vt:lpstr>
      <vt:lpstr>dtc</vt:lpstr>
      <vt:lpstr>work</vt:lpstr>
      <vt:lpstr>DCF</vt:lpstr>
      <vt:lpstr>MWA Lease</vt:lpstr>
      <vt:lpstr>inv vs. fwd sales</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check</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Linking_10</vt:lpstr>
      <vt:lpstr>Linking_11</vt:lpstr>
      <vt:lpstr>Linking_12</vt:lpstr>
      <vt:lpstr>Linking_13</vt:lpstr>
      <vt:lpstr>Linking_14</vt:lpstr>
      <vt:lpstr>Linking_8</vt:lpstr>
      <vt:lpstr>Linking_9</vt:lpstr>
      <vt:lpstr>Linking_Range_1</vt:lpstr>
      <vt:lpstr>Earnings!Linking_Range_10</vt:lpstr>
      <vt:lpstr>Linking_Range_10</vt:lpstr>
      <vt:lpstr>Linking_Range_11</vt:lpstr>
      <vt:lpstr>Linking_Range_12</vt:lpstr>
      <vt:lpstr>Linking_Range_13</vt:lpstr>
      <vt:lpstr>Linking_Range_14</vt:lpstr>
      <vt:lpstr>Linking_Range_15</vt:lpstr>
      <vt:lpstr>Linking_Range_16</vt:lpstr>
      <vt:lpstr>Linking_Range_17</vt:lpstr>
      <vt:lpstr>Linking_Range_18</vt:lpstr>
      <vt:lpstr>Linking_Range_19</vt:lpstr>
      <vt:lpstr>Linking_Range_2</vt:lpstr>
      <vt:lpstr>Linking_Range_20</vt:lpstr>
      <vt:lpstr>Linking_Range_21</vt:lpstr>
      <vt:lpstr>Linking_Range_22</vt:lpstr>
      <vt:lpstr>Linking_Range_23</vt:lpstr>
      <vt:lpstr>Linking_Range_24</vt:lpstr>
      <vt:lpstr>Linking_Range_25</vt:lpstr>
      <vt:lpstr>Linking_Range_26</vt:lpstr>
      <vt:lpstr>Linking_Range_27</vt:lpstr>
      <vt:lpstr>Linking_Range_28</vt:lpstr>
      <vt:lpstr>Linking_Range_29</vt:lpstr>
      <vt:lpstr>Linking_Range_3</vt:lpstr>
      <vt:lpstr>Linking_Range_30</vt:lpstr>
      <vt:lpstr>Linking_Range_31</vt:lpstr>
      <vt:lpstr>Linking_Range_32</vt:lpstr>
      <vt:lpstr>Linking_Range_33</vt:lpstr>
      <vt:lpstr>Linking_Range_34</vt:lpstr>
      <vt:lpstr>Linking_Range_4</vt:lpstr>
      <vt:lpstr>Linking_Range_5</vt:lpstr>
      <vt:lpstr>Linking_Range_6</vt:lpstr>
      <vt:lpstr>Linking_Range_7</vt:lpstr>
      <vt:lpstr>Linking_Range_8</vt:lpstr>
      <vt:lpstr>Earnings!Linking_Range_9</vt:lpstr>
      <vt:lpstr>Linking_Range_9</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bal!Print_Area</vt:lpstr>
      <vt:lpstr>dtc!Print_Area</vt:lpstr>
      <vt:lpstr>flow!Print_Area</vt:lpstr>
      <vt:lpstr>'qtrP&amp;L'!Print_Area</vt:lpstr>
      <vt:lpstr>qtrSales!Print_Area</vt:lpstr>
      <vt:lpstr>segSales!Print_Area</vt:lpstr>
      <vt:lpstr>sumry!Print_Area</vt:lpstr>
      <vt:lpstr>turn!Print_Area</vt:lpstr>
      <vt:lpstr>work!Print_Area</vt:lpstr>
      <vt:lpstr>'yrP&amp;L'!Print_Area</vt:lpstr>
      <vt:lpstr>yrSales!Print_Area</vt:lpstr>
      <vt:lpstr>bal!Print_Titles</vt:lpstr>
      <vt:lpstr>'qtrP&amp;L'!Print_Titles</vt:lpstr>
      <vt:lpstr>qtrSales!Print_Titles</vt:lpstr>
      <vt:lpstr>segSales!Print_Titles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'MWA Lease'!rngAppName</vt:lpstr>
      <vt:lpstr>'MWA Lease'!rngCompany</vt:lpstr>
      <vt:lpstr>'MWA Lease'!rngTicker</vt:lpstr>
      <vt:lpstr>IndexInformation!SEDOL</vt:lpstr>
      <vt:lpstr>SedolTicker</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2000-03-06T17:12:04Z</dcterms:created>
  <dc:creator>Greenberger, Kimberly (Research)</dc:creator>
  <cp:lastModifiedBy>Cassel, Lauren (Research)</cp:lastModifiedBy>
  <cp:lastPrinted>2018-03-07T04:06:56Z</cp:lastPrinted>
  <dcterms:modified xsi:type="dcterms:W3CDTF">2018-04-02T21:18:01Z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IndustryType" pid="2">
    <vt:lpwstr>Industrial</vt:lpwstr>
  </property>
  <property fmtid="{D5CDD505-2E9C-101B-9397-08002B2CF9AE}" name="DealMaven.PresLink.LastVersion" pid="3">
    <vt:lpwstr/>
  </property>
  <property fmtid="{D5CDD505-2E9C-101B-9397-08002B2CF9AE}" name="LinkingAutoNameNumberLinking_Range_" pid="4">
    <vt:lpwstr>34</vt:lpwstr>
  </property>
  <property fmtid="{D5CDD505-2E9C-101B-9397-08002B2CF9AE}" name="ERModPubTicket" pid="5">
    <vt:lpwstr>NA</vt:lpwstr>
  </property>
  <property fmtid="{D5CDD505-2E9C-101B-9397-08002B2CF9AE}" name="ERCompanyUploadState" pid="6">
    <vt:lpwstr>P</vt:lpwstr>
  </property>
  <property fmtid="{D5CDD505-2E9C-101B-9397-08002B2CF9AE}" name="ModelId" pid="7">
    <vt:lpwstr>759021</vt:lpwstr>
  </property>
  <property fmtid="{D5CDD505-2E9C-101B-9397-08002B2CF9AE}" name="ERModPubCompanyName" pid="8">
    <vt:lpwstr>Urban Outfitters Inc.</vt:lpwstr>
  </property>
  <property fmtid="{D5CDD505-2E9C-101B-9397-08002B2CF9AE}" name="MSDH34TAG" pid="9">
    <vt:lpwstr>.TEZUF76X5TAHATHESADREYAK-00-INB160+*94600-06=57531dca/-36bb/-11e8/-bf62/-2af41e5950fc,MD=20180402172739/-0400,ZZ=000Z-07b1.</vt:lpwstr>
  </property>
</Properties>
</file>